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haynet\Downloads\"/>
    </mc:Choice>
  </mc:AlternateContent>
  <xr:revisionPtr revIDLastSave="0" documentId="13_ncr:1_{77C39607-86D1-4FD4-9D3E-4BBA4C7B0F69}" xr6:coauthVersionLast="47" xr6:coauthVersionMax="47" xr10:uidLastSave="{00000000-0000-0000-0000-000000000000}"/>
  <bookViews>
    <workbookView xWindow="-120" yWindow="-120" windowWidth="29040" windowHeight="15720" xr2:uid="{00000000-000D-0000-FFFF-FFFF00000000}"/>
  </bookViews>
  <sheets>
    <sheet name="Summary" sheetId="1" r:id="rId1"/>
    <sheet name="2026" sheetId="2" r:id="rId2"/>
    <sheet name="Summary for future Impacts" sheetId="3" state="hidden" r:id="rId3"/>
    <sheet name="2027" sheetId="4" r:id="rId4"/>
    <sheet name="2028" sheetId="5" r:id="rId5"/>
    <sheet name="2029" sheetId="6" r:id="rId6"/>
    <sheet name="2030" sheetId="7" r:id="rId7"/>
    <sheet name="Proposed Rates" sheetId="8" r:id="rId8"/>
    <sheet name="Res (100)" sheetId="9" r:id="rId9"/>
    <sheet name="Res (232)" sheetId="10" r:id="rId10"/>
    <sheet name="Res (250)" sheetId="11" r:id="rId11"/>
    <sheet name="Res (500)" sheetId="12" r:id="rId12"/>
    <sheet name="Res (620)" sheetId="13" r:id="rId13"/>
    <sheet name="Res (640)" sheetId="14" r:id="rId14"/>
    <sheet name="Res (750)" sheetId="15" r:id="rId15"/>
    <sheet name="Res (1000)" sheetId="16" r:id="rId16"/>
    <sheet name="Res (1500)" sheetId="17" r:id="rId17"/>
    <sheet name="Res (2000)" sheetId="18" r:id="rId18"/>
    <sheet name="SC (1000)" sheetId="19" r:id="rId19"/>
    <sheet name="SC (2000)" sheetId="20" r:id="rId20"/>
    <sheet name="SC (2400)" sheetId="21" r:id="rId21"/>
    <sheet name="SC (5000)" sheetId="22" r:id="rId22"/>
    <sheet name="SC (10000)" sheetId="23" r:id="rId23"/>
    <sheet name="SC (15000)" sheetId="24" r:id="rId24"/>
    <sheet name="&gt;50 (100)" sheetId="25" r:id="rId25"/>
    <sheet name="&gt;50 (185)" sheetId="26" r:id="rId26"/>
    <sheet name="&gt;50 (250)" sheetId="27" r:id="rId27"/>
    <sheet name="&gt;50 (250) 51,000" sheetId="28" r:id="rId28"/>
    <sheet name="&gt;50 (500)" sheetId="29" r:id="rId29"/>
    <sheet name="&gt;50 (1000)" sheetId="30" r:id="rId30"/>
    <sheet name="&gt;1500(1925)" sheetId="31" r:id="rId31"/>
    <sheet name="&gt;1500(2500)" sheetId="32" r:id="rId32"/>
    <sheet name="&gt;1500(4000)" sheetId="33" r:id="rId33"/>
    <sheet name="LU(7500)" sheetId="34" r:id="rId34"/>
    <sheet name="LU(7900)" sheetId="35" r:id="rId35"/>
    <sheet name="LU(10000)" sheetId="36" r:id="rId36"/>
    <sheet name="SN (.4)" sheetId="37" r:id="rId37"/>
    <sheet name="StLght(1)" sheetId="38" r:id="rId38"/>
    <sheet name="StLght(50)" sheetId="39" r:id="rId39"/>
    <sheet name="StLght (4910)" sheetId="40" r:id="rId40"/>
    <sheet name="USL (470)" sheetId="41" r:id="rId41"/>
  </sheets>
  <externalReferences>
    <externalReference r:id="rId42"/>
  </externalReferences>
  <definedNames>
    <definedName name="BI_LDCLIST" localSheetId="1">#REF!</definedName>
    <definedName name="BI_LDCLIST" localSheetId="4">#REF!</definedName>
    <definedName name="BI_LDCLIST" localSheetId="5">#REF!</definedName>
    <definedName name="BI_LDCLIST" localSheetId="6">#REF!</definedName>
    <definedName name="BI_LDCLIST">#REF!</definedName>
    <definedName name="contactf" localSheetId="1">#REF!</definedName>
    <definedName name="contactf" localSheetId="4">#REF!</definedName>
    <definedName name="contactf" localSheetId="5">#REF!</definedName>
    <definedName name="contactf" localSheetId="6">#REF!</definedName>
    <definedName name="contactf">#REF!</definedName>
    <definedName name="COS_RES_CUSTOMERS" localSheetId="1">#REF!</definedName>
    <definedName name="COS_RES_CUSTOMERS" localSheetId="4">#REF!</definedName>
    <definedName name="COS_RES_CUSTOMERS" localSheetId="5">#REF!</definedName>
    <definedName name="COS_RES_CUSTOMERS" localSheetId="6">#REF!</definedName>
    <definedName name="COS_RES_CUSTOMERS">#REF!</definedName>
    <definedName name="COS_RES_KWH" localSheetId="1">#REF!</definedName>
    <definedName name="COS_RES_KWH" localSheetId="4">#REF!</definedName>
    <definedName name="COS_RES_KWH" localSheetId="5">#REF!</definedName>
    <definedName name="COS_RES_KWH" localSheetId="6">#REF!</definedName>
    <definedName name="COS_RES_KWH">#REF!</definedName>
    <definedName name="Cust3a" localSheetId="1">#REF!</definedName>
    <definedName name="Cust3a" localSheetId="4">#REF!</definedName>
    <definedName name="Cust3a" localSheetId="5">#REF!</definedName>
    <definedName name="Cust3a" localSheetId="6">#REF!</definedName>
    <definedName name="Cust3a">#REF!</definedName>
    <definedName name="Cust3b" localSheetId="1">#REF!</definedName>
    <definedName name="Cust3b" localSheetId="4">#REF!</definedName>
    <definedName name="Cust3b" localSheetId="5">#REF!</definedName>
    <definedName name="Cust3b" localSheetId="6">#REF!</definedName>
    <definedName name="Cust3b">#REF!</definedName>
    <definedName name="CustomerAdministration" localSheetId="4">#REF!</definedName>
    <definedName name="CustomerAdministration" localSheetId="5">#REF!</definedName>
    <definedName name="CustomerAdministration" localSheetId="6">#REF!</definedName>
    <definedName name="CustomerAdministration1" localSheetId="1">#REF!</definedName>
    <definedName name="CustomerAdministration1">#REF!</definedName>
    <definedName name="DRC" localSheetId="1">#REF!</definedName>
    <definedName name="DRC" localSheetId="4">#REF!</definedName>
    <definedName name="DRC" localSheetId="5">#REF!</definedName>
    <definedName name="DRC" localSheetId="6">#REF!</definedName>
    <definedName name="DRC">#REF!</definedName>
    <definedName name="fed_sb" localSheetId="1">#REF!</definedName>
    <definedName name="fed_sb" localSheetId="4">#REF!</definedName>
    <definedName name="fed_sb" localSheetId="5">#REF!</definedName>
    <definedName name="fed_sb" localSheetId="6">#REF!</definedName>
    <definedName name="fed_sb">#REF!</definedName>
    <definedName name="fedtax" localSheetId="1">#REF!</definedName>
    <definedName name="fedtax" localSheetId="4">#REF!</definedName>
    <definedName name="fedtax" localSheetId="5">#REF!</definedName>
    <definedName name="fedtax" localSheetId="6">#REF!</definedName>
    <definedName name="fedtax">#REF!</definedName>
    <definedName name="forecast_wholesale_lineplus" localSheetId="1">#REF!</definedName>
    <definedName name="forecast_wholesale_lineplus" localSheetId="4">#REF!</definedName>
    <definedName name="forecast_wholesale_lineplus" localSheetId="5">#REF!</definedName>
    <definedName name="forecast_wholesale_lineplus" localSheetId="6">#REF!</definedName>
    <definedName name="forecast_wholesale_lineplus">#REF!</definedName>
    <definedName name="forecast_wholesale_network" localSheetId="1">#REF!</definedName>
    <definedName name="forecast_wholesale_network" localSheetId="4">#REF!</definedName>
    <definedName name="forecast_wholesale_network" localSheetId="5">#REF!</definedName>
    <definedName name="forecast_wholesale_network" localSheetId="6">#REF!</definedName>
    <definedName name="forecast_wholesale_network">#REF!</definedName>
    <definedName name="G1LD" localSheetId="1">#REF!</definedName>
    <definedName name="G1LD" localSheetId="4">#REF!</definedName>
    <definedName name="G1LD" localSheetId="5">#REF!</definedName>
    <definedName name="G1LD" localSheetId="6">#REF!</definedName>
    <definedName name="G1LD">#REF!</definedName>
    <definedName name="G1LDCBR" localSheetId="1">#REF!</definedName>
    <definedName name="G1LDCBR" localSheetId="4">#REF!</definedName>
    <definedName name="G1LDCBR" localSheetId="5">#REF!</definedName>
    <definedName name="G1LDCBR" localSheetId="6">#REF!</definedName>
    <definedName name="G1LDCBR">#REF!</definedName>
    <definedName name="Group1Desposing" localSheetId="1">#REF!</definedName>
    <definedName name="Group1Desposing" localSheetId="4">#REF!</definedName>
    <definedName name="Group1Desposing" localSheetId="5">#REF!</definedName>
    <definedName name="Group1Desposing" localSheetId="6">#REF!</definedName>
    <definedName name="Group1Desposing">#REF!</definedName>
    <definedName name="Incr2000" localSheetId="1">#REF!</definedName>
    <definedName name="Incr2000" localSheetId="4">#REF!</definedName>
    <definedName name="Incr2000" localSheetId="5">#REF!</definedName>
    <definedName name="Incr2000" localSheetId="6">#REF!</definedName>
    <definedName name="Incr2000">#REF!</definedName>
    <definedName name="LIMIT" localSheetId="1">#REF!</definedName>
    <definedName name="LIMIT" localSheetId="4">#REF!</definedName>
    <definedName name="LIMIT" localSheetId="5">#REF!</definedName>
    <definedName name="LIMIT" localSheetId="6">#REF!</definedName>
    <definedName name="LIMIT">#REF!</definedName>
    <definedName name="listdata" localSheetId="1">#REF!</definedName>
    <definedName name="listdata" localSheetId="4">#REF!</definedName>
    <definedName name="listdata" localSheetId="5">#REF!</definedName>
    <definedName name="listdata" localSheetId="6">#REF!</definedName>
    <definedName name="listdata">#REF!</definedName>
    <definedName name="man_beg_bud" localSheetId="1">#REF!</definedName>
    <definedName name="man_beg_bud" localSheetId="4">#REF!</definedName>
    <definedName name="man_beg_bud" localSheetId="5">#REF!</definedName>
    <definedName name="man_beg_bud" localSheetId="6">#REF!</definedName>
    <definedName name="man_beg_bud">#REF!</definedName>
    <definedName name="man_end_bud" localSheetId="1">#REF!</definedName>
    <definedName name="man_end_bud" localSheetId="4">#REF!</definedName>
    <definedName name="man_end_bud" localSheetId="5">#REF!</definedName>
    <definedName name="man_end_bud" localSheetId="6">#REF!</definedName>
    <definedName name="man_end_bud">#REF!</definedName>
    <definedName name="man12ACT" localSheetId="1">#REF!</definedName>
    <definedName name="man12ACT" localSheetId="4">#REF!</definedName>
    <definedName name="man12ACT" localSheetId="5">#REF!</definedName>
    <definedName name="man12ACT" localSheetId="6">#REF!</definedName>
    <definedName name="man12ACT">#REF!</definedName>
    <definedName name="MANBUD" localSheetId="1">#REF!</definedName>
    <definedName name="MANBUD" localSheetId="4">#REF!</definedName>
    <definedName name="MANBUD" localSheetId="5">#REF!</definedName>
    <definedName name="MANBUD" localSheetId="6">#REF!</definedName>
    <definedName name="MANBUD">#REF!</definedName>
    <definedName name="manCYACT" localSheetId="1">#REF!</definedName>
    <definedName name="manCYACT" localSheetId="4">#REF!</definedName>
    <definedName name="manCYACT" localSheetId="5">#REF!</definedName>
    <definedName name="manCYACT" localSheetId="6">#REF!</definedName>
    <definedName name="manCYACT">#REF!</definedName>
    <definedName name="manCYBUD" localSheetId="1">#REF!</definedName>
    <definedName name="manCYBUD" localSheetId="4">#REF!</definedName>
    <definedName name="manCYBUD" localSheetId="5">#REF!</definedName>
    <definedName name="manCYBUD" localSheetId="6">#REF!</definedName>
    <definedName name="manCYBUD">#REF!</definedName>
    <definedName name="manCYF" localSheetId="1">#REF!</definedName>
    <definedName name="manCYF" localSheetId="4">#REF!</definedName>
    <definedName name="manCYF" localSheetId="5">#REF!</definedName>
    <definedName name="manCYF" localSheetId="6">#REF!</definedName>
    <definedName name="manCYF">#REF!</definedName>
    <definedName name="MANEND" localSheetId="1">#REF!</definedName>
    <definedName name="MANEND" localSheetId="4">#REF!</definedName>
    <definedName name="MANEND" localSheetId="5">#REF!</definedName>
    <definedName name="MANEND" localSheetId="6">#REF!</definedName>
    <definedName name="MANEND">#REF!</definedName>
    <definedName name="manNYbud" localSheetId="1">#REF!</definedName>
    <definedName name="manNYbud" localSheetId="4">#REF!</definedName>
    <definedName name="manNYbud" localSheetId="5">#REF!</definedName>
    <definedName name="manNYbud" localSheetId="6">#REF!</definedName>
    <definedName name="manNYbud">#REF!</definedName>
    <definedName name="manpower_costs" localSheetId="1">#REF!</definedName>
    <definedName name="manpower_costs" localSheetId="4">#REF!</definedName>
    <definedName name="manpower_costs" localSheetId="5">#REF!</definedName>
    <definedName name="manpower_costs" localSheetId="6">#REF!</definedName>
    <definedName name="manpower_costs">#REF!</definedName>
    <definedName name="manPYACT" localSheetId="1">#REF!</definedName>
    <definedName name="manPYACT" localSheetId="4">#REF!</definedName>
    <definedName name="manPYACT" localSheetId="5">#REF!</definedName>
    <definedName name="manPYACT" localSheetId="6">#REF!</definedName>
    <definedName name="manPYACT">#REF!</definedName>
    <definedName name="MANSTART" localSheetId="1">#REF!</definedName>
    <definedName name="MANSTART" localSheetId="4">#REF!</definedName>
    <definedName name="MANSTART" localSheetId="5">#REF!</definedName>
    <definedName name="MANSTART" localSheetId="6">#REF!</definedName>
    <definedName name="MANSTART">#REF!</definedName>
    <definedName name="mat_beg_bud" localSheetId="1">#REF!</definedName>
    <definedName name="mat_beg_bud" localSheetId="4">#REF!</definedName>
    <definedName name="mat_beg_bud" localSheetId="5">#REF!</definedName>
    <definedName name="mat_beg_bud" localSheetId="6">#REF!</definedName>
    <definedName name="mat_beg_bud">#REF!</definedName>
    <definedName name="mat_end_bud" localSheetId="1">#REF!</definedName>
    <definedName name="mat_end_bud" localSheetId="4">#REF!</definedName>
    <definedName name="mat_end_bud" localSheetId="5">#REF!</definedName>
    <definedName name="mat_end_bud" localSheetId="6">#REF!</definedName>
    <definedName name="mat_end_bud">#REF!</definedName>
    <definedName name="mat12ACT" localSheetId="1">#REF!</definedName>
    <definedName name="mat12ACT" localSheetId="4">#REF!</definedName>
    <definedName name="mat12ACT" localSheetId="5">#REF!</definedName>
    <definedName name="mat12ACT" localSheetId="6">#REF!</definedName>
    <definedName name="mat12ACT">#REF!</definedName>
    <definedName name="MATBUD" localSheetId="1">#REF!</definedName>
    <definedName name="MATBUD" localSheetId="4">#REF!</definedName>
    <definedName name="MATBUD" localSheetId="5">#REF!</definedName>
    <definedName name="MATBUD" localSheetId="6">#REF!</definedName>
    <definedName name="MATBUD">#REF!</definedName>
    <definedName name="matCYACT" localSheetId="1">#REF!</definedName>
    <definedName name="matCYACT" localSheetId="4">#REF!</definedName>
    <definedName name="matCYACT" localSheetId="5">#REF!</definedName>
    <definedName name="matCYACT" localSheetId="6">#REF!</definedName>
    <definedName name="matCYACT">#REF!</definedName>
    <definedName name="matCYBUD" localSheetId="1">#REF!</definedName>
    <definedName name="matCYBUD" localSheetId="4">#REF!</definedName>
    <definedName name="matCYBUD" localSheetId="5">#REF!</definedName>
    <definedName name="matCYBUD" localSheetId="6">#REF!</definedName>
    <definedName name="matCYBUD">#REF!</definedName>
    <definedName name="matCYF" localSheetId="1">#REF!</definedName>
    <definedName name="matCYF" localSheetId="4">#REF!</definedName>
    <definedName name="matCYF" localSheetId="5">#REF!</definedName>
    <definedName name="matCYF" localSheetId="6">#REF!</definedName>
    <definedName name="matCYF">#REF!</definedName>
    <definedName name="MATEND" localSheetId="1">#REF!</definedName>
    <definedName name="MATEND" localSheetId="4">#REF!</definedName>
    <definedName name="MATEND" localSheetId="5">#REF!</definedName>
    <definedName name="MATEND" localSheetId="6">#REF!</definedName>
    <definedName name="MATEND">#REF!</definedName>
    <definedName name="material_costs" localSheetId="1">#REF!</definedName>
    <definedName name="material_costs" localSheetId="4">#REF!</definedName>
    <definedName name="material_costs" localSheetId="5">#REF!</definedName>
    <definedName name="material_costs" localSheetId="6">#REF!</definedName>
    <definedName name="material_costs">#REF!</definedName>
    <definedName name="matNYbud" localSheetId="1">#REF!</definedName>
    <definedName name="matNYbud" localSheetId="4">#REF!</definedName>
    <definedName name="matNYbud" localSheetId="5">#REF!</definedName>
    <definedName name="matNYbud" localSheetId="6">#REF!</definedName>
    <definedName name="matNYbud">#REF!</definedName>
    <definedName name="matPYACT" localSheetId="1">#REF!</definedName>
    <definedName name="matPYACT" localSheetId="4">#REF!</definedName>
    <definedName name="matPYACT" localSheetId="5">#REF!</definedName>
    <definedName name="matPYACT" localSheetId="6">#REF!</definedName>
    <definedName name="matPYACT">#REF!</definedName>
    <definedName name="MATSTART" localSheetId="1">#REF!</definedName>
    <definedName name="MATSTART" localSheetId="4">#REF!</definedName>
    <definedName name="MATSTART" localSheetId="5">#REF!</definedName>
    <definedName name="MATSTART" localSheetId="6">#REF!</definedName>
    <definedName name="MATSTART">#REF!</definedName>
    <definedName name="maxtax" localSheetId="1">#REF!</definedName>
    <definedName name="maxtax" localSheetId="4">#REF!</definedName>
    <definedName name="maxtax" localSheetId="5">#REF!</definedName>
    <definedName name="maxtax" localSheetId="6">#REF!</definedName>
    <definedName name="maxtax">#REF!</definedName>
    <definedName name="ontario_sb" localSheetId="1">#REF!</definedName>
    <definedName name="ontario_sb" localSheetId="4">#REF!</definedName>
    <definedName name="ontario_sb" localSheetId="5">#REF!</definedName>
    <definedName name="ontario_sb" localSheetId="6">#REF!</definedName>
    <definedName name="ontario_sb">#REF!</definedName>
    <definedName name="ontariotax" localSheetId="1">#REF!</definedName>
    <definedName name="ontariotax" localSheetId="4">#REF!</definedName>
    <definedName name="ontariotax" localSheetId="5">#REF!</definedName>
    <definedName name="ontariotax" localSheetId="6">#REF!</definedName>
    <definedName name="ontariotax">#REF!</definedName>
    <definedName name="oth_beg_bud" localSheetId="1">#REF!</definedName>
    <definedName name="oth_beg_bud" localSheetId="4">#REF!</definedName>
    <definedName name="oth_beg_bud" localSheetId="5">#REF!</definedName>
    <definedName name="oth_beg_bud" localSheetId="6">#REF!</definedName>
    <definedName name="oth_beg_bud">#REF!</definedName>
    <definedName name="oth_end_bud" localSheetId="1">#REF!</definedName>
    <definedName name="oth_end_bud" localSheetId="4">#REF!</definedName>
    <definedName name="oth_end_bud" localSheetId="5">#REF!</definedName>
    <definedName name="oth_end_bud" localSheetId="6">#REF!</definedName>
    <definedName name="oth_end_bud">#REF!</definedName>
    <definedName name="oth12ACT" localSheetId="1">#REF!</definedName>
    <definedName name="oth12ACT" localSheetId="4">#REF!</definedName>
    <definedName name="oth12ACT" localSheetId="5">#REF!</definedName>
    <definedName name="oth12ACT" localSheetId="6">#REF!</definedName>
    <definedName name="oth12ACT">#REF!</definedName>
    <definedName name="othCYACT" localSheetId="1">#REF!</definedName>
    <definedName name="othCYACT" localSheetId="4">#REF!</definedName>
    <definedName name="othCYACT" localSheetId="5">#REF!</definedName>
    <definedName name="othCYACT" localSheetId="6">#REF!</definedName>
    <definedName name="othCYACT">#REF!</definedName>
    <definedName name="othCYBUD" localSheetId="1">#REF!</definedName>
    <definedName name="othCYBUD" localSheetId="4">#REF!</definedName>
    <definedName name="othCYBUD" localSheetId="5">#REF!</definedName>
    <definedName name="othCYBUD" localSheetId="6">#REF!</definedName>
    <definedName name="othCYBUD">#REF!</definedName>
    <definedName name="othCYF" localSheetId="1">#REF!</definedName>
    <definedName name="othCYF" localSheetId="4">#REF!</definedName>
    <definedName name="othCYF" localSheetId="5">#REF!</definedName>
    <definedName name="othCYF" localSheetId="6">#REF!</definedName>
    <definedName name="othCYF">#REF!</definedName>
    <definedName name="OTHEND" localSheetId="1">#REF!</definedName>
    <definedName name="OTHEND" localSheetId="4">#REF!</definedName>
    <definedName name="OTHEND" localSheetId="5">#REF!</definedName>
    <definedName name="OTHEND" localSheetId="6">#REF!</definedName>
    <definedName name="OTHEND">#REF!</definedName>
    <definedName name="other_costs" localSheetId="1">#REF!</definedName>
    <definedName name="other_costs" localSheetId="4">#REF!</definedName>
    <definedName name="other_costs" localSheetId="5">#REF!</definedName>
    <definedName name="other_costs" localSheetId="6">#REF!</definedName>
    <definedName name="other_costs">#REF!</definedName>
    <definedName name="OTHERBUD" localSheetId="1">#REF!</definedName>
    <definedName name="OTHERBUD" localSheetId="4">#REF!</definedName>
    <definedName name="OTHERBUD" localSheetId="5">#REF!</definedName>
    <definedName name="OTHERBUD" localSheetId="6">#REF!</definedName>
    <definedName name="OTHERBUD">#REF!</definedName>
    <definedName name="othNYbud" localSheetId="1">#REF!</definedName>
    <definedName name="othNYbud" localSheetId="4">#REF!</definedName>
    <definedName name="othNYbud" localSheetId="5">#REF!</definedName>
    <definedName name="othNYbud" localSheetId="6">#REF!</definedName>
    <definedName name="othNYbud">#REF!</definedName>
    <definedName name="othPYACT" localSheetId="1">#REF!</definedName>
    <definedName name="othPYACT" localSheetId="4">#REF!</definedName>
    <definedName name="othPYACT" localSheetId="5">#REF!</definedName>
    <definedName name="othPYACT" localSheetId="6">#REF!</definedName>
    <definedName name="othPYACT">#REF!</definedName>
    <definedName name="OTHSTART" localSheetId="1">#REF!</definedName>
    <definedName name="OTHSTART" localSheetId="4">#REF!</definedName>
    <definedName name="OTHSTART" localSheetId="5">#REF!</definedName>
    <definedName name="OTHSTART" localSheetId="6">#REF!</definedName>
    <definedName name="OTHSTART">#REF!</definedName>
    <definedName name="passwordlist" localSheetId="1">#REF!</definedName>
    <definedName name="passwordlist" localSheetId="4">#REF!</definedName>
    <definedName name="passwordlist" localSheetId="5">#REF!</definedName>
    <definedName name="passwordlist" localSheetId="6">#REF!</definedName>
    <definedName name="passwordlist">#REF!</definedName>
    <definedName name="print_end" localSheetId="1">#REF!</definedName>
    <definedName name="print_end" localSheetId="4">#REF!</definedName>
    <definedName name="print_end" localSheetId="5">#REF!</definedName>
    <definedName name="print_end" localSheetId="6">#REF!</definedName>
    <definedName name="print_end">#REF!</definedName>
    <definedName name="ratebase" localSheetId="1">#REF!</definedName>
    <definedName name="ratebase" localSheetId="4">#REF!</definedName>
    <definedName name="ratebase" localSheetId="5">#REF!</definedName>
    <definedName name="ratebase" localSheetId="6">#REF!</definedName>
    <definedName name="ratebase">#REF!</definedName>
    <definedName name="RateRiderName">OFFSET('[1]Rate Rider Database'!$C$1,1,0,COUNTA('[1]Rate Rider Database'!$C:$C)-1,1)</definedName>
    <definedName name="SALBENF" localSheetId="1">#REF!</definedName>
    <definedName name="SALBENF" localSheetId="4">#REF!</definedName>
    <definedName name="SALBENF" localSheetId="5">#REF!</definedName>
    <definedName name="SALBENF" localSheetId="6">#REF!</definedName>
    <definedName name="SALBENF">#REF!</definedName>
    <definedName name="salreg" localSheetId="1">#REF!</definedName>
    <definedName name="salreg" localSheetId="4">#REF!</definedName>
    <definedName name="salreg" localSheetId="5">#REF!</definedName>
    <definedName name="salreg" localSheetId="6">#REF!</definedName>
    <definedName name="salreg">#REF!</definedName>
    <definedName name="SALREGF" localSheetId="1">#REF!</definedName>
    <definedName name="SALREGF" localSheetId="4">#REF!</definedName>
    <definedName name="SALREGF" localSheetId="5">#REF!</definedName>
    <definedName name="SALREGF" localSheetId="6">#REF!</definedName>
    <definedName name="SALREGF">#REF!</definedName>
    <definedName name="ss" localSheetId="1">#REF!</definedName>
    <definedName name="ss" localSheetId="4">#REF!</definedName>
    <definedName name="ss" localSheetId="5">#REF!</definedName>
    <definedName name="ss" localSheetId="6">#REF!</definedName>
    <definedName name="ss">#REF!</definedName>
    <definedName name="StartEnd" localSheetId="1">#REF!</definedName>
    <definedName name="StartEnd" localSheetId="4">#REF!</definedName>
    <definedName name="StartEnd" localSheetId="5">#REF!</definedName>
    <definedName name="StartEnd" localSheetId="6">#REF!</definedName>
    <definedName name="StartEnd">#REF!</definedName>
    <definedName name="taxableincome" localSheetId="1">#REF!</definedName>
    <definedName name="taxableincome" localSheetId="4">#REF!</definedName>
    <definedName name="taxableincome" localSheetId="5">#REF!</definedName>
    <definedName name="taxableincome" localSheetId="6">#REF!</definedName>
    <definedName name="taxableincome">#REF!</definedName>
    <definedName name="TEMPA" localSheetId="1">#REF!</definedName>
    <definedName name="TEMPA" localSheetId="4">#REF!</definedName>
    <definedName name="TEMPA" localSheetId="5">#REF!</definedName>
    <definedName name="TEMPA" localSheetId="6">#REF!</definedName>
    <definedName name="TEMPA">#REF!</definedName>
    <definedName name="Total_Current_Wholesale_Line" localSheetId="1">#REF!</definedName>
    <definedName name="Total_Current_Wholesale_Line" localSheetId="4">#REF!</definedName>
    <definedName name="Total_Current_Wholesale_Line" localSheetId="5">#REF!</definedName>
    <definedName name="Total_Current_Wholesale_Line" localSheetId="6">#REF!</definedName>
    <definedName name="Total_Current_Wholesale_Line">#REF!</definedName>
    <definedName name="Total_Current_Wholesale_Lineplus" localSheetId="1">#REF!</definedName>
    <definedName name="Total_Current_Wholesale_Lineplus" localSheetId="4">#REF!</definedName>
    <definedName name="Total_Current_Wholesale_Lineplus" localSheetId="5">#REF!</definedName>
    <definedName name="Total_Current_Wholesale_Lineplus" localSheetId="6">#REF!</definedName>
    <definedName name="Total_Current_Wholesale_Lineplus">#REF!</definedName>
    <definedName name="total_current_wholesale_network" localSheetId="1">#REF!</definedName>
    <definedName name="total_current_wholesale_network" localSheetId="4">#REF!</definedName>
    <definedName name="total_current_wholesale_network" localSheetId="5">#REF!</definedName>
    <definedName name="total_current_wholesale_network" localSheetId="6">#REF!</definedName>
    <definedName name="total_current_wholesale_network">#REF!</definedName>
    <definedName name="total_dept" localSheetId="1">#REF!</definedName>
    <definedName name="total_dept" localSheetId="4">#REF!</definedName>
    <definedName name="total_dept" localSheetId="5">#REF!</definedName>
    <definedName name="total_dept" localSheetId="6">#REF!</definedName>
    <definedName name="total_dept">#REF!</definedName>
    <definedName name="total_manpower" localSheetId="1">#REF!</definedName>
    <definedName name="total_manpower" localSheetId="4">#REF!</definedName>
    <definedName name="total_manpower" localSheetId="5">#REF!</definedName>
    <definedName name="total_manpower" localSheetId="6">#REF!</definedName>
    <definedName name="total_manpower">#REF!</definedName>
    <definedName name="total_material" localSheetId="1">#REF!</definedName>
    <definedName name="total_material" localSheetId="4">#REF!</definedName>
    <definedName name="total_material" localSheetId="5">#REF!</definedName>
    <definedName name="total_material" localSheetId="6">#REF!</definedName>
    <definedName name="total_material">#REF!</definedName>
    <definedName name="total_other" localSheetId="1">#REF!</definedName>
    <definedName name="total_other" localSheetId="4">#REF!</definedName>
    <definedName name="total_other" localSheetId="5">#REF!</definedName>
    <definedName name="total_other" localSheetId="6">#REF!</definedName>
    <definedName name="total_other">#REF!</definedName>
    <definedName name="total_transportation" localSheetId="1">#REF!</definedName>
    <definedName name="total_transportation" localSheetId="4">#REF!</definedName>
    <definedName name="total_transportation" localSheetId="5">#REF!</definedName>
    <definedName name="total_transportation" localSheetId="6">#REF!</definedName>
    <definedName name="total_transportation">#REF!</definedName>
    <definedName name="TRANBUD" localSheetId="1">#REF!</definedName>
    <definedName name="TRANBUD" localSheetId="4">#REF!</definedName>
    <definedName name="TRANBUD" localSheetId="5">#REF!</definedName>
    <definedName name="TRANBUD" localSheetId="6">#REF!</definedName>
    <definedName name="TRANBUD">#REF!</definedName>
    <definedName name="TranCust" localSheetId="1">#REF!</definedName>
    <definedName name="TranCust" localSheetId="4">#REF!</definedName>
    <definedName name="TranCust" localSheetId="5">#REF!</definedName>
    <definedName name="TranCust" localSheetId="6">#REF!</definedName>
    <definedName name="TranCust">#REF!</definedName>
    <definedName name="TranCustb" localSheetId="1">#REF!</definedName>
    <definedName name="TranCustb" localSheetId="4">#REF!</definedName>
    <definedName name="TranCustb" localSheetId="5">#REF!</definedName>
    <definedName name="TranCustb" localSheetId="6">#REF!</definedName>
    <definedName name="TranCustb">#REF!</definedName>
    <definedName name="TRANEND" localSheetId="1">#REF!</definedName>
    <definedName name="TRANEND" localSheetId="4">#REF!</definedName>
    <definedName name="TRANEND" localSheetId="5">#REF!</definedName>
    <definedName name="TRANEND" localSheetId="6">#REF!</definedName>
    <definedName name="TRANEND">#REF!</definedName>
    <definedName name="TransCust" localSheetId="1">#REF!</definedName>
    <definedName name="TransCust" localSheetId="4">#REF!</definedName>
    <definedName name="TransCust" localSheetId="5">#REF!</definedName>
    <definedName name="TransCust" localSheetId="6">#REF!</definedName>
    <definedName name="TransCust">#REF!</definedName>
    <definedName name="transportation_costs" localSheetId="1">#REF!</definedName>
    <definedName name="transportation_costs" localSheetId="4">#REF!</definedName>
    <definedName name="transportation_costs" localSheetId="5">#REF!</definedName>
    <definedName name="transportation_costs" localSheetId="6">#REF!</definedName>
    <definedName name="transportation_costs">#REF!</definedName>
    <definedName name="TRANSTART" localSheetId="1">#REF!</definedName>
    <definedName name="TRANSTART" localSheetId="4">#REF!</definedName>
    <definedName name="TRANSTART" localSheetId="5">#REF!</definedName>
    <definedName name="TRANSTART" localSheetId="6">#REF!</definedName>
    <definedName name="TRANSTART">#REF!</definedName>
    <definedName name="trn_beg_bud" localSheetId="1">#REF!</definedName>
    <definedName name="trn_beg_bud" localSheetId="4">#REF!</definedName>
    <definedName name="trn_beg_bud" localSheetId="5">#REF!</definedName>
    <definedName name="trn_beg_bud" localSheetId="6">#REF!</definedName>
    <definedName name="trn_beg_bud">#REF!</definedName>
    <definedName name="trn_end_bud" localSheetId="1">#REF!</definedName>
    <definedName name="trn_end_bud" localSheetId="4">#REF!</definedName>
    <definedName name="trn_end_bud" localSheetId="5">#REF!</definedName>
    <definedName name="trn_end_bud" localSheetId="6">#REF!</definedName>
    <definedName name="trn_end_bud">#REF!</definedName>
    <definedName name="trn12ACT" localSheetId="1">#REF!</definedName>
    <definedName name="trn12ACT" localSheetId="4">#REF!</definedName>
    <definedName name="trn12ACT" localSheetId="5">#REF!</definedName>
    <definedName name="trn12ACT" localSheetId="6">#REF!</definedName>
    <definedName name="trn12ACT">#REF!</definedName>
    <definedName name="trnCYACT" localSheetId="1">#REF!</definedName>
    <definedName name="trnCYACT" localSheetId="4">#REF!</definedName>
    <definedName name="trnCYACT" localSheetId="5">#REF!</definedName>
    <definedName name="trnCYACT" localSheetId="6">#REF!</definedName>
    <definedName name="trnCYACT">#REF!</definedName>
    <definedName name="trnCYBUD" localSheetId="1">#REF!</definedName>
    <definedName name="trnCYBUD" localSheetId="4">#REF!</definedName>
    <definedName name="trnCYBUD" localSheetId="5">#REF!</definedName>
    <definedName name="trnCYBUD" localSheetId="6">#REF!</definedName>
    <definedName name="trnCYBUD">#REF!</definedName>
    <definedName name="trnCYF" localSheetId="1">#REF!</definedName>
    <definedName name="trnCYF" localSheetId="4">#REF!</definedName>
    <definedName name="trnCYF" localSheetId="5">#REF!</definedName>
    <definedName name="trnCYF" localSheetId="6">#REF!</definedName>
    <definedName name="trnCYF">#REF!</definedName>
    <definedName name="trnNYbud" localSheetId="1">#REF!</definedName>
    <definedName name="trnNYbud" localSheetId="4">#REF!</definedName>
    <definedName name="trnNYbud" localSheetId="5">#REF!</definedName>
    <definedName name="trnNYbud" localSheetId="6">#REF!</definedName>
    <definedName name="trnNYbud">#REF!</definedName>
    <definedName name="trnPYACT" localSheetId="1">#REF!</definedName>
    <definedName name="trnPYACT" localSheetId="4">#REF!</definedName>
    <definedName name="trnPYACT" localSheetId="5">#REF!</definedName>
    <definedName name="trnPYACT" localSheetId="6">#REF!</definedName>
    <definedName name="trnPYACT">#REF!</definedName>
    <definedName name="Units1" localSheetId="1">#REF!</definedName>
    <definedName name="Units1" localSheetId="4">#REF!</definedName>
    <definedName name="Units1" localSheetId="5">#REF!</definedName>
    <definedName name="Units1" localSheetId="6">#REF!</definedName>
    <definedName name="Units1">#REF!</definedName>
    <definedName name="Units2" localSheetId="1">#REF!</definedName>
    <definedName name="Units2" localSheetId="4">#REF!</definedName>
    <definedName name="Units2" localSheetId="5">#REF!</definedName>
    <definedName name="Units2" localSheetId="6">#REF!</definedName>
    <definedName name="Units2">#REF!</definedName>
    <definedName name="WAGBENF" localSheetId="1">#REF!</definedName>
    <definedName name="WAGBENF" localSheetId="4">#REF!</definedName>
    <definedName name="WAGBENF" localSheetId="5">#REF!</definedName>
    <definedName name="WAGBENF" localSheetId="6">#REF!</definedName>
    <definedName name="WAGBENF">#REF!</definedName>
    <definedName name="wagdob" localSheetId="1">#REF!</definedName>
    <definedName name="wagdob" localSheetId="4">#REF!</definedName>
    <definedName name="wagdob" localSheetId="5">#REF!</definedName>
    <definedName name="wagdob" localSheetId="6">#REF!</definedName>
    <definedName name="wagdob">#REF!</definedName>
    <definedName name="wagdobf" localSheetId="1">#REF!</definedName>
    <definedName name="wagdobf" localSheetId="4">#REF!</definedName>
    <definedName name="wagdobf" localSheetId="5">#REF!</definedName>
    <definedName name="wagdobf" localSheetId="6">#REF!</definedName>
    <definedName name="wagdobf">#REF!</definedName>
    <definedName name="wagreg" localSheetId="1">#REF!</definedName>
    <definedName name="wagreg" localSheetId="4">#REF!</definedName>
    <definedName name="wagreg" localSheetId="5">#REF!</definedName>
    <definedName name="wagreg" localSheetId="6">#REF!</definedName>
    <definedName name="wagreg">#REF!</definedName>
    <definedName name="wagregf" localSheetId="1">#REF!</definedName>
    <definedName name="wagregf" localSheetId="4">#REF!</definedName>
    <definedName name="wagregf" localSheetId="5">#REF!</definedName>
    <definedName name="wagregf" localSheetId="6">#REF!</definedName>
    <definedName name="wagregf">#REF!</definedName>
    <definedName name="YRS_LEFT" localSheetId="1">#REF!</definedName>
    <definedName name="YRS_LEFT" localSheetId="4">#REF!</definedName>
    <definedName name="YRS_LEFT" localSheetId="5">#REF!</definedName>
    <definedName name="YRS_LEFT" localSheetId="6">#REF!</definedName>
    <definedName name="YRS_LE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46" roundtripDataChecksum="StWZs6ggUmaebk/9WT9FKyQkN4jqpA7Cuy/ub122bT8="/>
    </ext>
  </extLst>
</workbook>
</file>

<file path=xl/calcChain.xml><?xml version="1.0" encoding="utf-8"?>
<calcChain xmlns="http://schemas.openxmlformats.org/spreadsheetml/2006/main">
  <c r="D337" i="2" l="1"/>
  <c r="D299" i="2"/>
  <c r="D235" i="2"/>
  <c r="D196" i="2"/>
  <c r="D152" i="2"/>
  <c r="D108" i="2"/>
  <c r="D66" i="2"/>
  <c r="D28" i="2"/>
  <c r="AL65" i="41"/>
  <c r="AM37" i="41" s="1"/>
  <c r="AM44" i="41" s="1"/>
  <c r="AE65" i="41"/>
  <c r="X65" i="41"/>
  <c r="Q65" i="41"/>
  <c r="J65" i="41"/>
  <c r="K37" i="41" s="1"/>
  <c r="F65" i="41"/>
  <c r="AM50" i="41"/>
  <c r="AN50" i="41" s="1"/>
  <c r="AL50" i="41"/>
  <c r="AE50" i="41"/>
  <c r="X50" i="41"/>
  <c r="Q50" i="41"/>
  <c r="J50" i="41"/>
  <c r="F50" i="41"/>
  <c r="C50" i="41"/>
  <c r="AL49" i="41"/>
  <c r="AE49" i="41"/>
  <c r="X49" i="41"/>
  <c r="Q49" i="41"/>
  <c r="J49" i="41"/>
  <c r="F49" i="41"/>
  <c r="C49" i="41"/>
  <c r="AM48" i="41"/>
  <c r="AL48" i="41"/>
  <c r="AL37" i="41" s="1"/>
  <c r="AG48" i="41"/>
  <c r="AF48" i="41"/>
  <c r="AE48" i="41"/>
  <c r="Z48" i="41"/>
  <c r="Y48" i="41"/>
  <c r="X48" i="41"/>
  <c r="R48" i="41"/>
  <c r="S48" i="41" s="1"/>
  <c r="Q48" i="41"/>
  <c r="K48" i="41"/>
  <c r="L48" i="41" s="1"/>
  <c r="J48" i="41"/>
  <c r="G48" i="41"/>
  <c r="F48" i="41"/>
  <c r="C48" i="41"/>
  <c r="AM47" i="41"/>
  <c r="AN47" i="41" s="1"/>
  <c r="AP47" i="41" s="1"/>
  <c r="AQ47" i="41" s="1"/>
  <c r="AL47" i="41"/>
  <c r="AG47" i="41"/>
  <c r="AF47" i="41"/>
  <c r="AE47" i="41"/>
  <c r="Z47" i="41"/>
  <c r="Y47" i="41"/>
  <c r="X47" i="41"/>
  <c r="R47" i="41"/>
  <c r="Q47" i="41"/>
  <c r="K47" i="41"/>
  <c r="J47" i="41"/>
  <c r="J37" i="41" s="1"/>
  <c r="H47" i="41"/>
  <c r="G47" i="41"/>
  <c r="F47" i="41"/>
  <c r="C47" i="41"/>
  <c r="AN46" i="41"/>
  <c r="AP46" i="41" s="1"/>
  <c r="AM46" i="41"/>
  <c r="AL46" i="41"/>
  <c r="AF46" i="41"/>
  <c r="AE46" i="41"/>
  <c r="AG46" i="41" s="1"/>
  <c r="Y46" i="41"/>
  <c r="X46" i="41"/>
  <c r="X37" i="41" s="1"/>
  <c r="R46" i="41"/>
  <c r="S46" i="41" s="1"/>
  <c r="Q46" i="41"/>
  <c r="L46" i="41"/>
  <c r="K46" i="41"/>
  <c r="J46" i="41"/>
  <c r="G46" i="41"/>
  <c r="H46" i="41" s="1"/>
  <c r="F46" i="41"/>
  <c r="C46" i="41"/>
  <c r="C45" i="41"/>
  <c r="Y44" i="41"/>
  <c r="G44" i="41"/>
  <c r="C44" i="41"/>
  <c r="AF43" i="41"/>
  <c r="K43" i="41"/>
  <c r="C43" i="41"/>
  <c r="AM41" i="41"/>
  <c r="K41" i="41"/>
  <c r="G41" i="41"/>
  <c r="C41" i="41"/>
  <c r="K40" i="41"/>
  <c r="C40" i="41"/>
  <c r="AM38" i="41"/>
  <c r="AF38" i="41"/>
  <c r="Y38" i="41"/>
  <c r="R38" i="41"/>
  <c r="K38" i="41"/>
  <c r="G38" i="41"/>
  <c r="C38" i="41"/>
  <c r="AF37" i="41"/>
  <c r="AF44" i="41" s="1"/>
  <c r="AE37" i="41"/>
  <c r="Y37" i="41"/>
  <c r="R37" i="41"/>
  <c r="Q37" i="41"/>
  <c r="G37" i="41"/>
  <c r="G43" i="41" s="1"/>
  <c r="C37" i="41"/>
  <c r="AM36" i="41"/>
  <c r="AF36" i="41"/>
  <c r="K36" i="41"/>
  <c r="G36" i="41"/>
  <c r="C36" i="41"/>
  <c r="AM35" i="41"/>
  <c r="AF35" i="41"/>
  <c r="Y35" i="41"/>
  <c r="R35" i="41"/>
  <c r="K35" i="41"/>
  <c r="G35" i="41"/>
  <c r="C35" i="41"/>
  <c r="AM34" i="41"/>
  <c r="AF34" i="41"/>
  <c r="Y34" i="41"/>
  <c r="R34" i="41"/>
  <c r="K34" i="41"/>
  <c r="G34" i="41"/>
  <c r="C34" i="41"/>
  <c r="AM33" i="41"/>
  <c r="AF33" i="41"/>
  <c r="Y33" i="41"/>
  <c r="R33" i="41"/>
  <c r="K33" i="41"/>
  <c r="G33" i="41"/>
  <c r="C33" i="41"/>
  <c r="AM32" i="41"/>
  <c r="AF32" i="41"/>
  <c r="Y32" i="41"/>
  <c r="R32" i="41"/>
  <c r="K32" i="41"/>
  <c r="G32" i="41"/>
  <c r="C32" i="41"/>
  <c r="AM31" i="41"/>
  <c r="AF31" i="41"/>
  <c r="Y31" i="41"/>
  <c r="R31" i="41"/>
  <c r="K31" i="41"/>
  <c r="G31" i="41"/>
  <c r="C31" i="41"/>
  <c r="AM30" i="41"/>
  <c r="AF30" i="41"/>
  <c r="Y30" i="41"/>
  <c r="R30" i="41"/>
  <c r="K30" i="41"/>
  <c r="G30" i="41"/>
  <c r="C30" i="41"/>
  <c r="AM28" i="41"/>
  <c r="AF28" i="41"/>
  <c r="Y28" i="41"/>
  <c r="R28" i="41"/>
  <c r="K28" i="41"/>
  <c r="G28" i="41"/>
  <c r="C28" i="41"/>
  <c r="AM27" i="41"/>
  <c r="AF27" i="41"/>
  <c r="Y27" i="41"/>
  <c r="R27" i="41"/>
  <c r="K27" i="41"/>
  <c r="G27" i="41"/>
  <c r="C27" i="41"/>
  <c r="AM26" i="41"/>
  <c r="AF26" i="41"/>
  <c r="Y26" i="41"/>
  <c r="R26" i="41"/>
  <c r="K26" i="41"/>
  <c r="G26" i="41"/>
  <c r="C26" i="41"/>
  <c r="AM25" i="41"/>
  <c r="AF25" i="41"/>
  <c r="Y25" i="41"/>
  <c r="R25" i="41"/>
  <c r="K25" i="41"/>
  <c r="G25" i="41"/>
  <c r="C25" i="41"/>
  <c r="AM24" i="41"/>
  <c r="AF24" i="41"/>
  <c r="Y24" i="41"/>
  <c r="R24" i="41"/>
  <c r="K24" i="41"/>
  <c r="G24" i="41"/>
  <c r="C24" i="41"/>
  <c r="AM23" i="41"/>
  <c r="AF23" i="41"/>
  <c r="Y23" i="41"/>
  <c r="R23" i="41"/>
  <c r="K23" i="41"/>
  <c r="G23" i="41"/>
  <c r="C23" i="41"/>
  <c r="AM22" i="41"/>
  <c r="AF22" i="41"/>
  <c r="Y22" i="41"/>
  <c r="R22" i="41"/>
  <c r="K22" i="41"/>
  <c r="G22" i="41"/>
  <c r="C22" i="41"/>
  <c r="AM21" i="41"/>
  <c r="AF21" i="41"/>
  <c r="Y21" i="41"/>
  <c r="U21" i="41"/>
  <c r="S21" i="41"/>
  <c r="AC21" i="41" s="1"/>
  <c r="R21" i="41"/>
  <c r="Q21" i="41"/>
  <c r="K21" i="41"/>
  <c r="L21" i="41" s="1"/>
  <c r="J21" i="41"/>
  <c r="G21" i="41"/>
  <c r="H21" i="41" s="1"/>
  <c r="O21" i="41" s="1"/>
  <c r="F21" i="41"/>
  <c r="C21" i="41"/>
  <c r="AM20" i="41"/>
  <c r="AF20" i="41"/>
  <c r="Y20" i="41"/>
  <c r="R20" i="41"/>
  <c r="K20" i="41"/>
  <c r="G20" i="41"/>
  <c r="C20" i="41"/>
  <c r="AM19" i="41"/>
  <c r="AF19" i="41"/>
  <c r="Y19" i="41"/>
  <c r="R19" i="41"/>
  <c r="K19" i="41"/>
  <c r="G19" i="41"/>
  <c r="C19" i="41"/>
  <c r="AM18" i="41"/>
  <c r="AF18" i="41"/>
  <c r="Y18" i="41"/>
  <c r="R18" i="41"/>
  <c r="K18" i="41"/>
  <c r="G18" i="41"/>
  <c r="B18" i="41"/>
  <c r="C18" i="41" s="1"/>
  <c r="AM17" i="41"/>
  <c r="AF17" i="41"/>
  <c r="Y17" i="41"/>
  <c r="R17" i="41"/>
  <c r="K17" i="41"/>
  <c r="G17" i="41"/>
  <c r="B17" i="41"/>
  <c r="C17" i="41" s="1"/>
  <c r="AM16" i="41"/>
  <c r="AF16" i="41"/>
  <c r="Y16" i="41"/>
  <c r="R16" i="41"/>
  <c r="K16" i="41"/>
  <c r="G16" i="41"/>
  <c r="C16" i="41"/>
  <c r="AM15" i="41"/>
  <c r="AF15" i="41"/>
  <c r="Y15" i="41"/>
  <c r="R15" i="41"/>
  <c r="K15" i="41"/>
  <c r="G15" i="41"/>
  <c r="C15" i="41"/>
  <c r="AP12" i="41"/>
  <c r="AI12" i="41"/>
  <c r="AB12" i="41"/>
  <c r="U12" i="41"/>
  <c r="N12" i="41"/>
  <c r="AQ11" i="41"/>
  <c r="AN11" i="41"/>
  <c r="AJ11" i="41"/>
  <c r="AG11" i="41"/>
  <c r="Z11" i="41"/>
  <c r="AC11" i="41" s="1"/>
  <c r="S11" i="41"/>
  <c r="V11" i="41" s="1"/>
  <c r="O11" i="41"/>
  <c r="L11" i="41"/>
  <c r="H11" i="41"/>
  <c r="S2" i="41"/>
  <c r="AL65" i="40"/>
  <c r="AE65" i="40"/>
  <c r="X65" i="40"/>
  <c r="Q65" i="40"/>
  <c r="J65" i="40"/>
  <c r="F65" i="40"/>
  <c r="AL50" i="40"/>
  <c r="AE50" i="40"/>
  <c r="X50" i="40"/>
  <c r="R50" i="40"/>
  <c r="S50" i="40" s="1"/>
  <c r="Q50" i="40"/>
  <c r="K50" i="40"/>
  <c r="L50" i="40" s="1"/>
  <c r="J50" i="40"/>
  <c r="F50" i="40"/>
  <c r="C50" i="40"/>
  <c r="AL49" i="40"/>
  <c r="AE49" i="40"/>
  <c r="X49" i="40"/>
  <c r="R49" i="40"/>
  <c r="S49" i="40" s="1"/>
  <c r="Q49" i="40"/>
  <c r="J49" i="40"/>
  <c r="F49" i="40"/>
  <c r="C49" i="40"/>
  <c r="AN48" i="40"/>
  <c r="AM48" i="40"/>
  <c r="AL48" i="40"/>
  <c r="AF48" i="40"/>
  <c r="AE48" i="40"/>
  <c r="AG48" i="40" s="1"/>
  <c r="Y48" i="40"/>
  <c r="X48" i="40"/>
  <c r="R48" i="40"/>
  <c r="S48" i="40" s="1"/>
  <c r="Q48" i="40"/>
  <c r="L48" i="40"/>
  <c r="K48" i="40"/>
  <c r="J48" i="40"/>
  <c r="G48" i="40"/>
  <c r="H48" i="40" s="1"/>
  <c r="F48" i="40"/>
  <c r="C48" i="40"/>
  <c r="AM47" i="40"/>
  <c r="AN47" i="40" s="1"/>
  <c r="AL47" i="40"/>
  <c r="AF47" i="40"/>
  <c r="AG47" i="40" s="1"/>
  <c r="AE47" i="40"/>
  <c r="AE37" i="40" s="1"/>
  <c r="AG37" i="40" s="1"/>
  <c r="Y47" i="40"/>
  <c r="Z47" i="40" s="1"/>
  <c r="AB47" i="40" s="1"/>
  <c r="X47" i="40"/>
  <c r="S47" i="40"/>
  <c r="R47" i="40"/>
  <c r="Q47" i="40"/>
  <c r="K47" i="40"/>
  <c r="L47" i="40" s="1"/>
  <c r="J47" i="40"/>
  <c r="G47" i="40"/>
  <c r="H47" i="40" s="1"/>
  <c r="N47" i="40" s="1"/>
  <c r="F47" i="40"/>
  <c r="C47" i="40"/>
  <c r="AM46" i="40"/>
  <c r="AL46" i="40"/>
  <c r="AG46" i="40"/>
  <c r="AF46" i="40"/>
  <c r="AE46" i="40"/>
  <c r="Z46" i="40"/>
  <c r="Y46" i="40"/>
  <c r="X46" i="40"/>
  <c r="R46" i="40"/>
  <c r="S46" i="40" s="1"/>
  <c r="Q46" i="40"/>
  <c r="K46" i="40"/>
  <c r="L46" i="40" s="1"/>
  <c r="J46" i="40"/>
  <c r="G46" i="40"/>
  <c r="F46" i="40"/>
  <c r="F37" i="40" s="1"/>
  <c r="C46" i="40"/>
  <c r="AM45" i="40"/>
  <c r="AF45" i="40"/>
  <c r="Y45" i="40"/>
  <c r="R45" i="40"/>
  <c r="K45" i="40"/>
  <c r="G45" i="40"/>
  <c r="C45" i="40"/>
  <c r="AF44" i="40"/>
  <c r="Y44" i="40"/>
  <c r="K44" i="40"/>
  <c r="G44" i="40"/>
  <c r="C44" i="40"/>
  <c r="AF43" i="40"/>
  <c r="K43" i="40"/>
  <c r="C43" i="40"/>
  <c r="AM41" i="40"/>
  <c r="AF41" i="40"/>
  <c r="Y41" i="40"/>
  <c r="R41" i="40"/>
  <c r="K41" i="40"/>
  <c r="G41" i="40"/>
  <c r="C41" i="40"/>
  <c r="AM40" i="40"/>
  <c r="AF40" i="40"/>
  <c r="Y40" i="40"/>
  <c r="R40" i="40"/>
  <c r="K40" i="40"/>
  <c r="G40" i="40"/>
  <c r="C40" i="40"/>
  <c r="AM38" i="40"/>
  <c r="AF38" i="40"/>
  <c r="Y38" i="40"/>
  <c r="R38" i="40"/>
  <c r="K38" i="40"/>
  <c r="G38" i="40"/>
  <c r="AM37" i="40"/>
  <c r="AL37" i="40"/>
  <c r="AF37" i="40"/>
  <c r="Y37" i="40"/>
  <c r="Y43" i="40" s="1"/>
  <c r="X37" i="40"/>
  <c r="R37" i="40"/>
  <c r="Q37" i="40"/>
  <c r="K37" i="40"/>
  <c r="J37" i="40"/>
  <c r="L37" i="40" s="1"/>
  <c r="G37" i="40"/>
  <c r="AM36" i="40"/>
  <c r="AF36" i="40"/>
  <c r="Y36" i="40"/>
  <c r="R36" i="40"/>
  <c r="K36" i="40"/>
  <c r="G36" i="40"/>
  <c r="C36" i="40"/>
  <c r="AM35" i="40"/>
  <c r="AF35" i="40"/>
  <c r="Y35" i="40"/>
  <c r="R35" i="40"/>
  <c r="K35" i="40"/>
  <c r="G35" i="40"/>
  <c r="C35" i="40"/>
  <c r="AM34" i="40"/>
  <c r="AF34" i="40"/>
  <c r="Y34" i="40"/>
  <c r="R34" i="40"/>
  <c r="K34" i="40"/>
  <c r="G34" i="40"/>
  <c r="C34" i="40"/>
  <c r="AM33" i="40"/>
  <c r="AF33" i="40"/>
  <c r="Y33" i="40"/>
  <c r="R33" i="40"/>
  <c r="K33" i="40"/>
  <c r="G33" i="40"/>
  <c r="C33" i="40"/>
  <c r="AM32" i="40"/>
  <c r="AF32" i="40"/>
  <c r="Y32" i="40"/>
  <c r="R32" i="40"/>
  <c r="K32" i="40"/>
  <c r="G32" i="40"/>
  <c r="C32" i="40"/>
  <c r="AM31" i="40"/>
  <c r="AF31" i="40"/>
  <c r="Y31" i="40"/>
  <c r="R31" i="40"/>
  <c r="K31" i="40"/>
  <c r="G31" i="40"/>
  <c r="C31" i="40"/>
  <c r="AM30" i="40"/>
  <c r="AF30" i="40"/>
  <c r="Y30" i="40"/>
  <c r="R30" i="40"/>
  <c r="K30" i="40"/>
  <c r="G30" i="40"/>
  <c r="C30" i="40"/>
  <c r="AM28" i="40"/>
  <c r="AF28" i="40"/>
  <c r="Y28" i="40"/>
  <c r="R28" i="40"/>
  <c r="K28" i="40"/>
  <c r="G28" i="40"/>
  <c r="AM27" i="40"/>
  <c r="AF27" i="40"/>
  <c r="Y27" i="40"/>
  <c r="R27" i="40"/>
  <c r="K27" i="40"/>
  <c r="G27" i="40"/>
  <c r="AM26" i="40"/>
  <c r="AF26" i="40"/>
  <c r="Y26" i="40"/>
  <c r="R26" i="40"/>
  <c r="K26" i="40"/>
  <c r="G26" i="40"/>
  <c r="C26" i="40"/>
  <c r="AM25" i="40"/>
  <c r="AF25" i="40"/>
  <c r="Y25" i="40"/>
  <c r="R25" i="40"/>
  <c r="K25" i="40"/>
  <c r="G25" i="40"/>
  <c r="C25" i="40"/>
  <c r="AM24" i="40"/>
  <c r="AF24" i="40"/>
  <c r="Y24" i="40"/>
  <c r="R24" i="40"/>
  <c r="K24" i="40"/>
  <c r="G24" i="40"/>
  <c r="C24" i="40"/>
  <c r="AM23" i="40"/>
  <c r="AF23" i="40"/>
  <c r="Y23" i="40"/>
  <c r="R23" i="40"/>
  <c r="K23" i="40"/>
  <c r="G23" i="40"/>
  <c r="C23" i="40"/>
  <c r="AM22" i="40"/>
  <c r="AF22" i="40"/>
  <c r="Y22" i="40"/>
  <c r="R22" i="40"/>
  <c r="K22" i="40"/>
  <c r="G22" i="40"/>
  <c r="C22" i="40"/>
  <c r="AM21" i="40"/>
  <c r="AF21" i="40"/>
  <c r="Y21" i="40"/>
  <c r="R21" i="40"/>
  <c r="S21" i="40" s="1"/>
  <c r="Q21" i="40"/>
  <c r="L21" i="40"/>
  <c r="K21" i="40"/>
  <c r="J21" i="40"/>
  <c r="G21" i="40"/>
  <c r="H21" i="40" s="1"/>
  <c r="F21" i="40"/>
  <c r="C21" i="40"/>
  <c r="AM20" i="40"/>
  <c r="AF20" i="40"/>
  <c r="Y20" i="40"/>
  <c r="R20" i="40"/>
  <c r="K20" i="40"/>
  <c r="G20" i="40"/>
  <c r="C20" i="40"/>
  <c r="AM19" i="40"/>
  <c r="AF19" i="40"/>
  <c r="Y19" i="40"/>
  <c r="R19" i="40"/>
  <c r="K19" i="40"/>
  <c r="G19" i="40"/>
  <c r="C19" i="40"/>
  <c r="AM18" i="40"/>
  <c r="AF18" i="40"/>
  <c r="Y18" i="40"/>
  <c r="R18" i="40"/>
  <c r="K18" i="40"/>
  <c r="G18" i="40"/>
  <c r="B18" i="40"/>
  <c r="C18" i="40" s="1"/>
  <c r="AM17" i="40"/>
  <c r="AF17" i="40"/>
  <c r="Y17" i="40"/>
  <c r="R17" i="40"/>
  <c r="K17" i="40"/>
  <c r="G17" i="40"/>
  <c r="C17" i="40"/>
  <c r="B17" i="40"/>
  <c r="AM16" i="40"/>
  <c r="AF16" i="40"/>
  <c r="Y16" i="40"/>
  <c r="R16" i="40"/>
  <c r="K16" i="40"/>
  <c r="G16" i="40"/>
  <c r="C16" i="40"/>
  <c r="AM15" i="40"/>
  <c r="AF15" i="40"/>
  <c r="Y15" i="40"/>
  <c r="R15" i="40"/>
  <c r="K15" i="40"/>
  <c r="G15" i="40"/>
  <c r="C15" i="40"/>
  <c r="AP12" i="40"/>
  <c r="AI12" i="40"/>
  <c r="AB12" i="40"/>
  <c r="U12" i="40"/>
  <c r="N12" i="40"/>
  <c r="AQ11" i="40"/>
  <c r="AN11" i="40"/>
  <c r="AG11" i="40"/>
  <c r="AJ11" i="40" s="1"/>
  <c r="AC11" i="40"/>
  <c r="Z11" i="40"/>
  <c r="S11" i="40"/>
  <c r="V11" i="40" s="1"/>
  <c r="O11" i="40"/>
  <c r="L11" i="40"/>
  <c r="H11" i="40"/>
  <c r="S2" i="40"/>
  <c r="K49" i="40" s="1"/>
  <c r="L49" i="40" s="1"/>
  <c r="AL65" i="39"/>
  <c r="AE65" i="39"/>
  <c r="X65" i="39"/>
  <c r="Q65" i="39"/>
  <c r="R37" i="39" s="1"/>
  <c r="R44" i="39" s="1"/>
  <c r="J65" i="39"/>
  <c r="F65" i="39"/>
  <c r="C50" i="39"/>
  <c r="C49" i="39"/>
  <c r="C48" i="39"/>
  <c r="C47" i="39"/>
  <c r="AM46" i="39"/>
  <c r="AF46" i="39"/>
  <c r="Y46" i="39"/>
  <c r="R46" i="39"/>
  <c r="K46" i="39"/>
  <c r="G46" i="39"/>
  <c r="C46" i="39"/>
  <c r="C45" i="39"/>
  <c r="G44" i="39"/>
  <c r="C44" i="39"/>
  <c r="AM43" i="39"/>
  <c r="AF43" i="39"/>
  <c r="Y43" i="39"/>
  <c r="R43" i="39"/>
  <c r="C43" i="39"/>
  <c r="AM41" i="39"/>
  <c r="AF41" i="39"/>
  <c r="Y41" i="39"/>
  <c r="R41" i="39"/>
  <c r="K41" i="39"/>
  <c r="G41" i="39"/>
  <c r="C41" i="39"/>
  <c r="AM40" i="39"/>
  <c r="AF40" i="39"/>
  <c r="Y40" i="39"/>
  <c r="R40" i="39"/>
  <c r="K40" i="39"/>
  <c r="G40" i="39"/>
  <c r="C40" i="39"/>
  <c r="AM38" i="39"/>
  <c r="AF38" i="39"/>
  <c r="Y38" i="39"/>
  <c r="R38" i="39"/>
  <c r="K38" i="39"/>
  <c r="G38" i="39"/>
  <c r="C38" i="39"/>
  <c r="AM37" i="39"/>
  <c r="AF37" i="39"/>
  <c r="AF44" i="39" s="1"/>
  <c r="Y37" i="39"/>
  <c r="Y44" i="39" s="1"/>
  <c r="K37" i="39"/>
  <c r="G37" i="39"/>
  <c r="G43" i="39" s="1"/>
  <c r="C37" i="39"/>
  <c r="AM36" i="39"/>
  <c r="AF36" i="39"/>
  <c r="Y36" i="39"/>
  <c r="R36" i="39"/>
  <c r="K36" i="39"/>
  <c r="G36" i="39"/>
  <c r="C36" i="39"/>
  <c r="AM35" i="39"/>
  <c r="AF35" i="39"/>
  <c r="Y35" i="39"/>
  <c r="R35" i="39"/>
  <c r="K35" i="39"/>
  <c r="G35" i="39"/>
  <c r="C35" i="39"/>
  <c r="AM34" i="39"/>
  <c r="AF34" i="39"/>
  <c r="Y34" i="39"/>
  <c r="R34" i="39"/>
  <c r="K34" i="39"/>
  <c r="G34" i="39"/>
  <c r="C34" i="39"/>
  <c r="AM33" i="39"/>
  <c r="AF33" i="39"/>
  <c r="Y33" i="39"/>
  <c r="R33" i="39"/>
  <c r="K33" i="39"/>
  <c r="G33" i="39"/>
  <c r="C33" i="39"/>
  <c r="AM32" i="39"/>
  <c r="AF32" i="39"/>
  <c r="Y32" i="39"/>
  <c r="R32" i="39"/>
  <c r="K32" i="39"/>
  <c r="G32" i="39"/>
  <c r="C32" i="39"/>
  <c r="AM31" i="39"/>
  <c r="AF31" i="39"/>
  <c r="Y31" i="39"/>
  <c r="R31" i="39"/>
  <c r="K31" i="39"/>
  <c r="G31" i="39"/>
  <c r="C31" i="39"/>
  <c r="AM30" i="39"/>
  <c r="AF30" i="39"/>
  <c r="Y30" i="39"/>
  <c r="R30" i="39"/>
  <c r="K30" i="39"/>
  <c r="G30" i="39"/>
  <c r="C30" i="39"/>
  <c r="AM28" i="39"/>
  <c r="AF28" i="39"/>
  <c r="Y28" i="39"/>
  <c r="R28" i="39"/>
  <c r="K28" i="39"/>
  <c r="G28" i="39"/>
  <c r="C28" i="39"/>
  <c r="AM27" i="39"/>
  <c r="AF27" i="39"/>
  <c r="Y27" i="39"/>
  <c r="R27" i="39"/>
  <c r="K27" i="39"/>
  <c r="G27" i="39"/>
  <c r="C27" i="39"/>
  <c r="AM26" i="39"/>
  <c r="AF26" i="39"/>
  <c r="Y26" i="39"/>
  <c r="R26" i="39"/>
  <c r="K26" i="39"/>
  <c r="G26" i="39"/>
  <c r="C26" i="39"/>
  <c r="AM25" i="39"/>
  <c r="AF25" i="39"/>
  <c r="Y25" i="39"/>
  <c r="R25" i="39"/>
  <c r="K25" i="39"/>
  <c r="G25" i="39"/>
  <c r="C25" i="39"/>
  <c r="AM24" i="39"/>
  <c r="AF24" i="39"/>
  <c r="Y24" i="39"/>
  <c r="R24" i="39"/>
  <c r="K24" i="39"/>
  <c r="G24" i="39"/>
  <c r="C24" i="39"/>
  <c r="AM23" i="39"/>
  <c r="AF23" i="39"/>
  <c r="Y23" i="39"/>
  <c r="R23" i="39"/>
  <c r="K23" i="39"/>
  <c r="G23" i="39"/>
  <c r="C23" i="39"/>
  <c r="AM22" i="39"/>
  <c r="AF22" i="39"/>
  <c r="Y22" i="39"/>
  <c r="R22" i="39"/>
  <c r="K22" i="39"/>
  <c r="G22" i="39"/>
  <c r="C22" i="39"/>
  <c r="AM21" i="39"/>
  <c r="AF21" i="39"/>
  <c r="Y21" i="39"/>
  <c r="S21" i="39"/>
  <c r="R21" i="39"/>
  <c r="Q21" i="39"/>
  <c r="L21" i="39"/>
  <c r="K21" i="39"/>
  <c r="J21" i="39"/>
  <c r="G21" i="39"/>
  <c r="H21" i="39" s="1"/>
  <c r="F21" i="39"/>
  <c r="C21" i="39"/>
  <c r="AM20" i="39"/>
  <c r="AF20" i="39"/>
  <c r="Y20" i="39"/>
  <c r="R20" i="39"/>
  <c r="K20" i="39"/>
  <c r="G20" i="39"/>
  <c r="C20" i="39"/>
  <c r="AM19" i="39"/>
  <c r="AF19" i="39"/>
  <c r="Y19" i="39"/>
  <c r="R19" i="39"/>
  <c r="K19" i="39"/>
  <c r="G19" i="39"/>
  <c r="C19" i="39"/>
  <c r="AM18" i="39"/>
  <c r="AF18" i="39"/>
  <c r="Y18" i="39"/>
  <c r="R18" i="39"/>
  <c r="K18" i="39"/>
  <c r="G18" i="39"/>
  <c r="C18" i="39"/>
  <c r="B18" i="39"/>
  <c r="AM17" i="39"/>
  <c r="AF17" i="39"/>
  <c r="Y17" i="39"/>
  <c r="R17" i="39"/>
  <c r="K17" i="39"/>
  <c r="G17" i="39"/>
  <c r="B17" i="39"/>
  <c r="C17" i="39" s="1"/>
  <c r="AM16" i="39"/>
  <c r="AF16" i="39"/>
  <c r="Y16" i="39"/>
  <c r="R16" i="39"/>
  <c r="K16" i="39"/>
  <c r="G16" i="39"/>
  <c r="C16" i="39"/>
  <c r="AM15" i="39"/>
  <c r="AF15" i="39"/>
  <c r="Y15" i="39"/>
  <c r="R15" i="39"/>
  <c r="G15" i="39"/>
  <c r="K15" i="39" s="1"/>
  <c r="C15" i="39"/>
  <c r="AP12" i="39"/>
  <c r="AI12" i="39"/>
  <c r="AB12" i="39"/>
  <c r="U12" i="39"/>
  <c r="N12" i="39"/>
  <c r="AQ11" i="39"/>
  <c r="AN11" i="39"/>
  <c r="AG11" i="39"/>
  <c r="AJ11" i="39" s="1"/>
  <c r="AC11" i="39"/>
  <c r="Z11" i="39"/>
  <c r="S11" i="39"/>
  <c r="V11" i="39" s="1"/>
  <c r="O11" i="39"/>
  <c r="L11" i="39"/>
  <c r="H11" i="39"/>
  <c r="AL65" i="38"/>
  <c r="AM37" i="38" s="1"/>
  <c r="AE65" i="38"/>
  <c r="X65" i="38"/>
  <c r="Y37" i="38" s="1"/>
  <c r="Q65" i="38"/>
  <c r="J65" i="38"/>
  <c r="F65" i="38"/>
  <c r="C50" i="38"/>
  <c r="C49" i="38"/>
  <c r="C48" i="38"/>
  <c r="C47" i="38"/>
  <c r="AM46" i="38"/>
  <c r="AF46" i="38"/>
  <c r="Y46" i="38"/>
  <c r="R46" i="38"/>
  <c r="K46" i="38"/>
  <c r="G46" i="38"/>
  <c r="C46" i="38"/>
  <c r="C45" i="38"/>
  <c r="AM44" i="38"/>
  <c r="AF44" i="38"/>
  <c r="R44" i="38"/>
  <c r="G44" i="38"/>
  <c r="C44" i="38"/>
  <c r="AM43" i="38"/>
  <c r="Y43" i="38"/>
  <c r="G43" i="38"/>
  <c r="C43" i="38"/>
  <c r="AM41" i="38"/>
  <c r="AF41" i="38"/>
  <c r="Y41" i="38"/>
  <c r="R41" i="38"/>
  <c r="K41" i="38"/>
  <c r="G41" i="38"/>
  <c r="C41" i="38"/>
  <c r="AM40" i="38"/>
  <c r="AF40" i="38"/>
  <c r="Y40" i="38"/>
  <c r="R40" i="38"/>
  <c r="K40" i="38"/>
  <c r="G40" i="38"/>
  <c r="C40" i="38"/>
  <c r="AM38" i="38"/>
  <c r="AF38" i="38"/>
  <c r="Y38" i="38"/>
  <c r="R38" i="38"/>
  <c r="K38" i="38"/>
  <c r="G38" i="38"/>
  <c r="C38" i="38"/>
  <c r="AF37" i="38"/>
  <c r="R37" i="38"/>
  <c r="R43" i="38" s="1"/>
  <c r="K37" i="38"/>
  <c r="G37" i="38"/>
  <c r="C37" i="38"/>
  <c r="AM36" i="38"/>
  <c r="AF36" i="38"/>
  <c r="Y36" i="38"/>
  <c r="R36" i="38"/>
  <c r="K36" i="38"/>
  <c r="G36" i="38"/>
  <c r="C36" i="38"/>
  <c r="AM35" i="38"/>
  <c r="AF35" i="38"/>
  <c r="Y35" i="38"/>
  <c r="R35" i="38"/>
  <c r="K35" i="38"/>
  <c r="G35" i="38"/>
  <c r="C35" i="38"/>
  <c r="AM34" i="38"/>
  <c r="AF34" i="38"/>
  <c r="Y34" i="38"/>
  <c r="R34" i="38"/>
  <c r="K34" i="38"/>
  <c r="G34" i="38"/>
  <c r="C34" i="38"/>
  <c r="AM33" i="38"/>
  <c r="AF33" i="38"/>
  <c r="Y33" i="38"/>
  <c r="R33" i="38"/>
  <c r="K33" i="38"/>
  <c r="G33" i="38"/>
  <c r="C33" i="38"/>
  <c r="AM32" i="38"/>
  <c r="AF32" i="38"/>
  <c r="Y32" i="38"/>
  <c r="R32" i="38"/>
  <c r="K32" i="38"/>
  <c r="G32" i="38"/>
  <c r="C32" i="38"/>
  <c r="AM31" i="38"/>
  <c r="AF31" i="38"/>
  <c r="Y31" i="38"/>
  <c r="R31" i="38"/>
  <c r="K31" i="38"/>
  <c r="G31" i="38"/>
  <c r="C31" i="38"/>
  <c r="AM30" i="38"/>
  <c r="AF30" i="38"/>
  <c r="Y30" i="38"/>
  <c r="R30" i="38"/>
  <c r="K30" i="38"/>
  <c r="G30" i="38"/>
  <c r="C30" i="38"/>
  <c r="AM28" i="38"/>
  <c r="AF28" i="38"/>
  <c r="Y28" i="38"/>
  <c r="R28" i="38"/>
  <c r="K28" i="38"/>
  <c r="G28" i="38"/>
  <c r="C28" i="38"/>
  <c r="AM27" i="38"/>
  <c r="AF27" i="38"/>
  <c r="Y27" i="38"/>
  <c r="R27" i="38"/>
  <c r="K27" i="38"/>
  <c r="G27" i="38"/>
  <c r="C27" i="38"/>
  <c r="AM26" i="38"/>
  <c r="AF26" i="38"/>
  <c r="Y26" i="38"/>
  <c r="R26" i="38"/>
  <c r="K26" i="38"/>
  <c r="G26" i="38"/>
  <c r="C26" i="38"/>
  <c r="AM25" i="38"/>
  <c r="AF25" i="38"/>
  <c r="Y25" i="38"/>
  <c r="R25" i="38"/>
  <c r="K25" i="38"/>
  <c r="G25" i="38"/>
  <c r="C25" i="38"/>
  <c r="AM24" i="38"/>
  <c r="AF24" i="38"/>
  <c r="Y24" i="38"/>
  <c r="R24" i="38"/>
  <c r="K24" i="38"/>
  <c r="G24" i="38"/>
  <c r="C24" i="38"/>
  <c r="AM23" i="38"/>
  <c r="AF23" i="38"/>
  <c r="Y23" i="38"/>
  <c r="R23" i="38"/>
  <c r="K23" i="38"/>
  <c r="G23" i="38"/>
  <c r="C23" i="38"/>
  <c r="AM22" i="38"/>
  <c r="AF22" i="38"/>
  <c r="Y22" i="38"/>
  <c r="R22" i="38"/>
  <c r="K22" i="38"/>
  <c r="G22" i="38"/>
  <c r="C22" i="38"/>
  <c r="AM21" i="38"/>
  <c r="AF21" i="38"/>
  <c r="Y21" i="38"/>
  <c r="R21" i="38"/>
  <c r="S21" i="38" s="1"/>
  <c r="AC21" i="38" s="1"/>
  <c r="Q21" i="38"/>
  <c r="L21" i="38"/>
  <c r="K21" i="38"/>
  <c r="J21" i="38"/>
  <c r="G21" i="38"/>
  <c r="H21" i="38" s="1"/>
  <c r="F21" i="38"/>
  <c r="C21" i="38"/>
  <c r="AM20" i="38"/>
  <c r="AF20" i="38"/>
  <c r="Y20" i="38"/>
  <c r="R20" i="38"/>
  <c r="K20" i="38"/>
  <c r="G20" i="38"/>
  <c r="C20" i="38"/>
  <c r="AM19" i="38"/>
  <c r="AF19" i="38"/>
  <c r="Y19" i="38"/>
  <c r="R19" i="38"/>
  <c r="K19" i="38"/>
  <c r="G19" i="38"/>
  <c r="C19" i="38"/>
  <c r="AM18" i="38"/>
  <c r="AF18" i="38"/>
  <c r="Y18" i="38"/>
  <c r="R18" i="38"/>
  <c r="K18" i="38"/>
  <c r="G18" i="38"/>
  <c r="C18" i="38"/>
  <c r="B18" i="38"/>
  <c r="AM17" i="38"/>
  <c r="AF17" i="38"/>
  <c r="Y17" i="38"/>
  <c r="R17" i="38"/>
  <c r="K17" i="38"/>
  <c r="G17" i="38"/>
  <c r="B17" i="38"/>
  <c r="C17" i="38" s="1"/>
  <c r="AM16" i="38"/>
  <c r="AF16" i="38"/>
  <c r="Y16" i="38"/>
  <c r="R16" i="38"/>
  <c r="K16" i="38"/>
  <c r="G16" i="38"/>
  <c r="C16" i="38"/>
  <c r="AM15" i="38"/>
  <c r="AF15" i="38"/>
  <c r="Y15" i="38"/>
  <c r="R15" i="38"/>
  <c r="K15" i="38"/>
  <c r="G15" i="38"/>
  <c r="C15" i="38"/>
  <c r="AP12" i="38"/>
  <c r="AI12" i="38"/>
  <c r="AB12" i="38"/>
  <c r="U12" i="38"/>
  <c r="N12" i="38"/>
  <c r="AN11" i="38"/>
  <c r="AQ11" i="38" s="1"/>
  <c r="AJ11" i="38"/>
  <c r="AG11" i="38"/>
  <c r="Z11" i="38"/>
  <c r="AC11" i="38" s="1"/>
  <c r="S11" i="38"/>
  <c r="V11" i="38" s="1"/>
  <c r="O11" i="38"/>
  <c r="L11" i="38"/>
  <c r="H11" i="38"/>
  <c r="AL65" i="37"/>
  <c r="AE65" i="37"/>
  <c r="AF37" i="37" s="1"/>
  <c r="X65" i="37"/>
  <c r="Q65" i="37"/>
  <c r="R37" i="37" s="1"/>
  <c r="J65" i="37"/>
  <c r="F65" i="37"/>
  <c r="F53" i="37"/>
  <c r="AL50" i="37"/>
  <c r="AE50" i="37"/>
  <c r="X50" i="37"/>
  <c r="Q50" i="37"/>
  <c r="J50" i="37"/>
  <c r="F50" i="37"/>
  <c r="C50" i="37"/>
  <c r="AL49" i="37"/>
  <c r="AE49" i="37"/>
  <c r="X49" i="37"/>
  <c r="Q49" i="37"/>
  <c r="J49" i="37"/>
  <c r="F49" i="37"/>
  <c r="C49" i="37"/>
  <c r="AP48" i="37"/>
  <c r="AM48" i="37"/>
  <c r="AL48" i="37"/>
  <c r="AN48" i="37" s="1"/>
  <c r="AG48" i="37"/>
  <c r="AF48" i="37"/>
  <c r="AE48" i="37"/>
  <c r="AB48" i="37"/>
  <c r="Y48" i="37"/>
  <c r="Z48" i="37" s="1"/>
  <c r="X48" i="37"/>
  <c r="U48" i="37"/>
  <c r="S48" i="37"/>
  <c r="R48" i="37"/>
  <c r="Q48" i="37"/>
  <c r="K48" i="37"/>
  <c r="J48" i="37"/>
  <c r="L48" i="37" s="1"/>
  <c r="H48" i="37"/>
  <c r="G48" i="37"/>
  <c r="F48" i="37"/>
  <c r="C48" i="37"/>
  <c r="AM47" i="37"/>
  <c r="AN47" i="37" s="1"/>
  <c r="AL47" i="37"/>
  <c r="AG47" i="37"/>
  <c r="AF47" i="37"/>
  <c r="AE47" i="37"/>
  <c r="Z47" i="37"/>
  <c r="Y47" i="37"/>
  <c r="X47" i="37"/>
  <c r="R47" i="37"/>
  <c r="S47" i="37" s="1"/>
  <c r="Q47" i="37"/>
  <c r="K47" i="37"/>
  <c r="J47" i="37"/>
  <c r="H47" i="37"/>
  <c r="G47" i="37"/>
  <c r="F47" i="37"/>
  <c r="C47" i="37"/>
  <c r="AM46" i="37"/>
  <c r="AN46" i="37" s="1"/>
  <c r="AL46" i="37"/>
  <c r="AF46" i="37"/>
  <c r="AE46" i="37"/>
  <c r="Y46" i="37"/>
  <c r="X46" i="37"/>
  <c r="Z46" i="37" s="1"/>
  <c r="R46" i="37"/>
  <c r="S46" i="37" s="1"/>
  <c r="Q46" i="37"/>
  <c r="K46" i="37"/>
  <c r="J46" i="37"/>
  <c r="G46" i="37"/>
  <c r="H46" i="37" s="1"/>
  <c r="F46" i="37"/>
  <c r="C46" i="37"/>
  <c r="AM45" i="37"/>
  <c r="AF45" i="37"/>
  <c r="Y45" i="37"/>
  <c r="R45" i="37"/>
  <c r="K45" i="37"/>
  <c r="G45" i="37"/>
  <c r="C45" i="37"/>
  <c r="C44" i="37"/>
  <c r="AM43" i="37"/>
  <c r="C43" i="37"/>
  <c r="AM41" i="37"/>
  <c r="AF41" i="37"/>
  <c r="Y41" i="37"/>
  <c r="R41" i="37"/>
  <c r="K41" i="37"/>
  <c r="G41" i="37"/>
  <c r="C41" i="37"/>
  <c r="AM40" i="37"/>
  <c r="AF40" i="37"/>
  <c r="Y40" i="37"/>
  <c r="R40" i="37"/>
  <c r="K40" i="37"/>
  <c r="G40" i="37"/>
  <c r="C40" i="37"/>
  <c r="AM38" i="37"/>
  <c r="AF38" i="37"/>
  <c r="Y38" i="37"/>
  <c r="R38" i="37"/>
  <c r="K38" i="37"/>
  <c r="G38" i="37"/>
  <c r="C38" i="37"/>
  <c r="AM37" i="37"/>
  <c r="Y37" i="37"/>
  <c r="K37" i="37"/>
  <c r="G37" i="37"/>
  <c r="C37" i="37"/>
  <c r="AM36" i="37"/>
  <c r="AF36" i="37"/>
  <c r="Y36" i="37"/>
  <c r="R36" i="37"/>
  <c r="K36" i="37"/>
  <c r="G36" i="37"/>
  <c r="C36" i="37"/>
  <c r="AM35" i="37"/>
  <c r="AF35" i="37"/>
  <c r="Y35" i="37"/>
  <c r="R35" i="37"/>
  <c r="K35" i="37"/>
  <c r="G35" i="37"/>
  <c r="C35" i="37"/>
  <c r="AM34" i="37"/>
  <c r="AF34" i="37"/>
  <c r="Y34" i="37"/>
  <c r="R34" i="37"/>
  <c r="K34" i="37"/>
  <c r="G34" i="37"/>
  <c r="C34" i="37"/>
  <c r="AM33" i="37"/>
  <c r="AF33" i="37"/>
  <c r="Y33" i="37"/>
  <c r="R33" i="37"/>
  <c r="K33" i="37"/>
  <c r="G33" i="37"/>
  <c r="C33" i="37"/>
  <c r="AM32" i="37"/>
  <c r="AF32" i="37"/>
  <c r="Y32" i="37"/>
  <c r="R32" i="37"/>
  <c r="K32" i="37"/>
  <c r="G32" i="37"/>
  <c r="C32" i="37"/>
  <c r="AM31" i="37"/>
  <c r="AF31" i="37"/>
  <c r="Y31" i="37"/>
  <c r="R31" i="37"/>
  <c r="K31" i="37"/>
  <c r="G31" i="37"/>
  <c r="C31" i="37"/>
  <c r="AM30" i="37"/>
  <c r="AF30" i="37"/>
  <c r="Y30" i="37"/>
  <c r="R30" i="37"/>
  <c r="K30" i="37"/>
  <c r="G30" i="37"/>
  <c r="C30" i="37"/>
  <c r="AM28" i="37"/>
  <c r="AF28" i="37"/>
  <c r="Y28" i="37"/>
  <c r="R28" i="37"/>
  <c r="K28" i="37"/>
  <c r="G28" i="37"/>
  <c r="C28" i="37"/>
  <c r="AM27" i="37"/>
  <c r="AF27" i="37"/>
  <c r="Y27" i="37"/>
  <c r="R27" i="37"/>
  <c r="K27" i="37"/>
  <c r="G27" i="37"/>
  <c r="C27" i="37"/>
  <c r="AM26" i="37"/>
  <c r="AF26" i="37"/>
  <c r="Y26" i="37"/>
  <c r="R26" i="37"/>
  <c r="K26" i="37"/>
  <c r="G26" i="37"/>
  <c r="C26" i="37"/>
  <c r="AM25" i="37"/>
  <c r="AF25" i="37"/>
  <c r="Y25" i="37"/>
  <c r="R25" i="37"/>
  <c r="K25" i="37"/>
  <c r="G25" i="37"/>
  <c r="C25" i="37"/>
  <c r="AM24" i="37"/>
  <c r="AF24" i="37"/>
  <c r="Y24" i="37"/>
  <c r="R24" i="37"/>
  <c r="K24" i="37"/>
  <c r="G24" i="37"/>
  <c r="C24" i="37"/>
  <c r="AM23" i="37"/>
  <c r="AF23" i="37"/>
  <c r="Y23" i="37"/>
  <c r="R23" i="37"/>
  <c r="K23" i="37"/>
  <c r="G23" i="37"/>
  <c r="C23" i="37"/>
  <c r="AM22" i="37"/>
  <c r="AF22" i="37"/>
  <c r="Y22" i="37"/>
  <c r="R22" i="37"/>
  <c r="K22" i="37"/>
  <c r="G22" i="37"/>
  <c r="C22" i="37"/>
  <c r="AM21" i="37"/>
  <c r="AF21" i="37"/>
  <c r="Y21" i="37"/>
  <c r="R21" i="37"/>
  <c r="S21" i="37" s="1"/>
  <c r="Q21" i="37"/>
  <c r="O21" i="37"/>
  <c r="K21" i="37"/>
  <c r="J21" i="37"/>
  <c r="L21" i="37" s="1"/>
  <c r="G21" i="37"/>
  <c r="H21" i="37" s="1"/>
  <c r="F21" i="37"/>
  <c r="C21" i="37"/>
  <c r="AM20" i="37"/>
  <c r="AF20" i="37"/>
  <c r="Y20" i="37"/>
  <c r="R20" i="37"/>
  <c r="K20" i="37"/>
  <c r="G20" i="37"/>
  <c r="C20" i="37"/>
  <c r="AM19" i="37"/>
  <c r="AF19" i="37"/>
  <c r="Y19" i="37"/>
  <c r="R19" i="37"/>
  <c r="K19" i="37"/>
  <c r="G19" i="37"/>
  <c r="C19" i="37"/>
  <c r="AM18" i="37"/>
  <c r="AF18" i="37"/>
  <c r="Y18" i="37"/>
  <c r="R18" i="37"/>
  <c r="K18" i="37"/>
  <c r="G18" i="37"/>
  <c r="B18" i="37"/>
  <c r="C18" i="37" s="1"/>
  <c r="AM17" i="37"/>
  <c r="AF17" i="37"/>
  <c r="Y17" i="37"/>
  <c r="R17" i="37"/>
  <c r="K17" i="37"/>
  <c r="G17" i="37"/>
  <c r="B17" i="37"/>
  <c r="C17" i="37" s="1"/>
  <c r="AM16" i="37"/>
  <c r="AF16" i="37"/>
  <c r="Y16" i="37"/>
  <c r="R16" i="37"/>
  <c r="K16" i="37"/>
  <c r="G16" i="37"/>
  <c r="C16" i="37"/>
  <c r="AM15" i="37"/>
  <c r="AF15" i="37"/>
  <c r="Y15" i="37"/>
  <c r="R15" i="37"/>
  <c r="K15" i="37"/>
  <c r="G15" i="37"/>
  <c r="C15" i="37"/>
  <c r="AP12" i="37"/>
  <c r="AI12" i="37"/>
  <c r="AB12" i="37"/>
  <c r="U12" i="37"/>
  <c r="N12" i="37"/>
  <c r="AN11" i="37"/>
  <c r="AQ11" i="37" s="1"/>
  <c r="AJ11" i="37"/>
  <c r="AG11" i="37"/>
  <c r="AC11" i="37"/>
  <c r="Z11" i="37"/>
  <c r="S11" i="37"/>
  <c r="V11" i="37" s="1"/>
  <c r="L11" i="37"/>
  <c r="O11" i="37" s="1"/>
  <c r="H11" i="37"/>
  <c r="S2" i="37"/>
  <c r="AL65" i="36"/>
  <c r="AE65" i="36"/>
  <c r="AF37" i="36" s="1"/>
  <c r="X65" i="36"/>
  <c r="Y37" i="36" s="1"/>
  <c r="Z37" i="36" s="1"/>
  <c r="Q65" i="36"/>
  <c r="J65" i="36"/>
  <c r="F65" i="36"/>
  <c r="C50" i="36"/>
  <c r="C49" i="36"/>
  <c r="C48" i="36"/>
  <c r="C47" i="36"/>
  <c r="G46" i="36"/>
  <c r="C46" i="36"/>
  <c r="AM45" i="36"/>
  <c r="AF45" i="36"/>
  <c r="Y45" i="36"/>
  <c r="R45" i="36"/>
  <c r="K45" i="36"/>
  <c r="G45" i="36"/>
  <c r="C45" i="36"/>
  <c r="C44" i="36"/>
  <c r="Y43" i="36"/>
  <c r="G43" i="36"/>
  <c r="G44" i="36" s="1"/>
  <c r="C43" i="36"/>
  <c r="AM41" i="36"/>
  <c r="AF41" i="36"/>
  <c r="Y41" i="36"/>
  <c r="R41" i="36"/>
  <c r="K41" i="36"/>
  <c r="G41" i="36"/>
  <c r="C41" i="36"/>
  <c r="AM40" i="36"/>
  <c r="AF40" i="36"/>
  <c r="Y40" i="36"/>
  <c r="R40" i="36"/>
  <c r="K40" i="36"/>
  <c r="G40" i="36"/>
  <c r="C40" i="36"/>
  <c r="AM38" i="36"/>
  <c r="AF38" i="36"/>
  <c r="Y38" i="36"/>
  <c r="R38" i="36"/>
  <c r="K38" i="36"/>
  <c r="G38" i="36"/>
  <c r="C38" i="36"/>
  <c r="AM37" i="36"/>
  <c r="AM43" i="36" s="1"/>
  <c r="S37" i="36"/>
  <c r="R37" i="36"/>
  <c r="R43" i="36" s="1"/>
  <c r="O37" i="36"/>
  <c r="K37" i="36"/>
  <c r="G37" i="36"/>
  <c r="H37" i="36" s="1"/>
  <c r="C37" i="36"/>
  <c r="AM36" i="36"/>
  <c r="AF36" i="36"/>
  <c r="Y36" i="36"/>
  <c r="R36" i="36"/>
  <c r="K36" i="36"/>
  <c r="G36" i="36"/>
  <c r="C36" i="36"/>
  <c r="AM35" i="36"/>
  <c r="AF35" i="36"/>
  <c r="Y35" i="36"/>
  <c r="R35" i="36"/>
  <c r="K35" i="36"/>
  <c r="G35" i="36"/>
  <c r="C35" i="36"/>
  <c r="AM34" i="36"/>
  <c r="AF34" i="36"/>
  <c r="Y34" i="36"/>
  <c r="R34" i="36"/>
  <c r="K34" i="36"/>
  <c r="G34" i="36"/>
  <c r="C34" i="36"/>
  <c r="AM33" i="36"/>
  <c r="AF33" i="36"/>
  <c r="Y33" i="36"/>
  <c r="R33" i="36"/>
  <c r="K33" i="36"/>
  <c r="G33" i="36"/>
  <c r="C33" i="36"/>
  <c r="AM32" i="36"/>
  <c r="AF32" i="36"/>
  <c r="Y32" i="36"/>
  <c r="R32" i="36"/>
  <c r="K32" i="36"/>
  <c r="G32" i="36"/>
  <c r="C32" i="36"/>
  <c r="AM31" i="36"/>
  <c r="AF31" i="36"/>
  <c r="Y31" i="36"/>
  <c r="R31" i="36"/>
  <c r="K31" i="36"/>
  <c r="G31" i="36"/>
  <c r="C31" i="36"/>
  <c r="AM30" i="36"/>
  <c r="AF30" i="36"/>
  <c r="Y30" i="36"/>
  <c r="R30" i="36"/>
  <c r="K30" i="36"/>
  <c r="G30" i="36"/>
  <c r="C30" i="36"/>
  <c r="AM28" i="36"/>
  <c r="AF28" i="36"/>
  <c r="Y28" i="36"/>
  <c r="R28" i="36"/>
  <c r="K28" i="36"/>
  <c r="G28" i="36"/>
  <c r="C28" i="36"/>
  <c r="AM27" i="36"/>
  <c r="AF27" i="36"/>
  <c r="Y27" i="36"/>
  <c r="R27" i="36"/>
  <c r="K27" i="36"/>
  <c r="G27" i="36"/>
  <c r="C27" i="36"/>
  <c r="AM26" i="36"/>
  <c r="AF26" i="36"/>
  <c r="Y26" i="36"/>
  <c r="R26" i="36"/>
  <c r="K26" i="36"/>
  <c r="G26" i="36"/>
  <c r="C26" i="36"/>
  <c r="AM25" i="36"/>
  <c r="AF25" i="36"/>
  <c r="Y25" i="36"/>
  <c r="R25" i="36"/>
  <c r="K25" i="36"/>
  <c r="G25" i="36"/>
  <c r="C25" i="36"/>
  <c r="AM24" i="36"/>
  <c r="AF24" i="36"/>
  <c r="Y24" i="36"/>
  <c r="R24" i="36"/>
  <c r="K24" i="36"/>
  <c r="G24" i="36"/>
  <c r="C24" i="36"/>
  <c r="AM23" i="36"/>
  <c r="AF23" i="36"/>
  <c r="Y23" i="36"/>
  <c r="R23" i="36"/>
  <c r="K23" i="36"/>
  <c r="G23" i="36"/>
  <c r="C23" i="36"/>
  <c r="AM22" i="36"/>
  <c r="AF22" i="36"/>
  <c r="Y22" i="36"/>
  <c r="R22" i="36"/>
  <c r="K22" i="36"/>
  <c r="G22" i="36"/>
  <c r="C22" i="36"/>
  <c r="AM21" i="36"/>
  <c r="AF21" i="36"/>
  <c r="Y21" i="36"/>
  <c r="R21" i="36"/>
  <c r="Q21" i="36"/>
  <c r="S21" i="36" s="1"/>
  <c r="U21" i="36" s="1"/>
  <c r="K21" i="36"/>
  <c r="L21" i="36" s="1"/>
  <c r="J21" i="36"/>
  <c r="H21" i="36"/>
  <c r="G21" i="36"/>
  <c r="F21" i="36"/>
  <c r="C21" i="36"/>
  <c r="AM20" i="36"/>
  <c r="AF20" i="36"/>
  <c r="Y20" i="36"/>
  <c r="R20" i="36"/>
  <c r="K20" i="36"/>
  <c r="G20" i="36"/>
  <c r="C20" i="36"/>
  <c r="AM19" i="36"/>
  <c r="AF19" i="36"/>
  <c r="Y19" i="36"/>
  <c r="R19" i="36"/>
  <c r="K19" i="36"/>
  <c r="G19" i="36"/>
  <c r="C19" i="36"/>
  <c r="AM18" i="36"/>
  <c r="AF18" i="36"/>
  <c r="Y18" i="36"/>
  <c r="R18" i="36"/>
  <c r="K18" i="36"/>
  <c r="G18" i="36"/>
  <c r="C18" i="36"/>
  <c r="B18" i="36"/>
  <c r="AM17" i="36"/>
  <c r="AF17" i="36"/>
  <c r="Y17" i="36"/>
  <c r="R17" i="36"/>
  <c r="K17" i="36"/>
  <c r="G17" i="36"/>
  <c r="B17" i="36"/>
  <c r="C17" i="36" s="1"/>
  <c r="AM16" i="36"/>
  <c r="AF16" i="36"/>
  <c r="Y16" i="36"/>
  <c r="R16" i="36"/>
  <c r="K16" i="36"/>
  <c r="G16" i="36"/>
  <c r="C16" i="36"/>
  <c r="AM15" i="36"/>
  <c r="AF15" i="36"/>
  <c r="Y15" i="36"/>
  <c r="R15" i="36"/>
  <c r="K15" i="36"/>
  <c r="G15" i="36"/>
  <c r="C15" i="36"/>
  <c r="AP12" i="36"/>
  <c r="AI12" i="36"/>
  <c r="AB12" i="36"/>
  <c r="U12" i="36"/>
  <c r="N12" i="36"/>
  <c r="AN11" i="36"/>
  <c r="AQ11" i="36" s="1"/>
  <c r="AG11" i="36"/>
  <c r="AJ11" i="36" s="1"/>
  <c r="Z11" i="36"/>
  <c r="AC11" i="36" s="1"/>
  <c r="S11" i="36"/>
  <c r="V11" i="36" s="1"/>
  <c r="O11" i="36"/>
  <c r="L11" i="36"/>
  <c r="H11" i="36"/>
  <c r="AL65" i="35"/>
  <c r="AE65" i="35"/>
  <c r="X65" i="35"/>
  <c r="Y37" i="35" s="1"/>
  <c r="Y43" i="35" s="1"/>
  <c r="Q65" i="35"/>
  <c r="J65" i="35"/>
  <c r="F65" i="35"/>
  <c r="G37" i="35" s="1"/>
  <c r="C50" i="35"/>
  <c r="C49" i="35"/>
  <c r="C48" i="35"/>
  <c r="C47" i="35"/>
  <c r="C46" i="35"/>
  <c r="AM45" i="35"/>
  <c r="AF45" i="35"/>
  <c r="Y45" i="35"/>
  <c r="R45" i="35"/>
  <c r="K45" i="35"/>
  <c r="G45" i="35"/>
  <c r="C45" i="35"/>
  <c r="C44" i="35"/>
  <c r="AM43" i="35"/>
  <c r="K43" i="35"/>
  <c r="G43" i="35"/>
  <c r="C43" i="35"/>
  <c r="AM41" i="35"/>
  <c r="AF41" i="35"/>
  <c r="Y41" i="35"/>
  <c r="R41" i="35"/>
  <c r="K41" i="35"/>
  <c r="G41" i="35"/>
  <c r="C41" i="35"/>
  <c r="AM40" i="35"/>
  <c r="AF40" i="35"/>
  <c r="Y40" i="35"/>
  <c r="R40" i="35"/>
  <c r="K40" i="35"/>
  <c r="G40" i="35"/>
  <c r="C40" i="35"/>
  <c r="AM38" i="35"/>
  <c r="AF38" i="35"/>
  <c r="Y38" i="35"/>
  <c r="R38" i="35"/>
  <c r="K38" i="35"/>
  <c r="G38" i="35"/>
  <c r="C38" i="35"/>
  <c r="AN37" i="35"/>
  <c r="AM37" i="35"/>
  <c r="AF37" i="35"/>
  <c r="V37" i="35"/>
  <c r="R37" i="35"/>
  <c r="K37" i="35"/>
  <c r="L37" i="35" s="1"/>
  <c r="H37" i="35"/>
  <c r="C37" i="35"/>
  <c r="AM36" i="35"/>
  <c r="AF36" i="35"/>
  <c r="Y36" i="35"/>
  <c r="R36" i="35"/>
  <c r="K36" i="35"/>
  <c r="G36" i="35"/>
  <c r="C36" i="35"/>
  <c r="AM35" i="35"/>
  <c r="AF35" i="35"/>
  <c r="Y35" i="35"/>
  <c r="R35" i="35"/>
  <c r="K35" i="35"/>
  <c r="G35" i="35"/>
  <c r="C35" i="35"/>
  <c r="AM34" i="35"/>
  <c r="AF34" i="35"/>
  <c r="Y34" i="35"/>
  <c r="R34" i="35"/>
  <c r="K34" i="35"/>
  <c r="G34" i="35"/>
  <c r="C34" i="35"/>
  <c r="AM33" i="35"/>
  <c r="AF33" i="35"/>
  <c r="Y33" i="35"/>
  <c r="R33" i="35"/>
  <c r="K33" i="35"/>
  <c r="G33" i="35"/>
  <c r="C33" i="35"/>
  <c r="AM32" i="35"/>
  <c r="AF32" i="35"/>
  <c r="Y32" i="35"/>
  <c r="R32" i="35"/>
  <c r="K32" i="35"/>
  <c r="G32" i="35"/>
  <c r="C32" i="35"/>
  <c r="AM31" i="35"/>
  <c r="AF31" i="35"/>
  <c r="Y31" i="35"/>
  <c r="R31" i="35"/>
  <c r="K31" i="35"/>
  <c r="G31" i="35"/>
  <c r="C31" i="35"/>
  <c r="AM30" i="35"/>
  <c r="AF30" i="35"/>
  <c r="Y30" i="35"/>
  <c r="R30" i="35"/>
  <c r="K30" i="35"/>
  <c r="G30" i="35"/>
  <c r="C30" i="35"/>
  <c r="AM28" i="35"/>
  <c r="AF28" i="35"/>
  <c r="Y28" i="35"/>
  <c r="R28" i="35"/>
  <c r="K28" i="35"/>
  <c r="G28" i="35"/>
  <c r="C28" i="35"/>
  <c r="AM27" i="35"/>
  <c r="AF27" i="35"/>
  <c r="Y27" i="35"/>
  <c r="R27" i="35"/>
  <c r="K27" i="35"/>
  <c r="G27" i="35"/>
  <c r="C27" i="35"/>
  <c r="AM26" i="35"/>
  <c r="AF26" i="35"/>
  <c r="Y26" i="35"/>
  <c r="R26" i="35"/>
  <c r="K26" i="35"/>
  <c r="G26" i="35"/>
  <c r="C26" i="35"/>
  <c r="AM25" i="35"/>
  <c r="AF25" i="35"/>
  <c r="Y25" i="35"/>
  <c r="R25" i="35"/>
  <c r="K25" i="35"/>
  <c r="G25" i="35"/>
  <c r="C25" i="35"/>
  <c r="AM24" i="35"/>
  <c r="AF24" i="35"/>
  <c r="Y24" i="35"/>
  <c r="R24" i="35"/>
  <c r="K24" i="35"/>
  <c r="G24" i="35"/>
  <c r="C24" i="35"/>
  <c r="AM23" i="35"/>
  <c r="AF23" i="35"/>
  <c r="Y23" i="35"/>
  <c r="R23" i="35"/>
  <c r="K23" i="35"/>
  <c r="G23" i="35"/>
  <c r="C23" i="35"/>
  <c r="AM22" i="35"/>
  <c r="AF22" i="35"/>
  <c r="Y22" i="35"/>
  <c r="R22" i="35"/>
  <c r="K22" i="35"/>
  <c r="G22" i="35"/>
  <c r="C22" i="35"/>
  <c r="AM21" i="35"/>
  <c r="AF21" i="35"/>
  <c r="Y21" i="35"/>
  <c r="R21" i="35"/>
  <c r="S21" i="35" s="1"/>
  <c r="Q21" i="35"/>
  <c r="N21" i="35"/>
  <c r="O21" i="35" s="1"/>
  <c r="K21" i="35"/>
  <c r="J21" i="35"/>
  <c r="L21" i="35" s="1"/>
  <c r="G21" i="35"/>
  <c r="H21" i="35" s="1"/>
  <c r="F21" i="35"/>
  <c r="C21" i="35"/>
  <c r="AM20" i="35"/>
  <c r="AF20" i="35"/>
  <c r="Y20" i="35"/>
  <c r="R20" i="35"/>
  <c r="K20" i="35"/>
  <c r="G20" i="35"/>
  <c r="C20" i="35"/>
  <c r="AM19" i="35"/>
  <c r="AF19" i="35"/>
  <c r="Y19" i="35"/>
  <c r="R19" i="35"/>
  <c r="K19" i="35"/>
  <c r="G19" i="35"/>
  <c r="C19" i="35"/>
  <c r="AM18" i="35"/>
  <c r="AF18" i="35"/>
  <c r="Y18" i="35"/>
  <c r="R18" i="35"/>
  <c r="K18" i="35"/>
  <c r="G18" i="35"/>
  <c r="C18" i="35"/>
  <c r="B18" i="35"/>
  <c r="AM17" i="35"/>
  <c r="AF17" i="35"/>
  <c r="Y17" i="35"/>
  <c r="R17" i="35"/>
  <c r="K17" i="35"/>
  <c r="G17" i="35"/>
  <c r="C17" i="35"/>
  <c r="B17" i="35"/>
  <c r="AM16" i="35"/>
  <c r="AF16" i="35"/>
  <c r="Y16" i="35"/>
  <c r="R16" i="35"/>
  <c r="K16" i="35"/>
  <c r="G16" i="35"/>
  <c r="C16" i="35"/>
  <c r="AM15" i="35"/>
  <c r="AF15" i="35"/>
  <c r="Y15" i="35"/>
  <c r="R15" i="35"/>
  <c r="K15" i="35"/>
  <c r="G15" i="35"/>
  <c r="C15" i="35"/>
  <c r="AP12" i="35"/>
  <c r="AI12" i="35"/>
  <c r="AB12" i="35"/>
  <c r="U12" i="35"/>
  <c r="N12" i="35"/>
  <c r="AN11" i="35"/>
  <c r="AQ11" i="35" s="1"/>
  <c r="AJ11" i="35"/>
  <c r="AG11" i="35"/>
  <c r="Z11" i="35"/>
  <c r="AC11" i="35" s="1"/>
  <c r="V11" i="35"/>
  <c r="S11" i="35"/>
  <c r="O11" i="35"/>
  <c r="L11" i="35"/>
  <c r="H11" i="35"/>
  <c r="AL65" i="34"/>
  <c r="AM37" i="34" s="1"/>
  <c r="AE65" i="34"/>
  <c r="AF37" i="34" s="1"/>
  <c r="X65" i="34"/>
  <c r="Y37" i="34" s="1"/>
  <c r="Q65" i="34"/>
  <c r="R37" i="34" s="1"/>
  <c r="J65" i="34"/>
  <c r="K37" i="34" s="1"/>
  <c r="F65" i="34"/>
  <c r="C50" i="34"/>
  <c r="C49" i="34"/>
  <c r="C48" i="34"/>
  <c r="C47" i="34"/>
  <c r="C46" i="34"/>
  <c r="AM45" i="34"/>
  <c r="AF45" i="34"/>
  <c r="Y45" i="34"/>
  <c r="R45" i="34"/>
  <c r="K45" i="34"/>
  <c r="G45" i="34"/>
  <c r="C45" i="34"/>
  <c r="C44" i="34"/>
  <c r="G43" i="34"/>
  <c r="C43" i="34"/>
  <c r="AM41" i="34"/>
  <c r="AF41" i="34"/>
  <c r="Y41" i="34"/>
  <c r="R41" i="34"/>
  <c r="K41" i="34"/>
  <c r="G41" i="34"/>
  <c r="C41" i="34"/>
  <c r="AM40" i="34"/>
  <c r="AF40" i="34"/>
  <c r="Y40" i="34"/>
  <c r="R40" i="34"/>
  <c r="K40" i="34"/>
  <c r="G40" i="34"/>
  <c r="C40" i="34"/>
  <c r="AM38" i="34"/>
  <c r="AF38" i="34"/>
  <c r="Y38" i="34"/>
  <c r="R38" i="34"/>
  <c r="K38" i="34"/>
  <c r="G38" i="34"/>
  <c r="C38" i="34"/>
  <c r="G37" i="34"/>
  <c r="H37" i="34" s="1"/>
  <c r="O37" i="34" s="1"/>
  <c r="C37" i="34"/>
  <c r="AM36" i="34"/>
  <c r="AF36" i="34"/>
  <c r="Y36" i="34"/>
  <c r="R36" i="34"/>
  <c r="K36" i="34"/>
  <c r="G36" i="34"/>
  <c r="C36" i="34"/>
  <c r="AM35" i="34"/>
  <c r="AF35" i="34"/>
  <c r="Y35" i="34"/>
  <c r="R35" i="34"/>
  <c r="K35" i="34"/>
  <c r="G35" i="34"/>
  <c r="C35" i="34"/>
  <c r="AM34" i="34"/>
  <c r="AF34" i="34"/>
  <c r="Y34" i="34"/>
  <c r="R34" i="34"/>
  <c r="K34" i="34"/>
  <c r="G34" i="34"/>
  <c r="C34" i="34"/>
  <c r="AM33" i="34"/>
  <c r="AF33" i="34"/>
  <c r="Y33" i="34"/>
  <c r="R33" i="34"/>
  <c r="K33" i="34"/>
  <c r="G33" i="34"/>
  <c r="C33" i="34"/>
  <c r="AM32" i="34"/>
  <c r="AF32" i="34"/>
  <c r="Y32" i="34"/>
  <c r="R32" i="34"/>
  <c r="K32" i="34"/>
  <c r="G32" i="34"/>
  <c r="C32" i="34"/>
  <c r="AM31" i="34"/>
  <c r="AF31" i="34"/>
  <c r="Y31" i="34"/>
  <c r="R31" i="34"/>
  <c r="K31" i="34"/>
  <c r="G31" i="34"/>
  <c r="C31" i="34"/>
  <c r="AM30" i="34"/>
  <c r="AF30" i="34"/>
  <c r="Y30" i="34"/>
  <c r="R30" i="34"/>
  <c r="K30" i="34"/>
  <c r="G30" i="34"/>
  <c r="C30" i="34"/>
  <c r="AM28" i="34"/>
  <c r="AF28" i="34"/>
  <c r="Y28" i="34"/>
  <c r="R28" i="34"/>
  <c r="K28" i="34"/>
  <c r="G28" i="34"/>
  <c r="C28" i="34"/>
  <c r="AM27" i="34"/>
  <c r="AF27" i="34"/>
  <c r="Y27" i="34"/>
  <c r="R27" i="34"/>
  <c r="K27" i="34"/>
  <c r="G27" i="34"/>
  <c r="C27" i="34"/>
  <c r="AM26" i="34"/>
  <c r="AF26" i="34"/>
  <c r="Y26" i="34"/>
  <c r="R26" i="34"/>
  <c r="K26" i="34"/>
  <c r="G26" i="34"/>
  <c r="C26" i="34"/>
  <c r="AM25" i="34"/>
  <c r="AF25" i="34"/>
  <c r="Y25" i="34"/>
  <c r="R25" i="34"/>
  <c r="K25" i="34"/>
  <c r="G25" i="34"/>
  <c r="C25" i="34"/>
  <c r="AM24" i="34"/>
  <c r="AF24" i="34"/>
  <c r="Y24" i="34"/>
  <c r="R24" i="34"/>
  <c r="K24" i="34"/>
  <c r="G24" i="34"/>
  <c r="C24" i="34"/>
  <c r="AM23" i="34"/>
  <c r="AF23" i="34"/>
  <c r="Y23" i="34"/>
  <c r="R23" i="34"/>
  <c r="K23" i="34"/>
  <c r="G23" i="34"/>
  <c r="C23" i="34"/>
  <c r="AM22" i="34"/>
  <c r="AF22" i="34"/>
  <c r="Y22" i="34"/>
  <c r="R22" i="34"/>
  <c r="K22" i="34"/>
  <c r="G22" i="34"/>
  <c r="C22" i="34"/>
  <c r="AM21" i="34"/>
  <c r="AF21" i="34"/>
  <c r="AC21" i="34"/>
  <c r="Y21" i="34"/>
  <c r="R21" i="34"/>
  <c r="S21" i="34" s="1"/>
  <c r="Q21" i="34"/>
  <c r="K21" i="34"/>
  <c r="J21" i="34"/>
  <c r="L21" i="34" s="1"/>
  <c r="G21" i="34"/>
  <c r="H21" i="34" s="1"/>
  <c r="F21" i="34"/>
  <c r="C21" i="34"/>
  <c r="AM20" i="34"/>
  <c r="AF20" i="34"/>
  <c r="Y20" i="34"/>
  <c r="R20" i="34"/>
  <c r="K20" i="34"/>
  <c r="G20" i="34"/>
  <c r="C20" i="34"/>
  <c r="AM19" i="34"/>
  <c r="AF19" i="34"/>
  <c r="Y19" i="34"/>
  <c r="R19" i="34"/>
  <c r="K19" i="34"/>
  <c r="G19" i="34"/>
  <c r="C19" i="34"/>
  <c r="AM18" i="34"/>
  <c r="AF18" i="34"/>
  <c r="Y18" i="34"/>
  <c r="R18" i="34"/>
  <c r="K18" i="34"/>
  <c r="G18" i="34"/>
  <c r="B18" i="34"/>
  <c r="C18" i="34" s="1"/>
  <c r="AM17" i="34"/>
  <c r="AF17" i="34"/>
  <c r="Y17" i="34"/>
  <c r="R17" i="34"/>
  <c r="K17" i="34"/>
  <c r="G17" i="34"/>
  <c r="B17" i="34"/>
  <c r="C17" i="34" s="1"/>
  <c r="AM16" i="34"/>
  <c r="AF16" i="34"/>
  <c r="Y16" i="34"/>
  <c r="R16" i="34"/>
  <c r="K16" i="34"/>
  <c r="G16" i="34"/>
  <c r="C16" i="34"/>
  <c r="AM15" i="34"/>
  <c r="AF15" i="34"/>
  <c r="Y15" i="34"/>
  <c r="R15" i="34"/>
  <c r="K15" i="34"/>
  <c r="G15" i="34"/>
  <c r="C15" i="34"/>
  <c r="AP12" i="34"/>
  <c r="AI12" i="34"/>
  <c r="AB12" i="34"/>
  <c r="U12" i="34"/>
  <c r="N12" i="34"/>
  <c r="AQ11" i="34"/>
  <c r="AN11" i="34"/>
  <c r="AJ11" i="34"/>
  <c r="AG11" i="34"/>
  <c r="AC11" i="34"/>
  <c r="Z11" i="34"/>
  <c r="V11" i="34"/>
  <c r="S11" i="34"/>
  <c r="L11" i="34"/>
  <c r="O11" i="34" s="1"/>
  <c r="H11" i="34"/>
  <c r="AL65" i="33"/>
  <c r="AE65" i="33"/>
  <c r="X65" i="33"/>
  <c r="Q65" i="33"/>
  <c r="R37" i="33" s="1"/>
  <c r="J65" i="33"/>
  <c r="K37" i="33" s="1"/>
  <c r="L37" i="33" s="1"/>
  <c r="V37" i="33" s="1"/>
  <c r="F65" i="33"/>
  <c r="C50" i="33"/>
  <c r="C49" i="33"/>
  <c r="C48" i="33"/>
  <c r="C47" i="33"/>
  <c r="AM46" i="33"/>
  <c r="AF46" i="33"/>
  <c r="Y46" i="33"/>
  <c r="G46" i="33"/>
  <c r="C46" i="33"/>
  <c r="AM45" i="33"/>
  <c r="AF45" i="33"/>
  <c r="Y45" i="33"/>
  <c r="R45" i="33"/>
  <c r="K45" i="33"/>
  <c r="G45" i="33"/>
  <c r="AM44" i="33"/>
  <c r="G44" i="33"/>
  <c r="C44" i="33"/>
  <c r="AM43" i="33"/>
  <c r="R43" i="33"/>
  <c r="G43" i="33"/>
  <c r="C43" i="33"/>
  <c r="AM41" i="33"/>
  <c r="AF41" i="33"/>
  <c r="Y41" i="33"/>
  <c r="R41" i="33"/>
  <c r="K41" i="33"/>
  <c r="G41" i="33"/>
  <c r="C41" i="33"/>
  <c r="AM40" i="33"/>
  <c r="AF40" i="33"/>
  <c r="Y40" i="33"/>
  <c r="R40" i="33"/>
  <c r="K40" i="33"/>
  <c r="G40" i="33"/>
  <c r="C40" i="33"/>
  <c r="AM38" i="33"/>
  <c r="AF38" i="33"/>
  <c r="Y38" i="33"/>
  <c r="R38" i="33"/>
  <c r="K38" i="33"/>
  <c r="G38" i="33"/>
  <c r="C38" i="33"/>
  <c r="AN37" i="33"/>
  <c r="AP37" i="33" s="1"/>
  <c r="AM37" i="33"/>
  <c r="AG37" i="33"/>
  <c r="AQ37" i="33" s="1"/>
  <c r="AF37" i="33"/>
  <c r="AF43" i="33" s="1"/>
  <c r="Y37" i="33"/>
  <c r="S37" i="33"/>
  <c r="H37" i="33"/>
  <c r="O37" i="33" s="1"/>
  <c r="G37" i="33"/>
  <c r="C37" i="33"/>
  <c r="AM36" i="33"/>
  <c r="AF36" i="33"/>
  <c r="Y36" i="33"/>
  <c r="R36" i="33"/>
  <c r="K36" i="33"/>
  <c r="G36" i="33"/>
  <c r="C36" i="33"/>
  <c r="AM35" i="33"/>
  <c r="AF35" i="33"/>
  <c r="Y35" i="33"/>
  <c r="R35" i="33"/>
  <c r="K35" i="33"/>
  <c r="G35" i="33"/>
  <c r="C35" i="33"/>
  <c r="AM34" i="33"/>
  <c r="AF34" i="33"/>
  <c r="Y34" i="33"/>
  <c r="R34" i="33"/>
  <c r="K34" i="33"/>
  <c r="G34" i="33"/>
  <c r="C34" i="33"/>
  <c r="AM33" i="33"/>
  <c r="AF33" i="33"/>
  <c r="Y33" i="33"/>
  <c r="R33" i="33"/>
  <c r="K33" i="33"/>
  <c r="G33" i="33"/>
  <c r="C33" i="33"/>
  <c r="AM32" i="33"/>
  <c r="AF32" i="33"/>
  <c r="Y32" i="33"/>
  <c r="R32" i="33"/>
  <c r="K32" i="33"/>
  <c r="G32" i="33"/>
  <c r="C32" i="33"/>
  <c r="AM31" i="33"/>
  <c r="AF31" i="33"/>
  <c r="Y31" i="33"/>
  <c r="R31" i="33"/>
  <c r="K31" i="33"/>
  <c r="G31" i="33"/>
  <c r="C31" i="33"/>
  <c r="AM30" i="33"/>
  <c r="AF30" i="33"/>
  <c r="Y30" i="33"/>
  <c r="R30" i="33"/>
  <c r="K30" i="33"/>
  <c r="G30" i="33"/>
  <c r="C30" i="33"/>
  <c r="AM28" i="33"/>
  <c r="AF28" i="33"/>
  <c r="Y28" i="33"/>
  <c r="R28" i="33"/>
  <c r="K28" i="33"/>
  <c r="G28" i="33"/>
  <c r="C28" i="33"/>
  <c r="AM27" i="33"/>
  <c r="AF27" i="33"/>
  <c r="Y27" i="33"/>
  <c r="R27" i="33"/>
  <c r="K27" i="33"/>
  <c r="G27" i="33"/>
  <c r="C27" i="33"/>
  <c r="AM26" i="33"/>
  <c r="AF26" i="33"/>
  <c r="Y26" i="33"/>
  <c r="R26" i="33"/>
  <c r="K26" i="33"/>
  <c r="G26" i="33"/>
  <c r="C26" i="33"/>
  <c r="AM25" i="33"/>
  <c r="AF25" i="33"/>
  <c r="Y25" i="33"/>
  <c r="R25" i="33"/>
  <c r="K25" i="33"/>
  <c r="G25" i="33"/>
  <c r="C25" i="33"/>
  <c r="AM24" i="33"/>
  <c r="AF24" i="33"/>
  <c r="Y24" i="33"/>
  <c r="R24" i="33"/>
  <c r="K24" i="33"/>
  <c r="G24" i="33"/>
  <c r="C24" i="33"/>
  <c r="AM23" i="33"/>
  <c r="AF23" i="33"/>
  <c r="Y23" i="33"/>
  <c r="R23" i="33"/>
  <c r="K23" i="33"/>
  <c r="G23" i="33"/>
  <c r="C23" i="33"/>
  <c r="AM22" i="33"/>
  <c r="AF22" i="33"/>
  <c r="Y22" i="33"/>
  <c r="R22" i="33"/>
  <c r="K22" i="33"/>
  <c r="G22" i="33"/>
  <c r="C22" i="33"/>
  <c r="AM21" i="33"/>
  <c r="AF21" i="33"/>
  <c r="Y21" i="33"/>
  <c r="S21" i="33"/>
  <c r="R21" i="33"/>
  <c r="Q21" i="33"/>
  <c r="K21" i="33"/>
  <c r="L21" i="33" s="1"/>
  <c r="J21" i="33"/>
  <c r="H21" i="33"/>
  <c r="G21" i="33"/>
  <c r="F21" i="33"/>
  <c r="C21" i="33"/>
  <c r="AM20" i="33"/>
  <c r="AF20" i="33"/>
  <c r="Y20" i="33"/>
  <c r="R20" i="33"/>
  <c r="K20" i="33"/>
  <c r="G20" i="33"/>
  <c r="C20" i="33"/>
  <c r="AM19" i="33"/>
  <c r="AF19" i="33"/>
  <c r="Y19" i="33"/>
  <c r="R19" i="33"/>
  <c r="K19" i="33"/>
  <c r="G19" i="33"/>
  <c r="C19" i="33"/>
  <c r="AM18" i="33"/>
  <c r="AF18" i="33"/>
  <c r="Y18" i="33"/>
  <c r="R18" i="33"/>
  <c r="K18" i="33"/>
  <c r="G18" i="33"/>
  <c r="B18" i="33"/>
  <c r="C18" i="33" s="1"/>
  <c r="AM17" i="33"/>
  <c r="AF17" i="33"/>
  <c r="Y17" i="33"/>
  <c r="R17" i="33"/>
  <c r="K17" i="33"/>
  <c r="G17" i="33"/>
  <c r="B17" i="33"/>
  <c r="C17" i="33" s="1"/>
  <c r="AM16" i="33"/>
  <c r="AF16" i="33"/>
  <c r="Y16" i="33"/>
  <c r="R16" i="33"/>
  <c r="K16" i="33"/>
  <c r="G16" i="33"/>
  <c r="C16" i="33"/>
  <c r="AM15" i="33"/>
  <c r="AF15" i="33"/>
  <c r="Y15" i="33"/>
  <c r="R15" i="33"/>
  <c r="K15" i="33"/>
  <c r="G15" i="33"/>
  <c r="C15" i="33"/>
  <c r="AP12" i="33"/>
  <c r="AI12" i="33"/>
  <c r="AB12" i="33"/>
  <c r="U12" i="33"/>
  <c r="N12" i="33"/>
  <c r="AQ11" i="33"/>
  <c r="AN11" i="33"/>
  <c r="AG11" i="33"/>
  <c r="AJ11" i="33" s="1"/>
  <c r="AC11" i="33"/>
  <c r="Z11" i="33"/>
  <c r="S11" i="33"/>
  <c r="V11" i="33" s="1"/>
  <c r="O11" i="33"/>
  <c r="L11" i="33"/>
  <c r="H11" i="33"/>
  <c r="AL65" i="32"/>
  <c r="AM37" i="32" s="1"/>
  <c r="AM44" i="32" s="1"/>
  <c r="AE65" i="32"/>
  <c r="AF37" i="32" s="1"/>
  <c r="AF46" i="32" s="1"/>
  <c r="X65" i="32"/>
  <c r="Q65" i="32"/>
  <c r="R37" i="32" s="1"/>
  <c r="J65" i="32"/>
  <c r="K37" i="32" s="1"/>
  <c r="K46" i="32" s="1"/>
  <c r="F65" i="32"/>
  <c r="C50" i="32"/>
  <c r="C49" i="32"/>
  <c r="C48" i="32"/>
  <c r="C47" i="32"/>
  <c r="AM46" i="32"/>
  <c r="Y46" i="32"/>
  <c r="R46" i="32"/>
  <c r="C46" i="32"/>
  <c r="AM45" i="32"/>
  <c r="AF45" i="32"/>
  <c r="Y45" i="32"/>
  <c r="R45" i="32"/>
  <c r="K45" i="32"/>
  <c r="G45" i="32"/>
  <c r="C45" i="32"/>
  <c r="AF44" i="32"/>
  <c r="R44" i="32"/>
  <c r="K44" i="32"/>
  <c r="C44" i="32"/>
  <c r="AM43" i="32"/>
  <c r="AF43" i="32"/>
  <c r="R43" i="32"/>
  <c r="K43" i="32"/>
  <c r="C43" i="32"/>
  <c r="AM41" i="32"/>
  <c r="AF41" i="32"/>
  <c r="Y41" i="32"/>
  <c r="R41" i="32"/>
  <c r="K41" i="32"/>
  <c r="G41" i="32"/>
  <c r="C41" i="32"/>
  <c r="AM40" i="32"/>
  <c r="AF40" i="32"/>
  <c r="Y40" i="32"/>
  <c r="R40" i="32"/>
  <c r="K40" i="32"/>
  <c r="G40" i="32"/>
  <c r="C40" i="32"/>
  <c r="AM38" i="32"/>
  <c r="AF38" i="32"/>
  <c r="Y38" i="32"/>
  <c r="R38" i="32"/>
  <c r="K38" i="32"/>
  <c r="G38" i="32"/>
  <c r="C38" i="32"/>
  <c r="AQ37" i="32"/>
  <c r="AP37" i="32"/>
  <c r="AN37" i="32"/>
  <c r="AG37" i="32"/>
  <c r="Z37" i="32"/>
  <c r="Y37" i="32"/>
  <c r="Y44" i="32" s="1"/>
  <c r="S37" i="32"/>
  <c r="L37" i="32"/>
  <c r="G37" i="32"/>
  <c r="C37" i="32"/>
  <c r="AM36" i="32"/>
  <c r="AF36" i="32"/>
  <c r="Y36" i="32"/>
  <c r="R36" i="32"/>
  <c r="K36" i="32"/>
  <c r="G36" i="32"/>
  <c r="C36" i="32"/>
  <c r="AM35" i="32"/>
  <c r="AF35" i="32"/>
  <c r="Y35" i="32"/>
  <c r="R35" i="32"/>
  <c r="K35" i="32"/>
  <c r="G35" i="32"/>
  <c r="C35" i="32"/>
  <c r="AM34" i="32"/>
  <c r="AF34" i="32"/>
  <c r="Y34" i="32"/>
  <c r="R34" i="32"/>
  <c r="K34" i="32"/>
  <c r="G34" i="32"/>
  <c r="C34" i="32"/>
  <c r="AM33" i="32"/>
  <c r="AF33" i="32"/>
  <c r="Y33" i="32"/>
  <c r="R33" i="32"/>
  <c r="K33" i="32"/>
  <c r="G33" i="32"/>
  <c r="C33" i="32"/>
  <c r="AM32" i="32"/>
  <c r="AF32" i="32"/>
  <c r="Y32" i="32"/>
  <c r="R32" i="32"/>
  <c r="K32" i="32"/>
  <c r="G32" i="32"/>
  <c r="C32" i="32"/>
  <c r="AM31" i="32"/>
  <c r="AF31" i="32"/>
  <c r="Y31" i="32"/>
  <c r="R31" i="32"/>
  <c r="K31" i="32"/>
  <c r="G31" i="32"/>
  <c r="C31" i="32"/>
  <c r="AM30" i="32"/>
  <c r="AF30" i="32"/>
  <c r="Y30" i="32"/>
  <c r="R30" i="32"/>
  <c r="K30" i="32"/>
  <c r="G30" i="32"/>
  <c r="C30" i="32"/>
  <c r="AM28" i="32"/>
  <c r="AF28" i="32"/>
  <c r="Y28" i="32"/>
  <c r="R28" i="32"/>
  <c r="K28" i="32"/>
  <c r="G28" i="32"/>
  <c r="C28" i="32"/>
  <c r="AM27" i="32"/>
  <c r="AF27" i="32"/>
  <c r="Y27" i="32"/>
  <c r="R27" i="32"/>
  <c r="K27" i="32"/>
  <c r="G27" i="32"/>
  <c r="C27" i="32"/>
  <c r="AM26" i="32"/>
  <c r="AF26" i="32"/>
  <c r="Y26" i="32"/>
  <c r="R26" i="32"/>
  <c r="K26" i="32"/>
  <c r="G26" i="32"/>
  <c r="C26" i="32"/>
  <c r="AM25" i="32"/>
  <c r="AF25" i="32"/>
  <c r="Y25" i="32"/>
  <c r="R25" i="32"/>
  <c r="K25" i="32"/>
  <c r="G25" i="32"/>
  <c r="C25" i="32"/>
  <c r="AM24" i="32"/>
  <c r="AF24" i="32"/>
  <c r="Y24" i="32"/>
  <c r="R24" i="32"/>
  <c r="K24" i="32"/>
  <c r="G24" i="32"/>
  <c r="C24" i="32"/>
  <c r="AM23" i="32"/>
  <c r="AF23" i="32"/>
  <c r="Y23" i="32"/>
  <c r="R23" i="32"/>
  <c r="K23" i="32"/>
  <c r="G23" i="32"/>
  <c r="C23" i="32"/>
  <c r="AM22" i="32"/>
  <c r="AF22" i="32"/>
  <c r="Y22" i="32"/>
  <c r="R22" i="32"/>
  <c r="K22" i="32"/>
  <c r="G22" i="32"/>
  <c r="C22" i="32"/>
  <c r="AM21" i="32"/>
  <c r="AF21" i="32"/>
  <c r="Y21" i="32"/>
  <c r="S21" i="32"/>
  <c r="AC21" i="32" s="1"/>
  <c r="R21" i="32"/>
  <c r="Q21" i="32"/>
  <c r="K21" i="32"/>
  <c r="J21" i="32"/>
  <c r="H21" i="32"/>
  <c r="G21" i="32"/>
  <c r="F21" i="32"/>
  <c r="C21" i="32"/>
  <c r="AM20" i="32"/>
  <c r="AF20" i="32"/>
  <c r="Y20" i="32"/>
  <c r="R20" i="32"/>
  <c r="K20" i="32"/>
  <c r="G20" i="32"/>
  <c r="C20" i="32"/>
  <c r="AM19" i="32"/>
  <c r="AF19" i="32"/>
  <c r="Y19" i="32"/>
  <c r="R19" i="32"/>
  <c r="K19" i="32"/>
  <c r="G19" i="32"/>
  <c r="C19" i="32"/>
  <c r="AM18" i="32"/>
  <c r="AF18" i="32"/>
  <c r="Y18" i="32"/>
  <c r="R18" i="32"/>
  <c r="K18" i="32"/>
  <c r="G18" i="32"/>
  <c r="B18" i="32"/>
  <c r="C18" i="32" s="1"/>
  <c r="AM17" i="32"/>
  <c r="AF17" i="32"/>
  <c r="Y17" i="32"/>
  <c r="R17" i="32"/>
  <c r="K17" i="32"/>
  <c r="G17" i="32"/>
  <c r="B17" i="32"/>
  <c r="C17" i="32" s="1"/>
  <c r="AM16" i="32"/>
  <c r="AF16" i="32"/>
  <c r="Y16" i="32"/>
  <c r="R16" i="32"/>
  <c r="K16" i="32"/>
  <c r="G16" i="32"/>
  <c r="C16" i="32"/>
  <c r="AM15" i="32"/>
  <c r="AF15" i="32"/>
  <c r="Y15" i="32"/>
  <c r="R15" i="32"/>
  <c r="K15" i="32"/>
  <c r="G15" i="32"/>
  <c r="C15" i="32"/>
  <c r="AP12" i="32"/>
  <c r="AI12" i="32"/>
  <c r="AB12" i="32"/>
  <c r="U12" i="32"/>
  <c r="N12" i="32"/>
  <c r="AN11" i="32"/>
  <c r="AQ11" i="32" s="1"/>
  <c r="AG11" i="32"/>
  <c r="AJ11" i="32" s="1"/>
  <c r="Z11" i="32"/>
  <c r="AC11" i="32" s="1"/>
  <c r="V11" i="32"/>
  <c r="S11" i="32"/>
  <c r="L11" i="32"/>
  <c r="O11" i="32" s="1"/>
  <c r="H11" i="32"/>
  <c r="AL65" i="31"/>
  <c r="AE65" i="31"/>
  <c r="X65" i="31"/>
  <c r="Q65" i="31"/>
  <c r="J65" i="31"/>
  <c r="F65" i="31"/>
  <c r="C50" i="31"/>
  <c r="C49" i="31"/>
  <c r="C48" i="31"/>
  <c r="C47" i="31"/>
  <c r="K46" i="31"/>
  <c r="C46" i="31"/>
  <c r="AM45" i="31"/>
  <c r="AF45" i="31"/>
  <c r="Y45" i="31"/>
  <c r="R45" i="31"/>
  <c r="K45" i="31"/>
  <c r="G45" i="31"/>
  <c r="C45" i="31"/>
  <c r="AF44" i="31"/>
  <c r="G44" i="31"/>
  <c r="C44" i="31"/>
  <c r="AM43" i="31"/>
  <c r="G43" i="31"/>
  <c r="C43" i="31"/>
  <c r="AM41" i="31"/>
  <c r="AF41" i="31"/>
  <c r="Y41" i="31"/>
  <c r="R41" i="31"/>
  <c r="K41" i="31"/>
  <c r="G41" i="31"/>
  <c r="C41" i="31"/>
  <c r="AM40" i="31"/>
  <c r="AF40" i="31"/>
  <c r="Y40" i="31"/>
  <c r="R40" i="31"/>
  <c r="K40" i="31"/>
  <c r="G40" i="31"/>
  <c r="C40" i="31"/>
  <c r="AM38" i="31"/>
  <c r="AF38" i="31"/>
  <c r="Y38" i="31"/>
  <c r="R38" i="31"/>
  <c r="K38" i="31"/>
  <c r="G38" i="31"/>
  <c r="C38" i="31"/>
  <c r="AM37" i="31"/>
  <c r="AF37" i="31"/>
  <c r="Y37" i="31"/>
  <c r="V37" i="31"/>
  <c r="R37" i="31"/>
  <c r="L37" i="31"/>
  <c r="N37" i="31" s="1"/>
  <c r="K37" i="31"/>
  <c r="G37" i="31"/>
  <c r="H37" i="31" s="1"/>
  <c r="O37" i="31" s="1"/>
  <c r="C37" i="31"/>
  <c r="AM36" i="31"/>
  <c r="AF36" i="31"/>
  <c r="Y36" i="31"/>
  <c r="R36" i="31"/>
  <c r="K36" i="31"/>
  <c r="G36" i="31"/>
  <c r="C36" i="31"/>
  <c r="AM35" i="31"/>
  <c r="AF35" i="31"/>
  <c r="Y35" i="31"/>
  <c r="R35" i="31"/>
  <c r="K35" i="31"/>
  <c r="G35" i="31"/>
  <c r="C35" i="31"/>
  <c r="AM34" i="31"/>
  <c r="AF34" i="31"/>
  <c r="Y34" i="31"/>
  <c r="R34" i="31"/>
  <c r="K34" i="31"/>
  <c r="G34" i="31"/>
  <c r="C34" i="31"/>
  <c r="AM33" i="31"/>
  <c r="AF33" i="31"/>
  <c r="Y33" i="31"/>
  <c r="R33" i="31"/>
  <c r="K33" i="31"/>
  <c r="G33" i="31"/>
  <c r="C33" i="31"/>
  <c r="AM32" i="31"/>
  <c r="AF32" i="31"/>
  <c r="Y32" i="31"/>
  <c r="R32" i="31"/>
  <c r="K32" i="31"/>
  <c r="G32" i="31"/>
  <c r="C32" i="31"/>
  <c r="AM31" i="31"/>
  <c r="AF31" i="31"/>
  <c r="Y31" i="31"/>
  <c r="R31" i="31"/>
  <c r="K31" i="31"/>
  <c r="G31" i="31"/>
  <c r="C31" i="31"/>
  <c r="AM30" i="31"/>
  <c r="AF30" i="31"/>
  <c r="Y30" i="31"/>
  <c r="R30" i="31"/>
  <c r="K30" i="31"/>
  <c r="G30" i="31"/>
  <c r="C30" i="31"/>
  <c r="AM28" i="31"/>
  <c r="AF28" i="31"/>
  <c r="Y28" i="31"/>
  <c r="R28" i="31"/>
  <c r="K28" i="31"/>
  <c r="G28" i="31"/>
  <c r="C28" i="31"/>
  <c r="AM27" i="31"/>
  <c r="AF27" i="31"/>
  <c r="Y27" i="31"/>
  <c r="R27" i="31"/>
  <c r="K27" i="31"/>
  <c r="G27" i="31"/>
  <c r="C27" i="31"/>
  <c r="AM26" i="31"/>
  <c r="AF26" i="31"/>
  <c r="Y26" i="31"/>
  <c r="R26" i="31"/>
  <c r="K26" i="31"/>
  <c r="G26" i="31"/>
  <c r="C26" i="31"/>
  <c r="AM25" i="31"/>
  <c r="AF25" i="31"/>
  <c r="Y25" i="31"/>
  <c r="R25" i="31"/>
  <c r="K25" i="31"/>
  <c r="G25" i="31"/>
  <c r="C25" i="31"/>
  <c r="AM24" i="31"/>
  <c r="AF24" i="31"/>
  <c r="Y24" i="31"/>
  <c r="R24" i="31"/>
  <c r="K24" i="31"/>
  <c r="G24" i="31"/>
  <c r="C24" i="31"/>
  <c r="AM23" i="31"/>
  <c r="AF23" i="31"/>
  <c r="Y23" i="31"/>
  <c r="R23" i="31"/>
  <c r="K23" i="31"/>
  <c r="G23" i="31"/>
  <c r="C23" i="31"/>
  <c r="AM22" i="31"/>
  <c r="AF22" i="31"/>
  <c r="Y22" i="31"/>
  <c r="R22" i="31"/>
  <c r="K22" i="31"/>
  <c r="G22" i="31"/>
  <c r="C22" i="31"/>
  <c r="AM21" i="31"/>
  <c r="AF21" i="31"/>
  <c r="AC21" i="31"/>
  <c r="Y21" i="31"/>
  <c r="R21" i="31"/>
  <c r="S21" i="31" s="1"/>
  <c r="U21" i="31" s="1"/>
  <c r="Q21" i="31"/>
  <c r="K21" i="31"/>
  <c r="J21" i="31"/>
  <c r="L21" i="31" s="1"/>
  <c r="H21" i="31"/>
  <c r="G21" i="31"/>
  <c r="F21" i="31"/>
  <c r="C21" i="31"/>
  <c r="AM20" i="31"/>
  <c r="AF20" i="31"/>
  <c r="Y20" i="31"/>
  <c r="R20" i="31"/>
  <c r="K20" i="31"/>
  <c r="G20" i="31"/>
  <c r="C20" i="31"/>
  <c r="AM19" i="31"/>
  <c r="AF19" i="31"/>
  <c r="Y19" i="31"/>
  <c r="R19" i="31"/>
  <c r="K19" i="31"/>
  <c r="G19" i="31"/>
  <c r="C19" i="31"/>
  <c r="AM18" i="31"/>
  <c r="AF18" i="31"/>
  <c r="Y18" i="31"/>
  <c r="R18" i="31"/>
  <c r="K18" i="31"/>
  <c r="G18" i="31"/>
  <c r="B18" i="31"/>
  <c r="C18" i="31" s="1"/>
  <c r="AM17" i="31"/>
  <c r="AF17" i="31"/>
  <c r="Y17" i="31"/>
  <c r="R17" i="31"/>
  <c r="K17" i="31"/>
  <c r="G17" i="31"/>
  <c r="C17" i="31"/>
  <c r="B17" i="31"/>
  <c r="AM16" i="31"/>
  <c r="AF16" i="31"/>
  <c r="Y16" i="31"/>
  <c r="R16" i="31"/>
  <c r="K16" i="31"/>
  <c r="G16" i="31"/>
  <c r="C16" i="31"/>
  <c r="AM15" i="31"/>
  <c r="AF15" i="31"/>
  <c r="Y15" i="31"/>
  <c r="R15" i="31"/>
  <c r="K15" i="31"/>
  <c r="G15" i="31"/>
  <c r="C15" i="31"/>
  <c r="AP12" i="31"/>
  <c r="AI12" i="31"/>
  <c r="AB12" i="31"/>
  <c r="U12" i="31"/>
  <c r="N12" i="31"/>
  <c r="AQ11" i="31"/>
  <c r="AN11" i="31"/>
  <c r="AJ11" i="31"/>
  <c r="AG11" i="31"/>
  <c r="AC11" i="31"/>
  <c r="Z11" i="31"/>
  <c r="S11" i="31"/>
  <c r="V11" i="31" s="1"/>
  <c r="L11" i="31"/>
  <c r="O11" i="31" s="1"/>
  <c r="H11" i="31"/>
  <c r="AL65" i="30"/>
  <c r="AE65" i="30"/>
  <c r="X65" i="30"/>
  <c r="Q65" i="30"/>
  <c r="J65" i="30"/>
  <c r="K37" i="30" s="1"/>
  <c r="L37" i="30" s="1"/>
  <c r="F65" i="30"/>
  <c r="G37" i="30" s="1"/>
  <c r="G44" i="30" s="1"/>
  <c r="C50" i="30"/>
  <c r="C49" i="30"/>
  <c r="C48" i="30"/>
  <c r="C47" i="30"/>
  <c r="AM46" i="30"/>
  <c r="AF46" i="30"/>
  <c r="G46" i="30"/>
  <c r="C46" i="30"/>
  <c r="AM45" i="30"/>
  <c r="AF45" i="30"/>
  <c r="Y45" i="30"/>
  <c r="R45" i="30"/>
  <c r="K45" i="30"/>
  <c r="G45" i="30"/>
  <c r="C45" i="30"/>
  <c r="AM44" i="30"/>
  <c r="K44" i="30"/>
  <c r="C44" i="30"/>
  <c r="AM43" i="30"/>
  <c r="AF43" i="30"/>
  <c r="K43" i="30"/>
  <c r="G43" i="30"/>
  <c r="C43" i="30"/>
  <c r="AM41" i="30"/>
  <c r="AF41" i="30"/>
  <c r="Y41" i="30"/>
  <c r="R41" i="30"/>
  <c r="K41" i="30"/>
  <c r="G41" i="30"/>
  <c r="C41" i="30"/>
  <c r="AM40" i="30"/>
  <c r="AF40" i="30"/>
  <c r="Y40" i="30"/>
  <c r="R40" i="30"/>
  <c r="K40" i="30"/>
  <c r="G40" i="30"/>
  <c r="C40" i="30"/>
  <c r="AM38" i="30"/>
  <c r="AF38" i="30"/>
  <c r="Y38" i="30"/>
  <c r="R38" i="30"/>
  <c r="K38" i="30"/>
  <c r="G38" i="30"/>
  <c r="C38" i="30"/>
  <c r="AM37" i="30"/>
  <c r="AN37" i="30" s="1"/>
  <c r="AG37" i="30"/>
  <c r="AF37" i="30"/>
  <c r="AF44" i="30" s="1"/>
  <c r="Y37" i="30"/>
  <c r="S37" i="30"/>
  <c r="R37" i="30"/>
  <c r="R44" i="30" s="1"/>
  <c r="H37" i="30"/>
  <c r="O37" i="30" s="1"/>
  <c r="C37" i="30"/>
  <c r="AM36" i="30"/>
  <c r="AF36" i="30"/>
  <c r="Y36" i="30"/>
  <c r="R36" i="30"/>
  <c r="K36" i="30"/>
  <c r="G36" i="30"/>
  <c r="C36" i="30"/>
  <c r="AM35" i="30"/>
  <c r="AF35" i="30"/>
  <c r="Y35" i="30"/>
  <c r="R35" i="30"/>
  <c r="K35" i="30"/>
  <c r="G35" i="30"/>
  <c r="C35" i="30"/>
  <c r="AM34" i="30"/>
  <c r="AF34" i="30"/>
  <c r="Y34" i="30"/>
  <c r="R34" i="30"/>
  <c r="K34" i="30"/>
  <c r="G34" i="30"/>
  <c r="C34" i="30"/>
  <c r="AM33" i="30"/>
  <c r="AF33" i="30"/>
  <c r="Y33" i="30"/>
  <c r="R33" i="30"/>
  <c r="K33" i="30"/>
  <c r="G33" i="30"/>
  <c r="C33" i="30"/>
  <c r="AM32" i="30"/>
  <c r="AF32" i="30"/>
  <c r="Y32" i="30"/>
  <c r="R32" i="30"/>
  <c r="K32" i="30"/>
  <c r="G32" i="30"/>
  <c r="C32" i="30"/>
  <c r="AM31" i="30"/>
  <c r="AF31" i="30"/>
  <c r="Y31" i="30"/>
  <c r="R31" i="30"/>
  <c r="K31" i="30"/>
  <c r="G31" i="30"/>
  <c r="C31" i="30"/>
  <c r="AM30" i="30"/>
  <c r="AF30" i="30"/>
  <c r="Y30" i="30"/>
  <c r="R30" i="30"/>
  <c r="K30" i="30"/>
  <c r="G30" i="30"/>
  <c r="C30" i="30"/>
  <c r="AM28" i="30"/>
  <c r="AF28" i="30"/>
  <c r="Y28" i="30"/>
  <c r="R28" i="30"/>
  <c r="K28" i="30"/>
  <c r="G28" i="30"/>
  <c r="C28" i="30"/>
  <c r="AM27" i="30"/>
  <c r="AF27" i="30"/>
  <c r="Y27" i="30"/>
  <c r="R27" i="30"/>
  <c r="K27" i="30"/>
  <c r="G27" i="30"/>
  <c r="C27" i="30"/>
  <c r="AM26" i="30"/>
  <c r="AF26" i="30"/>
  <c r="Y26" i="30"/>
  <c r="R26" i="30"/>
  <c r="K26" i="30"/>
  <c r="G26" i="30"/>
  <c r="C26" i="30"/>
  <c r="AM25" i="30"/>
  <c r="AF25" i="30"/>
  <c r="Y25" i="30"/>
  <c r="R25" i="30"/>
  <c r="K25" i="30"/>
  <c r="G25" i="30"/>
  <c r="C25" i="30"/>
  <c r="AM24" i="30"/>
  <c r="AF24" i="30"/>
  <c r="Y24" i="30"/>
  <c r="R24" i="30"/>
  <c r="K24" i="30"/>
  <c r="G24" i="30"/>
  <c r="C24" i="30"/>
  <c r="AM23" i="30"/>
  <c r="AF23" i="30"/>
  <c r="Y23" i="30"/>
  <c r="R23" i="30"/>
  <c r="K23" i="30"/>
  <c r="G23" i="30"/>
  <c r="C23" i="30"/>
  <c r="AM22" i="30"/>
  <c r="AF22" i="30"/>
  <c r="Y22" i="30"/>
  <c r="R22" i="30"/>
  <c r="K22" i="30"/>
  <c r="G22" i="30"/>
  <c r="C22" i="30"/>
  <c r="AM21" i="30"/>
  <c r="AF21" i="30"/>
  <c r="Y21" i="30"/>
  <c r="S21" i="30"/>
  <c r="R21" i="30"/>
  <c r="Q21" i="30"/>
  <c r="L21" i="30"/>
  <c r="V21" i="30" s="1"/>
  <c r="K21" i="30"/>
  <c r="J21" i="30"/>
  <c r="H21" i="30"/>
  <c r="G21" i="30"/>
  <c r="F21" i="30"/>
  <c r="C21" i="30"/>
  <c r="AM20" i="30"/>
  <c r="AF20" i="30"/>
  <c r="Y20" i="30"/>
  <c r="R20" i="30"/>
  <c r="K20" i="30"/>
  <c r="G20" i="30"/>
  <c r="C20" i="30"/>
  <c r="AM19" i="30"/>
  <c r="AF19" i="30"/>
  <c r="Y19" i="30"/>
  <c r="R19" i="30"/>
  <c r="K19" i="30"/>
  <c r="G19" i="30"/>
  <c r="C19" i="30"/>
  <c r="AM18" i="30"/>
  <c r="AF18" i="30"/>
  <c r="Y18" i="30"/>
  <c r="R18" i="30"/>
  <c r="K18" i="30"/>
  <c r="G18" i="30"/>
  <c r="C18" i="30"/>
  <c r="B18" i="30"/>
  <c r="AM17" i="30"/>
  <c r="AF17" i="30"/>
  <c r="Y17" i="30"/>
  <c r="R17" i="30"/>
  <c r="K17" i="30"/>
  <c r="G17" i="30"/>
  <c r="B17" i="30"/>
  <c r="C17" i="30" s="1"/>
  <c r="AM16" i="30"/>
  <c r="AF16" i="30"/>
  <c r="Y16" i="30"/>
  <c r="R16" i="30"/>
  <c r="K16" i="30"/>
  <c r="G16" i="30"/>
  <c r="C16" i="30"/>
  <c r="AM15" i="30"/>
  <c r="AF15" i="30"/>
  <c r="Y15" i="30"/>
  <c r="R15" i="30"/>
  <c r="K15" i="30"/>
  <c r="G15" i="30"/>
  <c r="C15" i="30"/>
  <c r="AP12" i="30"/>
  <c r="AI12" i="30"/>
  <c r="AB12" i="30"/>
  <c r="U12" i="30"/>
  <c r="N12" i="30"/>
  <c r="AN11" i="30"/>
  <c r="AQ11" i="30" s="1"/>
  <c r="AG11" i="30"/>
  <c r="AJ11" i="30" s="1"/>
  <c r="AC11" i="30"/>
  <c r="Z11" i="30"/>
  <c r="S11" i="30"/>
  <c r="V11" i="30" s="1"/>
  <c r="L11" i="30"/>
  <c r="O11" i="30" s="1"/>
  <c r="H11" i="30"/>
  <c r="AL65" i="29"/>
  <c r="AE65" i="29"/>
  <c r="AF37" i="29" s="1"/>
  <c r="X65" i="29"/>
  <c r="Y37" i="29" s="1"/>
  <c r="Q65" i="29"/>
  <c r="J65" i="29"/>
  <c r="F65" i="29"/>
  <c r="C50" i="29"/>
  <c r="C49" i="29"/>
  <c r="C48" i="29"/>
  <c r="C47" i="29"/>
  <c r="R46" i="29"/>
  <c r="C46" i="29"/>
  <c r="AM45" i="29"/>
  <c r="AF45" i="29"/>
  <c r="Y45" i="29"/>
  <c r="R45" i="29"/>
  <c r="K45" i="29"/>
  <c r="G45" i="29"/>
  <c r="C45" i="29"/>
  <c r="R44" i="29"/>
  <c r="C44" i="29"/>
  <c r="R43" i="29"/>
  <c r="C43" i="29"/>
  <c r="AM41" i="29"/>
  <c r="AF41" i="29"/>
  <c r="Y41" i="29"/>
  <c r="R41" i="29"/>
  <c r="K41" i="29"/>
  <c r="G41" i="29"/>
  <c r="C41" i="29"/>
  <c r="AM40" i="29"/>
  <c r="AF40" i="29"/>
  <c r="Y40" i="29"/>
  <c r="R40" i="29"/>
  <c r="K40" i="29"/>
  <c r="G40" i="29"/>
  <c r="C40" i="29"/>
  <c r="AM38" i="29"/>
  <c r="AF38" i="29"/>
  <c r="Y38" i="29"/>
  <c r="R38" i="29"/>
  <c r="K38" i="29"/>
  <c r="G38" i="29"/>
  <c r="C38" i="29"/>
  <c r="AM37" i="29"/>
  <c r="S37" i="29"/>
  <c r="R37" i="29"/>
  <c r="L37" i="29"/>
  <c r="V37" i="29" s="1"/>
  <c r="K37" i="29"/>
  <c r="G37" i="29"/>
  <c r="C37" i="29"/>
  <c r="AM36" i="29"/>
  <c r="AF36" i="29"/>
  <c r="Y36" i="29"/>
  <c r="R36" i="29"/>
  <c r="K36" i="29"/>
  <c r="G36" i="29"/>
  <c r="C36" i="29"/>
  <c r="AM35" i="29"/>
  <c r="AF35" i="29"/>
  <c r="Y35" i="29"/>
  <c r="R35" i="29"/>
  <c r="K35" i="29"/>
  <c r="G35" i="29"/>
  <c r="C35" i="29"/>
  <c r="AM34" i="29"/>
  <c r="AF34" i="29"/>
  <c r="Y34" i="29"/>
  <c r="R34" i="29"/>
  <c r="K34" i="29"/>
  <c r="G34" i="29"/>
  <c r="C34" i="29"/>
  <c r="AM33" i="29"/>
  <c r="AF33" i="29"/>
  <c r="Y33" i="29"/>
  <c r="R33" i="29"/>
  <c r="K33" i="29"/>
  <c r="G33" i="29"/>
  <c r="C33" i="29"/>
  <c r="AM32" i="29"/>
  <c r="AF32" i="29"/>
  <c r="Y32" i="29"/>
  <c r="R32" i="29"/>
  <c r="K32" i="29"/>
  <c r="G32" i="29"/>
  <c r="C32" i="29"/>
  <c r="AM31" i="29"/>
  <c r="AF31" i="29"/>
  <c r="Y31" i="29"/>
  <c r="R31" i="29"/>
  <c r="K31" i="29"/>
  <c r="G31" i="29"/>
  <c r="C31" i="29"/>
  <c r="AM30" i="29"/>
  <c r="AF30" i="29"/>
  <c r="Y30" i="29"/>
  <c r="R30" i="29"/>
  <c r="K30" i="29"/>
  <c r="G30" i="29"/>
  <c r="C30" i="29"/>
  <c r="AM28" i="29"/>
  <c r="AF28" i="29"/>
  <c r="Y28" i="29"/>
  <c r="R28" i="29"/>
  <c r="K28" i="29"/>
  <c r="G28" i="29"/>
  <c r="C28" i="29"/>
  <c r="AM27" i="29"/>
  <c r="AF27" i="29"/>
  <c r="Y27" i="29"/>
  <c r="R27" i="29"/>
  <c r="K27" i="29"/>
  <c r="G27" i="29"/>
  <c r="C27" i="29"/>
  <c r="AM26" i="29"/>
  <c r="AF26" i="29"/>
  <c r="Y26" i="29"/>
  <c r="R26" i="29"/>
  <c r="K26" i="29"/>
  <c r="G26" i="29"/>
  <c r="C26" i="29"/>
  <c r="AM25" i="29"/>
  <c r="AF25" i="29"/>
  <c r="Y25" i="29"/>
  <c r="R25" i="29"/>
  <c r="K25" i="29"/>
  <c r="G25" i="29"/>
  <c r="C25" i="29"/>
  <c r="AM24" i="29"/>
  <c r="AF24" i="29"/>
  <c r="Y24" i="29"/>
  <c r="R24" i="29"/>
  <c r="K24" i="29"/>
  <c r="G24" i="29"/>
  <c r="C24" i="29"/>
  <c r="AM23" i="29"/>
  <c r="AF23" i="29"/>
  <c r="Y23" i="29"/>
  <c r="R23" i="29"/>
  <c r="K23" i="29"/>
  <c r="G23" i="29"/>
  <c r="C23" i="29"/>
  <c r="AM22" i="29"/>
  <c r="AF22" i="29"/>
  <c r="Y22" i="29"/>
  <c r="R22" i="29"/>
  <c r="K22" i="29"/>
  <c r="G22" i="29"/>
  <c r="C22" i="29"/>
  <c r="AM21" i="29"/>
  <c r="AF21" i="29"/>
  <c r="Y21" i="29"/>
  <c r="R21" i="29"/>
  <c r="S21" i="29" s="1"/>
  <c r="Q21" i="29"/>
  <c r="K21" i="29"/>
  <c r="L21" i="29" s="1"/>
  <c r="J21" i="29"/>
  <c r="H21" i="29"/>
  <c r="G21" i="29"/>
  <c r="F21" i="29"/>
  <c r="C21" i="29"/>
  <c r="AM20" i="29"/>
  <c r="AF20" i="29"/>
  <c r="Y20" i="29"/>
  <c r="R20" i="29"/>
  <c r="K20" i="29"/>
  <c r="G20" i="29"/>
  <c r="C20" i="29"/>
  <c r="AM19" i="29"/>
  <c r="AF19" i="29"/>
  <c r="Y19" i="29"/>
  <c r="R19" i="29"/>
  <c r="K19" i="29"/>
  <c r="G19" i="29"/>
  <c r="C19" i="29"/>
  <c r="AM18" i="29"/>
  <c r="AF18" i="29"/>
  <c r="Y18" i="29"/>
  <c r="R18" i="29"/>
  <c r="K18" i="29"/>
  <c r="G18" i="29"/>
  <c r="B18" i="29"/>
  <c r="C18" i="29" s="1"/>
  <c r="AM17" i="29"/>
  <c r="AF17" i="29"/>
  <c r="Y17" i="29"/>
  <c r="R17" i="29"/>
  <c r="K17" i="29"/>
  <c r="G17" i="29"/>
  <c r="C17" i="29"/>
  <c r="B17" i="29"/>
  <c r="AM16" i="29"/>
  <c r="AF16" i="29"/>
  <c r="Y16" i="29"/>
  <c r="R16" i="29"/>
  <c r="K16" i="29"/>
  <c r="G16" i="29"/>
  <c r="C16" i="29"/>
  <c r="AM15" i="29"/>
  <c r="AF15" i="29"/>
  <c r="Y15" i="29"/>
  <c r="R15" i="29"/>
  <c r="K15" i="29"/>
  <c r="G15" i="29"/>
  <c r="C15" i="29"/>
  <c r="AP12" i="29"/>
  <c r="AI12" i="29"/>
  <c r="AB12" i="29"/>
  <c r="U12" i="29"/>
  <c r="N12" i="29"/>
  <c r="AQ11" i="29"/>
  <c r="AN11" i="29"/>
  <c r="AG11" i="29"/>
  <c r="AJ11" i="29" s="1"/>
  <c r="Z11" i="29"/>
  <c r="AC11" i="29" s="1"/>
  <c r="S11" i="29"/>
  <c r="V11" i="29" s="1"/>
  <c r="O11" i="29"/>
  <c r="L11" i="29"/>
  <c r="H11" i="29"/>
  <c r="AL65" i="28"/>
  <c r="AE65" i="28"/>
  <c r="AF37" i="28" s="1"/>
  <c r="X65" i="28"/>
  <c r="Q65" i="28"/>
  <c r="J65" i="28"/>
  <c r="F65" i="28"/>
  <c r="C50" i="28"/>
  <c r="C49" i="28"/>
  <c r="C48" i="28"/>
  <c r="C47" i="28"/>
  <c r="Y46" i="28"/>
  <c r="R46" i="28"/>
  <c r="C46" i="28"/>
  <c r="AM45" i="28"/>
  <c r="AF45" i="28"/>
  <c r="Y45" i="28"/>
  <c r="R45" i="28"/>
  <c r="K45" i="28"/>
  <c r="G45" i="28"/>
  <c r="C45" i="28"/>
  <c r="Y44" i="28"/>
  <c r="K44" i="28"/>
  <c r="C44" i="28"/>
  <c r="AM43" i="28"/>
  <c r="AF43" i="28"/>
  <c r="Y43" i="28"/>
  <c r="C43" i="28"/>
  <c r="AM41" i="28"/>
  <c r="AF41" i="28"/>
  <c r="Y41" i="28"/>
  <c r="R41" i="28"/>
  <c r="K41" i="28"/>
  <c r="G41" i="28"/>
  <c r="C41" i="28"/>
  <c r="AM40" i="28"/>
  <c r="AF40" i="28"/>
  <c r="Y40" i="28"/>
  <c r="R40" i="28"/>
  <c r="K40" i="28"/>
  <c r="G40" i="28"/>
  <c r="C40" i="28"/>
  <c r="AM38" i="28"/>
  <c r="AF38" i="28"/>
  <c r="Y38" i="28"/>
  <c r="R38" i="28"/>
  <c r="K38" i="28"/>
  <c r="G38" i="28"/>
  <c r="C38" i="28"/>
  <c r="AP37" i="28"/>
  <c r="AN37" i="28"/>
  <c r="AM37" i="28"/>
  <c r="AJ37" i="28"/>
  <c r="AI37" i="28"/>
  <c r="AG37" i="28"/>
  <c r="AQ37" i="28" s="1"/>
  <c r="Y37" i="28"/>
  <c r="Z37" i="28" s="1"/>
  <c r="R37" i="28"/>
  <c r="K37" i="28"/>
  <c r="G37" i="28"/>
  <c r="C37" i="28"/>
  <c r="AM36" i="28"/>
  <c r="AF36" i="28"/>
  <c r="Y36" i="28"/>
  <c r="R36" i="28"/>
  <c r="K36" i="28"/>
  <c r="G36" i="28"/>
  <c r="C36" i="28"/>
  <c r="AM35" i="28"/>
  <c r="AF35" i="28"/>
  <c r="Y35" i="28"/>
  <c r="R35" i="28"/>
  <c r="K35" i="28"/>
  <c r="G35" i="28"/>
  <c r="C35" i="28"/>
  <c r="AM34" i="28"/>
  <c r="AF34" i="28"/>
  <c r="Y34" i="28"/>
  <c r="R34" i="28"/>
  <c r="K34" i="28"/>
  <c r="G34" i="28"/>
  <c r="C34" i="28"/>
  <c r="AM33" i="28"/>
  <c r="AF33" i="28"/>
  <c r="Y33" i="28"/>
  <c r="R33" i="28"/>
  <c r="K33" i="28"/>
  <c r="G33" i="28"/>
  <c r="C33" i="28"/>
  <c r="AM32" i="28"/>
  <c r="AF32" i="28"/>
  <c r="Y32" i="28"/>
  <c r="R32" i="28"/>
  <c r="K32" i="28"/>
  <c r="G32" i="28"/>
  <c r="C32" i="28"/>
  <c r="AM31" i="28"/>
  <c r="AF31" i="28"/>
  <c r="Y31" i="28"/>
  <c r="R31" i="28"/>
  <c r="K31" i="28"/>
  <c r="G31" i="28"/>
  <c r="C31" i="28"/>
  <c r="AM30" i="28"/>
  <c r="AF30" i="28"/>
  <c r="Y30" i="28"/>
  <c r="R30" i="28"/>
  <c r="K30" i="28"/>
  <c r="G30" i="28"/>
  <c r="C30" i="28"/>
  <c r="AM28" i="28"/>
  <c r="AF28" i="28"/>
  <c r="Y28" i="28"/>
  <c r="R28" i="28"/>
  <c r="K28" i="28"/>
  <c r="G28" i="28"/>
  <c r="C28" i="28"/>
  <c r="AM27" i="28"/>
  <c r="AF27" i="28"/>
  <c r="Y27" i="28"/>
  <c r="R27" i="28"/>
  <c r="K27" i="28"/>
  <c r="G27" i="28"/>
  <c r="C27" i="28"/>
  <c r="AM26" i="28"/>
  <c r="AF26" i="28"/>
  <c r="Y26" i="28"/>
  <c r="R26" i="28"/>
  <c r="K26" i="28"/>
  <c r="G26" i="28"/>
  <c r="C26" i="28"/>
  <c r="AM25" i="28"/>
  <c r="AF25" i="28"/>
  <c r="Y25" i="28"/>
  <c r="R25" i="28"/>
  <c r="K25" i="28"/>
  <c r="G25" i="28"/>
  <c r="C25" i="28"/>
  <c r="AM24" i="28"/>
  <c r="AF24" i="28"/>
  <c r="Y24" i="28"/>
  <c r="R24" i="28"/>
  <c r="K24" i="28"/>
  <c r="G24" i="28"/>
  <c r="C24" i="28"/>
  <c r="AM23" i="28"/>
  <c r="AF23" i="28"/>
  <c r="Y23" i="28"/>
  <c r="R23" i="28"/>
  <c r="K23" i="28"/>
  <c r="G23" i="28"/>
  <c r="C23" i="28"/>
  <c r="AM22" i="28"/>
  <c r="AF22" i="28"/>
  <c r="Y22" i="28"/>
  <c r="R22" i="28"/>
  <c r="K22" i="28"/>
  <c r="G22" i="28"/>
  <c r="C22" i="28"/>
  <c r="AM21" i="28"/>
  <c r="AF21" i="28"/>
  <c r="Y21" i="28"/>
  <c r="R21" i="28"/>
  <c r="S21" i="28" s="1"/>
  <c r="Q21" i="28"/>
  <c r="K21" i="28"/>
  <c r="J21" i="28"/>
  <c r="L21" i="28" s="1"/>
  <c r="G21" i="28"/>
  <c r="H21" i="28" s="1"/>
  <c r="F21" i="28"/>
  <c r="C21" i="28"/>
  <c r="AM20" i="28"/>
  <c r="AF20" i="28"/>
  <c r="Y20" i="28"/>
  <c r="R20" i="28"/>
  <c r="K20" i="28"/>
  <c r="G20" i="28"/>
  <c r="C20" i="28"/>
  <c r="AM19" i="28"/>
  <c r="AF19" i="28"/>
  <c r="Y19" i="28"/>
  <c r="R19" i="28"/>
  <c r="K19" i="28"/>
  <c r="G19" i="28"/>
  <c r="C19" i="28"/>
  <c r="AM18" i="28"/>
  <c r="AF18" i="28"/>
  <c r="Y18" i="28"/>
  <c r="R18" i="28"/>
  <c r="K18" i="28"/>
  <c r="G18" i="28"/>
  <c r="C18" i="28"/>
  <c r="B18" i="28"/>
  <c r="AM17" i="28"/>
  <c r="AF17" i="28"/>
  <c r="Y17" i="28"/>
  <c r="R17" i="28"/>
  <c r="K17" i="28"/>
  <c r="G17" i="28"/>
  <c r="C17" i="28"/>
  <c r="B17" i="28"/>
  <c r="AM16" i="28"/>
  <c r="AF16" i="28"/>
  <c r="Y16" i="28"/>
  <c r="R16" i="28"/>
  <c r="K16" i="28"/>
  <c r="G16" i="28"/>
  <c r="C16" i="28"/>
  <c r="AM15" i="28"/>
  <c r="AF15" i="28"/>
  <c r="Y15" i="28"/>
  <c r="R15" i="28"/>
  <c r="K15" i="28"/>
  <c r="G15" i="28"/>
  <c r="C15" i="28"/>
  <c r="AP12" i="28"/>
  <c r="AI12" i="28"/>
  <c r="AB12" i="28"/>
  <c r="U12" i="28"/>
  <c r="N12" i="28"/>
  <c r="AQ11" i="28"/>
  <c r="AN11" i="28"/>
  <c r="AJ11" i="28"/>
  <c r="AG11" i="28"/>
  <c r="AC11" i="28"/>
  <c r="Z11" i="28"/>
  <c r="S11" i="28"/>
  <c r="V11" i="28" s="1"/>
  <c r="L11" i="28"/>
  <c r="O11" i="28" s="1"/>
  <c r="H11" i="28"/>
  <c r="AL65" i="27"/>
  <c r="AM37" i="27" s="1"/>
  <c r="AM46" i="27" s="1"/>
  <c r="AE65" i="27"/>
  <c r="AF37" i="27" s="1"/>
  <c r="X65" i="27"/>
  <c r="Q65" i="27"/>
  <c r="R37" i="27" s="1"/>
  <c r="J65" i="27"/>
  <c r="F65" i="27"/>
  <c r="C50" i="27"/>
  <c r="C49" i="27"/>
  <c r="C48" i="27"/>
  <c r="C47" i="27"/>
  <c r="Y46" i="27"/>
  <c r="R46" i="27"/>
  <c r="C46" i="27"/>
  <c r="AM45" i="27"/>
  <c r="AF45" i="27"/>
  <c r="Y45" i="27"/>
  <c r="R45" i="27"/>
  <c r="K45" i="27"/>
  <c r="G45" i="27"/>
  <c r="C45" i="27"/>
  <c r="C44" i="27"/>
  <c r="AM43" i="27"/>
  <c r="Y43" i="27"/>
  <c r="K43" i="27"/>
  <c r="C43" i="27"/>
  <c r="AM41" i="27"/>
  <c r="AF41" i="27"/>
  <c r="Y41" i="27"/>
  <c r="R41" i="27"/>
  <c r="K41" i="27"/>
  <c r="G41" i="27"/>
  <c r="C41" i="27"/>
  <c r="AM40" i="27"/>
  <c r="AF40" i="27"/>
  <c r="Y40" i="27"/>
  <c r="R40" i="27"/>
  <c r="K40" i="27"/>
  <c r="G40" i="27"/>
  <c r="C40" i="27"/>
  <c r="AM38" i="27"/>
  <c r="AF38" i="27"/>
  <c r="Y38" i="27"/>
  <c r="R38" i="27"/>
  <c r="K38" i="27"/>
  <c r="G38" i="27"/>
  <c r="C38" i="27"/>
  <c r="Z37" i="27"/>
  <c r="Y37" i="27"/>
  <c r="Y44" i="27" s="1"/>
  <c r="K37" i="27"/>
  <c r="H37" i="27"/>
  <c r="O37" i="27" s="1"/>
  <c r="G37" i="27"/>
  <c r="G43" i="27" s="1"/>
  <c r="C37" i="27"/>
  <c r="AM36" i="27"/>
  <c r="AF36" i="27"/>
  <c r="Y36" i="27"/>
  <c r="R36" i="27"/>
  <c r="K36" i="27"/>
  <c r="G36" i="27"/>
  <c r="C36" i="27"/>
  <c r="AM35" i="27"/>
  <c r="AF35" i="27"/>
  <c r="Y35" i="27"/>
  <c r="R35" i="27"/>
  <c r="K35" i="27"/>
  <c r="G35" i="27"/>
  <c r="C35" i="27"/>
  <c r="AM34" i="27"/>
  <c r="AF34" i="27"/>
  <c r="Y34" i="27"/>
  <c r="R34" i="27"/>
  <c r="K34" i="27"/>
  <c r="G34" i="27"/>
  <c r="C34" i="27"/>
  <c r="AM33" i="27"/>
  <c r="AF33" i="27"/>
  <c r="Y33" i="27"/>
  <c r="R33" i="27"/>
  <c r="K33" i="27"/>
  <c r="G33" i="27"/>
  <c r="C33" i="27"/>
  <c r="AM32" i="27"/>
  <c r="AF32" i="27"/>
  <c r="Y32" i="27"/>
  <c r="R32" i="27"/>
  <c r="K32" i="27"/>
  <c r="G32" i="27"/>
  <c r="C32" i="27"/>
  <c r="AM31" i="27"/>
  <c r="AF31" i="27"/>
  <c r="Y31" i="27"/>
  <c r="R31" i="27"/>
  <c r="K31" i="27"/>
  <c r="G31" i="27"/>
  <c r="C31" i="27"/>
  <c r="AM30" i="27"/>
  <c r="AF30" i="27"/>
  <c r="Y30" i="27"/>
  <c r="R30" i="27"/>
  <c r="K30" i="27"/>
  <c r="G30" i="27"/>
  <c r="C30" i="27"/>
  <c r="AM28" i="27"/>
  <c r="AF28" i="27"/>
  <c r="Y28" i="27"/>
  <c r="R28" i="27"/>
  <c r="K28" i="27"/>
  <c r="G28" i="27"/>
  <c r="C28" i="27"/>
  <c r="AM27" i="27"/>
  <c r="AF27" i="27"/>
  <c r="Y27" i="27"/>
  <c r="R27" i="27"/>
  <c r="K27" i="27"/>
  <c r="G27" i="27"/>
  <c r="C27" i="27"/>
  <c r="AM26" i="27"/>
  <c r="AF26" i="27"/>
  <c r="Y26" i="27"/>
  <c r="R26" i="27"/>
  <c r="K26" i="27"/>
  <c r="G26" i="27"/>
  <c r="C26" i="27"/>
  <c r="AM25" i="27"/>
  <c r="AF25" i="27"/>
  <c r="Y25" i="27"/>
  <c r="R25" i="27"/>
  <c r="K25" i="27"/>
  <c r="G25" i="27"/>
  <c r="C25" i="27"/>
  <c r="AM24" i="27"/>
  <c r="AF24" i="27"/>
  <c r="Y24" i="27"/>
  <c r="R24" i="27"/>
  <c r="K24" i="27"/>
  <c r="G24" i="27"/>
  <c r="C24" i="27"/>
  <c r="AM23" i="27"/>
  <c r="AF23" i="27"/>
  <c r="Y23" i="27"/>
  <c r="R23" i="27"/>
  <c r="K23" i="27"/>
  <c r="G23" i="27"/>
  <c r="C23" i="27"/>
  <c r="AM22" i="27"/>
  <c r="AF22" i="27"/>
  <c r="Y22" i="27"/>
  <c r="R22" i="27"/>
  <c r="K22" i="27"/>
  <c r="G22" i="27"/>
  <c r="C22" i="27"/>
  <c r="AM21" i="27"/>
  <c r="AF21" i="27"/>
  <c r="Y21" i="27"/>
  <c r="S21" i="27"/>
  <c r="R21" i="27"/>
  <c r="Q21" i="27"/>
  <c r="L21" i="27"/>
  <c r="K21" i="27"/>
  <c r="J21" i="27"/>
  <c r="G21" i="27"/>
  <c r="H21" i="27" s="1"/>
  <c r="F21" i="27"/>
  <c r="C21" i="27"/>
  <c r="AM20" i="27"/>
  <c r="AF20" i="27"/>
  <c r="Y20" i="27"/>
  <c r="R20" i="27"/>
  <c r="K20" i="27"/>
  <c r="G20" i="27"/>
  <c r="C20" i="27"/>
  <c r="AM19" i="27"/>
  <c r="AF19" i="27"/>
  <c r="Y19" i="27"/>
  <c r="R19" i="27"/>
  <c r="K19" i="27"/>
  <c r="G19" i="27"/>
  <c r="C19" i="27"/>
  <c r="AM18" i="27"/>
  <c r="AF18" i="27"/>
  <c r="Y18" i="27"/>
  <c r="R18" i="27"/>
  <c r="K18" i="27"/>
  <c r="G18" i="27"/>
  <c r="C18" i="27"/>
  <c r="B18" i="27"/>
  <c r="AM17" i="27"/>
  <c r="AF17" i="27"/>
  <c r="Y17" i="27"/>
  <c r="R17" i="27"/>
  <c r="K17" i="27"/>
  <c r="G17" i="27"/>
  <c r="B17" i="27"/>
  <c r="C17" i="27" s="1"/>
  <c r="AM16" i="27"/>
  <c r="AF16" i="27"/>
  <c r="Y16" i="27"/>
  <c r="R16" i="27"/>
  <c r="K16" i="27"/>
  <c r="G16" i="27"/>
  <c r="C16" i="27"/>
  <c r="AM15" i="27"/>
  <c r="AF15" i="27"/>
  <c r="Y15" i="27"/>
  <c r="R15" i="27"/>
  <c r="K15" i="27"/>
  <c r="G15" i="27"/>
  <c r="C15" i="27"/>
  <c r="AP12" i="27"/>
  <c r="AI12" i="27"/>
  <c r="AB12" i="27"/>
  <c r="U12" i="27"/>
  <c r="N12" i="27"/>
  <c r="AQ11" i="27"/>
  <c r="AN11" i="27"/>
  <c r="AJ11" i="27"/>
  <c r="AG11" i="27"/>
  <c r="Z11" i="27"/>
  <c r="AC11" i="27" s="1"/>
  <c r="V11" i="27"/>
  <c r="S11" i="27"/>
  <c r="O11" i="27"/>
  <c r="L11" i="27"/>
  <c r="H11" i="27"/>
  <c r="AL65" i="26"/>
  <c r="AE65" i="26"/>
  <c r="AF37" i="26" s="1"/>
  <c r="X65" i="26"/>
  <c r="Q65" i="26"/>
  <c r="R37" i="26" s="1"/>
  <c r="J65" i="26"/>
  <c r="F65" i="26"/>
  <c r="C50" i="26"/>
  <c r="C49" i="26"/>
  <c r="C48" i="26"/>
  <c r="C47" i="26"/>
  <c r="AM46" i="26"/>
  <c r="R46" i="26"/>
  <c r="C46" i="26"/>
  <c r="AM45" i="26"/>
  <c r="AF45" i="26"/>
  <c r="Y45" i="26"/>
  <c r="R45" i="26"/>
  <c r="K45" i="26"/>
  <c r="G45" i="26"/>
  <c r="C45" i="26"/>
  <c r="G44" i="26"/>
  <c r="C44" i="26"/>
  <c r="G43" i="26"/>
  <c r="C43" i="26"/>
  <c r="AM41" i="26"/>
  <c r="AF41" i="26"/>
  <c r="Y41" i="26"/>
  <c r="R41" i="26"/>
  <c r="K41" i="26"/>
  <c r="G41" i="26"/>
  <c r="C41" i="26"/>
  <c r="AM40" i="26"/>
  <c r="AF40" i="26"/>
  <c r="Y40" i="26"/>
  <c r="R40" i="26"/>
  <c r="K40" i="26"/>
  <c r="G40" i="26"/>
  <c r="C40" i="26"/>
  <c r="AM38" i="26"/>
  <c r="AF38" i="26"/>
  <c r="Y38" i="26"/>
  <c r="R38" i="26"/>
  <c r="K38" i="26"/>
  <c r="G38" i="26"/>
  <c r="C38" i="26"/>
  <c r="AM37" i="26"/>
  <c r="AN37" i="26" s="1"/>
  <c r="Y37" i="26"/>
  <c r="Y43" i="26" s="1"/>
  <c r="K37" i="26"/>
  <c r="H37" i="26"/>
  <c r="O37" i="26" s="1"/>
  <c r="G37" i="26"/>
  <c r="G46" i="26" s="1"/>
  <c r="C37" i="26"/>
  <c r="AM36" i="26"/>
  <c r="AF36" i="26"/>
  <c r="Y36" i="26"/>
  <c r="R36" i="26"/>
  <c r="K36" i="26"/>
  <c r="G36" i="26"/>
  <c r="C36" i="26"/>
  <c r="AM35" i="26"/>
  <c r="AF35" i="26"/>
  <c r="Y35" i="26"/>
  <c r="R35" i="26"/>
  <c r="K35" i="26"/>
  <c r="G35" i="26"/>
  <c r="C35" i="26"/>
  <c r="AM34" i="26"/>
  <c r="AF34" i="26"/>
  <c r="Y34" i="26"/>
  <c r="R34" i="26"/>
  <c r="K34" i="26"/>
  <c r="G34" i="26"/>
  <c r="C34" i="26"/>
  <c r="AM33" i="26"/>
  <c r="AF33" i="26"/>
  <c r="Y33" i="26"/>
  <c r="R33" i="26"/>
  <c r="K33" i="26"/>
  <c r="G33" i="26"/>
  <c r="C33" i="26"/>
  <c r="AM32" i="26"/>
  <c r="AF32" i="26"/>
  <c r="Y32" i="26"/>
  <c r="R32" i="26"/>
  <c r="K32" i="26"/>
  <c r="G32" i="26"/>
  <c r="C32" i="26"/>
  <c r="AM31" i="26"/>
  <c r="AF31" i="26"/>
  <c r="Y31" i="26"/>
  <c r="R31" i="26"/>
  <c r="K31" i="26"/>
  <c r="G31" i="26"/>
  <c r="C31" i="26"/>
  <c r="AM30" i="26"/>
  <c r="AF30" i="26"/>
  <c r="Y30" i="26"/>
  <c r="R30" i="26"/>
  <c r="K30" i="26"/>
  <c r="G30" i="26"/>
  <c r="C30" i="26"/>
  <c r="AM28" i="26"/>
  <c r="AF28" i="26"/>
  <c r="Y28" i="26"/>
  <c r="R28" i="26"/>
  <c r="K28" i="26"/>
  <c r="G28" i="26"/>
  <c r="C28" i="26"/>
  <c r="AM27" i="26"/>
  <c r="AF27" i="26"/>
  <c r="Y27" i="26"/>
  <c r="R27" i="26"/>
  <c r="K27" i="26"/>
  <c r="G27" i="26"/>
  <c r="C27" i="26"/>
  <c r="AM26" i="26"/>
  <c r="AF26" i="26"/>
  <c r="Y26" i="26"/>
  <c r="R26" i="26"/>
  <c r="K26" i="26"/>
  <c r="G26" i="26"/>
  <c r="C26" i="26"/>
  <c r="AM25" i="26"/>
  <c r="AF25" i="26"/>
  <c r="Y25" i="26"/>
  <c r="R25" i="26"/>
  <c r="K25" i="26"/>
  <c r="G25" i="26"/>
  <c r="C25" i="26"/>
  <c r="AM24" i="26"/>
  <c r="AF24" i="26"/>
  <c r="Y24" i="26"/>
  <c r="R24" i="26"/>
  <c r="K24" i="26"/>
  <c r="G24" i="26"/>
  <c r="C24" i="26"/>
  <c r="AM23" i="26"/>
  <c r="AF23" i="26"/>
  <c r="Y23" i="26"/>
  <c r="R23" i="26"/>
  <c r="K23" i="26"/>
  <c r="G23" i="26"/>
  <c r="C23" i="26"/>
  <c r="AM22" i="26"/>
  <c r="AF22" i="26"/>
  <c r="Y22" i="26"/>
  <c r="R22" i="26"/>
  <c r="K22" i="26"/>
  <c r="G22" i="26"/>
  <c r="C22" i="26"/>
  <c r="AM21" i="26"/>
  <c r="AF21" i="26"/>
  <c r="Y21" i="26"/>
  <c r="R21" i="26"/>
  <c r="S21" i="26" s="1"/>
  <c r="Q21" i="26"/>
  <c r="K21" i="26"/>
  <c r="J21" i="26"/>
  <c r="L21" i="26" s="1"/>
  <c r="H21" i="26"/>
  <c r="G21" i="26"/>
  <c r="F21" i="26"/>
  <c r="C21" i="26"/>
  <c r="AM20" i="26"/>
  <c r="AF20" i="26"/>
  <c r="Y20" i="26"/>
  <c r="R20" i="26"/>
  <c r="K20" i="26"/>
  <c r="G20" i="26"/>
  <c r="C20" i="26"/>
  <c r="AM19" i="26"/>
  <c r="AF19" i="26"/>
  <c r="Y19" i="26"/>
  <c r="R19" i="26"/>
  <c r="K19" i="26"/>
  <c r="G19" i="26"/>
  <c r="C19" i="26"/>
  <c r="AM18" i="26"/>
  <c r="AF18" i="26"/>
  <c r="Y18" i="26"/>
  <c r="R18" i="26"/>
  <c r="K18" i="26"/>
  <c r="G18" i="26"/>
  <c r="B18" i="26"/>
  <c r="C18" i="26" s="1"/>
  <c r="AM17" i="26"/>
  <c r="AF17" i="26"/>
  <c r="Y17" i="26"/>
  <c r="R17" i="26"/>
  <c r="K17" i="26"/>
  <c r="G17" i="26"/>
  <c r="C17" i="26"/>
  <c r="B17" i="26"/>
  <c r="AM16" i="26"/>
  <c r="AF16" i="26"/>
  <c r="Y16" i="26"/>
  <c r="R16" i="26"/>
  <c r="K16" i="26"/>
  <c r="G16" i="26"/>
  <c r="C16" i="26"/>
  <c r="AM15" i="26"/>
  <c r="AF15" i="26"/>
  <c r="Y15" i="26"/>
  <c r="R15" i="26"/>
  <c r="K15" i="26"/>
  <c r="G15" i="26"/>
  <c r="C15" i="26"/>
  <c r="AP12" i="26"/>
  <c r="AI12" i="26"/>
  <c r="AB12" i="26"/>
  <c r="U12" i="26"/>
  <c r="N12" i="26"/>
  <c r="AN11" i="26"/>
  <c r="AQ11" i="26" s="1"/>
  <c r="AJ11" i="26"/>
  <c r="AG11" i="26"/>
  <c r="AC11" i="26"/>
  <c r="Z11" i="26"/>
  <c r="S11" i="26"/>
  <c r="V11" i="26" s="1"/>
  <c r="L11" i="26"/>
  <c r="O11" i="26" s="1"/>
  <c r="H11" i="26"/>
  <c r="AL65" i="25"/>
  <c r="AE65" i="25"/>
  <c r="X65" i="25"/>
  <c r="Q65" i="25"/>
  <c r="J65" i="25"/>
  <c r="F65" i="25"/>
  <c r="C50" i="25"/>
  <c r="C49" i="25"/>
  <c r="C48" i="25"/>
  <c r="C47" i="25"/>
  <c r="C46" i="25"/>
  <c r="AM45" i="25"/>
  <c r="AF45" i="25"/>
  <c r="Y45" i="25"/>
  <c r="R45" i="25"/>
  <c r="K45" i="25"/>
  <c r="G45" i="25"/>
  <c r="C45" i="25"/>
  <c r="R44" i="25"/>
  <c r="C44" i="25"/>
  <c r="C43" i="25"/>
  <c r="AM41" i="25"/>
  <c r="AF41" i="25"/>
  <c r="Y41" i="25"/>
  <c r="R41" i="25"/>
  <c r="K41" i="25"/>
  <c r="G41" i="25"/>
  <c r="C41" i="25"/>
  <c r="AM40" i="25"/>
  <c r="AF40" i="25"/>
  <c r="Y40" i="25"/>
  <c r="R40" i="25"/>
  <c r="K40" i="25"/>
  <c r="G40" i="25"/>
  <c r="C40" i="25"/>
  <c r="AM38" i="25"/>
  <c r="AF38" i="25"/>
  <c r="Y38" i="25"/>
  <c r="R38" i="25"/>
  <c r="K38" i="25"/>
  <c r="G38" i="25"/>
  <c r="C38" i="25"/>
  <c r="AM37" i="25"/>
  <c r="AN37" i="25" s="1"/>
  <c r="AC37" i="25"/>
  <c r="S37" i="25"/>
  <c r="R37" i="25"/>
  <c r="R43" i="25" s="1"/>
  <c r="C37" i="25"/>
  <c r="AM36" i="25"/>
  <c r="AF36" i="25"/>
  <c r="Y36" i="25"/>
  <c r="R36" i="25"/>
  <c r="K36" i="25"/>
  <c r="G36" i="25"/>
  <c r="C36" i="25"/>
  <c r="AM35" i="25"/>
  <c r="AF35" i="25"/>
  <c r="Y35" i="25"/>
  <c r="R35" i="25"/>
  <c r="K35" i="25"/>
  <c r="G35" i="25"/>
  <c r="C35" i="25"/>
  <c r="AM34" i="25"/>
  <c r="AF34" i="25"/>
  <c r="Y34" i="25"/>
  <c r="R34" i="25"/>
  <c r="K34" i="25"/>
  <c r="G34" i="25"/>
  <c r="C34" i="25"/>
  <c r="AF33" i="25"/>
  <c r="Y33" i="25"/>
  <c r="R33" i="25"/>
  <c r="K33" i="25"/>
  <c r="G33" i="25"/>
  <c r="C33" i="25"/>
  <c r="AM32" i="25"/>
  <c r="AF32" i="25"/>
  <c r="Y32" i="25"/>
  <c r="R32" i="25"/>
  <c r="G32" i="25"/>
  <c r="C32" i="25"/>
  <c r="AM31" i="25"/>
  <c r="AF31" i="25"/>
  <c r="Y31" i="25"/>
  <c r="R31" i="25"/>
  <c r="K31" i="25"/>
  <c r="G31" i="25"/>
  <c r="C31" i="25"/>
  <c r="AM30" i="25"/>
  <c r="AF30" i="25"/>
  <c r="Y30" i="25"/>
  <c r="R30" i="25"/>
  <c r="K30" i="25"/>
  <c r="G30" i="25"/>
  <c r="C30" i="25"/>
  <c r="AM28" i="25"/>
  <c r="AF28" i="25"/>
  <c r="Y28" i="25"/>
  <c r="R28" i="25"/>
  <c r="K28" i="25"/>
  <c r="G28" i="25"/>
  <c r="C28" i="25"/>
  <c r="AM27" i="25"/>
  <c r="AF27" i="25"/>
  <c r="Y27" i="25"/>
  <c r="R27" i="25"/>
  <c r="K27" i="25"/>
  <c r="G27" i="25"/>
  <c r="C27" i="25"/>
  <c r="AM26" i="25"/>
  <c r="AF26" i="25"/>
  <c r="Y26" i="25"/>
  <c r="R26" i="25"/>
  <c r="K26" i="25"/>
  <c r="G26" i="25"/>
  <c r="C26" i="25"/>
  <c r="AM25" i="25"/>
  <c r="AF25" i="25"/>
  <c r="Y25" i="25"/>
  <c r="R25" i="25"/>
  <c r="K25" i="25"/>
  <c r="G25" i="25"/>
  <c r="C25" i="25"/>
  <c r="AM24" i="25"/>
  <c r="AF24" i="25"/>
  <c r="Y24" i="25"/>
  <c r="R24" i="25"/>
  <c r="K24" i="25"/>
  <c r="G24" i="25"/>
  <c r="C24" i="25"/>
  <c r="AM23" i="25"/>
  <c r="AF23" i="25"/>
  <c r="Y23" i="25"/>
  <c r="R23" i="25"/>
  <c r="K23" i="25"/>
  <c r="G23" i="25"/>
  <c r="C23" i="25"/>
  <c r="AM22" i="25"/>
  <c r="AF22" i="25"/>
  <c r="Y22" i="25"/>
  <c r="R22" i="25"/>
  <c r="K22" i="25"/>
  <c r="G22" i="25"/>
  <c r="C22" i="25"/>
  <c r="AM21" i="25"/>
  <c r="AF21" i="25"/>
  <c r="Y21" i="25"/>
  <c r="R21" i="25"/>
  <c r="Q21" i="25"/>
  <c r="K21" i="25"/>
  <c r="L21" i="25" s="1"/>
  <c r="J21" i="25"/>
  <c r="G21" i="25"/>
  <c r="F21" i="25"/>
  <c r="H21" i="25" s="1"/>
  <c r="C21" i="25"/>
  <c r="AM20" i="25"/>
  <c r="AF20" i="25"/>
  <c r="Y20" i="25"/>
  <c r="R20" i="25"/>
  <c r="K20" i="25"/>
  <c r="G20" i="25"/>
  <c r="C20" i="25"/>
  <c r="AM19" i="25"/>
  <c r="AF19" i="25"/>
  <c r="Y19" i="25"/>
  <c r="R19" i="25"/>
  <c r="K19" i="25"/>
  <c r="G19" i="25"/>
  <c r="C19" i="25"/>
  <c r="AM18" i="25"/>
  <c r="AF18" i="25"/>
  <c r="Y18" i="25"/>
  <c r="R18" i="25"/>
  <c r="K18" i="25"/>
  <c r="G18" i="25"/>
  <c r="B18" i="25"/>
  <c r="C18" i="25" s="1"/>
  <c r="AM17" i="25"/>
  <c r="AF17" i="25"/>
  <c r="Y17" i="25"/>
  <c r="R17" i="25"/>
  <c r="K17" i="25"/>
  <c r="G17" i="25"/>
  <c r="C17" i="25"/>
  <c r="B17" i="25"/>
  <c r="AM16" i="25"/>
  <c r="AF16" i="25"/>
  <c r="Y16" i="25"/>
  <c r="R16" i="25"/>
  <c r="K16" i="25"/>
  <c r="G16" i="25"/>
  <c r="C16" i="25"/>
  <c r="AM15" i="25"/>
  <c r="AF15" i="25"/>
  <c r="Y15" i="25"/>
  <c r="R15" i="25"/>
  <c r="K15" i="25"/>
  <c r="G15" i="25"/>
  <c r="C15" i="25"/>
  <c r="AP12" i="25"/>
  <c r="AI12" i="25"/>
  <c r="AB12" i="25"/>
  <c r="U12" i="25"/>
  <c r="N12" i="25"/>
  <c r="AN11" i="25"/>
  <c r="AQ11" i="25" s="1"/>
  <c r="AJ11" i="25"/>
  <c r="AG11" i="25"/>
  <c r="Z11" i="25"/>
  <c r="AC11" i="25" s="1"/>
  <c r="V11" i="25"/>
  <c r="S11" i="25"/>
  <c r="L11" i="25"/>
  <c r="O11" i="25" s="1"/>
  <c r="H11" i="25"/>
  <c r="F9" i="25"/>
  <c r="AL63" i="24"/>
  <c r="AE63" i="24"/>
  <c r="X63" i="24"/>
  <c r="Q63" i="24"/>
  <c r="J63" i="24"/>
  <c r="F63" i="24"/>
  <c r="Q59" i="24"/>
  <c r="J59" i="24"/>
  <c r="Q53" i="24"/>
  <c r="X53" i="24" s="1"/>
  <c r="J53" i="24"/>
  <c r="F53" i="24"/>
  <c r="AM48" i="24"/>
  <c r="AN48" i="24" s="1"/>
  <c r="AL48" i="24"/>
  <c r="AE48" i="24"/>
  <c r="X48" i="24"/>
  <c r="Q48" i="24"/>
  <c r="K48" i="24"/>
  <c r="L48" i="24" s="1"/>
  <c r="J48" i="24"/>
  <c r="F48" i="24"/>
  <c r="C48" i="24"/>
  <c r="AM47" i="24"/>
  <c r="AN47" i="24" s="1"/>
  <c r="AL47" i="24"/>
  <c r="AE47" i="24"/>
  <c r="X47" i="24"/>
  <c r="R47" i="24"/>
  <c r="S47" i="24" s="1"/>
  <c r="Q47" i="24"/>
  <c r="J47" i="24"/>
  <c r="F47" i="24"/>
  <c r="C47" i="24"/>
  <c r="AM46" i="24"/>
  <c r="AL46" i="24"/>
  <c r="AN46" i="24" s="1"/>
  <c r="AF46" i="24"/>
  <c r="AE46" i="24"/>
  <c r="AG46" i="24" s="1"/>
  <c r="Y46" i="24"/>
  <c r="Z46" i="24" s="1"/>
  <c r="X46" i="24"/>
  <c r="R46" i="24"/>
  <c r="S46" i="24" s="1"/>
  <c r="Q46" i="24"/>
  <c r="L46" i="24"/>
  <c r="K46" i="24"/>
  <c r="J46" i="24"/>
  <c r="H46" i="24"/>
  <c r="G46" i="24"/>
  <c r="F46" i="24"/>
  <c r="C46" i="24"/>
  <c r="AM45" i="24"/>
  <c r="AL45" i="24"/>
  <c r="AN45" i="24" s="1"/>
  <c r="AP45" i="24" s="1"/>
  <c r="AQ45" i="24" s="1"/>
  <c r="AF45" i="24"/>
  <c r="AG45" i="24" s="1"/>
  <c r="AE45" i="24"/>
  <c r="Z45" i="24"/>
  <c r="Y45" i="24"/>
  <c r="X45" i="24"/>
  <c r="S45" i="24"/>
  <c r="R45" i="24"/>
  <c r="Q45" i="24"/>
  <c r="K45" i="24"/>
  <c r="L45" i="24" s="1"/>
  <c r="J45" i="24"/>
  <c r="H45" i="24"/>
  <c r="G45" i="24"/>
  <c r="F45" i="24"/>
  <c r="C45" i="24"/>
  <c r="AM44" i="24"/>
  <c r="AN44" i="24" s="1"/>
  <c r="AP44" i="24" s="1"/>
  <c r="AQ44" i="24" s="1"/>
  <c r="AL44" i="24"/>
  <c r="AG44" i="24"/>
  <c r="AI44" i="24" s="1"/>
  <c r="AF44" i="24"/>
  <c r="AE44" i="24"/>
  <c r="Z44" i="24"/>
  <c r="Y44" i="24"/>
  <c r="X44" i="24"/>
  <c r="R44" i="24"/>
  <c r="Q44" i="24"/>
  <c r="Q35" i="24" s="1"/>
  <c r="K44" i="24"/>
  <c r="L44" i="24" s="1"/>
  <c r="J44" i="24"/>
  <c r="G44" i="24"/>
  <c r="F44" i="24"/>
  <c r="C44" i="24"/>
  <c r="AM43" i="24"/>
  <c r="AF43" i="24"/>
  <c r="Y43" i="24"/>
  <c r="R43" i="24"/>
  <c r="K43" i="24"/>
  <c r="G43" i="24"/>
  <c r="C43" i="24"/>
  <c r="AM42" i="24"/>
  <c r="Y42" i="24"/>
  <c r="R42" i="24"/>
  <c r="K42" i="24"/>
  <c r="G42" i="24"/>
  <c r="C42" i="24"/>
  <c r="AM41" i="24"/>
  <c r="AF41" i="24"/>
  <c r="R41" i="24"/>
  <c r="K41" i="24"/>
  <c r="G41" i="24"/>
  <c r="C41" i="24"/>
  <c r="AM39" i="24"/>
  <c r="AF39" i="24"/>
  <c r="R39" i="24"/>
  <c r="K39" i="24"/>
  <c r="C39" i="24"/>
  <c r="AM38" i="24"/>
  <c r="R38" i="24"/>
  <c r="K38" i="24"/>
  <c r="G38" i="24"/>
  <c r="C38" i="24"/>
  <c r="AM36" i="24"/>
  <c r="AF36" i="24"/>
  <c r="Y36" i="24"/>
  <c r="R36" i="24"/>
  <c r="K36" i="24"/>
  <c r="G36" i="24"/>
  <c r="C36" i="24"/>
  <c r="AM35" i="24"/>
  <c r="AL35" i="24"/>
  <c r="AN35" i="24" s="1"/>
  <c r="AF35" i="24"/>
  <c r="Y35" i="24"/>
  <c r="Z35" i="24" s="1"/>
  <c r="X35" i="24"/>
  <c r="S35" i="24"/>
  <c r="R35" i="24"/>
  <c r="K35" i="24"/>
  <c r="J35" i="24"/>
  <c r="L35" i="24" s="1"/>
  <c r="C35" i="24"/>
  <c r="AM34" i="24"/>
  <c r="AF34" i="24"/>
  <c r="R34" i="24"/>
  <c r="K34" i="24"/>
  <c r="C34" i="24"/>
  <c r="AM33" i="24"/>
  <c r="AF33" i="24"/>
  <c r="Y33" i="24"/>
  <c r="R33" i="24"/>
  <c r="K33" i="24"/>
  <c r="G33" i="24"/>
  <c r="C33" i="24"/>
  <c r="AM32" i="24"/>
  <c r="AF32" i="24"/>
  <c r="Y32" i="24"/>
  <c r="R32" i="24"/>
  <c r="K32" i="24"/>
  <c r="G32" i="24"/>
  <c r="C32" i="24"/>
  <c r="AM31" i="24"/>
  <c r="AF31" i="24"/>
  <c r="Y31" i="24"/>
  <c r="R31" i="24"/>
  <c r="K31" i="24"/>
  <c r="G31" i="24"/>
  <c r="C31" i="24"/>
  <c r="AM30" i="24"/>
  <c r="AF30" i="24"/>
  <c r="Y30" i="24"/>
  <c r="R30" i="24"/>
  <c r="K30" i="24"/>
  <c r="G30" i="24"/>
  <c r="C30" i="24"/>
  <c r="AM28" i="24"/>
  <c r="AF28" i="24"/>
  <c r="Y28" i="24"/>
  <c r="R28" i="24"/>
  <c r="K28" i="24"/>
  <c r="G28" i="24"/>
  <c r="C28" i="24"/>
  <c r="AM27" i="24"/>
  <c r="AF27" i="24"/>
  <c r="Y27" i="24"/>
  <c r="R27" i="24"/>
  <c r="K27" i="24"/>
  <c r="G27" i="24"/>
  <c r="C27" i="24"/>
  <c r="AM26" i="24"/>
  <c r="AF26" i="24"/>
  <c r="Y26" i="24"/>
  <c r="R26" i="24"/>
  <c r="K26" i="24"/>
  <c r="G26" i="24"/>
  <c r="C26" i="24"/>
  <c r="AM25" i="24"/>
  <c r="AF25" i="24"/>
  <c r="Y25" i="24"/>
  <c r="R25" i="24"/>
  <c r="K25" i="24"/>
  <c r="G25" i="24"/>
  <c r="C25" i="24"/>
  <c r="AM24" i="24"/>
  <c r="AF24" i="24"/>
  <c r="Y24" i="24"/>
  <c r="R24" i="24"/>
  <c r="K24" i="24"/>
  <c r="G24" i="24"/>
  <c r="C24" i="24"/>
  <c r="AM23" i="24"/>
  <c r="AF23" i="24"/>
  <c r="Y23" i="24"/>
  <c r="R23" i="24"/>
  <c r="K23" i="24"/>
  <c r="G23" i="24"/>
  <c r="C23" i="24"/>
  <c r="AM22" i="24"/>
  <c r="AF22" i="24"/>
  <c r="Y22" i="24"/>
  <c r="R22" i="24"/>
  <c r="K22" i="24"/>
  <c r="G22" i="24"/>
  <c r="C22" i="24"/>
  <c r="AM21" i="24"/>
  <c r="AF21" i="24"/>
  <c r="Y21" i="24"/>
  <c r="S21" i="24"/>
  <c r="AC21" i="24" s="1"/>
  <c r="R21" i="24"/>
  <c r="Q21" i="24"/>
  <c r="K21" i="24"/>
  <c r="L21" i="24" s="1"/>
  <c r="J21" i="24"/>
  <c r="G21" i="24"/>
  <c r="F21" i="24"/>
  <c r="H21" i="24" s="1"/>
  <c r="C21" i="24"/>
  <c r="AM20" i="24"/>
  <c r="AF20" i="24"/>
  <c r="Y20" i="24"/>
  <c r="R20" i="24"/>
  <c r="K20" i="24"/>
  <c r="G20" i="24"/>
  <c r="C20" i="24"/>
  <c r="AM19" i="24"/>
  <c r="AF19" i="24"/>
  <c r="Y19" i="24"/>
  <c r="R19" i="24"/>
  <c r="K19" i="24"/>
  <c r="G19" i="24"/>
  <c r="C19" i="24"/>
  <c r="AM18" i="24"/>
  <c r="AF18" i="24"/>
  <c r="Y18" i="24"/>
  <c r="R18" i="24"/>
  <c r="K18" i="24"/>
  <c r="G18" i="24"/>
  <c r="C18" i="24"/>
  <c r="B18" i="24"/>
  <c r="AM17" i="24"/>
  <c r="AF17" i="24"/>
  <c r="Y17" i="24"/>
  <c r="R17" i="24"/>
  <c r="K17" i="24"/>
  <c r="G17" i="24"/>
  <c r="B17" i="24"/>
  <c r="C17" i="24" s="1"/>
  <c r="AM16" i="24"/>
  <c r="AF16" i="24"/>
  <c r="Y16" i="24"/>
  <c r="R16" i="24"/>
  <c r="K16" i="24"/>
  <c r="G16" i="24"/>
  <c r="C16" i="24"/>
  <c r="AM15" i="24"/>
  <c r="AF15" i="24"/>
  <c r="Y15" i="24"/>
  <c r="R15" i="24"/>
  <c r="K15" i="24"/>
  <c r="G15" i="24"/>
  <c r="C15" i="24"/>
  <c r="AP12" i="24"/>
  <c r="AI12" i="24"/>
  <c r="AB12" i="24"/>
  <c r="U12" i="24"/>
  <c r="N12" i="24"/>
  <c r="AQ11" i="24"/>
  <c r="AN11" i="24"/>
  <c r="AJ11" i="24"/>
  <c r="AG11" i="24"/>
  <c r="AC11" i="24"/>
  <c r="Z11" i="24"/>
  <c r="S11" i="24"/>
  <c r="V11" i="24" s="1"/>
  <c r="O11" i="24"/>
  <c r="L11" i="24"/>
  <c r="H11" i="24"/>
  <c r="S2" i="24"/>
  <c r="AL63" i="23"/>
  <c r="AE63" i="23"/>
  <c r="X63" i="23"/>
  <c r="Q63" i="23"/>
  <c r="J63" i="23"/>
  <c r="F63" i="23"/>
  <c r="F59" i="23"/>
  <c r="J53" i="23"/>
  <c r="F53" i="23"/>
  <c r="AL48" i="23"/>
  <c r="AE48" i="23"/>
  <c r="Y48" i="23"/>
  <c r="X48" i="23"/>
  <c r="Q48" i="23"/>
  <c r="J48" i="23"/>
  <c r="G48" i="23"/>
  <c r="H48" i="23" s="1"/>
  <c r="F48" i="23"/>
  <c r="C48" i="23"/>
  <c r="AL47" i="23"/>
  <c r="AF47" i="23"/>
  <c r="AG47" i="23" s="1"/>
  <c r="AE47" i="23"/>
  <c r="X47" i="23"/>
  <c r="Q47" i="23"/>
  <c r="J47" i="23"/>
  <c r="F47" i="23"/>
  <c r="C47" i="23"/>
  <c r="AQ46" i="23"/>
  <c r="AM46" i="23"/>
  <c r="AN46" i="23" s="1"/>
  <c r="AP46" i="23" s="1"/>
  <c r="AL46" i="23"/>
  <c r="AF46" i="23"/>
  <c r="AG46" i="23" s="1"/>
  <c r="AE46" i="23"/>
  <c r="Z46" i="23"/>
  <c r="Y46" i="23"/>
  <c r="X46" i="23"/>
  <c r="S46" i="23"/>
  <c r="R46" i="23"/>
  <c r="Q46" i="23"/>
  <c r="K46" i="23"/>
  <c r="L46" i="23" s="1"/>
  <c r="U46" i="23" s="1"/>
  <c r="J46" i="23"/>
  <c r="J35" i="23" s="1"/>
  <c r="G46" i="23"/>
  <c r="H46" i="23" s="1"/>
  <c r="F46" i="23"/>
  <c r="F35" i="23" s="1"/>
  <c r="C46" i="23"/>
  <c r="AM45" i="23"/>
  <c r="AN45" i="23" s="1"/>
  <c r="AP45" i="23" s="1"/>
  <c r="AL45" i="23"/>
  <c r="AI45" i="23"/>
  <c r="AJ45" i="23" s="1"/>
  <c r="AG45" i="23"/>
  <c r="AF45" i="23"/>
  <c r="AE45" i="23"/>
  <c r="Z45" i="23"/>
  <c r="Y45" i="23"/>
  <c r="X45" i="23"/>
  <c r="R45" i="23"/>
  <c r="Q45" i="23"/>
  <c r="Q35" i="23" s="1"/>
  <c r="K45" i="23"/>
  <c r="L45" i="23" s="1"/>
  <c r="J45" i="23"/>
  <c r="G45" i="23"/>
  <c r="H45" i="23" s="1"/>
  <c r="F45" i="23"/>
  <c r="C45" i="23"/>
  <c r="AN44" i="23"/>
  <c r="AP44" i="23" s="1"/>
  <c r="AM44" i="23"/>
  <c r="AL44" i="23"/>
  <c r="AL35" i="23" s="1"/>
  <c r="AG44" i="23"/>
  <c r="AQ44" i="23" s="1"/>
  <c r="AF44" i="23"/>
  <c r="AE44" i="23"/>
  <c r="Y44" i="23"/>
  <c r="X44" i="23"/>
  <c r="X35" i="23" s="1"/>
  <c r="Z35" i="23" s="1"/>
  <c r="R44" i="23"/>
  <c r="S44" i="23" s="1"/>
  <c r="Q44" i="23"/>
  <c r="L44" i="23"/>
  <c r="K44" i="23"/>
  <c r="J44" i="23"/>
  <c r="H44" i="23"/>
  <c r="G44" i="23"/>
  <c r="F44" i="23"/>
  <c r="C44" i="23"/>
  <c r="AM43" i="23"/>
  <c r="AF43" i="23"/>
  <c r="Y43" i="23"/>
  <c r="R43" i="23"/>
  <c r="K43" i="23"/>
  <c r="G43" i="23"/>
  <c r="C43" i="23"/>
  <c r="AM42" i="23"/>
  <c r="AF42" i="23"/>
  <c r="Y42" i="23"/>
  <c r="R42" i="23"/>
  <c r="K42" i="23"/>
  <c r="G42" i="23"/>
  <c r="C42" i="23"/>
  <c r="AM41" i="23"/>
  <c r="AF41" i="23"/>
  <c r="Y41" i="23"/>
  <c r="R41" i="23"/>
  <c r="K41" i="23"/>
  <c r="G41" i="23"/>
  <c r="C41" i="23"/>
  <c r="AF39" i="23"/>
  <c r="Y39" i="23"/>
  <c r="R39" i="23"/>
  <c r="K39" i="23"/>
  <c r="G39" i="23"/>
  <c r="C39" i="23"/>
  <c r="AF38" i="23"/>
  <c r="Y38" i="23"/>
  <c r="R38" i="23"/>
  <c r="K38" i="23"/>
  <c r="G38" i="23"/>
  <c r="C38" i="23"/>
  <c r="AM36" i="23"/>
  <c r="AF36" i="23"/>
  <c r="Y36" i="23"/>
  <c r="R36" i="23"/>
  <c r="K36" i="23"/>
  <c r="G36" i="23"/>
  <c r="C36" i="23"/>
  <c r="AI35" i="23"/>
  <c r="AG35" i="23"/>
  <c r="AF35" i="23"/>
  <c r="AE35" i="23"/>
  <c r="Y35" i="23"/>
  <c r="R35" i="23"/>
  <c r="K35" i="23"/>
  <c r="L35" i="23" s="1"/>
  <c r="G35" i="23"/>
  <c r="C35" i="23"/>
  <c r="AF34" i="23"/>
  <c r="Y34" i="23"/>
  <c r="R34" i="23"/>
  <c r="K34" i="23"/>
  <c r="G34" i="23"/>
  <c r="C34" i="23"/>
  <c r="AM33" i="23"/>
  <c r="AF33" i="23"/>
  <c r="Y33" i="23"/>
  <c r="R33" i="23"/>
  <c r="K33" i="23"/>
  <c r="G33" i="23"/>
  <c r="C33" i="23"/>
  <c r="AM32" i="23"/>
  <c r="AF32" i="23"/>
  <c r="Y32" i="23"/>
  <c r="R32" i="23"/>
  <c r="K32" i="23"/>
  <c r="G32" i="23"/>
  <c r="C32" i="23"/>
  <c r="AM31" i="23"/>
  <c r="AF31" i="23"/>
  <c r="Y31" i="23"/>
  <c r="R31" i="23"/>
  <c r="K31" i="23"/>
  <c r="G31" i="23"/>
  <c r="C31" i="23"/>
  <c r="AM30" i="23"/>
  <c r="AF30" i="23"/>
  <c r="Y30" i="23"/>
  <c r="R30" i="23"/>
  <c r="K30" i="23"/>
  <c r="G30" i="23"/>
  <c r="C30" i="23"/>
  <c r="AM28" i="23"/>
  <c r="AF28" i="23"/>
  <c r="Y28" i="23"/>
  <c r="R28" i="23"/>
  <c r="K28" i="23"/>
  <c r="G28" i="23"/>
  <c r="C28" i="23"/>
  <c r="AM27" i="23"/>
  <c r="AF27" i="23"/>
  <c r="Y27" i="23"/>
  <c r="R27" i="23"/>
  <c r="K27" i="23"/>
  <c r="G27" i="23"/>
  <c r="C27" i="23"/>
  <c r="AM26" i="23"/>
  <c r="AF26" i="23"/>
  <c r="Y26" i="23"/>
  <c r="R26" i="23"/>
  <c r="K26" i="23"/>
  <c r="G26" i="23"/>
  <c r="C26" i="23"/>
  <c r="AM25" i="23"/>
  <c r="AF25" i="23"/>
  <c r="Y25" i="23"/>
  <c r="R25" i="23"/>
  <c r="K25" i="23"/>
  <c r="G25" i="23"/>
  <c r="C25" i="23"/>
  <c r="AM24" i="23"/>
  <c r="AF24" i="23"/>
  <c r="Y24" i="23"/>
  <c r="R24" i="23"/>
  <c r="K24" i="23"/>
  <c r="G24" i="23"/>
  <c r="C24" i="23"/>
  <c r="AM23" i="23"/>
  <c r="AF23" i="23"/>
  <c r="Y23" i="23"/>
  <c r="R23" i="23"/>
  <c r="K23" i="23"/>
  <c r="G23" i="23"/>
  <c r="C23" i="23"/>
  <c r="AM22" i="23"/>
  <c r="AF22" i="23"/>
  <c r="Y22" i="23"/>
  <c r="R22" i="23"/>
  <c r="K22" i="23"/>
  <c r="G22" i="23"/>
  <c r="C22" i="23"/>
  <c r="AM21" i="23"/>
  <c r="AF21" i="23"/>
  <c r="Y21" i="23"/>
  <c r="R21" i="23"/>
  <c r="S21" i="23" s="1"/>
  <c r="U21" i="23" s="1"/>
  <c r="Q21" i="23"/>
  <c r="L21" i="23"/>
  <c r="K21" i="23"/>
  <c r="J21" i="23"/>
  <c r="H21" i="23"/>
  <c r="G21" i="23"/>
  <c r="F21" i="23"/>
  <c r="C21" i="23"/>
  <c r="AM20" i="23"/>
  <c r="AF20" i="23"/>
  <c r="Y20" i="23"/>
  <c r="R20" i="23"/>
  <c r="K20" i="23"/>
  <c r="G20" i="23"/>
  <c r="C20" i="23"/>
  <c r="AM19" i="23"/>
  <c r="AF19" i="23"/>
  <c r="Y19" i="23"/>
  <c r="R19" i="23"/>
  <c r="K19" i="23"/>
  <c r="G19" i="23"/>
  <c r="C19" i="23"/>
  <c r="AM18" i="23"/>
  <c r="AF18" i="23"/>
  <c r="Y18" i="23"/>
  <c r="R18" i="23"/>
  <c r="K18" i="23"/>
  <c r="G18" i="23"/>
  <c r="B18" i="23"/>
  <c r="C18" i="23" s="1"/>
  <c r="AM17" i="23"/>
  <c r="AF17" i="23"/>
  <c r="Y17" i="23"/>
  <c r="R17" i="23"/>
  <c r="K17" i="23"/>
  <c r="G17" i="23"/>
  <c r="B17" i="23"/>
  <c r="C17" i="23" s="1"/>
  <c r="AM16" i="23"/>
  <c r="AF16" i="23"/>
  <c r="Y16" i="23"/>
  <c r="R16" i="23"/>
  <c r="K16" i="23"/>
  <c r="G16" i="23"/>
  <c r="C16" i="23"/>
  <c r="AM15" i="23"/>
  <c r="AF15" i="23"/>
  <c r="Y15" i="23"/>
  <c r="R15" i="23"/>
  <c r="K15" i="23"/>
  <c r="G15" i="23"/>
  <c r="C15" i="23"/>
  <c r="AP12" i="23"/>
  <c r="AI12" i="23"/>
  <c r="AB12" i="23"/>
  <c r="U12" i="23"/>
  <c r="N12" i="23"/>
  <c r="AQ11" i="23"/>
  <c r="AN11" i="23"/>
  <c r="AG11" i="23"/>
  <c r="AJ11" i="23" s="1"/>
  <c r="AC11" i="23"/>
  <c r="Z11" i="23"/>
  <c r="S11" i="23"/>
  <c r="V11" i="23" s="1"/>
  <c r="O11" i="23"/>
  <c r="L11" i="23"/>
  <c r="H11" i="23"/>
  <c r="S2" i="23"/>
  <c r="AM48" i="23" s="1"/>
  <c r="AN48" i="23" s="1"/>
  <c r="AL63" i="22"/>
  <c r="AE63" i="22"/>
  <c r="X63" i="22"/>
  <c r="Q63" i="22"/>
  <c r="J63" i="22"/>
  <c r="F63" i="22"/>
  <c r="G38" i="22" s="1"/>
  <c r="F59" i="22"/>
  <c r="J53" i="22"/>
  <c r="F53" i="22"/>
  <c r="AL48" i="22"/>
  <c r="AE48" i="22"/>
  <c r="X48" i="22"/>
  <c r="Q48" i="22"/>
  <c r="J48" i="22"/>
  <c r="F48" i="22"/>
  <c r="C48" i="22"/>
  <c r="AL47" i="22"/>
  <c r="AE47" i="22"/>
  <c r="Y47" i="22"/>
  <c r="Z47" i="22" s="1"/>
  <c r="X47" i="22"/>
  <c r="Q47" i="22"/>
  <c r="J47" i="22"/>
  <c r="F47" i="22"/>
  <c r="C47" i="22"/>
  <c r="AM46" i="22"/>
  <c r="AN46" i="22" s="1"/>
  <c r="AL46" i="22"/>
  <c r="AF46" i="22"/>
  <c r="AG46" i="22" s="1"/>
  <c r="AE46" i="22"/>
  <c r="Z46" i="22"/>
  <c r="Y46" i="22"/>
  <c r="X46" i="22"/>
  <c r="R46" i="22"/>
  <c r="Q46" i="22"/>
  <c r="K46" i="22"/>
  <c r="L46" i="22" s="1"/>
  <c r="J46" i="22"/>
  <c r="H46" i="22"/>
  <c r="G46" i="22"/>
  <c r="F46" i="22"/>
  <c r="C46" i="22"/>
  <c r="AN45" i="22"/>
  <c r="AP45" i="22" s="1"/>
  <c r="AM45" i="22"/>
  <c r="AL45" i="22"/>
  <c r="AG45" i="22"/>
  <c r="AF45" i="22"/>
  <c r="AE45" i="22"/>
  <c r="Y45" i="22"/>
  <c r="X45" i="22"/>
  <c r="R45" i="22"/>
  <c r="S45" i="22" s="1"/>
  <c r="Q45" i="22"/>
  <c r="K45" i="22"/>
  <c r="L45" i="22" s="1"/>
  <c r="J45" i="22"/>
  <c r="G45" i="22"/>
  <c r="H45" i="22" s="1"/>
  <c r="F45" i="22"/>
  <c r="C45" i="22"/>
  <c r="AN44" i="22"/>
  <c r="AM44" i="22"/>
  <c r="AL44" i="22"/>
  <c r="AF44" i="22"/>
  <c r="AE44" i="22"/>
  <c r="AE35" i="22" s="1"/>
  <c r="AG35" i="22" s="1"/>
  <c r="Y44" i="22"/>
  <c r="Z44" i="22" s="1"/>
  <c r="X44" i="22"/>
  <c r="R44" i="22"/>
  <c r="S44" i="22" s="1"/>
  <c r="Q44" i="22"/>
  <c r="L44" i="22"/>
  <c r="K44" i="22"/>
  <c r="J44" i="22"/>
  <c r="J35" i="22" s="1"/>
  <c r="G44" i="22"/>
  <c r="H44" i="22" s="1"/>
  <c r="F44" i="22"/>
  <c r="C44" i="22"/>
  <c r="AM43" i="22"/>
  <c r="AF43" i="22"/>
  <c r="Y43" i="22"/>
  <c r="R43" i="22"/>
  <c r="K43" i="22"/>
  <c r="G43" i="22"/>
  <c r="C43" i="22"/>
  <c r="AM42" i="22"/>
  <c r="AF42" i="22"/>
  <c r="Y42" i="22"/>
  <c r="K42" i="22"/>
  <c r="G42" i="22"/>
  <c r="C42" i="22"/>
  <c r="AM41" i="22"/>
  <c r="AF41" i="22"/>
  <c r="Y41" i="22"/>
  <c r="K41" i="22"/>
  <c r="G41" i="22"/>
  <c r="C41" i="22"/>
  <c r="AM39" i="22"/>
  <c r="AF39" i="22"/>
  <c r="Y39" i="22"/>
  <c r="G39" i="22"/>
  <c r="C39" i="22"/>
  <c r="AM38" i="22"/>
  <c r="AF38" i="22"/>
  <c r="Y38" i="22"/>
  <c r="C38" i="22"/>
  <c r="AM36" i="22"/>
  <c r="AF36" i="22"/>
  <c r="Y36" i="22"/>
  <c r="R36" i="22"/>
  <c r="K36" i="22"/>
  <c r="G36" i="22"/>
  <c r="C36" i="22"/>
  <c r="AM35" i="22"/>
  <c r="AN35" i="22" s="1"/>
  <c r="AL35" i="22"/>
  <c r="AF35" i="22"/>
  <c r="Y35" i="22"/>
  <c r="X35" i="22"/>
  <c r="Q35" i="22"/>
  <c r="G35" i="22"/>
  <c r="H35" i="22" s="1"/>
  <c r="F35" i="22"/>
  <c r="C35" i="22"/>
  <c r="AM34" i="22"/>
  <c r="AF34" i="22"/>
  <c r="Y34" i="22"/>
  <c r="G34" i="22"/>
  <c r="C34" i="22"/>
  <c r="AM33" i="22"/>
  <c r="AF33" i="22"/>
  <c r="Y33" i="22"/>
  <c r="R33" i="22"/>
  <c r="K33" i="22"/>
  <c r="G33" i="22"/>
  <c r="C33" i="22"/>
  <c r="AM32" i="22"/>
  <c r="AF32" i="22"/>
  <c r="Y32" i="22"/>
  <c r="R32" i="22"/>
  <c r="K32" i="22"/>
  <c r="G32" i="22"/>
  <c r="C32" i="22"/>
  <c r="AM31" i="22"/>
  <c r="AF31" i="22"/>
  <c r="Y31" i="22"/>
  <c r="R31" i="22"/>
  <c r="K31" i="22"/>
  <c r="G31" i="22"/>
  <c r="C31" i="22"/>
  <c r="AM30" i="22"/>
  <c r="AF30" i="22"/>
  <c r="Y30" i="22"/>
  <c r="R30" i="22"/>
  <c r="K30" i="22"/>
  <c r="G30" i="22"/>
  <c r="C30" i="22"/>
  <c r="AM28" i="22"/>
  <c r="AF28" i="22"/>
  <c r="Y28" i="22"/>
  <c r="R28" i="22"/>
  <c r="K28" i="22"/>
  <c r="G28" i="22"/>
  <c r="C28" i="22"/>
  <c r="AM27" i="22"/>
  <c r="AF27" i="22"/>
  <c r="Y27" i="22"/>
  <c r="R27" i="22"/>
  <c r="K27" i="22"/>
  <c r="G27" i="22"/>
  <c r="C27" i="22"/>
  <c r="AM26" i="22"/>
  <c r="AF26" i="22"/>
  <c r="Y26" i="22"/>
  <c r="R26" i="22"/>
  <c r="K26" i="22"/>
  <c r="G26" i="22"/>
  <c r="C26" i="22"/>
  <c r="AM25" i="22"/>
  <c r="AF25" i="22"/>
  <c r="Y25" i="22"/>
  <c r="R25" i="22"/>
  <c r="K25" i="22"/>
  <c r="G25" i="22"/>
  <c r="C25" i="22"/>
  <c r="AM24" i="22"/>
  <c r="AF24" i="22"/>
  <c r="Y24" i="22"/>
  <c r="R24" i="22"/>
  <c r="K24" i="22"/>
  <c r="G24" i="22"/>
  <c r="C24" i="22"/>
  <c r="AM23" i="22"/>
  <c r="AF23" i="22"/>
  <c r="Y23" i="22"/>
  <c r="R23" i="22"/>
  <c r="K23" i="22"/>
  <c r="G23" i="22"/>
  <c r="C23" i="22"/>
  <c r="AM22" i="22"/>
  <c r="AF22" i="22"/>
  <c r="Y22" i="22"/>
  <c r="R22" i="22"/>
  <c r="K22" i="22"/>
  <c r="G22" i="22"/>
  <c r="C22" i="22"/>
  <c r="AM21" i="22"/>
  <c r="AF21" i="22"/>
  <c r="Y21" i="22"/>
  <c r="R21" i="22"/>
  <c r="S21" i="22" s="1"/>
  <c r="U21" i="22" s="1"/>
  <c r="Q21" i="22"/>
  <c r="L21" i="22"/>
  <c r="K21" i="22"/>
  <c r="J21" i="22"/>
  <c r="G21" i="22"/>
  <c r="H21" i="22" s="1"/>
  <c r="F21" i="22"/>
  <c r="C21" i="22"/>
  <c r="AM20" i="22"/>
  <c r="AF20" i="22"/>
  <c r="Y20" i="22"/>
  <c r="R20" i="22"/>
  <c r="K20" i="22"/>
  <c r="G20" i="22"/>
  <c r="C20" i="22"/>
  <c r="AM19" i="22"/>
  <c r="AF19" i="22"/>
  <c r="Y19" i="22"/>
  <c r="R19" i="22"/>
  <c r="K19" i="22"/>
  <c r="G19" i="22"/>
  <c r="C19" i="22"/>
  <c r="AM18" i="22"/>
  <c r="AF18" i="22"/>
  <c r="Y18" i="22"/>
  <c r="R18" i="22"/>
  <c r="K18" i="22"/>
  <c r="G18" i="22"/>
  <c r="B18" i="22"/>
  <c r="C18" i="22" s="1"/>
  <c r="AM17" i="22"/>
  <c r="AF17" i="22"/>
  <c r="Y17" i="22"/>
  <c r="R17" i="22"/>
  <c r="K17" i="22"/>
  <c r="G17" i="22"/>
  <c r="B17" i="22"/>
  <c r="C17" i="22" s="1"/>
  <c r="AM16" i="22"/>
  <c r="AF16" i="22"/>
  <c r="Y16" i="22"/>
  <c r="R16" i="22"/>
  <c r="K16" i="22"/>
  <c r="G16" i="22"/>
  <c r="C16" i="22"/>
  <c r="AM15" i="22"/>
  <c r="AF15" i="22"/>
  <c r="Y15" i="22"/>
  <c r="R15" i="22"/>
  <c r="K15" i="22"/>
  <c r="G15" i="22"/>
  <c r="C15" i="22"/>
  <c r="AP12" i="22"/>
  <c r="AI12" i="22"/>
  <c r="AB12" i="22"/>
  <c r="U12" i="22"/>
  <c r="N12" i="22"/>
  <c r="AQ11" i="22"/>
  <c r="AN11" i="22"/>
  <c r="AG11" i="22"/>
  <c r="AJ11" i="22" s="1"/>
  <c r="AC11" i="22"/>
  <c r="Z11" i="22"/>
  <c r="V11" i="22"/>
  <c r="S11" i="22"/>
  <c r="O11" i="22"/>
  <c r="L11" i="22"/>
  <c r="H11" i="22"/>
  <c r="S2" i="22"/>
  <c r="R48" i="22" s="1"/>
  <c r="S48" i="22" s="1"/>
  <c r="AL63" i="21"/>
  <c r="AE63" i="21"/>
  <c r="AF35" i="21" s="1"/>
  <c r="AG35" i="21" s="1"/>
  <c r="X63" i="21"/>
  <c r="Q63" i="21"/>
  <c r="J63" i="21"/>
  <c r="F63" i="21"/>
  <c r="AE59" i="21"/>
  <c r="J59" i="21"/>
  <c r="F59" i="21"/>
  <c r="AL53" i="21"/>
  <c r="AL59" i="21" s="1"/>
  <c r="AE53" i="21"/>
  <c r="X53" i="21"/>
  <c r="Q53" i="21"/>
  <c r="Q59" i="21" s="1"/>
  <c r="J53" i="21"/>
  <c r="F53" i="21"/>
  <c r="AL48" i="21"/>
  <c r="AE48" i="21"/>
  <c r="X48" i="21"/>
  <c r="Q48" i="21"/>
  <c r="J48" i="21"/>
  <c r="F48" i="21"/>
  <c r="C48" i="21"/>
  <c r="AL47" i="21"/>
  <c r="AE47" i="21"/>
  <c r="X47" i="21"/>
  <c r="Q47" i="21"/>
  <c r="K47" i="21"/>
  <c r="L47" i="21" s="1"/>
  <c r="J47" i="21"/>
  <c r="F47" i="21"/>
  <c r="C47" i="21"/>
  <c r="AM46" i="21"/>
  <c r="AL46" i="21"/>
  <c r="AL35" i="21" s="1"/>
  <c r="AI46" i="21"/>
  <c r="AG46" i="21"/>
  <c r="AF46" i="21"/>
  <c r="AE46" i="21"/>
  <c r="Z46" i="21"/>
  <c r="AB46" i="21" s="1"/>
  <c r="Y46" i="21"/>
  <c r="X46" i="21"/>
  <c r="R46" i="21"/>
  <c r="S46" i="21" s="1"/>
  <c r="Q46" i="21"/>
  <c r="Q35" i="21" s="1"/>
  <c r="K46" i="21"/>
  <c r="J46" i="21"/>
  <c r="L46" i="21" s="1"/>
  <c r="G46" i="21"/>
  <c r="F46" i="21"/>
  <c r="F35" i="21" s="1"/>
  <c r="C46" i="21"/>
  <c r="AP45" i="21"/>
  <c r="AN45" i="21"/>
  <c r="AM45" i="21"/>
  <c r="AL45" i="21"/>
  <c r="AG45" i="21"/>
  <c r="AF45" i="21"/>
  <c r="AE45" i="21"/>
  <c r="Y45" i="21"/>
  <c r="X45" i="21"/>
  <c r="X35" i="21" s="1"/>
  <c r="R45" i="21"/>
  <c r="Q45" i="21"/>
  <c r="S45" i="21" s="1"/>
  <c r="K45" i="21"/>
  <c r="L45" i="21" s="1"/>
  <c r="J45" i="21"/>
  <c r="G45" i="21"/>
  <c r="H45" i="21" s="1"/>
  <c r="F45" i="21"/>
  <c r="C45" i="21"/>
  <c r="AN44" i="21"/>
  <c r="AM44" i="21"/>
  <c r="AL44" i="21"/>
  <c r="AF44" i="21"/>
  <c r="AE44" i="21"/>
  <c r="AE35" i="21" s="1"/>
  <c r="AC44" i="21"/>
  <c r="Y44" i="21"/>
  <c r="X44" i="21"/>
  <c r="Z44" i="21" s="1"/>
  <c r="AB44" i="21" s="1"/>
  <c r="S44" i="21"/>
  <c r="R44" i="21"/>
  <c r="Q44" i="21"/>
  <c r="L44" i="21"/>
  <c r="K44" i="21"/>
  <c r="J44" i="21"/>
  <c r="G44" i="21"/>
  <c r="H44" i="21" s="1"/>
  <c r="F44" i="21"/>
  <c r="C44" i="21"/>
  <c r="AM43" i="21"/>
  <c r="AF43" i="21"/>
  <c r="Y43" i="21"/>
  <c r="R43" i="21"/>
  <c r="K43" i="21"/>
  <c r="G43" i="21"/>
  <c r="C43" i="21"/>
  <c r="AF42" i="21"/>
  <c r="G42" i="21"/>
  <c r="C42" i="21"/>
  <c r="AM41" i="21"/>
  <c r="AF41" i="21"/>
  <c r="G41" i="21"/>
  <c r="C41" i="21"/>
  <c r="AF39" i="21"/>
  <c r="G39" i="21"/>
  <c r="C39" i="21"/>
  <c r="AM38" i="21"/>
  <c r="AF38" i="21"/>
  <c r="G38" i="21"/>
  <c r="C38" i="21"/>
  <c r="AM36" i="21"/>
  <c r="AF36" i="21"/>
  <c r="Y36" i="21"/>
  <c r="R36" i="21"/>
  <c r="K36" i="21"/>
  <c r="G36" i="21"/>
  <c r="C36" i="21"/>
  <c r="AM35" i="21"/>
  <c r="AN35" i="21" s="1"/>
  <c r="AP35" i="21" s="1"/>
  <c r="J35" i="21"/>
  <c r="H35" i="21"/>
  <c r="G35" i="21"/>
  <c r="C35" i="21"/>
  <c r="AF34" i="21"/>
  <c r="K34" i="21"/>
  <c r="G34" i="21"/>
  <c r="C34" i="21"/>
  <c r="AM33" i="21"/>
  <c r="AF33" i="21"/>
  <c r="Y33" i="21"/>
  <c r="R33" i="21"/>
  <c r="K33" i="21"/>
  <c r="G33" i="21"/>
  <c r="C33" i="21"/>
  <c r="AM32" i="21"/>
  <c r="AF32" i="21"/>
  <c r="Y32" i="21"/>
  <c r="R32" i="21"/>
  <c r="K32" i="21"/>
  <c r="G32" i="21"/>
  <c r="C32" i="21"/>
  <c r="AM31" i="21"/>
  <c r="AF31" i="21"/>
  <c r="Y31" i="21"/>
  <c r="R31" i="21"/>
  <c r="K31" i="21"/>
  <c r="G31" i="21"/>
  <c r="C31" i="21"/>
  <c r="AM30" i="21"/>
  <c r="AF30" i="21"/>
  <c r="Y30" i="21"/>
  <c r="R30" i="21"/>
  <c r="K30" i="21"/>
  <c r="G30" i="21"/>
  <c r="C30" i="21"/>
  <c r="AM28" i="21"/>
  <c r="AF28" i="21"/>
  <c r="Y28" i="21"/>
  <c r="R28" i="21"/>
  <c r="K28" i="21"/>
  <c r="G28" i="21"/>
  <c r="C28" i="21"/>
  <c r="AM27" i="21"/>
  <c r="AF27" i="21"/>
  <c r="Y27" i="21"/>
  <c r="R27" i="21"/>
  <c r="K27" i="21"/>
  <c r="G27" i="21"/>
  <c r="C27" i="21"/>
  <c r="AM26" i="21"/>
  <c r="AF26" i="21"/>
  <c r="Y26" i="21"/>
  <c r="R26" i="21"/>
  <c r="K26" i="21"/>
  <c r="G26" i="21"/>
  <c r="C26" i="21"/>
  <c r="AM25" i="21"/>
  <c r="AF25" i="21"/>
  <c r="Y25" i="21"/>
  <c r="R25" i="21"/>
  <c r="K25" i="21"/>
  <c r="G25" i="21"/>
  <c r="C25" i="21"/>
  <c r="AM24" i="21"/>
  <c r="AF24" i="21"/>
  <c r="Y24" i="21"/>
  <c r="R24" i="21"/>
  <c r="K24" i="21"/>
  <c r="G24" i="21"/>
  <c r="C24" i="21"/>
  <c r="AM23" i="21"/>
  <c r="AF23" i="21"/>
  <c r="Y23" i="21"/>
  <c r="R23" i="21"/>
  <c r="K23" i="21"/>
  <c r="G23" i="21"/>
  <c r="C23" i="21"/>
  <c r="AM22" i="21"/>
  <c r="AF22" i="21"/>
  <c r="Y22" i="21"/>
  <c r="R22" i="21"/>
  <c r="K22" i="21"/>
  <c r="G22" i="21"/>
  <c r="C22" i="21"/>
  <c r="AM21" i="21"/>
  <c r="AF21" i="21"/>
  <c r="Y21" i="21"/>
  <c r="R21" i="21"/>
  <c r="S21" i="21" s="1"/>
  <c r="AC21" i="21" s="1"/>
  <c r="Q21" i="21"/>
  <c r="L21" i="21"/>
  <c r="K21" i="21"/>
  <c r="J21" i="21"/>
  <c r="G21" i="21"/>
  <c r="F21" i="21"/>
  <c r="H21" i="21" s="1"/>
  <c r="C21" i="21"/>
  <c r="AM20" i="21"/>
  <c r="AF20" i="21"/>
  <c r="Y20" i="21"/>
  <c r="R20" i="21"/>
  <c r="K20" i="21"/>
  <c r="G20" i="21"/>
  <c r="C20" i="21"/>
  <c r="AM19" i="21"/>
  <c r="AF19" i="21"/>
  <c r="Y19" i="21"/>
  <c r="R19" i="21"/>
  <c r="K19" i="21"/>
  <c r="G19" i="21"/>
  <c r="C19" i="21"/>
  <c r="AM18" i="21"/>
  <c r="AF18" i="21"/>
  <c r="Y18" i="21"/>
  <c r="R18" i="21"/>
  <c r="K18" i="21"/>
  <c r="G18" i="21"/>
  <c r="B18" i="21"/>
  <c r="C18" i="21" s="1"/>
  <c r="AM17" i="21"/>
  <c r="AF17" i="21"/>
  <c r="Y17" i="21"/>
  <c r="R17" i="21"/>
  <c r="K17" i="21"/>
  <c r="G17" i="21"/>
  <c r="B17" i="21"/>
  <c r="C17" i="21" s="1"/>
  <c r="AM16" i="21"/>
  <c r="AF16" i="21"/>
  <c r="Y16" i="21"/>
  <c r="R16" i="21"/>
  <c r="K16" i="21"/>
  <c r="G16" i="21"/>
  <c r="C16" i="21"/>
  <c r="AM15" i="21"/>
  <c r="AF15" i="21"/>
  <c r="Y15" i="21"/>
  <c r="R15" i="21"/>
  <c r="K15" i="21"/>
  <c r="G15" i="21"/>
  <c r="C15" i="21"/>
  <c r="AP12" i="21"/>
  <c r="AI12" i="21"/>
  <c r="AB12" i="21"/>
  <c r="U12" i="21"/>
  <c r="N12" i="21"/>
  <c r="AN11" i="21"/>
  <c r="AQ11" i="21" s="1"/>
  <c r="AG11" i="21"/>
  <c r="AJ11" i="21" s="1"/>
  <c r="AC11" i="21"/>
  <c r="Z11" i="21"/>
  <c r="S11" i="21"/>
  <c r="V11" i="21" s="1"/>
  <c r="L11" i="21"/>
  <c r="O11" i="21" s="1"/>
  <c r="H11" i="21"/>
  <c r="S2" i="21"/>
  <c r="G48" i="21" s="1"/>
  <c r="H48" i="21" s="1"/>
  <c r="AL63" i="20"/>
  <c r="AE63" i="20"/>
  <c r="X63" i="20"/>
  <c r="Q63" i="20"/>
  <c r="J63" i="20"/>
  <c r="K42" i="20" s="1"/>
  <c r="F63" i="20"/>
  <c r="AL53" i="20"/>
  <c r="AE53" i="20"/>
  <c r="AE59" i="20" s="1"/>
  <c r="X53" i="20"/>
  <c r="Q53" i="20"/>
  <c r="Q59" i="20" s="1"/>
  <c r="J53" i="20"/>
  <c r="J59" i="20" s="1"/>
  <c r="F53" i="20"/>
  <c r="AM48" i="20"/>
  <c r="AN48" i="20" s="1"/>
  <c r="AL48" i="20"/>
  <c r="AF48" i="20"/>
  <c r="AG48" i="20" s="1"/>
  <c r="AE48" i="20"/>
  <c r="X48" i="20"/>
  <c r="R48" i="20"/>
  <c r="S48" i="20" s="1"/>
  <c r="Q48" i="20"/>
  <c r="K48" i="20"/>
  <c r="J48" i="20"/>
  <c r="G48" i="20"/>
  <c r="H48" i="20" s="1"/>
  <c r="F48" i="20"/>
  <c r="C48" i="20"/>
  <c r="AN47" i="20"/>
  <c r="AM47" i="20"/>
  <c r="AL47" i="20"/>
  <c r="AE47" i="20"/>
  <c r="Y47" i="20"/>
  <c r="Z47" i="20" s="1"/>
  <c r="X47" i="20"/>
  <c r="R47" i="20"/>
  <c r="Q47" i="20"/>
  <c r="K47" i="20"/>
  <c r="L47" i="20" s="1"/>
  <c r="J47" i="20"/>
  <c r="H47" i="20"/>
  <c r="G47" i="20"/>
  <c r="F47" i="20"/>
  <c r="C47" i="20"/>
  <c r="AN46" i="20"/>
  <c r="AM46" i="20"/>
  <c r="AL46" i="20"/>
  <c r="AF46" i="20"/>
  <c r="AE46" i="20"/>
  <c r="Y46" i="20"/>
  <c r="X46" i="20"/>
  <c r="R46" i="20"/>
  <c r="S46" i="20" s="1"/>
  <c r="U46" i="20" s="1"/>
  <c r="Q46" i="20"/>
  <c r="L46" i="20"/>
  <c r="K46" i="20"/>
  <c r="J46" i="20"/>
  <c r="G46" i="20"/>
  <c r="H46" i="20" s="1"/>
  <c r="F46" i="20"/>
  <c r="C46" i="20"/>
  <c r="AM45" i="20"/>
  <c r="AL45" i="20"/>
  <c r="AF45" i="20"/>
  <c r="AE45" i="20"/>
  <c r="AE35" i="20" s="1"/>
  <c r="Y45" i="20"/>
  <c r="Z45" i="20" s="1"/>
  <c r="X45" i="20"/>
  <c r="S45" i="20"/>
  <c r="R45" i="20"/>
  <c r="Q45" i="20"/>
  <c r="K45" i="20"/>
  <c r="L45" i="20" s="1"/>
  <c r="N45" i="20" s="1"/>
  <c r="J45" i="20"/>
  <c r="G45" i="20"/>
  <c r="F45" i="20"/>
  <c r="H45" i="20" s="1"/>
  <c r="C45" i="20"/>
  <c r="AM44" i="20"/>
  <c r="AN44" i="20" s="1"/>
  <c r="AP44" i="20" s="1"/>
  <c r="AL44" i="20"/>
  <c r="AF44" i="20"/>
  <c r="AG44" i="20" s="1"/>
  <c r="AE44" i="20"/>
  <c r="Z44" i="20"/>
  <c r="Y44" i="20"/>
  <c r="X44" i="20"/>
  <c r="R44" i="20"/>
  <c r="S44" i="20" s="1"/>
  <c r="Q44" i="20"/>
  <c r="L44" i="20"/>
  <c r="K44" i="20"/>
  <c r="J44" i="20"/>
  <c r="J35" i="20" s="1"/>
  <c r="G44" i="20"/>
  <c r="F44" i="20"/>
  <c r="H44" i="20" s="1"/>
  <c r="C44" i="20"/>
  <c r="AM43" i="20"/>
  <c r="AF43" i="20"/>
  <c r="Y43" i="20"/>
  <c r="R43" i="20"/>
  <c r="K43" i="20"/>
  <c r="G43" i="20"/>
  <c r="C43" i="20"/>
  <c r="AM42" i="20"/>
  <c r="Y42" i="20"/>
  <c r="R42" i="20"/>
  <c r="G42" i="20"/>
  <c r="C42" i="20"/>
  <c r="AM41" i="20"/>
  <c r="Y41" i="20"/>
  <c r="K41" i="20"/>
  <c r="G41" i="20"/>
  <c r="C41" i="20"/>
  <c r="AM39" i="20"/>
  <c r="R39" i="20"/>
  <c r="K39" i="20"/>
  <c r="G39" i="20"/>
  <c r="C39" i="20"/>
  <c r="AM38" i="20"/>
  <c r="Y38" i="20"/>
  <c r="R38" i="20"/>
  <c r="K38" i="20"/>
  <c r="G38" i="20"/>
  <c r="C38" i="20"/>
  <c r="AM36" i="20"/>
  <c r="AF36" i="20"/>
  <c r="Y36" i="20"/>
  <c r="R36" i="20"/>
  <c r="K36" i="20"/>
  <c r="G36" i="20"/>
  <c r="C36" i="20"/>
  <c r="AM35" i="20"/>
  <c r="AL35" i="20"/>
  <c r="AF35" i="20"/>
  <c r="Y35" i="20"/>
  <c r="Q35" i="20"/>
  <c r="K35" i="20"/>
  <c r="L35" i="20" s="1"/>
  <c r="G35" i="20"/>
  <c r="C35" i="20"/>
  <c r="AM34" i="20"/>
  <c r="K34" i="20"/>
  <c r="G34" i="20"/>
  <c r="C34" i="20"/>
  <c r="AM33" i="20"/>
  <c r="AF33" i="20"/>
  <c r="Y33" i="20"/>
  <c r="R33" i="20"/>
  <c r="K33" i="20"/>
  <c r="G33" i="20"/>
  <c r="C33" i="20"/>
  <c r="AM32" i="20"/>
  <c r="AF32" i="20"/>
  <c r="Y32" i="20"/>
  <c r="R32" i="20"/>
  <c r="K32" i="20"/>
  <c r="G32" i="20"/>
  <c r="C32" i="20"/>
  <c r="AM31" i="20"/>
  <c r="AF31" i="20"/>
  <c r="Y31" i="20"/>
  <c r="R31" i="20"/>
  <c r="K31" i="20"/>
  <c r="G31" i="20"/>
  <c r="C31" i="20"/>
  <c r="AM30" i="20"/>
  <c r="AF30" i="20"/>
  <c r="Y30" i="20"/>
  <c r="R30" i="20"/>
  <c r="K30" i="20"/>
  <c r="G30" i="20"/>
  <c r="C30" i="20"/>
  <c r="AM28" i="20"/>
  <c r="AF28" i="20"/>
  <c r="Y28" i="20"/>
  <c r="R28" i="20"/>
  <c r="K28" i="20"/>
  <c r="G28" i="20"/>
  <c r="C28" i="20"/>
  <c r="AM27" i="20"/>
  <c r="AF27" i="20"/>
  <c r="Y27" i="20"/>
  <c r="R27" i="20"/>
  <c r="K27" i="20"/>
  <c r="G27" i="20"/>
  <c r="C27" i="20"/>
  <c r="AM26" i="20"/>
  <c r="AF26" i="20"/>
  <c r="Y26" i="20"/>
  <c r="R26" i="20"/>
  <c r="K26" i="20"/>
  <c r="G26" i="20"/>
  <c r="C26" i="20"/>
  <c r="AM25" i="20"/>
  <c r="AF25" i="20"/>
  <c r="Y25" i="20"/>
  <c r="R25" i="20"/>
  <c r="K25" i="20"/>
  <c r="G25" i="20"/>
  <c r="C25" i="20"/>
  <c r="AM24" i="20"/>
  <c r="AF24" i="20"/>
  <c r="Y24" i="20"/>
  <c r="R24" i="20"/>
  <c r="K24" i="20"/>
  <c r="G24" i="20"/>
  <c r="C24" i="20"/>
  <c r="AM23" i="20"/>
  <c r="AF23" i="20"/>
  <c r="Y23" i="20"/>
  <c r="R23" i="20"/>
  <c r="K23" i="20"/>
  <c r="G23" i="20"/>
  <c r="C23" i="20"/>
  <c r="AM22" i="20"/>
  <c r="AF22" i="20"/>
  <c r="Y22" i="20"/>
  <c r="R22" i="20"/>
  <c r="K22" i="20"/>
  <c r="G22" i="20"/>
  <c r="C22" i="20"/>
  <c r="AM21" i="20"/>
  <c r="AF21" i="20"/>
  <c r="Y21" i="20"/>
  <c r="R21" i="20"/>
  <c r="S21" i="20" s="1"/>
  <c r="AC21" i="20" s="1"/>
  <c r="Q21" i="20"/>
  <c r="K21" i="20"/>
  <c r="L21" i="20" s="1"/>
  <c r="J21" i="20"/>
  <c r="G21" i="20"/>
  <c r="H21" i="20" s="1"/>
  <c r="F21" i="20"/>
  <c r="C21" i="20"/>
  <c r="AM20" i="20"/>
  <c r="AF20" i="20"/>
  <c r="Y20" i="20"/>
  <c r="R20" i="20"/>
  <c r="K20" i="20"/>
  <c r="G20" i="20"/>
  <c r="C20" i="20"/>
  <c r="AM19" i="20"/>
  <c r="AF19" i="20"/>
  <c r="Y19" i="20"/>
  <c r="R19" i="20"/>
  <c r="K19" i="20"/>
  <c r="G19" i="20"/>
  <c r="C19" i="20"/>
  <c r="AM18" i="20"/>
  <c r="AF18" i="20"/>
  <c r="Y18" i="20"/>
  <c r="R18" i="20"/>
  <c r="K18" i="20"/>
  <c r="G18" i="20"/>
  <c r="B18" i="20"/>
  <c r="C18" i="20" s="1"/>
  <c r="AM17" i="20"/>
  <c r="AF17" i="20"/>
  <c r="Y17" i="20"/>
  <c r="R17" i="20"/>
  <c r="K17" i="20"/>
  <c r="G17" i="20"/>
  <c r="B17" i="20"/>
  <c r="C17" i="20" s="1"/>
  <c r="AM16" i="20"/>
  <c r="AF16" i="20"/>
  <c r="Y16" i="20"/>
  <c r="R16" i="20"/>
  <c r="K16" i="20"/>
  <c r="G16" i="20"/>
  <c r="C16" i="20"/>
  <c r="AM15" i="20"/>
  <c r="AF15" i="20"/>
  <c r="Y15" i="20"/>
  <c r="R15" i="20"/>
  <c r="K15" i="20"/>
  <c r="G15" i="20"/>
  <c r="C15" i="20"/>
  <c r="AP12" i="20"/>
  <c r="AI12" i="20"/>
  <c r="AB12" i="20"/>
  <c r="U12" i="20"/>
  <c r="N12" i="20"/>
  <c r="AN11" i="20"/>
  <c r="AQ11" i="20" s="1"/>
  <c r="AJ11" i="20"/>
  <c r="AG11" i="20"/>
  <c r="Z11" i="20"/>
  <c r="AC11" i="20" s="1"/>
  <c r="V11" i="20"/>
  <c r="S11" i="20"/>
  <c r="O11" i="20"/>
  <c r="L11" i="20"/>
  <c r="H11" i="20"/>
  <c r="S2" i="20"/>
  <c r="Y48" i="20" s="1"/>
  <c r="Z48" i="20" s="1"/>
  <c r="AB48" i="20" s="1"/>
  <c r="AL63" i="19"/>
  <c r="AM42" i="19" s="1"/>
  <c r="AE63" i="19"/>
  <c r="AF38" i="19" s="1"/>
  <c r="X63" i="19"/>
  <c r="Q63" i="19"/>
  <c r="R35" i="19" s="1"/>
  <c r="J63" i="19"/>
  <c r="F63" i="19"/>
  <c r="G41" i="19" s="1"/>
  <c r="AL59" i="19"/>
  <c r="AE59" i="19"/>
  <c r="X59" i="19"/>
  <c r="Q59" i="19"/>
  <c r="J59" i="19"/>
  <c r="AL53" i="19"/>
  <c r="AE53" i="19"/>
  <c r="X53" i="19"/>
  <c r="Q53" i="19"/>
  <c r="J53" i="19"/>
  <c r="F53" i="19"/>
  <c r="F59" i="19" s="1"/>
  <c r="AL48" i="19"/>
  <c r="AF48" i="19"/>
  <c r="AG48" i="19" s="1"/>
  <c r="AE48" i="19"/>
  <c r="X48" i="19"/>
  <c r="Q48" i="19"/>
  <c r="J48" i="19"/>
  <c r="F48" i="19"/>
  <c r="C48" i="19"/>
  <c r="AM47" i="19"/>
  <c r="AN47" i="19" s="1"/>
  <c r="AL47" i="19"/>
  <c r="AE47" i="19"/>
  <c r="X47" i="19"/>
  <c r="Q47" i="19"/>
  <c r="K47" i="19"/>
  <c r="L47" i="19" s="1"/>
  <c r="J47" i="19"/>
  <c r="F47" i="19"/>
  <c r="C47" i="19"/>
  <c r="AN46" i="19"/>
  <c r="AM46" i="19"/>
  <c r="AL46" i="19"/>
  <c r="AF46" i="19"/>
  <c r="AE46" i="19"/>
  <c r="AE35" i="19" s="1"/>
  <c r="Z46" i="19"/>
  <c r="Y46" i="19"/>
  <c r="X46" i="19"/>
  <c r="S46" i="19"/>
  <c r="R46" i="19"/>
  <c r="Q46" i="19"/>
  <c r="K46" i="19"/>
  <c r="J46" i="19"/>
  <c r="L46" i="19" s="1"/>
  <c r="G46" i="19"/>
  <c r="H46" i="19" s="1"/>
  <c r="F46" i="19"/>
  <c r="C46" i="19"/>
  <c r="AM45" i="19"/>
  <c r="AL45" i="19"/>
  <c r="AN45" i="19" s="1"/>
  <c r="AF45" i="19"/>
  <c r="AE45" i="19"/>
  <c r="AG45" i="19" s="1"/>
  <c r="AB45" i="19"/>
  <c r="Y45" i="19"/>
  <c r="Z45" i="19" s="1"/>
  <c r="X45" i="19"/>
  <c r="S45" i="19"/>
  <c r="R45" i="19"/>
  <c r="Q45" i="19"/>
  <c r="K45" i="19"/>
  <c r="J45" i="19"/>
  <c r="G45" i="19"/>
  <c r="H45" i="19" s="1"/>
  <c r="F45" i="19"/>
  <c r="C45" i="19"/>
  <c r="AM44" i="19"/>
  <c r="AL44" i="19"/>
  <c r="AG44" i="19"/>
  <c r="AF44" i="19"/>
  <c r="AE44" i="19"/>
  <c r="Z44" i="19"/>
  <c r="Y44" i="19"/>
  <c r="X44" i="19"/>
  <c r="X35" i="19" s="1"/>
  <c r="R44" i="19"/>
  <c r="Q44" i="19"/>
  <c r="K44" i="19"/>
  <c r="L44" i="19" s="1"/>
  <c r="J44" i="19"/>
  <c r="G44" i="19"/>
  <c r="H44" i="19" s="1"/>
  <c r="F44" i="19"/>
  <c r="C44" i="19"/>
  <c r="AM43" i="19"/>
  <c r="AF43" i="19"/>
  <c r="Y43" i="19"/>
  <c r="R43" i="19"/>
  <c r="K43" i="19"/>
  <c r="G43" i="19"/>
  <c r="C43" i="19"/>
  <c r="R42" i="19"/>
  <c r="K42" i="19"/>
  <c r="G42" i="19"/>
  <c r="C42" i="19"/>
  <c r="AF41" i="19"/>
  <c r="R41" i="19"/>
  <c r="K41" i="19"/>
  <c r="C41" i="19"/>
  <c r="AM39" i="19"/>
  <c r="R39" i="19"/>
  <c r="K39" i="19"/>
  <c r="G39" i="19"/>
  <c r="C39" i="19"/>
  <c r="AM38" i="19"/>
  <c r="R38" i="19"/>
  <c r="K38" i="19"/>
  <c r="G38" i="19"/>
  <c r="C38" i="19"/>
  <c r="AM36" i="19"/>
  <c r="AF36" i="19"/>
  <c r="Y36" i="19"/>
  <c r="R36" i="19"/>
  <c r="K36" i="19"/>
  <c r="G36" i="19"/>
  <c r="C36" i="19"/>
  <c r="AF35" i="19"/>
  <c r="Q35" i="19"/>
  <c r="S35" i="19" s="1"/>
  <c r="K35" i="19"/>
  <c r="G35" i="19"/>
  <c r="H35" i="19" s="1"/>
  <c r="F35" i="19"/>
  <c r="C35" i="19"/>
  <c r="AF34" i="19"/>
  <c r="R34" i="19"/>
  <c r="K34" i="19"/>
  <c r="G34" i="19"/>
  <c r="C34" i="19"/>
  <c r="AM33" i="19"/>
  <c r="AF33" i="19"/>
  <c r="Y33" i="19"/>
  <c r="R33" i="19"/>
  <c r="K33" i="19"/>
  <c r="G33" i="19"/>
  <c r="C33" i="19"/>
  <c r="AM32" i="19"/>
  <c r="AF32" i="19"/>
  <c r="Y32" i="19"/>
  <c r="R32" i="19"/>
  <c r="K32" i="19"/>
  <c r="G32" i="19"/>
  <c r="C32" i="19"/>
  <c r="AM31" i="19"/>
  <c r="AF31" i="19"/>
  <c r="Y31" i="19"/>
  <c r="R31" i="19"/>
  <c r="K31" i="19"/>
  <c r="G31" i="19"/>
  <c r="C31" i="19"/>
  <c r="AM30" i="19"/>
  <c r="AF30" i="19"/>
  <c r="Y30" i="19"/>
  <c r="R30" i="19"/>
  <c r="K30" i="19"/>
  <c r="G30" i="19"/>
  <c r="C30" i="19"/>
  <c r="AM28" i="19"/>
  <c r="AF28" i="19"/>
  <c r="Y28" i="19"/>
  <c r="R28" i="19"/>
  <c r="K28" i="19"/>
  <c r="G28" i="19"/>
  <c r="C28" i="19"/>
  <c r="AM27" i="19"/>
  <c r="AF27" i="19"/>
  <c r="Y27" i="19"/>
  <c r="R27" i="19"/>
  <c r="K27" i="19"/>
  <c r="G27" i="19"/>
  <c r="C27" i="19"/>
  <c r="AM26" i="19"/>
  <c r="AF26" i="19"/>
  <c r="Y26" i="19"/>
  <c r="R26" i="19"/>
  <c r="K26" i="19"/>
  <c r="G26" i="19"/>
  <c r="C26" i="19"/>
  <c r="AM25" i="19"/>
  <c r="AF25" i="19"/>
  <c r="Y25" i="19"/>
  <c r="R25" i="19"/>
  <c r="K25" i="19"/>
  <c r="G25" i="19"/>
  <c r="C25" i="19"/>
  <c r="AM24" i="19"/>
  <c r="AF24" i="19"/>
  <c r="Y24" i="19"/>
  <c r="R24" i="19"/>
  <c r="K24" i="19"/>
  <c r="G24" i="19"/>
  <c r="C24" i="19"/>
  <c r="AM23" i="19"/>
  <c r="AF23" i="19"/>
  <c r="Y23" i="19"/>
  <c r="R23" i="19"/>
  <c r="K23" i="19"/>
  <c r="G23" i="19"/>
  <c r="C23" i="19"/>
  <c r="AM22" i="19"/>
  <c r="AF22" i="19"/>
  <c r="Y22" i="19"/>
  <c r="R22" i="19"/>
  <c r="K22" i="19"/>
  <c r="G22" i="19"/>
  <c r="C22" i="19"/>
  <c r="AM21" i="19"/>
  <c r="AF21" i="19"/>
  <c r="Y21" i="19"/>
  <c r="R21" i="19"/>
  <c r="S21" i="19" s="1"/>
  <c r="AC21" i="19" s="1"/>
  <c r="Q21" i="19"/>
  <c r="K21" i="19"/>
  <c r="L21" i="19" s="1"/>
  <c r="J21" i="19"/>
  <c r="G21" i="19"/>
  <c r="F21" i="19"/>
  <c r="C21" i="19"/>
  <c r="AM20" i="19"/>
  <c r="AF20" i="19"/>
  <c r="Y20" i="19"/>
  <c r="R20" i="19"/>
  <c r="K20" i="19"/>
  <c r="G20" i="19"/>
  <c r="C20" i="19"/>
  <c r="AM19" i="19"/>
  <c r="AF19" i="19"/>
  <c r="Y19" i="19"/>
  <c r="R19" i="19"/>
  <c r="K19" i="19"/>
  <c r="G19" i="19"/>
  <c r="C19" i="19"/>
  <c r="AM18" i="19"/>
  <c r="AF18" i="19"/>
  <c r="Y18" i="19"/>
  <c r="R18" i="19"/>
  <c r="K18" i="19"/>
  <c r="G18" i="19"/>
  <c r="C18" i="19"/>
  <c r="B18" i="19"/>
  <c r="AM17" i="19"/>
  <c r="AF17" i="19"/>
  <c r="Y17" i="19"/>
  <c r="R17" i="19"/>
  <c r="K17" i="19"/>
  <c r="G17" i="19"/>
  <c r="B17" i="19"/>
  <c r="C17" i="19" s="1"/>
  <c r="AM16" i="19"/>
  <c r="AF16" i="19"/>
  <c r="Y16" i="19"/>
  <c r="R16" i="19"/>
  <c r="K16" i="19"/>
  <c r="G16" i="19"/>
  <c r="C16" i="19"/>
  <c r="AM15" i="19"/>
  <c r="AF15" i="19"/>
  <c r="Y15" i="19"/>
  <c r="R15" i="19"/>
  <c r="K15" i="19"/>
  <c r="G15" i="19"/>
  <c r="C15" i="19"/>
  <c r="AP12" i="19"/>
  <c r="AI12" i="19"/>
  <c r="AB12" i="19"/>
  <c r="U12" i="19"/>
  <c r="N12" i="19"/>
  <c r="AN11" i="19"/>
  <c r="AQ11" i="19" s="1"/>
  <c r="AJ11" i="19"/>
  <c r="AG11" i="19"/>
  <c r="AC11" i="19"/>
  <c r="Z11" i="19"/>
  <c r="V11" i="19"/>
  <c r="S11" i="19"/>
  <c r="O11" i="19"/>
  <c r="L11" i="19"/>
  <c r="H11" i="19"/>
  <c r="S2" i="19"/>
  <c r="AL63" i="18"/>
  <c r="AM42" i="18" s="1"/>
  <c r="AE63" i="18"/>
  <c r="AF39" i="18" s="1"/>
  <c r="X63" i="18"/>
  <c r="Q63" i="18"/>
  <c r="J63" i="18"/>
  <c r="K42" i="18" s="1"/>
  <c r="F63" i="18"/>
  <c r="G38" i="18" s="1"/>
  <c r="AL59" i="18"/>
  <c r="AE59" i="18"/>
  <c r="X59" i="18"/>
  <c r="Q59" i="18"/>
  <c r="J59" i="18"/>
  <c r="AL53" i="18"/>
  <c r="AE53" i="18"/>
  <c r="X53" i="18"/>
  <c r="Q53" i="18"/>
  <c r="J53" i="18"/>
  <c r="F53" i="18"/>
  <c r="AL48" i="18"/>
  <c r="AE48" i="18"/>
  <c r="X48" i="18"/>
  <c r="Q48" i="18"/>
  <c r="J48" i="18"/>
  <c r="F48" i="18"/>
  <c r="C48" i="18"/>
  <c r="AL47" i="18"/>
  <c r="AE47" i="18"/>
  <c r="X47" i="18"/>
  <c r="Q47" i="18"/>
  <c r="J47" i="18"/>
  <c r="F47" i="18"/>
  <c r="C47" i="18"/>
  <c r="AM46" i="18"/>
  <c r="AN46" i="18" s="1"/>
  <c r="AP46" i="18" s="1"/>
  <c r="AL46" i="18"/>
  <c r="AF46" i="18"/>
  <c r="AG46" i="18" s="1"/>
  <c r="AE46" i="18"/>
  <c r="Y46" i="18"/>
  <c r="Z46" i="18" s="1"/>
  <c r="X46" i="18"/>
  <c r="S46" i="18"/>
  <c r="U46" i="18" s="1"/>
  <c r="V46" i="18" s="1"/>
  <c r="R46" i="18"/>
  <c r="Q46" i="18"/>
  <c r="K46" i="18"/>
  <c r="J46" i="18"/>
  <c r="L46" i="18" s="1"/>
  <c r="N46" i="18" s="1"/>
  <c r="G46" i="18"/>
  <c r="H46" i="18" s="1"/>
  <c r="F46" i="18"/>
  <c r="C46" i="18"/>
  <c r="AM45" i="18"/>
  <c r="AL45" i="18"/>
  <c r="AF45" i="18"/>
  <c r="AG45" i="18" s="1"/>
  <c r="AE45" i="18"/>
  <c r="AE35" i="18" s="1"/>
  <c r="Z45" i="18"/>
  <c r="AB45" i="18" s="1"/>
  <c r="AC45" i="18" s="1"/>
  <c r="Y45" i="18"/>
  <c r="X45" i="18"/>
  <c r="S45" i="18"/>
  <c r="R45" i="18"/>
  <c r="Q45" i="18"/>
  <c r="K45" i="18"/>
  <c r="J45" i="18"/>
  <c r="G45" i="18"/>
  <c r="F45" i="18"/>
  <c r="H45" i="18" s="1"/>
  <c r="C45" i="18"/>
  <c r="AM44" i="18"/>
  <c r="AL44" i="18"/>
  <c r="AN44" i="18" s="1"/>
  <c r="AP44" i="18" s="1"/>
  <c r="AF44" i="18"/>
  <c r="AG44" i="18" s="1"/>
  <c r="AE44" i="18"/>
  <c r="Y44" i="18"/>
  <c r="X44" i="18"/>
  <c r="Z44" i="18" s="1"/>
  <c r="R44" i="18"/>
  <c r="S44" i="18" s="1"/>
  <c r="Q44" i="18"/>
  <c r="K44" i="18"/>
  <c r="L44" i="18" s="1"/>
  <c r="J44" i="18"/>
  <c r="G44" i="18"/>
  <c r="F44" i="18"/>
  <c r="F35" i="18" s="1"/>
  <c r="C44" i="18"/>
  <c r="AM43" i="18"/>
  <c r="AF43" i="18"/>
  <c r="Y43" i="18"/>
  <c r="R43" i="18"/>
  <c r="K43" i="18"/>
  <c r="G43" i="18"/>
  <c r="C43" i="18"/>
  <c r="AF42" i="18"/>
  <c r="R42" i="18"/>
  <c r="G42" i="18"/>
  <c r="C42" i="18"/>
  <c r="AF41" i="18"/>
  <c r="R41" i="18"/>
  <c r="K41" i="18"/>
  <c r="G41" i="18"/>
  <c r="C41" i="18"/>
  <c r="AM39" i="18"/>
  <c r="R39" i="18"/>
  <c r="K39" i="18"/>
  <c r="G39" i="18"/>
  <c r="C39" i="18"/>
  <c r="AM38" i="18"/>
  <c r="R38" i="18"/>
  <c r="C38" i="18"/>
  <c r="AM36" i="18"/>
  <c r="AF36" i="18"/>
  <c r="Y36" i="18"/>
  <c r="R36" i="18"/>
  <c r="K36" i="18"/>
  <c r="G36" i="18"/>
  <c r="C36" i="18"/>
  <c r="AM35" i="18"/>
  <c r="AL35" i="18"/>
  <c r="AN35" i="18" s="1"/>
  <c r="AP35" i="18" s="1"/>
  <c r="AF35" i="18"/>
  <c r="AG35" i="18" s="1"/>
  <c r="X35" i="18"/>
  <c r="R35" i="18"/>
  <c r="Q35" i="18"/>
  <c r="S35" i="18" s="1"/>
  <c r="K35" i="18"/>
  <c r="G35" i="18"/>
  <c r="H35" i="18" s="1"/>
  <c r="C35" i="18"/>
  <c r="AM34" i="18"/>
  <c r="R34" i="18"/>
  <c r="K34" i="18"/>
  <c r="G34" i="18"/>
  <c r="C34" i="18"/>
  <c r="AM33" i="18"/>
  <c r="AF33" i="18"/>
  <c r="Y33" i="18"/>
  <c r="R33" i="18"/>
  <c r="K33" i="18"/>
  <c r="G33" i="18"/>
  <c r="C33" i="18"/>
  <c r="AM32" i="18"/>
  <c r="AF32" i="18"/>
  <c r="Y32" i="18"/>
  <c r="R32" i="18"/>
  <c r="K32" i="18"/>
  <c r="G32" i="18"/>
  <c r="C32" i="18"/>
  <c r="AM31" i="18"/>
  <c r="AF31" i="18"/>
  <c r="Y31" i="18"/>
  <c r="R31" i="18"/>
  <c r="K31" i="18"/>
  <c r="G31" i="18"/>
  <c r="C31" i="18"/>
  <c r="AM30" i="18"/>
  <c r="AF30" i="18"/>
  <c r="Y30" i="18"/>
  <c r="R30" i="18"/>
  <c r="K30" i="18"/>
  <c r="G30" i="18"/>
  <c r="C30" i="18"/>
  <c r="AM28" i="18"/>
  <c r="AF28" i="18"/>
  <c r="Y28" i="18"/>
  <c r="R28" i="18"/>
  <c r="K28" i="18"/>
  <c r="G28" i="18"/>
  <c r="C28" i="18"/>
  <c r="AM27" i="18"/>
  <c r="AF27" i="18"/>
  <c r="Y27" i="18"/>
  <c r="R27" i="18"/>
  <c r="K27" i="18"/>
  <c r="G27" i="18"/>
  <c r="C27" i="18"/>
  <c r="AM26" i="18"/>
  <c r="AF26" i="18"/>
  <c r="Y26" i="18"/>
  <c r="R26" i="18"/>
  <c r="K26" i="18"/>
  <c r="G26" i="18"/>
  <c r="C26" i="18"/>
  <c r="AM25" i="18"/>
  <c r="AF25" i="18"/>
  <c r="Y25" i="18"/>
  <c r="R25" i="18"/>
  <c r="K25" i="18"/>
  <c r="G25" i="18"/>
  <c r="C25" i="18"/>
  <c r="AM24" i="18"/>
  <c r="AF24" i="18"/>
  <c r="Y24" i="18"/>
  <c r="R24" i="18"/>
  <c r="K24" i="18"/>
  <c r="G24" i="18"/>
  <c r="C24" i="18"/>
  <c r="AM23" i="18"/>
  <c r="AF23" i="18"/>
  <c r="Y23" i="18"/>
  <c r="R23" i="18"/>
  <c r="K23" i="18"/>
  <c r="G23" i="18"/>
  <c r="C23" i="18"/>
  <c r="AM22" i="18"/>
  <c r="AF22" i="18"/>
  <c r="Y22" i="18"/>
  <c r="R22" i="18"/>
  <c r="K22" i="18"/>
  <c r="G22" i="18"/>
  <c r="C22" i="18"/>
  <c r="AM21" i="18"/>
  <c r="AF21" i="18"/>
  <c r="Y21" i="18"/>
  <c r="R21" i="18"/>
  <c r="Q21" i="18"/>
  <c r="S21" i="18" s="1"/>
  <c r="K21" i="18"/>
  <c r="L21" i="18" s="1"/>
  <c r="J21" i="18"/>
  <c r="G21" i="18"/>
  <c r="H21" i="18" s="1"/>
  <c r="F21" i="18"/>
  <c r="C21" i="18"/>
  <c r="AM20" i="18"/>
  <c r="AF20" i="18"/>
  <c r="Y20" i="18"/>
  <c r="R20" i="18"/>
  <c r="K20" i="18"/>
  <c r="G20" i="18"/>
  <c r="C20" i="18"/>
  <c r="AM19" i="18"/>
  <c r="AF19" i="18"/>
  <c r="Y19" i="18"/>
  <c r="R19" i="18"/>
  <c r="K19" i="18"/>
  <c r="G19" i="18"/>
  <c r="C19" i="18"/>
  <c r="AM18" i="18"/>
  <c r="AF18" i="18"/>
  <c r="Y18" i="18"/>
  <c r="R18" i="18"/>
  <c r="K18" i="18"/>
  <c r="G18" i="18"/>
  <c r="C18" i="18"/>
  <c r="B18" i="18"/>
  <c r="AM17" i="18"/>
  <c r="AF17" i="18"/>
  <c r="Y17" i="18"/>
  <c r="R17" i="18"/>
  <c r="K17" i="18"/>
  <c r="G17" i="18"/>
  <c r="B17" i="18"/>
  <c r="C17" i="18" s="1"/>
  <c r="AM16" i="18"/>
  <c r="AF16" i="18"/>
  <c r="Y16" i="18"/>
  <c r="R16" i="18"/>
  <c r="K16" i="18"/>
  <c r="G16" i="18"/>
  <c r="C16" i="18"/>
  <c r="AM15" i="18"/>
  <c r="AF15" i="18"/>
  <c r="Y15" i="18"/>
  <c r="R15" i="18"/>
  <c r="K15" i="18"/>
  <c r="G15" i="18"/>
  <c r="C15" i="18"/>
  <c r="AP12" i="18"/>
  <c r="AI12" i="18"/>
  <c r="AB12" i="18"/>
  <c r="U12" i="18"/>
  <c r="N12" i="18"/>
  <c r="AN11" i="18"/>
  <c r="AQ11" i="18" s="1"/>
  <c r="AJ11" i="18"/>
  <c r="AG11" i="18"/>
  <c r="Z11" i="18"/>
  <c r="AC11" i="18" s="1"/>
  <c r="S11" i="18"/>
  <c r="V11" i="18" s="1"/>
  <c r="O11" i="18"/>
  <c r="L11" i="18"/>
  <c r="H11" i="18"/>
  <c r="S2" i="18"/>
  <c r="G47" i="18" s="1"/>
  <c r="H47" i="18" s="1"/>
  <c r="AL63" i="17"/>
  <c r="AE63" i="17"/>
  <c r="X63" i="17"/>
  <c r="Y39" i="17" s="1"/>
  <c r="Q63" i="17"/>
  <c r="J63" i="17"/>
  <c r="F63" i="17"/>
  <c r="AL59" i="17"/>
  <c r="AE59" i="17"/>
  <c r="Q59" i="17"/>
  <c r="J59" i="17"/>
  <c r="AL53" i="17"/>
  <c r="AE53" i="17"/>
  <c r="X53" i="17"/>
  <c r="Q53" i="17"/>
  <c r="J53" i="17"/>
  <c r="F53" i="17"/>
  <c r="F59" i="17" s="1"/>
  <c r="AL48" i="17"/>
  <c r="AE48" i="17"/>
  <c r="X48" i="17"/>
  <c r="Q48" i="17"/>
  <c r="J48" i="17"/>
  <c r="F48" i="17"/>
  <c r="C48" i="17"/>
  <c r="AL47" i="17"/>
  <c r="AE47" i="17"/>
  <c r="X47" i="17"/>
  <c r="Q47" i="17"/>
  <c r="J47" i="17"/>
  <c r="F47" i="17"/>
  <c r="C47" i="17"/>
  <c r="AM46" i="17"/>
  <c r="AN46" i="17" s="1"/>
  <c r="AL46" i="17"/>
  <c r="AF46" i="17"/>
  <c r="AE46" i="17"/>
  <c r="AE35" i="17" s="1"/>
  <c r="Y46" i="17"/>
  <c r="X46" i="17"/>
  <c r="Z46" i="17" s="1"/>
  <c r="S46" i="17"/>
  <c r="R46" i="17"/>
  <c r="Q46" i="17"/>
  <c r="K46" i="17"/>
  <c r="L46" i="17" s="1"/>
  <c r="J46" i="17"/>
  <c r="G46" i="17"/>
  <c r="F46" i="17"/>
  <c r="F35" i="17" s="1"/>
  <c r="C46" i="17"/>
  <c r="AM45" i="17"/>
  <c r="AL45" i="17"/>
  <c r="AL35" i="17" s="1"/>
  <c r="AF45" i="17"/>
  <c r="AE45" i="17"/>
  <c r="AG45" i="17" s="1"/>
  <c r="Z45" i="17"/>
  <c r="Y45" i="17"/>
  <c r="X45" i="17"/>
  <c r="R45" i="17"/>
  <c r="S45" i="17" s="1"/>
  <c r="Q45" i="17"/>
  <c r="K45" i="17"/>
  <c r="J45" i="17"/>
  <c r="L45" i="17" s="1"/>
  <c r="G45" i="17"/>
  <c r="F45" i="17"/>
  <c r="H45" i="17" s="1"/>
  <c r="C45" i="17"/>
  <c r="AM44" i="17"/>
  <c r="AL44" i="17"/>
  <c r="AN44" i="17" s="1"/>
  <c r="AG44" i="17"/>
  <c r="AF44" i="17"/>
  <c r="AE44" i="17"/>
  <c r="AB44" i="17"/>
  <c r="AC44" i="17" s="1"/>
  <c r="Y44" i="17"/>
  <c r="Z44" i="17" s="1"/>
  <c r="X44" i="17"/>
  <c r="S44" i="17"/>
  <c r="R44" i="17"/>
  <c r="Q44" i="17"/>
  <c r="Q35" i="17" s="1"/>
  <c r="L44" i="17"/>
  <c r="K44" i="17"/>
  <c r="J44" i="17"/>
  <c r="G44" i="17"/>
  <c r="H44" i="17" s="1"/>
  <c r="F44" i="17"/>
  <c r="C44" i="17"/>
  <c r="AM43" i="17"/>
  <c r="AF43" i="17"/>
  <c r="Y43" i="17"/>
  <c r="R43" i="17"/>
  <c r="K43" i="17"/>
  <c r="G43" i="17"/>
  <c r="C43" i="17"/>
  <c r="AM42" i="17"/>
  <c r="Y42" i="17"/>
  <c r="R42" i="17"/>
  <c r="C42" i="17"/>
  <c r="AM41" i="17"/>
  <c r="AF41" i="17"/>
  <c r="R41" i="17"/>
  <c r="G41" i="17"/>
  <c r="C41" i="17"/>
  <c r="AM39" i="17"/>
  <c r="R39" i="17"/>
  <c r="K39" i="17"/>
  <c r="C39" i="17"/>
  <c r="AM38" i="17"/>
  <c r="R38" i="17"/>
  <c r="G38" i="17"/>
  <c r="C38" i="17"/>
  <c r="AM36" i="17"/>
  <c r="AF36" i="17"/>
  <c r="Y36" i="17"/>
  <c r="R36" i="17"/>
  <c r="K36" i="17"/>
  <c r="G36" i="17"/>
  <c r="C36" i="17"/>
  <c r="AM35" i="17"/>
  <c r="Z35" i="17"/>
  <c r="Y35" i="17"/>
  <c r="X35" i="17"/>
  <c r="R35" i="17"/>
  <c r="S35" i="17" s="1"/>
  <c r="J35" i="17"/>
  <c r="C35" i="17"/>
  <c r="AM34" i="17"/>
  <c r="R34" i="17"/>
  <c r="K34" i="17"/>
  <c r="C34" i="17"/>
  <c r="AM33" i="17"/>
  <c r="AF33" i="17"/>
  <c r="Y33" i="17"/>
  <c r="R33" i="17"/>
  <c r="K33" i="17"/>
  <c r="G33" i="17"/>
  <c r="C33" i="17"/>
  <c r="AM32" i="17"/>
  <c r="AF32" i="17"/>
  <c r="Y32" i="17"/>
  <c r="R32" i="17"/>
  <c r="K32" i="17"/>
  <c r="G32" i="17"/>
  <c r="C32" i="17"/>
  <c r="AM31" i="17"/>
  <c r="AF31" i="17"/>
  <c r="Y31" i="17"/>
  <c r="R31" i="17"/>
  <c r="K31" i="17"/>
  <c r="G31" i="17"/>
  <c r="C31" i="17"/>
  <c r="AM30" i="17"/>
  <c r="AF30" i="17"/>
  <c r="Y30" i="17"/>
  <c r="R30" i="17"/>
  <c r="K30" i="17"/>
  <c r="G30" i="17"/>
  <c r="C30" i="17"/>
  <c r="AM28" i="17"/>
  <c r="AF28" i="17"/>
  <c r="Y28" i="17"/>
  <c r="R28" i="17"/>
  <c r="K28" i="17"/>
  <c r="G28" i="17"/>
  <c r="C28" i="17"/>
  <c r="AM27" i="17"/>
  <c r="AF27" i="17"/>
  <c r="Y27" i="17"/>
  <c r="R27" i="17"/>
  <c r="K27" i="17"/>
  <c r="G27" i="17"/>
  <c r="C27" i="17"/>
  <c r="AM26" i="17"/>
  <c r="AF26" i="17"/>
  <c r="Y26" i="17"/>
  <c r="R26" i="17"/>
  <c r="K26" i="17"/>
  <c r="G26" i="17"/>
  <c r="C26" i="17"/>
  <c r="AM25" i="17"/>
  <c r="AF25" i="17"/>
  <c r="Y25" i="17"/>
  <c r="R25" i="17"/>
  <c r="K25" i="17"/>
  <c r="G25" i="17"/>
  <c r="C25" i="17"/>
  <c r="AM24" i="17"/>
  <c r="AF24" i="17"/>
  <c r="Y24" i="17"/>
  <c r="R24" i="17"/>
  <c r="K24" i="17"/>
  <c r="G24" i="17"/>
  <c r="C24" i="17"/>
  <c r="AM23" i="17"/>
  <c r="AF23" i="17"/>
  <c r="Y23" i="17"/>
  <c r="R23" i="17"/>
  <c r="K23" i="17"/>
  <c r="G23" i="17"/>
  <c r="C23" i="17"/>
  <c r="AM22" i="17"/>
  <c r="AF22" i="17"/>
  <c r="Y22" i="17"/>
  <c r="R22" i="17"/>
  <c r="K22" i="17"/>
  <c r="G22" i="17"/>
  <c r="C22" i="17"/>
  <c r="AM21" i="17"/>
  <c r="AF21" i="17"/>
  <c r="Y21" i="17"/>
  <c r="V21" i="17"/>
  <c r="S21" i="17"/>
  <c r="R21" i="17"/>
  <c r="Q21" i="17"/>
  <c r="K21" i="17"/>
  <c r="L21" i="17" s="1"/>
  <c r="N21" i="17" s="1"/>
  <c r="O21" i="17" s="1"/>
  <c r="J21" i="17"/>
  <c r="G21" i="17"/>
  <c r="F21" i="17"/>
  <c r="H21" i="17" s="1"/>
  <c r="C21" i="17"/>
  <c r="AM20" i="17"/>
  <c r="AF20" i="17"/>
  <c r="Y20" i="17"/>
  <c r="R20" i="17"/>
  <c r="K20" i="17"/>
  <c r="G20" i="17"/>
  <c r="C20" i="17"/>
  <c r="AM19" i="17"/>
  <c r="AF19" i="17"/>
  <c r="Y19" i="17"/>
  <c r="R19" i="17"/>
  <c r="K19" i="17"/>
  <c r="G19" i="17"/>
  <c r="C19" i="17"/>
  <c r="AM18" i="17"/>
  <c r="AF18" i="17"/>
  <c r="Y18" i="17"/>
  <c r="R18" i="17"/>
  <c r="K18" i="17"/>
  <c r="G18" i="17"/>
  <c r="B18" i="17"/>
  <c r="C18" i="17" s="1"/>
  <c r="AM17" i="17"/>
  <c r="AF17" i="17"/>
  <c r="Y17" i="17"/>
  <c r="R17" i="17"/>
  <c r="K17" i="17"/>
  <c r="G17" i="17"/>
  <c r="B17" i="17"/>
  <c r="C17" i="17" s="1"/>
  <c r="AM16" i="17"/>
  <c r="AF16" i="17"/>
  <c r="Y16" i="17"/>
  <c r="R16" i="17"/>
  <c r="K16" i="17"/>
  <c r="G16" i="17"/>
  <c r="C16" i="17"/>
  <c r="AM15" i="17"/>
  <c r="AF15" i="17"/>
  <c r="Y15" i="17"/>
  <c r="R15" i="17"/>
  <c r="K15" i="17"/>
  <c r="G15" i="17"/>
  <c r="C15" i="17"/>
  <c r="AP12" i="17"/>
  <c r="AI12" i="17"/>
  <c r="AB12" i="17"/>
  <c r="U12" i="17"/>
  <c r="N12" i="17"/>
  <c r="AQ11" i="17"/>
  <c r="AN11" i="17"/>
  <c r="AG11" i="17"/>
  <c r="AJ11" i="17" s="1"/>
  <c r="Z11" i="17"/>
  <c r="AC11" i="17" s="1"/>
  <c r="V11" i="17"/>
  <c r="S11" i="17"/>
  <c r="L11" i="17"/>
  <c r="O11" i="17" s="1"/>
  <c r="H11" i="17"/>
  <c r="S2" i="17"/>
  <c r="AL63" i="16"/>
  <c r="AE63" i="16"/>
  <c r="X63" i="16"/>
  <c r="Q63" i="16"/>
  <c r="R34" i="16" s="1"/>
  <c r="J63" i="16"/>
  <c r="F63" i="16"/>
  <c r="X59" i="16"/>
  <c r="AL53" i="16"/>
  <c r="AE53" i="16"/>
  <c r="AE59" i="16" s="1"/>
  <c r="X53" i="16"/>
  <c r="Q53" i="16"/>
  <c r="Q59" i="16" s="1"/>
  <c r="J53" i="16"/>
  <c r="J59" i="16" s="1"/>
  <c r="F53" i="16"/>
  <c r="AL48" i="16"/>
  <c r="AE48" i="16"/>
  <c r="Y48" i="16"/>
  <c r="Z48" i="16" s="1"/>
  <c r="X48" i="16"/>
  <c r="Q48" i="16"/>
  <c r="K48" i="16"/>
  <c r="L48" i="16" s="1"/>
  <c r="J48" i="16"/>
  <c r="F48" i="16"/>
  <c r="C48" i="16"/>
  <c r="AL47" i="16"/>
  <c r="AF47" i="16"/>
  <c r="AG47" i="16" s="1"/>
  <c r="AE47" i="16"/>
  <c r="X47" i="16"/>
  <c r="Q47" i="16"/>
  <c r="K47" i="16"/>
  <c r="L47" i="16" s="1"/>
  <c r="J47" i="16"/>
  <c r="F47" i="16"/>
  <c r="C47" i="16"/>
  <c r="AM46" i="16"/>
  <c r="AN46" i="16" s="1"/>
  <c r="AL46" i="16"/>
  <c r="AG46" i="16"/>
  <c r="AF46" i="16"/>
  <c r="AE46" i="16"/>
  <c r="Y46" i="16"/>
  <c r="Z46" i="16" s="1"/>
  <c r="X46" i="16"/>
  <c r="R46" i="16"/>
  <c r="S46" i="16" s="1"/>
  <c r="Q46" i="16"/>
  <c r="K46" i="16"/>
  <c r="L46" i="16" s="1"/>
  <c r="J46" i="16"/>
  <c r="H46" i="16"/>
  <c r="G46" i="16"/>
  <c r="F46" i="16"/>
  <c r="C46" i="16"/>
  <c r="AP45" i="16"/>
  <c r="AN45" i="16"/>
  <c r="AM45" i="16"/>
  <c r="AL45" i="16"/>
  <c r="AF45" i="16"/>
  <c r="AG45" i="16" s="1"/>
  <c r="AE45" i="16"/>
  <c r="Y45" i="16"/>
  <c r="X45" i="16"/>
  <c r="X35" i="16" s="1"/>
  <c r="Z35" i="16" s="1"/>
  <c r="R45" i="16"/>
  <c r="S45" i="16" s="1"/>
  <c r="Q45" i="16"/>
  <c r="L45" i="16"/>
  <c r="K45" i="16"/>
  <c r="J45" i="16"/>
  <c r="G45" i="16"/>
  <c r="H45" i="16" s="1"/>
  <c r="F45" i="16"/>
  <c r="C45" i="16"/>
  <c r="AM44" i="16"/>
  <c r="AN44" i="16" s="1"/>
  <c r="AL44" i="16"/>
  <c r="AF44" i="16"/>
  <c r="AG44" i="16" s="1"/>
  <c r="AE44" i="16"/>
  <c r="Y44" i="16"/>
  <c r="Z44" i="16" s="1"/>
  <c r="AB44" i="16" s="1"/>
  <c r="X44" i="16"/>
  <c r="S44" i="16"/>
  <c r="R44" i="16"/>
  <c r="Q44" i="16"/>
  <c r="K44" i="16"/>
  <c r="L44" i="16" s="1"/>
  <c r="N44" i="16" s="1"/>
  <c r="O44" i="16" s="1"/>
  <c r="J44" i="16"/>
  <c r="G44" i="16"/>
  <c r="F44" i="16"/>
  <c r="H44" i="16" s="1"/>
  <c r="C44" i="16"/>
  <c r="AM43" i="16"/>
  <c r="AF43" i="16"/>
  <c r="Y43" i="16"/>
  <c r="R43" i="16"/>
  <c r="K43" i="16"/>
  <c r="G43" i="16"/>
  <c r="C43" i="16"/>
  <c r="AM42" i="16"/>
  <c r="AF42" i="16"/>
  <c r="K42" i="16"/>
  <c r="G42" i="16"/>
  <c r="C42" i="16"/>
  <c r="AM41" i="16"/>
  <c r="AF41" i="16"/>
  <c r="R41" i="16"/>
  <c r="K41" i="16"/>
  <c r="G41" i="16"/>
  <c r="C41" i="16"/>
  <c r="AM39" i="16"/>
  <c r="AF39" i="16"/>
  <c r="K39" i="16"/>
  <c r="G39" i="16"/>
  <c r="C39" i="16"/>
  <c r="AM38" i="16"/>
  <c r="AF38" i="16"/>
  <c r="K38" i="16"/>
  <c r="G38" i="16"/>
  <c r="C38" i="16"/>
  <c r="AM36" i="16"/>
  <c r="AF36" i="16"/>
  <c r="Y36" i="16"/>
  <c r="R36" i="16"/>
  <c r="K36" i="16"/>
  <c r="G36" i="16"/>
  <c r="C36" i="16"/>
  <c r="AM35" i="16"/>
  <c r="AN35" i="16" s="1"/>
  <c r="AL35" i="16"/>
  <c r="AF35" i="16"/>
  <c r="AE35" i="16"/>
  <c r="AG35" i="16" s="1"/>
  <c r="Y35" i="16"/>
  <c r="Q35" i="16"/>
  <c r="K35" i="16"/>
  <c r="L35" i="16" s="1"/>
  <c r="J35" i="16"/>
  <c r="H35" i="16"/>
  <c r="G35" i="16"/>
  <c r="F35" i="16"/>
  <c r="C35" i="16"/>
  <c r="AM34" i="16"/>
  <c r="AF34" i="16"/>
  <c r="Y34" i="16"/>
  <c r="K34" i="16"/>
  <c r="G34" i="16"/>
  <c r="C34" i="16"/>
  <c r="AM33" i="16"/>
  <c r="AF33" i="16"/>
  <c r="Y33" i="16"/>
  <c r="R33" i="16"/>
  <c r="K33" i="16"/>
  <c r="G33" i="16"/>
  <c r="C33" i="16"/>
  <c r="AM32" i="16"/>
  <c r="AF32" i="16"/>
  <c r="Y32" i="16"/>
  <c r="R32" i="16"/>
  <c r="K32" i="16"/>
  <c r="G32" i="16"/>
  <c r="C32" i="16"/>
  <c r="AM31" i="16"/>
  <c r="AF31" i="16"/>
  <c r="Y31" i="16"/>
  <c r="R31" i="16"/>
  <c r="K31" i="16"/>
  <c r="G31" i="16"/>
  <c r="C31" i="16"/>
  <c r="AM30" i="16"/>
  <c r="AF30" i="16"/>
  <c r="Y30" i="16"/>
  <c r="R30" i="16"/>
  <c r="K30" i="16"/>
  <c r="G30" i="16"/>
  <c r="C30" i="16"/>
  <c r="AM28" i="16"/>
  <c r="AF28" i="16"/>
  <c r="Y28" i="16"/>
  <c r="R28" i="16"/>
  <c r="K28" i="16"/>
  <c r="G28" i="16"/>
  <c r="C28" i="16"/>
  <c r="AM27" i="16"/>
  <c r="AF27" i="16"/>
  <c r="Y27" i="16"/>
  <c r="R27" i="16"/>
  <c r="K27" i="16"/>
  <c r="G27" i="16"/>
  <c r="C27" i="16"/>
  <c r="AM26" i="16"/>
  <c r="AF26" i="16"/>
  <c r="Y26" i="16"/>
  <c r="R26" i="16"/>
  <c r="K26" i="16"/>
  <c r="G26" i="16"/>
  <c r="C26" i="16"/>
  <c r="AM25" i="16"/>
  <c r="AF25" i="16"/>
  <c r="Y25" i="16"/>
  <c r="R25" i="16"/>
  <c r="K25" i="16"/>
  <c r="G25" i="16"/>
  <c r="C25" i="16"/>
  <c r="AM24" i="16"/>
  <c r="AF24" i="16"/>
  <c r="Y24" i="16"/>
  <c r="R24" i="16"/>
  <c r="K24" i="16"/>
  <c r="G24" i="16"/>
  <c r="C24" i="16"/>
  <c r="AM23" i="16"/>
  <c r="AF23" i="16"/>
  <c r="Y23" i="16"/>
  <c r="R23" i="16"/>
  <c r="K23" i="16"/>
  <c r="G23" i="16"/>
  <c r="C23" i="16"/>
  <c r="AM22" i="16"/>
  <c r="AF22" i="16"/>
  <c r="Y22" i="16"/>
  <c r="R22" i="16"/>
  <c r="K22" i="16"/>
  <c r="G22" i="16"/>
  <c r="C22" i="16"/>
  <c r="AM21" i="16"/>
  <c r="AF21" i="16"/>
  <c r="Y21" i="16"/>
  <c r="R21" i="16"/>
  <c r="S21" i="16" s="1"/>
  <c r="Q21" i="16"/>
  <c r="K21" i="16"/>
  <c r="J21" i="16"/>
  <c r="L21" i="16" s="1"/>
  <c r="G21" i="16"/>
  <c r="F21" i="16"/>
  <c r="H21" i="16" s="1"/>
  <c r="C21" i="16"/>
  <c r="AM20" i="16"/>
  <c r="AF20" i="16"/>
  <c r="Y20" i="16"/>
  <c r="R20" i="16"/>
  <c r="K20" i="16"/>
  <c r="G20" i="16"/>
  <c r="C20" i="16"/>
  <c r="AM19" i="16"/>
  <c r="AF19" i="16"/>
  <c r="Y19" i="16"/>
  <c r="R19" i="16"/>
  <c r="K19" i="16"/>
  <c r="G19" i="16"/>
  <c r="C19" i="16"/>
  <c r="AM18" i="16"/>
  <c r="AF18" i="16"/>
  <c r="Y18" i="16"/>
  <c r="R18" i="16"/>
  <c r="K18" i="16"/>
  <c r="G18" i="16"/>
  <c r="B18" i="16"/>
  <c r="C18" i="16" s="1"/>
  <c r="AM17" i="16"/>
  <c r="AF17" i="16"/>
  <c r="Y17" i="16"/>
  <c r="R17" i="16"/>
  <c r="K17" i="16"/>
  <c r="G17" i="16"/>
  <c r="C17" i="16"/>
  <c r="B17" i="16"/>
  <c r="AM16" i="16"/>
  <c r="AF16" i="16"/>
  <c r="Y16" i="16"/>
  <c r="R16" i="16"/>
  <c r="K16" i="16"/>
  <c r="G16" i="16"/>
  <c r="C16" i="16"/>
  <c r="AM15" i="16"/>
  <c r="AF15" i="16"/>
  <c r="Y15" i="16"/>
  <c r="R15" i="16"/>
  <c r="K15" i="16"/>
  <c r="G15" i="16"/>
  <c r="C15" i="16"/>
  <c r="AP12" i="16"/>
  <c r="AI12" i="16"/>
  <c r="AB12" i="16"/>
  <c r="U12" i="16"/>
  <c r="N12" i="16"/>
  <c r="AQ11" i="16"/>
  <c r="AN11" i="16"/>
  <c r="AJ11" i="16"/>
  <c r="AG11" i="16"/>
  <c r="AC11" i="16"/>
  <c r="Z11" i="16"/>
  <c r="V11" i="16"/>
  <c r="S11" i="16"/>
  <c r="L11" i="16"/>
  <c r="O11" i="16" s="1"/>
  <c r="H11" i="16"/>
  <c r="S2" i="16"/>
  <c r="AL63" i="15"/>
  <c r="AE63" i="15"/>
  <c r="X63" i="15"/>
  <c r="Q63" i="15"/>
  <c r="R42" i="15" s="1"/>
  <c r="J63" i="15"/>
  <c r="K39" i="15" s="1"/>
  <c r="F63" i="15"/>
  <c r="X59" i="15"/>
  <c r="AL53" i="15"/>
  <c r="AE53" i="15"/>
  <c r="AE59" i="15" s="1"/>
  <c r="X53" i="15"/>
  <c r="Q53" i="15"/>
  <c r="Q59" i="15" s="1"/>
  <c r="J53" i="15"/>
  <c r="F53" i="15"/>
  <c r="AL48" i="15"/>
  <c r="AE48" i="15"/>
  <c r="X48" i="15"/>
  <c r="Q48" i="15"/>
  <c r="J48" i="15"/>
  <c r="F48" i="15"/>
  <c r="C48" i="15"/>
  <c r="AL47" i="15"/>
  <c r="AE47" i="15"/>
  <c r="X47" i="15"/>
  <c r="Q47" i="15"/>
  <c r="J47" i="15"/>
  <c r="F47" i="15"/>
  <c r="C47" i="15"/>
  <c r="AM46" i="15"/>
  <c r="AL46" i="15"/>
  <c r="AG46" i="15"/>
  <c r="AF46" i="15"/>
  <c r="AE46" i="15"/>
  <c r="Y46" i="15"/>
  <c r="X46" i="15"/>
  <c r="Z46" i="15" s="1"/>
  <c r="R46" i="15"/>
  <c r="Q46" i="15"/>
  <c r="K46" i="15"/>
  <c r="L46" i="15" s="1"/>
  <c r="J46" i="15"/>
  <c r="H46" i="15"/>
  <c r="G46" i="15"/>
  <c r="F46" i="15"/>
  <c r="C46" i="15"/>
  <c r="AM45" i="15"/>
  <c r="AN45" i="15" s="1"/>
  <c r="AL45" i="15"/>
  <c r="AF45" i="15"/>
  <c r="AE45" i="15"/>
  <c r="AG45" i="15" s="1"/>
  <c r="Y45" i="15"/>
  <c r="X45" i="15"/>
  <c r="S45" i="15"/>
  <c r="R45" i="15"/>
  <c r="Q45" i="15"/>
  <c r="K45" i="15"/>
  <c r="L45" i="15" s="1"/>
  <c r="J45" i="15"/>
  <c r="G45" i="15"/>
  <c r="F45" i="15"/>
  <c r="H45" i="15" s="1"/>
  <c r="C45" i="15"/>
  <c r="AM44" i="15"/>
  <c r="AN44" i="15" s="1"/>
  <c r="AL44" i="15"/>
  <c r="AF44" i="15"/>
  <c r="AE44" i="15"/>
  <c r="Z44" i="15"/>
  <c r="Y44" i="15"/>
  <c r="X44" i="15"/>
  <c r="R44" i="15"/>
  <c r="S44" i="15" s="1"/>
  <c r="Q44" i="15"/>
  <c r="L44" i="15"/>
  <c r="N44" i="15" s="1"/>
  <c r="K44" i="15"/>
  <c r="J44" i="15"/>
  <c r="J35" i="15" s="1"/>
  <c r="J37" i="37" s="1"/>
  <c r="H44" i="15"/>
  <c r="G44" i="15"/>
  <c r="F44" i="15"/>
  <c r="C44" i="15"/>
  <c r="AM43" i="15"/>
  <c r="AF43" i="15"/>
  <c r="Y43" i="15"/>
  <c r="R43" i="15"/>
  <c r="K43" i="15"/>
  <c r="G43" i="15"/>
  <c r="C43" i="15"/>
  <c r="AF42" i="15"/>
  <c r="Y42" i="15"/>
  <c r="K42" i="15"/>
  <c r="G42" i="15"/>
  <c r="C42" i="15"/>
  <c r="AF41" i="15"/>
  <c r="R41" i="15"/>
  <c r="K41" i="15"/>
  <c r="C41" i="15"/>
  <c r="AF39" i="15"/>
  <c r="R39" i="15"/>
  <c r="G39" i="15"/>
  <c r="C39" i="15"/>
  <c r="AM38" i="15"/>
  <c r="AF38" i="15"/>
  <c r="R38" i="15"/>
  <c r="K38" i="15"/>
  <c r="C38" i="15"/>
  <c r="AM36" i="15"/>
  <c r="AF36" i="15"/>
  <c r="Y36" i="15"/>
  <c r="R36" i="15"/>
  <c r="K36" i="15"/>
  <c r="G36" i="15"/>
  <c r="C36" i="15"/>
  <c r="AM35" i="15"/>
  <c r="AF35" i="15"/>
  <c r="R35" i="15"/>
  <c r="K35" i="15"/>
  <c r="L35" i="15" s="1"/>
  <c r="G35" i="15"/>
  <c r="C35" i="15"/>
  <c r="AF34" i="15"/>
  <c r="Y34" i="15"/>
  <c r="R34" i="15"/>
  <c r="K34" i="15"/>
  <c r="G34" i="15"/>
  <c r="C34" i="15"/>
  <c r="AM33" i="15"/>
  <c r="AF33" i="15"/>
  <c r="Y33" i="15"/>
  <c r="R33" i="15"/>
  <c r="K33" i="15"/>
  <c r="G33" i="15"/>
  <c r="C33" i="15"/>
  <c r="AM32" i="15"/>
  <c r="AF32" i="15"/>
  <c r="Y32" i="15"/>
  <c r="R32" i="15"/>
  <c r="K32" i="15"/>
  <c r="G32" i="15"/>
  <c r="C32" i="15"/>
  <c r="AM31" i="15"/>
  <c r="AF31" i="15"/>
  <c r="Y31" i="15"/>
  <c r="R31" i="15"/>
  <c r="K31" i="15"/>
  <c r="G31" i="15"/>
  <c r="C31" i="15"/>
  <c r="AM30" i="15"/>
  <c r="AF30" i="15"/>
  <c r="Y30" i="15"/>
  <c r="R30" i="15"/>
  <c r="K30" i="15"/>
  <c r="G30" i="15"/>
  <c r="C30" i="15"/>
  <c r="AM28" i="15"/>
  <c r="AF28" i="15"/>
  <c r="Y28" i="15"/>
  <c r="R28" i="15"/>
  <c r="K28" i="15"/>
  <c r="G28" i="15"/>
  <c r="C28" i="15"/>
  <c r="AM27" i="15"/>
  <c r="AF27" i="15"/>
  <c r="Y27" i="15"/>
  <c r="R27" i="15"/>
  <c r="K27" i="15"/>
  <c r="G27" i="15"/>
  <c r="C27" i="15"/>
  <c r="AM26" i="15"/>
  <c r="AF26" i="15"/>
  <c r="Y26" i="15"/>
  <c r="R26" i="15"/>
  <c r="K26" i="15"/>
  <c r="G26" i="15"/>
  <c r="C26" i="15"/>
  <c r="AM25" i="15"/>
  <c r="AF25" i="15"/>
  <c r="Y25" i="15"/>
  <c r="R25" i="15"/>
  <c r="K25" i="15"/>
  <c r="G25" i="15"/>
  <c r="C25" i="15"/>
  <c r="AM24" i="15"/>
  <c r="AF24" i="15"/>
  <c r="Y24" i="15"/>
  <c r="R24" i="15"/>
  <c r="K24" i="15"/>
  <c r="G24" i="15"/>
  <c r="C24" i="15"/>
  <c r="AM23" i="15"/>
  <c r="AF23" i="15"/>
  <c r="Y23" i="15"/>
  <c r="R23" i="15"/>
  <c r="K23" i="15"/>
  <c r="G23" i="15"/>
  <c r="C23" i="15"/>
  <c r="AM22" i="15"/>
  <c r="AF22" i="15"/>
  <c r="Y22" i="15"/>
  <c r="R22" i="15"/>
  <c r="K22" i="15"/>
  <c r="G22" i="15"/>
  <c r="C22" i="15"/>
  <c r="AM21" i="15"/>
  <c r="AF21" i="15"/>
  <c r="Y21" i="15"/>
  <c r="R21" i="15"/>
  <c r="Q21" i="15"/>
  <c r="S21" i="15" s="1"/>
  <c r="L21" i="15"/>
  <c r="K21" i="15"/>
  <c r="J21" i="15"/>
  <c r="G21" i="15"/>
  <c r="H21" i="15" s="1"/>
  <c r="F21" i="15"/>
  <c r="C21" i="15"/>
  <c r="AM20" i="15"/>
  <c r="AF20" i="15"/>
  <c r="Y20" i="15"/>
  <c r="R20" i="15"/>
  <c r="K20" i="15"/>
  <c r="G20" i="15"/>
  <c r="C20" i="15"/>
  <c r="AM19" i="15"/>
  <c r="AF19" i="15"/>
  <c r="Y19" i="15"/>
  <c r="R19" i="15"/>
  <c r="K19" i="15"/>
  <c r="G19" i="15"/>
  <c r="C19" i="15"/>
  <c r="AM18" i="15"/>
  <c r="AF18" i="15"/>
  <c r="Y18" i="15"/>
  <c r="R18" i="15"/>
  <c r="K18" i="15"/>
  <c r="G18" i="15"/>
  <c r="B18" i="15"/>
  <c r="C18" i="15" s="1"/>
  <c r="AM17" i="15"/>
  <c r="AF17" i="15"/>
  <c r="Y17" i="15"/>
  <c r="R17" i="15"/>
  <c r="K17" i="15"/>
  <c r="G17" i="15"/>
  <c r="B17" i="15"/>
  <c r="C17" i="15" s="1"/>
  <c r="AM16" i="15"/>
  <c r="AF16" i="15"/>
  <c r="Y16" i="15"/>
  <c r="R16" i="15"/>
  <c r="K16" i="15"/>
  <c r="G16" i="15"/>
  <c r="C16" i="15"/>
  <c r="AM15" i="15"/>
  <c r="AF15" i="15"/>
  <c r="Y15" i="15"/>
  <c r="R15" i="15"/>
  <c r="K15" i="15"/>
  <c r="G15" i="15"/>
  <c r="C15" i="15"/>
  <c r="AP12" i="15"/>
  <c r="AI12" i="15"/>
  <c r="AB12" i="15"/>
  <c r="U12" i="15"/>
  <c r="N12" i="15"/>
  <c r="AN11" i="15"/>
  <c r="AQ11" i="15" s="1"/>
  <c r="AG11" i="15"/>
  <c r="AJ11" i="15" s="1"/>
  <c r="AC11" i="15"/>
  <c r="Z11" i="15"/>
  <c r="V11" i="15"/>
  <c r="S11" i="15"/>
  <c r="O11" i="15"/>
  <c r="L11" i="15"/>
  <c r="H11" i="15"/>
  <c r="S2" i="15"/>
  <c r="R48" i="15" s="1"/>
  <c r="S48" i="15" s="1"/>
  <c r="AL63" i="14"/>
  <c r="AM41" i="14" s="1"/>
  <c r="AE63" i="14"/>
  <c r="AF42" i="14" s="1"/>
  <c r="X63" i="14"/>
  <c r="Q63" i="14"/>
  <c r="J63" i="14"/>
  <c r="K35" i="14" s="1"/>
  <c r="F63" i="14"/>
  <c r="AL59" i="14"/>
  <c r="AL53" i="14"/>
  <c r="AE53" i="14"/>
  <c r="X53" i="14"/>
  <c r="X59" i="14" s="1"/>
  <c r="Q53" i="14"/>
  <c r="Q59" i="14" s="1"/>
  <c r="J53" i="14"/>
  <c r="F53" i="14"/>
  <c r="AL48" i="14"/>
  <c r="AE48" i="14"/>
  <c r="X48" i="14"/>
  <c r="Q48" i="14"/>
  <c r="J48" i="14"/>
  <c r="F48" i="14"/>
  <c r="C48" i="14"/>
  <c r="AL47" i="14"/>
  <c r="AE47" i="14"/>
  <c r="X47" i="14"/>
  <c r="Q47" i="14"/>
  <c r="J47" i="14"/>
  <c r="F47" i="14"/>
  <c r="C47" i="14"/>
  <c r="AM46" i="14"/>
  <c r="AN46" i="14" s="1"/>
  <c r="AP46" i="14" s="1"/>
  <c r="AL46" i="14"/>
  <c r="AF46" i="14"/>
  <c r="AG46" i="14" s="1"/>
  <c r="AE46" i="14"/>
  <c r="Y46" i="14"/>
  <c r="Z46" i="14" s="1"/>
  <c r="AB46" i="14" s="1"/>
  <c r="X46" i="14"/>
  <c r="S46" i="14"/>
  <c r="R46" i="14"/>
  <c r="Q46" i="14"/>
  <c r="K46" i="14"/>
  <c r="L46" i="14" s="1"/>
  <c r="J46" i="14"/>
  <c r="H46" i="14"/>
  <c r="G46" i="14"/>
  <c r="F46" i="14"/>
  <c r="C46" i="14"/>
  <c r="AM45" i="14"/>
  <c r="AN45" i="14" s="1"/>
  <c r="AL45" i="14"/>
  <c r="AF45" i="14"/>
  <c r="AG45" i="14" s="1"/>
  <c r="AE45" i="14"/>
  <c r="Z45" i="14"/>
  <c r="Y45" i="14"/>
  <c r="X45" i="14"/>
  <c r="R45" i="14"/>
  <c r="S45" i="14" s="1"/>
  <c r="Q45" i="14"/>
  <c r="K45" i="14"/>
  <c r="J45" i="14"/>
  <c r="L45" i="14" s="1"/>
  <c r="G45" i="14"/>
  <c r="F45" i="14"/>
  <c r="H45" i="14" s="1"/>
  <c r="C45" i="14"/>
  <c r="AP44" i="14"/>
  <c r="AM44" i="14"/>
  <c r="AN44" i="14" s="1"/>
  <c r="AL44" i="14"/>
  <c r="AG44" i="14"/>
  <c r="AF44" i="14"/>
  <c r="AE44" i="14"/>
  <c r="Y44" i="14"/>
  <c r="Z44" i="14" s="1"/>
  <c r="X44" i="14"/>
  <c r="R44" i="14"/>
  <c r="Q44" i="14"/>
  <c r="L44" i="14"/>
  <c r="K44" i="14"/>
  <c r="J44" i="14"/>
  <c r="H44" i="14"/>
  <c r="G44" i="14"/>
  <c r="F44" i="14"/>
  <c r="C44" i="14"/>
  <c r="AM43" i="14"/>
  <c r="AF43" i="14"/>
  <c r="Y43" i="14"/>
  <c r="R43" i="14"/>
  <c r="K43" i="14"/>
  <c r="G43" i="14"/>
  <c r="C43" i="14"/>
  <c r="AM42" i="14"/>
  <c r="Y42" i="14"/>
  <c r="K42" i="14"/>
  <c r="G42" i="14"/>
  <c r="C42" i="14"/>
  <c r="AF41" i="14"/>
  <c r="Y41" i="14"/>
  <c r="K41" i="14"/>
  <c r="G41" i="14"/>
  <c r="C41" i="14"/>
  <c r="AM39" i="14"/>
  <c r="AF39" i="14"/>
  <c r="Y39" i="14"/>
  <c r="K39" i="14"/>
  <c r="G39" i="14"/>
  <c r="C39" i="14"/>
  <c r="AM38" i="14"/>
  <c r="AF38" i="14"/>
  <c r="Y38" i="14"/>
  <c r="K38" i="14"/>
  <c r="G38" i="14"/>
  <c r="C38" i="14"/>
  <c r="AM36" i="14"/>
  <c r="AF36" i="14"/>
  <c r="Y36" i="14"/>
  <c r="R36" i="14"/>
  <c r="K36" i="14"/>
  <c r="G36" i="14"/>
  <c r="C36" i="14"/>
  <c r="AQ35" i="14"/>
  <c r="AM35" i="14"/>
  <c r="AN35" i="14" s="1"/>
  <c r="AP35" i="14" s="1"/>
  <c r="AL35" i="14"/>
  <c r="AF35" i="14"/>
  <c r="AG35" i="14" s="1"/>
  <c r="AE35" i="14"/>
  <c r="Y35" i="14"/>
  <c r="Z35" i="14" s="1"/>
  <c r="X35" i="14"/>
  <c r="R35" i="14"/>
  <c r="G35" i="14"/>
  <c r="C35" i="14"/>
  <c r="AM34" i="14"/>
  <c r="AF34" i="14"/>
  <c r="Y34" i="14"/>
  <c r="K34" i="14"/>
  <c r="G34" i="14"/>
  <c r="C34" i="14"/>
  <c r="AM33" i="14"/>
  <c r="AF33" i="14"/>
  <c r="Y33" i="14"/>
  <c r="R33" i="14"/>
  <c r="K33" i="14"/>
  <c r="G33" i="14"/>
  <c r="C33" i="14"/>
  <c r="AM32" i="14"/>
  <c r="AF32" i="14"/>
  <c r="Y32" i="14"/>
  <c r="R32" i="14"/>
  <c r="K32" i="14"/>
  <c r="G32" i="14"/>
  <c r="C32" i="14"/>
  <c r="AM31" i="14"/>
  <c r="AF31" i="14"/>
  <c r="Y31" i="14"/>
  <c r="R31" i="14"/>
  <c r="K31" i="14"/>
  <c r="G31" i="14"/>
  <c r="C31" i="14"/>
  <c r="AM30" i="14"/>
  <c r="AF30" i="14"/>
  <c r="Y30" i="14"/>
  <c r="R30" i="14"/>
  <c r="K30" i="14"/>
  <c r="G30" i="14"/>
  <c r="C30" i="14"/>
  <c r="AM28" i="14"/>
  <c r="AF28" i="14"/>
  <c r="Y28" i="14"/>
  <c r="R28" i="14"/>
  <c r="K28" i="14"/>
  <c r="G28" i="14"/>
  <c r="C28" i="14"/>
  <c r="AM27" i="14"/>
  <c r="AF27" i="14"/>
  <c r="Y27" i="14"/>
  <c r="R27" i="14"/>
  <c r="K27" i="14"/>
  <c r="G27" i="14"/>
  <c r="C27" i="14"/>
  <c r="AM26" i="14"/>
  <c r="AF26" i="14"/>
  <c r="Y26" i="14"/>
  <c r="R26" i="14"/>
  <c r="K26" i="14"/>
  <c r="G26" i="14"/>
  <c r="C26" i="14"/>
  <c r="AM25" i="14"/>
  <c r="AF25" i="14"/>
  <c r="Y25" i="14"/>
  <c r="R25" i="14"/>
  <c r="K25" i="14"/>
  <c r="G25" i="14"/>
  <c r="C25" i="14"/>
  <c r="AM24" i="14"/>
  <c r="AF24" i="14"/>
  <c r="Y24" i="14"/>
  <c r="R24" i="14"/>
  <c r="K24" i="14"/>
  <c r="G24" i="14"/>
  <c r="C24" i="14"/>
  <c r="AM23" i="14"/>
  <c r="AF23" i="14"/>
  <c r="Y23" i="14"/>
  <c r="R23" i="14"/>
  <c r="K23" i="14"/>
  <c r="G23" i="14"/>
  <c r="C23" i="14"/>
  <c r="AM22" i="14"/>
  <c r="AF22" i="14"/>
  <c r="Y22" i="14"/>
  <c r="R22" i="14"/>
  <c r="K22" i="14"/>
  <c r="G22" i="14"/>
  <c r="C22" i="14"/>
  <c r="AM21" i="14"/>
  <c r="AF21" i="14"/>
  <c r="Y21" i="14"/>
  <c r="R21" i="14"/>
  <c r="S21" i="14" s="1"/>
  <c r="Q21" i="14"/>
  <c r="K21" i="14"/>
  <c r="J21" i="14"/>
  <c r="L21" i="14" s="1"/>
  <c r="G21" i="14"/>
  <c r="F21" i="14"/>
  <c r="H21" i="14" s="1"/>
  <c r="C21" i="14"/>
  <c r="AM20" i="14"/>
  <c r="AF20" i="14"/>
  <c r="Y20" i="14"/>
  <c r="R20" i="14"/>
  <c r="K20" i="14"/>
  <c r="G20" i="14"/>
  <c r="C20" i="14"/>
  <c r="AM19" i="14"/>
  <c r="AF19" i="14"/>
  <c r="Y19" i="14"/>
  <c r="R19" i="14"/>
  <c r="K19" i="14"/>
  <c r="G19" i="14"/>
  <c r="C19" i="14"/>
  <c r="AM18" i="14"/>
  <c r="AF18" i="14"/>
  <c r="Y18" i="14"/>
  <c r="R18" i="14"/>
  <c r="K18" i="14"/>
  <c r="G18" i="14"/>
  <c r="C18" i="14"/>
  <c r="B18" i="14"/>
  <c r="AM17" i="14"/>
  <c r="AF17" i="14"/>
  <c r="Y17" i="14"/>
  <c r="R17" i="14"/>
  <c r="K17" i="14"/>
  <c r="G17" i="14"/>
  <c r="C17" i="14"/>
  <c r="B17" i="14"/>
  <c r="AM16" i="14"/>
  <c r="AF16" i="14"/>
  <c r="Y16" i="14"/>
  <c r="R16" i="14"/>
  <c r="K16" i="14"/>
  <c r="G16" i="14"/>
  <c r="C16" i="14"/>
  <c r="AM15" i="14"/>
  <c r="AF15" i="14"/>
  <c r="Y15" i="14"/>
  <c r="R15" i="14"/>
  <c r="K15" i="14"/>
  <c r="G15" i="14"/>
  <c r="C15" i="14"/>
  <c r="AP12" i="14"/>
  <c r="AI12" i="14"/>
  <c r="AB12" i="14"/>
  <c r="U12" i="14"/>
  <c r="N12" i="14"/>
  <c r="AN11" i="14"/>
  <c r="AQ11" i="14" s="1"/>
  <c r="AG11" i="14"/>
  <c r="AJ11" i="14" s="1"/>
  <c r="AC11" i="14"/>
  <c r="Z11" i="14"/>
  <c r="V11" i="14"/>
  <c r="S11" i="14"/>
  <c r="L11" i="14"/>
  <c r="O11" i="14" s="1"/>
  <c r="H11" i="14"/>
  <c r="S2" i="14"/>
  <c r="AL63" i="13"/>
  <c r="AM34" i="13" s="1"/>
  <c r="AE63" i="13"/>
  <c r="AF41" i="13" s="1"/>
  <c r="X63" i="13"/>
  <c r="Y41" i="13" s="1"/>
  <c r="Q63" i="13"/>
  <c r="J63" i="13"/>
  <c r="K38" i="13" s="1"/>
  <c r="F63" i="13"/>
  <c r="AL59" i="13"/>
  <c r="Q59" i="13"/>
  <c r="J59" i="13"/>
  <c r="F59" i="13"/>
  <c r="AL53" i="13"/>
  <c r="AE53" i="13"/>
  <c r="X53" i="13"/>
  <c r="Q53" i="13"/>
  <c r="J53" i="13"/>
  <c r="F53" i="13"/>
  <c r="AM48" i="13"/>
  <c r="AN48" i="13" s="1"/>
  <c r="AL48" i="13"/>
  <c r="AE48" i="13"/>
  <c r="X48" i="13"/>
  <c r="R48" i="13"/>
  <c r="S48" i="13" s="1"/>
  <c r="Q48" i="13"/>
  <c r="J48" i="13"/>
  <c r="F48" i="13"/>
  <c r="C48" i="13"/>
  <c r="AL47" i="13"/>
  <c r="AF47" i="13"/>
  <c r="AG47" i="13" s="1"/>
  <c r="AE47" i="13"/>
  <c r="X47" i="13"/>
  <c r="Q47" i="13"/>
  <c r="J47" i="13"/>
  <c r="F47" i="13"/>
  <c r="C47" i="13"/>
  <c r="AM46" i="13"/>
  <c r="AL46" i="13"/>
  <c r="AG46" i="13"/>
  <c r="AF46" i="13"/>
  <c r="AE46" i="13"/>
  <c r="Y46" i="13"/>
  <c r="Z46" i="13" s="1"/>
  <c r="X46" i="13"/>
  <c r="R46" i="13"/>
  <c r="Q46" i="13"/>
  <c r="S46" i="13" s="1"/>
  <c r="K46" i="13"/>
  <c r="J46" i="13"/>
  <c r="L46" i="13" s="1"/>
  <c r="H46" i="13"/>
  <c r="G46" i="13"/>
  <c r="F46" i="13"/>
  <c r="C46" i="13"/>
  <c r="AM45" i="13"/>
  <c r="AL45" i="13"/>
  <c r="AN45" i="13" s="1"/>
  <c r="AP45" i="13" s="1"/>
  <c r="AF45" i="13"/>
  <c r="AG45" i="13" s="1"/>
  <c r="AE45" i="13"/>
  <c r="Z45" i="13"/>
  <c r="Y45" i="13"/>
  <c r="X45" i="13"/>
  <c r="S45" i="13"/>
  <c r="R45" i="13"/>
  <c r="Q45" i="13"/>
  <c r="L45" i="13"/>
  <c r="N45" i="13" s="1"/>
  <c r="O45" i="13" s="1"/>
  <c r="K45" i="13"/>
  <c r="J45" i="13"/>
  <c r="H45" i="13"/>
  <c r="G45" i="13"/>
  <c r="F45" i="13"/>
  <c r="C45" i="13"/>
  <c r="AP44" i="13"/>
  <c r="AM44" i="13"/>
  <c r="AN44" i="13" s="1"/>
  <c r="AL44" i="13"/>
  <c r="AF44" i="13"/>
  <c r="AG44" i="13" s="1"/>
  <c r="AE44" i="13"/>
  <c r="Y44" i="13"/>
  <c r="X44" i="13"/>
  <c r="X35" i="13" s="1"/>
  <c r="S44" i="13"/>
  <c r="R44" i="13"/>
  <c r="Q44" i="13"/>
  <c r="K44" i="13"/>
  <c r="J44" i="13"/>
  <c r="G44" i="13"/>
  <c r="H44" i="13" s="1"/>
  <c r="F44" i="13"/>
  <c r="C44" i="13"/>
  <c r="AM43" i="13"/>
  <c r="AF43" i="13"/>
  <c r="Y43" i="13"/>
  <c r="R43" i="13"/>
  <c r="K43" i="13"/>
  <c r="G43" i="13"/>
  <c r="C43" i="13"/>
  <c r="AF42" i="13"/>
  <c r="G42" i="13"/>
  <c r="C42" i="13"/>
  <c r="AM41" i="13"/>
  <c r="R41" i="13"/>
  <c r="G41" i="13"/>
  <c r="C41" i="13"/>
  <c r="AM39" i="13"/>
  <c r="AF39" i="13"/>
  <c r="Y39" i="13"/>
  <c r="R39" i="13"/>
  <c r="K39" i="13"/>
  <c r="G39" i="13"/>
  <c r="C39" i="13"/>
  <c r="AF38" i="13"/>
  <c r="Y38" i="13"/>
  <c r="R38" i="13"/>
  <c r="G38" i="13"/>
  <c r="C38" i="13"/>
  <c r="AM36" i="13"/>
  <c r="AF36" i="13"/>
  <c r="Y36" i="13"/>
  <c r="R36" i="13"/>
  <c r="K36" i="13"/>
  <c r="G36" i="13"/>
  <c r="C36" i="13"/>
  <c r="AM35" i="13"/>
  <c r="AF35" i="13"/>
  <c r="Y35" i="13"/>
  <c r="Q35" i="13"/>
  <c r="L35" i="13"/>
  <c r="K35" i="13"/>
  <c r="J35" i="13"/>
  <c r="G35" i="13"/>
  <c r="H35" i="13" s="1"/>
  <c r="F35" i="13"/>
  <c r="C35" i="13"/>
  <c r="AF34" i="13"/>
  <c r="Y34" i="13"/>
  <c r="R34" i="13"/>
  <c r="K34" i="13"/>
  <c r="G34" i="13"/>
  <c r="C34" i="13"/>
  <c r="AM33" i="13"/>
  <c r="AF33" i="13"/>
  <c r="Y33" i="13"/>
  <c r="R33" i="13"/>
  <c r="K33" i="13"/>
  <c r="G33" i="13"/>
  <c r="C33" i="13"/>
  <c r="AM32" i="13"/>
  <c r="AF32" i="13"/>
  <c r="Y32" i="13"/>
  <c r="R32" i="13"/>
  <c r="K32" i="13"/>
  <c r="G32" i="13"/>
  <c r="C32" i="13"/>
  <c r="AM31" i="13"/>
  <c r="AF31" i="13"/>
  <c r="Y31" i="13"/>
  <c r="R31" i="13"/>
  <c r="K31" i="13"/>
  <c r="G31" i="13"/>
  <c r="C31" i="13"/>
  <c r="AM30" i="13"/>
  <c r="AF30" i="13"/>
  <c r="Y30" i="13"/>
  <c r="R30" i="13"/>
  <c r="K30" i="13"/>
  <c r="G30" i="13"/>
  <c r="C30" i="13"/>
  <c r="AM28" i="13"/>
  <c r="AF28" i="13"/>
  <c r="Y28" i="13"/>
  <c r="R28" i="13"/>
  <c r="K28" i="13"/>
  <c r="G28" i="13"/>
  <c r="C28" i="13"/>
  <c r="AM27" i="13"/>
  <c r="AF27" i="13"/>
  <c r="Y27" i="13"/>
  <c r="R27" i="13"/>
  <c r="K27" i="13"/>
  <c r="G27" i="13"/>
  <c r="C27" i="13"/>
  <c r="AM26" i="13"/>
  <c r="AF26" i="13"/>
  <c r="Y26" i="13"/>
  <c r="R26" i="13"/>
  <c r="K26" i="13"/>
  <c r="G26" i="13"/>
  <c r="C26" i="13"/>
  <c r="AM25" i="13"/>
  <c r="AF25" i="13"/>
  <c r="Y25" i="13"/>
  <c r="R25" i="13"/>
  <c r="K25" i="13"/>
  <c r="G25" i="13"/>
  <c r="C25" i="13"/>
  <c r="AM24" i="13"/>
  <c r="AF24" i="13"/>
  <c r="Y24" i="13"/>
  <c r="R24" i="13"/>
  <c r="K24" i="13"/>
  <c r="G24" i="13"/>
  <c r="C24" i="13"/>
  <c r="AM23" i="13"/>
  <c r="AF23" i="13"/>
  <c r="Y23" i="13"/>
  <c r="R23" i="13"/>
  <c r="K23" i="13"/>
  <c r="G23" i="13"/>
  <c r="C23" i="13"/>
  <c r="AM22" i="13"/>
  <c r="AF22" i="13"/>
  <c r="Y22" i="13"/>
  <c r="R22" i="13"/>
  <c r="K22" i="13"/>
  <c r="G22" i="13"/>
  <c r="C22" i="13"/>
  <c r="AM21" i="13"/>
  <c r="AF21" i="13"/>
  <c r="Y21" i="13"/>
  <c r="R21" i="13"/>
  <c r="S21" i="13" s="1"/>
  <c r="Q21" i="13"/>
  <c r="K21" i="13"/>
  <c r="L21" i="13" s="1"/>
  <c r="J21" i="13"/>
  <c r="G21" i="13"/>
  <c r="F21" i="13"/>
  <c r="H21" i="13" s="1"/>
  <c r="C21" i="13"/>
  <c r="AM20" i="13"/>
  <c r="AF20" i="13"/>
  <c r="Y20" i="13"/>
  <c r="R20" i="13"/>
  <c r="K20" i="13"/>
  <c r="G20" i="13"/>
  <c r="C20" i="13"/>
  <c r="AM19" i="13"/>
  <c r="AF19" i="13"/>
  <c r="Y19" i="13"/>
  <c r="R19" i="13"/>
  <c r="K19" i="13"/>
  <c r="G19" i="13"/>
  <c r="C19" i="13"/>
  <c r="AM18" i="13"/>
  <c r="AF18" i="13"/>
  <c r="Y18" i="13"/>
  <c r="R18" i="13"/>
  <c r="K18" i="13"/>
  <c r="G18" i="13"/>
  <c r="B18" i="13"/>
  <c r="C18" i="13" s="1"/>
  <c r="AM17" i="13"/>
  <c r="AF17" i="13"/>
  <c r="Y17" i="13"/>
  <c r="R17" i="13"/>
  <c r="K17" i="13"/>
  <c r="G17" i="13"/>
  <c r="C17" i="13"/>
  <c r="B17" i="13"/>
  <c r="AM16" i="13"/>
  <c r="AF16" i="13"/>
  <c r="Y16" i="13"/>
  <c r="R16" i="13"/>
  <c r="K16" i="13"/>
  <c r="G16" i="13"/>
  <c r="C16" i="13"/>
  <c r="AM15" i="13"/>
  <c r="AF15" i="13"/>
  <c r="Y15" i="13"/>
  <c r="R15" i="13"/>
  <c r="K15" i="13"/>
  <c r="G15" i="13"/>
  <c r="C15" i="13"/>
  <c r="AP12" i="13"/>
  <c r="AI12" i="13"/>
  <c r="AB12" i="13"/>
  <c r="U12" i="13"/>
  <c r="N12" i="13"/>
  <c r="AQ11" i="13"/>
  <c r="AN11" i="13"/>
  <c r="AJ11" i="13"/>
  <c r="AG11" i="13"/>
  <c r="Z11" i="13"/>
  <c r="AC11" i="13" s="1"/>
  <c r="S11" i="13"/>
  <c r="V11" i="13" s="1"/>
  <c r="L11" i="13"/>
  <c r="O11" i="13" s="1"/>
  <c r="H11" i="13"/>
  <c r="S2" i="13"/>
  <c r="AM47" i="13" s="1"/>
  <c r="AN47" i="13" s="1"/>
  <c r="AL63" i="12"/>
  <c r="AM41" i="12" s="1"/>
  <c r="AE63" i="12"/>
  <c r="X63" i="12"/>
  <c r="Q63" i="12"/>
  <c r="J63" i="12"/>
  <c r="K42" i="12" s="1"/>
  <c r="F63" i="12"/>
  <c r="X59" i="12"/>
  <c r="Q59" i="12"/>
  <c r="AL53" i="12"/>
  <c r="AL59" i="12" s="1"/>
  <c r="AE53" i="12"/>
  <c r="X53" i="12"/>
  <c r="Q53" i="12"/>
  <c r="J53" i="12"/>
  <c r="J59" i="12" s="1"/>
  <c r="F53" i="12"/>
  <c r="AL48" i="12"/>
  <c r="AE48" i="12"/>
  <c r="X48" i="12"/>
  <c r="R48" i="12"/>
  <c r="S48" i="12" s="1"/>
  <c r="Q48" i="12"/>
  <c r="J48" i="12"/>
  <c r="F48" i="12"/>
  <c r="C48" i="12"/>
  <c r="AL47" i="12"/>
  <c r="AE47" i="12"/>
  <c r="X47" i="12"/>
  <c r="R47" i="12"/>
  <c r="S47" i="12" s="1"/>
  <c r="Q47" i="12"/>
  <c r="J47" i="12"/>
  <c r="F47" i="12"/>
  <c r="C47" i="12"/>
  <c r="AN46" i="12"/>
  <c r="AP46" i="12" s="1"/>
  <c r="AM46" i="12"/>
  <c r="AL46" i="12"/>
  <c r="AF46" i="12"/>
  <c r="AG46" i="12" s="1"/>
  <c r="AE46" i="12"/>
  <c r="Y46" i="12"/>
  <c r="Z46" i="12" s="1"/>
  <c r="X46" i="12"/>
  <c r="S46" i="12"/>
  <c r="R46" i="12"/>
  <c r="Q46" i="12"/>
  <c r="K46" i="12"/>
  <c r="L46" i="12" s="1"/>
  <c r="J46" i="12"/>
  <c r="G46" i="12"/>
  <c r="F46" i="12"/>
  <c r="H46" i="12" s="1"/>
  <c r="C46" i="12"/>
  <c r="AN45" i="12"/>
  <c r="AM45" i="12"/>
  <c r="AL45" i="12"/>
  <c r="AF45" i="12"/>
  <c r="AE45" i="12"/>
  <c r="AE35" i="12" s="1"/>
  <c r="Y45" i="12"/>
  <c r="Z45" i="12" s="1"/>
  <c r="X45" i="12"/>
  <c r="X35" i="12" s="1"/>
  <c r="S45" i="12"/>
  <c r="R45" i="12"/>
  <c r="Q45" i="12"/>
  <c r="N45" i="12"/>
  <c r="K45" i="12"/>
  <c r="L45" i="12" s="1"/>
  <c r="J45" i="12"/>
  <c r="J35" i="12" s="1"/>
  <c r="H45" i="12"/>
  <c r="G45" i="12"/>
  <c r="F45" i="12"/>
  <c r="C45" i="12"/>
  <c r="AM44" i="12"/>
  <c r="AN44" i="12" s="1"/>
  <c r="AP44" i="12" s="1"/>
  <c r="AL44" i="12"/>
  <c r="AG44" i="12"/>
  <c r="AF44" i="12"/>
  <c r="AE44" i="12"/>
  <c r="Y44" i="12"/>
  <c r="Z44" i="12" s="1"/>
  <c r="X44" i="12"/>
  <c r="R44" i="12"/>
  <c r="Q44" i="12"/>
  <c r="Q35" i="12" s="1"/>
  <c r="S35" i="12" s="1"/>
  <c r="K44" i="12"/>
  <c r="L44" i="12" s="1"/>
  <c r="J44" i="12"/>
  <c r="G44" i="12"/>
  <c r="F44" i="12"/>
  <c r="H44" i="12" s="1"/>
  <c r="C44" i="12"/>
  <c r="AM43" i="12"/>
  <c r="AF43" i="12"/>
  <c r="Y43" i="12"/>
  <c r="R43" i="12"/>
  <c r="K43" i="12"/>
  <c r="G43" i="12"/>
  <c r="C43" i="12"/>
  <c r="AM42" i="12"/>
  <c r="AF42" i="12"/>
  <c r="Y42" i="12"/>
  <c r="R42" i="12"/>
  <c r="G42" i="12"/>
  <c r="C42" i="12"/>
  <c r="AF41" i="12"/>
  <c r="Y41" i="12"/>
  <c r="R41" i="12"/>
  <c r="G41" i="12"/>
  <c r="C41" i="12"/>
  <c r="AM39" i="12"/>
  <c r="AF39" i="12"/>
  <c r="Y39" i="12"/>
  <c r="R39" i="12"/>
  <c r="C39" i="12"/>
  <c r="AM38" i="12"/>
  <c r="AF38" i="12"/>
  <c r="Y38" i="12"/>
  <c r="R38" i="12"/>
  <c r="G38" i="12"/>
  <c r="C38" i="12"/>
  <c r="AM36" i="12"/>
  <c r="AF36" i="12"/>
  <c r="Y36" i="12"/>
  <c r="R36" i="12"/>
  <c r="K36" i="12"/>
  <c r="G36" i="12"/>
  <c r="C36" i="12"/>
  <c r="AL35" i="12"/>
  <c r="AF35" i="12"/>
  <c r="Y35" i="12"/>
  <c r="R35" i="12"/>
  <c r="G35" i="12"/>
  <c r="C35" i="12"/>
  <c r="AM34" i="12"/>
  <c r="AF34" i="12"/>
  <c r="Y34" i="12"/>
  <c r="R34" i="12"/>
  <c r="C34" i="12"/>
  <c r="AM33" i="12"/>
  <c r="AF33" i="12"/>
  <c r="Y33" i="12"/>
  <c r="R33" i="12"/>
  <c r="K33" i="12"/>
  <c r="G33" i="12"/>
  <c r="C33" i="12"/>
  <c r="AM32" i="12"/>
  <c r="AF32" i="12"/>
  <c r="Y32" i="12"/>
  <c r="R32" i="12"/>
  <c r="K32" i="12"/>
  <c r="G32" i="12"/>
  <c r="C32" i="12"/>
  <c r="AM31" i="12"/>
  <c r="AF31" i="12"/>
  <c r="Y31" i="12"/>
  <c r="R31" i="12"/>
  <c r="K31" i="12"/>
  <c r="G31" i="12"/>
  <c r="C31" i="12"/>
  <c r="AM30" i="12"/>
  <c r="AF30" i="12"/>
  <c r="Y30" i="12"/>
  <c r="R30" i="12"/>
  <c r="K30" i="12"/>
  <c r="G30" i="12"/>
  <c r="C30" i="12"/>
  <c r="AM28" i="12"/>
  <c r="AF28" i="12"/>
  <c r="Y28" i="12"/>
  <c r="R28" i="12"/>
  <c r="K28" i="12"/>
  <c r="G28" i="12"/>
  <c r="C28" i="12"/>
  <c r="AM27" i="12"/>
  <c r="AF27" i="12"/>
  <c r="Y27" i="12"/>
  <c r="R27" i="12"/>
  <c r="K27" i="12"/>
  <c r="G27" i="12"/>
  <c r="C27" i="12"/>
  <c r="AM26" i="12"/>
  <c r="AF26" i="12"/>
  <c r="Y26" i="12"/>
  <c r="R26" i="12"/>
  <c r="K26" i="12"/>
  <c r="G26" i="12"/>
  <c r="C26" i="12"/>
  <c r="AM25" i="12"/>
  <c r="AF25" i="12"/>
  <c r="Y25" i="12"/>
  <c r="R25" i="12"/>
  <c r="K25" i="12"/>
  <c r="G25" i="12"/>
  <c r="C25" i="12"/>
  <c r="AM24" i="12"/>
  <c r="AF24" i="12"/>
  <c r="Y24" i="12"/>
  <c r="R24" i="12"/>
  <c r="K24" i="12"/>
  <c r="G24" i="12"/>
  <c r="C24" i="12"/>
  <c r="AM23" i="12"/>
  <c r="AF23" i="12"/>
  <c r="Y23" i="12"/>
  <c r="R23" i="12"/>
  <c r="K23" i="12"/>
  <c r="G23" i="12"/>
  <c r="C23" i="12"/>
  <c r="AM22" i="12"/>
  <c r="AF22" i="12"/>
  <c r="Y22" i="12"/>
  <c r="R22" i="12"/>
  <c r="K22" i="12"/>
  <c r="G22" i="12"/>
  <c r="C22" i="12"/>
  <c r="AM21" i="12"/>
  <c r="AF21" i="12"/>
  <c r="Y21" i="12"/>
  <c r="R21" i="12"/>
  <c r="S21" i="12" s="1"/>
  <c r="Q21" i="12"/>
  <c r="K21" i="12"/>
  <c r="L21" i="12" s="1"/>
  <c r="V21" i="12" s="1"/>
  <c r="J21" i="12"/>
  <c r="H21" i="12"/>
  <c r="G21" i="12"/>
  <c r="F21" i="12"/>
  <c r="C21" i="12"/>
  <c r="AM20" i="12"/>
  <c r="AF20" i="12"/>
  <c r="Y20" i="12"/>
  <c r="R20" i="12"/>
  <c r="K20" i="12"/>
  <c r="G20" i="12"/>
  <c r="C20" i="12"/>
  <c r="AM19" i="12"/>
  <c r="AF19" i="12"/>
  <c r="Y19" i="12"/>
  <c r="R19" i="12"/>
  <c r="K19" i="12"/>
  <c r="G19" i="12"/>
  <c r="C19" i="12"/>
  <c r="AM18" i="12"/>
  <c r="AF18" i="12"/>
  <c r="Y18" i="12"/>
  <c r="R18" i="12"/>
  <c r="K18" i="12"/>
  <c r="G18" i="12"/>
  <c r="B18" i="12"/>
  <c r="C18" i="12" s="1"/>
  <c r="AM17" i="12"/>
  <c r="AF17" i="12"/>
  <c r="Y17" i="12"/>
  <c r="R17" i="12"/>
  <c r="K17" i="12"/>
  <c r="G17" i="12"/>
  <c r="B17" i="12"/>
  <c r="C17" i="12" s="1"/>
  <c r="AM16" i="12"/>
  <c r="AF16" i="12"/>
  <c r="Y16" i="12"/>
  <c r="R16" i="12"/>
  <c r="K16" i="12"/>
  <c r="G16" i="12"/>
  <c r="C16" i="12"/>
  <c r="AM15" i="12"/>
  <c r="AF15" i="12"/>
  <c r="Y15" i="12"/>
  <c r="R15" i="12"/>
  <c r="K15" i="12"/>
  <c r="G15" i="12"/>
  <c r="C15" i="12"/>
  <c r="AP12" i="12"/>
  <c r="AI12" i="12"/>
  <c r="AB12" i="12"/>
  <c r="U12" i="12"/>
  <c r="N12" i="12"/>
  <c r="AQ11" i="12"/>
  <c r="AN11" i="12"/>
  <c r="AJ11" i="12"/>
  <c r="AG11" i="12"/>
  <c r="Z11" i="12"/>
  <c r="AC11" i="12" s="1"/>
  <c r="S11" i="12"/>
  <c r="V11" i="12" s="1"/>
  <c r="L11" i="12"/>
  <c r="O11" i="12" s="1"/>
  <c r="H11" i="12"/>
  <c r="S2" i="12"/>
  <c r="Y48" i="12" s="1"/>
  <c r="Z48" i="12" s="1"/>
  <c r="AL63" i="11"/>
  <c r="AM35" i="11" s="1"/>
  <c r="AE63" i="11"/>
  <c r="X63" i="11"/>
  <c r="Q63" i="11"/>
  <c r="J63" i="11"/>
  <c r="F63" i="11"/>
  <c r="AE59" i="11"/>
  <c r="X59" i="11"/>
  <c r="AL53" i="11"/>
  <c r="AL59" i="11" s="1"/>
  <c r="AE53" i="11"/>
  <c r="X53" i="11"/>
  <c r="Q53" i="11"/>
  <c r="Q59" i="11" s="1"/>
  <c r="J53" i="11"/>
  <c r="J59" i="11" s="1"/>
  <c r="F53" i="11"/>
  <c r="AL48" i="11"/>
  <c r="AE48" i="11"/>
  <c r="X48" i="11"/>
  <c r="Q48" i="11"/>
  <c r="J48" i="11"/>
  <c r="F48" i="11"/>
  <c r="C48" i="11"/>
  <c r="AL47" i="11"/>
  <c r="AE47" i="11"/>
  <c r="X47" i="11"/>
  <c r="Q47" i="11"/>
  <c r="J47" i="11"/>
  <c r="F47" i="11"/>
  <c r="C47" i="11"/>
  <c r="AN46" i="11"/>
  <c r="AP46" i="11" s="1"/>
  <c r="AQ46" i="11" s="1"/>
  <c r="AM46" i="11"/>
  <c r="AL46" i="11"/>
  <c r="AG46" i="11"/>
  <c r="AF46" i="11"/>
  <c r="AE46" i="11"/>
  <c r="Y46" i="11"/>
  <c r="X46" i="11"/>
  <c r="Z46" i="11" s="1"/>
  <c r="U46" i="11"/>
  <c r="R46" i="11"/>
  <c r="S46" i="11" s="1"/>
  <c r="Q46" i="11"/>
  <c r="K46" i="11"/>
  <c r="L46" i="11" s="1"/>
  <c r="J46" i="11"/>
  <c r="G46" i="11"/>
  <c r="F46" i="11"/>
  <c r="H46" i="11" s="1"/>
  <c r="C46" i="11"/>
  <c r="AN45" i="11"/>
  <c r="AM45" i="11"/>
  <c r="AL45" i="11"/>
  <c r="AF45" i="11"/>
  <c r="AG45" i="11" s="1"/>
  <c r="AI45" i="11" s="1"/>
  <c r="AE45" i="11"/>
  <c r="Z45" i="11"/>
  <c r="Y45" i="11"/>
  <c r="X45" i="11"/>
  <c r="X35" i="11" s="1"/>
  <c r="Z35" i="11" s="1"/>
  <c r="S45" i="11"/>
  <c r="U45" i="11" s="1"/>
  <c r="R45" i="11"/>
  <c r="Q45" i="11"/>
  <c r="K45" i="11"/>
  <c r="L45" i="11" s="1"/>
  <c r="J45" i="11"/>
  <c r="H45" i="11"/>
  <c r="G45" i="11"/>
  <c r="F45" i="11"/>
  <c r="C45" i="11"/>
  <c r="AM44" i="11"/>
  <c r="AL44" i="11"/>
  <c r="AN44" i="11" s="1"/>
  <c r="AP44" i="11" s="1"/>
  <c r="AF44" i="11"/>
  <c r="AG44" i="11" s="1"/>
  <c r="AE44" i="11"/>
  <c r="Y44" i="11"/>
  <c r="Z44" i="11" s="1"/>
  <c r="X44" i="11"/>
  <c r="R44" i="11"/>
  <c r="Q44" i="11"/>
  <c r="S44" i="11" s="1"/>
  <c r="K44" i="11"/>
  <c r="J44" i="11"/>
  <c r="J35" i="11" s="1"/>
  <c r="G44" i="11"/>
  <c r="H44" i="11" s="1"/>
  <c r="F44" i="11"/>
  <c r="C44" i="11"/>
  <c r="AM43" i="11"/>
  <c r="AF43" i="11"/>
  <c r="Y43" i="11"/>
  <c r="R43" i="11"/>
  <c r="K43" i="11"/>
  <c r="G43" i="11"/>
  <c r="C43" i="11"/>
  <c r="AM42" i="11"/>
  <c r="AF42" i="11"/>
  <c r="Y42" i="11"/>
  <c r="K42" i="11"/>
  <c r="C42" i="11"/>
  <c r="AM41" i="11"/>
  <c r="AF41" i="11"/>
  <c r="Y41" i="11"/>
  <c r="K41" i="11"/>
  <c r="G41" i="11"/>
  <c r="C41" i="11"/>
  <c r="AM39" i="11"/>
  <c r="AF39" i="11"/>
  <c r="Y39" i="11"/>
  <c r="R39" i="11"/>
  <c r="K39" i="11"/>
  <c r="C39" i="11"/>
  <c r="AF38" i="11"/>
  <c r="Y38" i="11"/>
  <c r="R38" i="11"/>
  <c r="K38" i="11"/>
  <c r="C38" i="11"/>
  <c r="AM36" i="11"/>
  <c r="AF36" i="11"/>
  <c r="Y36" i="11"/>
  <c r="R36" i="11"/>
  <c r="K36" i="11"/>
  <c r="G36" i="11"/>
  <c r="C36" i="11"/>
  <c r="AF35" i="11"/>
  <c r="AG35" i="11" s="1"/>
  <c r="AE35" i="11"/>
  <c r="Y35" i="11"/>
  <c r="Q35" i="11"/>
  <c r="K35" i="11"/>
  <c r="C35" i="11"/>
  <c r="AM34" i="11"/>
  <c r="AF34" i="11"/>
  <c r="Y34" i="11"/>
  <c r="R34" i="11"/>
  <c r="K34" i="11"/>
  <c r="C34" i="11"/>
  <c r="AM33" i="11"/>
  <c r="AF33" i="11"/>
  <c r="Y33" i="11"/>
  <c r="R33" i="11"/>
  <c r="K33" i="11"/>
  <c r="G33" i="11"/>
  <c r="C33" i="11"/>
  <c r="AM32" i="11"/>
  <c r="AF32" i="11"/>
  <c r="Y32" i="11"/>
  <c r="R32" i="11"/>
  <c r="K32" i="11"/>
  <c r="G32" i="11"/>
  <c r="C32" i="11"/>
  <c r="AM31" i="11"/>
  <c r="AF31" i="11"/>
  <c r="Y31" i="11"/>
  <c r="R31" i="11"/>
  <c r="K31" i="11"/>
  <c r="G31" i="11"/>
  <c r="C31" i="11"/>
  <c r="AM30" i="11"/>
  <c r="AF30" i="11"/>
  <c r="Y30" i="11"/>
  <c r="R30" i="11"/>
  <c r="K30" i="11"/>
  <c r="G30" i="11"/>
  <c r="C30" i="11"/>
  <c r="AM28" i="11"/>
  <c r="AF28" i="11"/>
  <c r="Y28" i="11"/>
  <c r="R28" i="11"/>
  <c r="K28" i="11"/>
  <c r="G28" i="11"/>
  <c r="C28" i="11"/>
  <c r="AM27" i="11"/>
  <c r="AF27" i="11"/>
  <c r="Y27" i="11"/>
  <c r="R27" i="11"/>
  <c r="K27" i="11"/>
  <c r="G27" i="11"/>
  <c r="C27" i="11"/>
  <c r="AM26" i="11"/>
  <c r="AF26" i="11"/>
  <c r="Y26" i="11"/>
  <c r="R26" i="11"/>
  <c r="K26" i="11"/>
  <c r="G26" i="11"/>
  <c r="C26" i="11"/>
  <c r="AM25" i="11"/>
  <c r="AF25" i="11"/>
  <c r="Y25" i="11"/>
  <c r="R25" i="11"/>
  <c r="K25" i="11"/>
  <c r="G25" i="11"/>
  <c r="C25" i="11"/>
  <c r="AM24" i="11"/>
  <c r="AF24" i="11"/>
  <c r="Y24" i="11"/>
  <c r="R24" i="11"/>
  <c r="K24" i="11"/>
  <c r="G24" i="11"/>
  <c r="C24" i="11"/>
  <c r="AM23" i="11"/>
  <c r="AF23" i="11"/>
  <c r="Y23" i="11"/>
  <c r="R23" i="11"/>
  <c r="K23" i="11"/>
  <c r="G23" i="11"/>
  <c r="C23" i="11"/>
  <c r="AM22" i="11"/>
  <c r="AF22" i="11"/>
  <c r="Y22" i="11"/>
  <c r="R22" i="11"/>
  <c r="K22" i="11"/>
  <c r="G22" i="11"/>
  <c r="C22" i="11"/>
  <c r="AM21" i="11"/>
  <c r="AF21" i="11"/>
  <c r="Y21" i="11"/>
  <c r="S21" i="11"/>
  <c r="AC21" i="11" s="1"/>
  <c r="R21" i="11"/>
  <c r="Q21" i="11"/>
  <c r="K21" i="11"/>
  <c r="J21" i="11"/>
  <c r="L21" i="11" s="1"/>
  <c r="N21" i="11" s="1"/>
  <c r="G21" i="11"/>
  <c r="H21" i="11" s="1"/>
  <c r="F21" i="11"/>
  <c r="C21" i="11"/>
  <c r="AM20" i="11"/>
  <c r="AF20" i="11"/>
  <c r="Y20" i="11"/>
  <c r="R20" i="11"/>
  <c r="K20" i="11"/>
  <c r="G20" i="11"/>
  <c r="C20" i="11"/>
  <c r="AM19" i="11"/>
  <c r="AF19" i="11"/>
  <c r="Y19" i="11"/>
  <c r="R19" i="11"/>
  <c r="K19" i="11"/>
  <c r="G19" i="11"/>
  <c r="C19" i="11"/>
  <c r="AM18" i="11"/>
  <c r="AF18" i="11"/>
  <c r="Y18" i="11"/>
  <c r="R18" i="11"/>
  <c r="K18" i="11"/>
  <c r="G18" i="11"/>
  <c r="C18" i="11"/>
  <c r="B18" i="11"/>
  <c r="AM17" i="11"/>
  <c r="AF17" i="11"/>
  <c r="Y17" i="11"/>
  <c r="R17" i="11"/>
  <c r="K17" i="11"/>
  <c r="G17" i="11"/>
  <c r="C17" i="11"/>
  <c r="B17" i="11"/>
  <c r="AM16" i="11"/>
  <c r="AF16" i="11"/>
  <c r="Y16" i="11"/>
  <c r="R16" i="11"/>
  <c r="K16" i="11"/>
  <c r="G16" i="11"/>
  <c r="C16" i="11"/>
  <c r="AM15" i="11"/>
  <c r="AF15" i="11"/>
  <c r="Y15" i="11"/>
  <c r="R15" i="11"/>
  <c r="Q15" i="11"/>
  <c r="S15" i="11" s="1"/>
  <c r="K15" i="11"/>
  <c r="G15" i="11"/>
  <c r="C15" i="11"/>
  <c r="AP12" i="11"/>
  <c r="AI12" i="11"/>
  <c r="AB12" i="11"/>
  <c r="U12" i="11"/>
  <c r="N12" i="11"/>
  <c r="AQ11" i="11"/>
  <c r="AN11" i="11"/>
  <c r="AG11" i="11"/>
  <c r="AJ11" i="11" s="1"/>
  <c r="Z11" i="11"/>
  <c r="AC11" i="11" s="1"/>
  <c r="S11" i="11"/>
  <c r="V11" i="11" s="1"/>
  <c r="L11" i="11"/>
  <c r="O11" i="11" s="1"/>
  <c r="H11" i="11"/>
  <c r="S2" i="11"/>
  <c r="K48" i="11" s="1"/>
  <c r="L48" i="11" s="1"/>
  <c r="AL63" i="10"/>
  <c r="AM38" i="10" s="1"/>
  <c r="AE63" i="10"/>
  <c r="X63" i="10"/>
  <c r="Q63" i="10"/>
  <c r="R39" i="10" s="1"/>
  <c r="J63" i="10"/>
  <c r="K39" i="10" s="1"/>
  <c r="F63" i="10"/>
  <c r="G41" i="10" s="1"/>
  <c r="AL59" i="10"/>
  <c r="AE59" i="10"/>
  <c r="X59" i="10"/>
  <c r="Q59" i="10"/>
  <c r="AL53" i="10"/>
  <c r="AE53" i="10"/>
  <c r="X53" i="10"/>
  <c r="Q53" i="10"/>
  <c r="J53" i="10"/>
  <c r="F53" i="10"/>
  <c r="AL48" i="10"/>
  <c r="AE48" i="10"/>
  <c r="Y48" i="10"/>
  <c r="Z48" i="10" s="1"/>
  <c r="X48" i="10"/>
  <c r="Q48" i="10"/>
  <c r="J48" i="10"/>
  <c r="F48" i="10"/>
  <c r="C48" i="10"/>
  <c r="AL47" i="10"/>
  <c r="AE47" i="10"/>
  <c r="X47" i="10"/>
  <c r="Q47" i="10"/>
  <c r="J47" i="10"/>
  <c r="F47" i="10"/>
  <c r="C47" i="10"/>
  <c r="AM46" i="10"/>
  <c r="AN46" i="10" s="1"/>
  <c r="AL46" i="10"/>
  <c r="AG46" i="10"/>
  <c r="AF46" i="10"/>
  <c r="AE46" i="10"/>
  <c r="AE35" i="10" s="1"/>
  <c r="Y46" i="10"/>
  <c r="Z46" i="10" s="1"/>
  <c r="X46" i="10"/>
  <c r="R46" i="10"/>
  <c r="Q46" i="10"/>
  <c r="S46" i="10" s="1"/>
  <c r="K46" i="10"/>
  <c r="L46" i="10" s="1"/>
  <c r="J46" i="10"/>
  <c r="H46" i="10"/>
  <c r="G46" i="10"/>
  <c r="F46" i="10"/>
  <c r="C46" i="10"/>
  <c r="AM45" i="10"/>
  <c r="AN45" i="10" s="1"/>
  <c r="AP45" i="10" s="1"/>
  <c r="AL45" i="10"/>
  <c r="AG45" i="10"/>
  <c r="AF45" i="10"/>
  <c r="AE45" i="10"/>
  <c r="Z45" i="10"/>
  <c r="Y45" i="10"/>
  <c r="X45" i="10"/>
  <c r="S45" i="10"/>
  <c r="R45" i="10"/>
  <c r="Q45" i="10"/>
  <c r="K45" i="10"/>
  <c r="L45" i="10" s="1"/>
  <c r="N45" i="10" s="1"/>
  <c r="J45" i="10"/>
  <c r="G45" i="10"/>
  <c r="H45" i="10" s="1"/>
  <c r="F45" i="10"/>
  <c r="C45" i="10"/>
  <c r="AM44" i="10"/>
  <c r="AN44" i="10" s="1"/>
  <c r="AL44" i="10"/>
  <c r="AL35" i="10" s="1"/>
  <c r="AF44" i="10"/>
  <c r="AE44" i="10"/>
  <c r="AG44" i="10" s="1"/>
  <c r="AB44" i="10"/>
  <c r="Y44" i="10"/>
  <c r="Z44" i="10" s="1"/>
  <c r="X44" i="10"/>
  <c r="S44" i="10"/>
  <c r="AC44" i="10" s="1"/>
  <c r="R44" i="10"/>
  <c r="Q44" i="10"/>
  <c r="K44" i="10"/>
  <c r="J44" i="10"/>
  <c r="G44" i="10"/>
  <c r="H44" i="10" s="1"/>
  <c r="F44" i="10"/>
  <c r="C44" i="10"/>
  <c r="AM43" i="10"/>
  <c r="AF43" i="10"/>
  <c r="Y43" i="10"/>
  <c r="R43" i="10"/>
  <c r="K43" i="10"/>
  <c r="G43" i="10"/>
  <c r="C43" i="10"/>
  <c r="AF42" i="10"/>
  <c r="Y42" i="10"/>
  <c r="K42" i="10"/>
  <c r="G42" i="10"/>
  <c r="C42" i="10"/>
  <c r="AM41" i="10"/>
  <c r="AF41" i="10"/>
  <c r="Y41" i="10"/>
  <c r="K41" i="10"/>
  <c r="C41" i="10"/>
  <c r="AM39" i="10"/>
  <c r="Y39" i="10"/>
  <c r="G39" i="10"/>
  <c r="C39" i="10"/>
  <c r="AF38" i="10"/>
  <c r="Y38" i="10"/>
  <c r="K38" i="10"/>
  <c r="G38" i="10"/>
  <c r="C38" i="10"/>
  <c r="AM36" i="10"/>
  <c r="AF36" i="10"/>
  <c r="Y36" i="10"/>
  <c r="R36" i="10"/>
  <c r="K36" i="10"/>
  <c r="G36" i="10"/>
  <c r="C36" i="10"/>
  <c r="AM35" i="10"/>
  <c r="AN35" i="10" s="1"/>
  <c r="Y35" i="10"/>
  <c r="X35" i="10"/>
  <c r="Z35" i="10" s="1"/>
  <c r="K35" i="10"/>
  <c r="G35" i="10"/>
  <c r="H35" i="10" s="1"/>
  <c r="F35" i="10"/>
  <c r="C35" i="10"/>
  <c r="AM34" i="10"/>
  <c r="Y34" i="10"/>
  <c r="R34" i="10"/>
  <c r="K34" i="10"/>
  <c r="G34" i="10"/>
  <c r="C34" i="10"/>
  <c r="AM33" i="10"/>
  <c r="AF33" i="10"/>
  <c r="Y33" i="10"/>
  <c r="R33" i="10"/>
  <c r="K33" i="10"/>
  <c r="G33" i="10"/>
  <c r="C33" i="10"/>
  <c r="AM32" i="10"/>
  <c r="AF32" i="10"/>
  <c r="Y32" i="10"/>
  <c r="R32" i="10"/>
  <c r="K32" i="10"/>
  <c r="G32" i="10"/>
  <c r="C32" i="10"/>
  <c r="AM31" i="10"/>
  <c r="AF31" i="10"/>
  <c r="Y31" i="10"/>
  <c r="R31" i="10"/>
  <c r="K31" i="10"/>
  <c r="G31" i="10"/>
  <c r="C31" i="10"/>
  <c r="AM30" i="10"/>
  <c r="AF30" i="10"/>
  <c r="Y30" i="10"/>
  <c r="R30" i="10"/>
  <c r="K30" i="10"/>
  <c r="G30" i="10"/>
  <c r="C30" i="10"/>
  <c r="AM28" i="10"/>
  <c r="AF28" i="10"/>
  <c r="Y28" i="10"/>
  <c r="R28" i="10"/>
  <c r="K28" i="10"/>
  <c r="G28" i="10"/>
  <c r="C28" i="10"/>
  <c r="AM27" i="10"/>
  <c r="AF27" i="10"/>
  <c r="Y27" i="10"/>
  <c r="R27" i="10"/>
  <c r="K27" i="10"/>
  <c r="G27" i="10"/>
  <c r="C27" i="10"/>
  <c r="AM26" i="10"/>
  <c r="AF26" i="10"/>
  <c r="Y26" i="10"/>
  <c r="R26" i="10"/>
  <c r="K26" i="10"/>
  <c r="G26" i="10"/>
  <c r="C26" i="10"/>
  <c r="AM25" i="10"/>
  <c r="AF25" i="10"/>
  <c r="Y25" i="10"/>
  <c r="R25" i="10"/>
  <c r="K25" i="10"/>
  <c r="G25" i="10"/>
  <c r="C25" i="10"/>
  <c r="AM24" i="10"/>
  <c r="AF24" i="10"/>
  <c r="Y24" i="10"/>
  <c r="R24" i="10"/>
  <c r="K24" i="10"/>
  <c r="G24" i="10"/>
  <c r="C24" i="10"/>
  <c r="AM23" i="10"/>
  <c r="AF23" i="10"/>
  <c r="Y23" i="10"/>
  <c r="R23" i="10"/>
  <c r="K23" i="10"/>
  <c r="G23" i="10"/>
  <c r="C23" i="10"/>
  <c r="AM22" i="10"/>
  <c r="AF22" i="10"/>
  <c r="Y22" i="10"/>
  <c r="R22" i="10"/>
  <c r="K22" i="10"/>
  <c r="G22" i="10"/>
  <c r="C22" i="10"/>
  <c r="AM21" i="10"/>
  <c r="AF21" i="10"/>
  <c r="Y21" i="10"/>
  <c r="R21" i="10"/>
  <c r="S21" i="10" s="1"/>
  <c r="Q21" i="10"/>
  <c r="L21" i="10"/>
  <c r="K21" i="10"/>
  <c r="J21" i="10"/>
  <c r="G21" i="10"/>
  <c r="H21" i="10" s="1"/>
  <c r="F21" i="10"/>
  <c r="C21" i="10"/>
  <c r="AM20" i="10"/>
  <c r="AF20" i="10"/>
  <c r="Y20" i="10"/>
  <c r="R20" i="10"/>
  <c r="K20" i="10"/>
  <c r="G20" i="10"/>
  <c r="C20" i="10"/>
  <c r="AM19" i="10"/>
  <c r="AF19" i="10"/>
  <c r="Y19" i="10"/>
  <c r="R19" i="10"/>
  <c r="K19" i="10"/>
  <c r="G19" i="10"/>
  <c r="C19" i="10"/>
  <c r="AM18" i="10"/>
  <c r="AF18" i="10"/>
  <c r="Y18" i="10"/>
  <c r="R18" i="10"/>
  <c r="K18" i="10"/>
  <c r="G18" i="10"/>
  <c r="B18" i="10"/>
  <c r="C18" i="10" s="1"/>
  <c r="AM17" i="10"/>
  <c r="AF17" i="10"/>
  <c r="Y17" i="10"/>
  <c r="R17" i="10"/>
  <c r="K17" i="10"/>
  <c r="G17" i="10"/>
  <c r="B17" i="10"/>
  <c r="C17" i="10" s="1"/>
  <c r="AM16" i="10"/>
  <c r="AF16" i="10"/>
  <c r="Y16" i="10"/>
  <c r="R16" i="10"/>
  <c r="K16" i="10"/>
  <c r="G16" i="10"/>
  <c r="C16" i="10"/>
  <c r="AM15" i="10"/>
  <c r="AF15" i="10"/>
  <c r="Y15" i="10"/>
  <c r="R15" i="10"/>
  <c r="K15" i="10"/>
  <c r="G15" i="10"/>
  <c r="C15" i="10"/>
  <c r="AP12" i="10"/>
  <c r="AI12" i="10"/>
  <c r="AB12" i="10"/>
  <c r="U12" i="10"/>
  <c r="N12" i="10"/>
  <c r="AN11" i="10"/>
  <c r="AQ11" i="10" s="1"/>
  <c r="AJ11" i="10"/>
  <c r="AG11" i="10"/>
  <c r="Z11" i="10"/>
  <c r="AC11" i="10" s="1"/>
  <c r="S11" i="10"/>
  <c r="V11" i="10" s="1"/>
  <c r="L11" i="10"/>
  <c r="O11" i="10" s="1"/>
  <c r="H11" i="10"/>
  <c r="S2" i="10"/>
  <c r="AM48" i="10" s="1"/>
  <c r="AN48" i="10" s="1"/>
  <c r="AL63" i="9"/>
  <c r="AM42" i="9" s="1"/>
  <c r="AE63" i="9"/>
  <c r="X63" i="9"/>
  <c r="Q63" i="9"/>
  <c r="J63" i="9"/>
  <c r="K39" i="9" s="1"/>
  <c r="F63" i="9"/>
  <c r="AL59" i="9"/>
  <c r="AE59" i="9"/>
  <c r="J59" i="9"/>
  <c r="AL53" i="9"/>
  <c r="AE53" i="9"/>
  <c r="X53" i="9"/>
  <c r="X59" i="9" s="1"/>
  <c r="Q53" i="9"/>
  <c r="Q59" i="9" s="1"/>
  <c r="J53" i="9"/>
  <c r="F53" i="9"/>
  <c r="F59" i="9" s="1"/>
  <c r="AQ48" i="9"/>
  <c r="AM48" i="9"/>
  <c r="AL48" i="9"/>
  <c r="AN48" i="9" s="1"/>
  <c r="AP48" i="9" s="1"/>
  <c r="AF48" i="9"/>
  <c r="AG48" i="9" s="1"/>
  <c r="AE48" i="9"/>
  <c r="Y48" i="9"/>
  <c r="Z48" i="9" s="1"/>
  <c r="X48" i="9"/>
  <c r="S48" i="9"/>
  <c r="R48" i="9"/>
  <c r="Q48" i="9"/>
  <c r="L48" i="9"/>
  <c r="V48" i="9" s="1"/>
  <c r="K48" i="9"/>
  <c r="J48" i="9"/>
  <c r="G48" i="9"/>
  <c r="H48" i="9" s="1"/>
  <c r="O48" i="9" s="1"/>
  <c r="F48" i="9"/>
  <c r="C48" i="9"/>
  <c r="AP47" i="9"/>
  <c r="AM47" i="9"/>
  <c r="AN47" i="9" s="1"/>
  <c r="AL47" i="9"/>
  <c r="AF47" i="9"/>
  <c r="AG47" i="9" s="1"/>
  <c r="AE47" i="9"/>
  <c r="Z47" i="9"/>
  <c r="Y47" i="9"/>
  <c r="X47" i="9"/>
  <c r="R47" i="9"/>
  <c r="Q47" i="9"/>
  <c r="S47" i="9" s="1"/>
  <c r="K47" i="9"/>
  <c r="L47" i="9" s="1"/>
  <c r="J47" i="9"/>
  <c r="G47" i="9"/>
  <c r="F47" i="9"/>
  <c r="H47" i="9" s="1"/>
  <c r="C47" i="9"/>
  <c r="AN46" i="9"/>
  <c r="AP46" i="9" s="1"/>
  <c r="AM46" i="9"/>
  <c r="AL46" i="9"/>
  <c r="AG46" i="9"/>
  <c r="AQ46" i="9" s="1"/>
  <c r="AF46" i="9"/>
  <c r="AE46" i="9"/>
  <c r="Y46" i="9"/>
  <c r="Z46" i="9" s="1"/>
  <c r="X46" i="9"/>
  <c r="R46" i="9"/>
  <c r="Q46" i="9"/>
  <c r="S46" i="9" s="1"/>
  <c r="K46" i="9"/>
  <c r="J46" i="9"/>
  <c r="L46" i="9" s="1"/>
  <c r="G46" i="9"/>
  <c r="H46" i="9" s="1"/>
  <c r="F46" i="9"/>
  <c r="C46" i="9"/>
  <c r="AM45" i="9"/>
  <c r="AN45" i="9" s="1"/>
  <c r="AP45" i="9" s="1"/>
  <c r="AL45" i="9"/>
  <c r="AF45" i="9"/>
  <c r="AG45" i="9" s="1"/>
  <c r="AE45" i="9"/>
  <c r="Z45" i="9"/>
  <c r="AB45" i="9" s="1"/>
  <c r="Y45" i="9"/>
  <c r="X45" i="9"/>
  <c r="S45" i="9"/>
  <c r="R45" i="9"/>
  <c r="Q45" i="9"/>
  <c r="K45" i="9"/>
  <c r="L45" i="9" s="1"/>
  <c r="J45" i="9"/>
  <c r="H45" i="9"/>
  <c r="G45" i="9"/>
  <c r="F45" i="9"/>
  <c r="C45" i="9"/>
  <c r="AN44" i="9"/>
  <c r="AM44" i="9"/>
  <c r="AL44" i="9"/>
  <c r="AF44" i="9"/>
  <c r="AE44" i="9"/>
  <c r="AG44" i="9" s="1"/>
  <c r="Y44" i="9"/>
  <c r="X44" i="9"/>
  <c r="X35" i="9" s="1"/>
  <c r="R44" i="9"/>
  <c r="S44" i="9" s="1"/>
  <c r="Q44" i="9"/>
  <c r="L44" i="9"/>
  <c r="K44" i="9"/>
  <c r="J44" i="9"/>
  <c r="G44" i="9"/>
  <c r="F44" i="9"/>
  <c r="C44" i="9"/>
  <c r="AM43" i="9"/>
  <c r="AF43" i="9"/>
  <c r="Y43" i="9"/>
  <c r="R43" i="9"/>
  <c r="K43" i="9"/>
  <c r="G43" i="9"/>
  <c r="C43" i="9"/>
  <c r="K42" i="9"/>
  <c r="G42" i="9"/>
  <c r="C42" i="9"/>
  <c r="AM41" i="9"/>
  <c r="Y41" i="9"/>
  <c r="K41" i="9"/>
  <c r="G41" i="9"/>
  <c r="C41" i="9"/>
  <c r="AM39" i="9"/>
  <c r="AF39" i="9"/>
  <c r="G39" i="9"/>
  <c r="C39" i="9"/>
  <c r="AM38" i="9"/>
  <c r="Y38" i="9"/>
  <c r="K38" i="9"/>
  <c r="G38" i="9"/>
  <c r="C38" i="9"/>
  <c r="AM36" i="9"/>
  <c r="AF36" i="9"/>
  <c r="Y36" i="9"/>
  <c r="R36" i="9"/>
  <c r="K36" i="9"/>
  <c r="G36" i="9"/>
  <c r="C36" i="9"/>
  <c r="AM35" i="9"/>
  <c r="AF35" i="9"/>
  <c r="AE35" i="9"/>
  <c r="AG35" i="9" s="1"/>
  <c r="Y35" i="9"/>
  <c r="Q35" i="9"/>
  <c r="K35" i="9"/>
  <c r="G35" i="9"/>
  <c r="F35" i="9"/>
  <c r="H35" i="9" s="1"/>
  <c r="C35" i="9"/>
  <c r="AM34" i="9"/>
  <c r="AF34" i="9"/>
  <c r="G34" i="9"/>
  <c r="C34" i="9"/>
  <c r="AM33" i="9"/>
  <c r="AF33" i="9"/>
  <c r="Y33" i="9"/>
  <c r="R33" i="9"/>
  <c r="K33" i="9"/>
  <c r="G33" i="9"/>
  <c r="C33" i="9"/>
  <c r="AM32" i="9"/>
  <c r="AF32" i="9"/>
  <c r="Y32" i="9"/>
  <c r="R32" i="9"/>
  <c r="K32" i="9"/>
  <c r="G32" i="9"/>
  <c r="C32" i="9"/>
  <c r="X32" i="9" s="1"/>
  <c r="Z32" i="9" s="1"/>
  <c r="AM31" i="9"/>
  <c r="AF31" i="9"/>
  <c r="Y31" i="9"/>
  <c r="R31" i="9"/>
  <c r="K31" i="9"/>
  <c r="G31" i="9"/>
  <c r="C31" i="9"/>
  <c r="AM30" i="9"/>
  <c r="AF30" i="9"/>
  <c r="Y30" i="9"/>
  <c r="R30" i="9"/>
  <c r="K30" i="9"/>
  <c r="G30" i="9"/>
  <c r="C30" i="9"/>
  <c r="AM28" i="9"/>
  <c r="AF28" i="9"/>
  <c r="Y28" i="9"/>
  <c r="R28" i="9"/>
  <c r="K28" i="9"/>
  <c r="G28" i="9"/>
  <c r="C28" i="9"/>
  <c r="AM27" i="9"/>
  <c r="AF27" i="9"/>
  <c r="Y27" i="9"/>
  <c r="R27" i="9"/>
  <c r="K27" i="9"/>
  <c r="G27" i="9"/>
  <c r="C27" i="9"/>
  <c r="AM26" i="9"/>
  <c r="AF26" i="9"/>
  <c r="Y26" i="9"/>
  <c r="R26" i="9"/>
  <c r="K26" i="9"/>
  <c r="G26" i="9"/>
  <c r="C26" i="9"/>
  <c r="AM25" i="9"/>
  <c r="AF25" i="9"/>
  <c r="Y25" i="9"/>
  <c r="R25" i="9"/>
  <c r="K25" i="9"/>
  <c r="G25" i="9"/>
  <c r="C25" i="9"/>
  <c r="AM24" i="9"/>
  <c r="AF24" i="9"/>
  <c r="Y24" i="9"/>
  <c r="R24" i="9"/>
  <c r="K24" i="9"/>
  <c r="G24" i="9"/>
  <c r="C24" i="9"/>
  <c r="AM23" i="9"/>
  <c r="AF23" i="9"/>
  <c r="Y23" i="9"/>
  <c r="R23" i="9"/>
  <c r="K23" i="9"/>
  <c r="G23" i="9"/>
  <c r="C23" i="9"/>
  <c r="AL23" i="9" s="1"/>
  <c r="AN23" i="9" s="1"/>
  <c r="AM22" i="9"/>
  <c r="AF22" i="9"/>
  <c r="Y22" i="9"/>
  <c r="R22" i="9"/>
  <c r="K22" i="9"/>
  <c r="G22" i="9"/>
  <c r="C22" i="9"/>
  <c r="AM21" i="9"/>
  <c r="AF21" i="9"/>
  <c r="Y21" i="9"/>
  <c r="R21" i="9"/>
  <c r="S21" i="9" s="1"/>
  <c r="Q21" i="9"/>
  <c r="L21" i="9"/>
  <c r="K21" i="9"/>
  <c r="J21" i="9"/>
  <c r="G21" i="9"/>
  <c r="H21" i="9" s="1"/>
  <c r="F21" i="9"/>
  <c r="C21" i="9"/>
  <c r="AM20" i="9"/>
  <c r="AF20" i="9"/>
  <c r="Y20" i="9"/>
  <c r="R20" i="9"/>
  <c r="K20" i="9"/>
  <c r="G20" i="9"/>
  <c r="C20" i="9"/>
  <c r="AM19" i="9"/>
  <c r="AF19" i="9"/>
  <c r="Y19" i="9"/>
  <c r="R19" i="9"/>
  <c r="K19" i="9"/>
  <c r="G19" i="9"/>
  <c r="C19" i="9"/>
  <c r="AE19" i="9" s="1"/>
  <c r="AM18" i="9"/>
  <c r="AF18" i="9"/>
  <c r="Y18" i="9"/>
  <c r="R18" i="9"/>
  <c r="K18" i="9"/>
  <c r="G18" i="9"/>
  <c r="B18" i="9"/>
  <c r="C18" i="9" s="1"/>
  <c r="AM17" i="9"/>
  <c r="AF17" i="9"/>
  <c r="AE17" i="9"/>
  <c r="AG17" i="9" s="1"/>
  <c r="Y17" i="9"/>
  <c r="R17" i="9"/>
  <c r="K17" i="9"/>
  <c r="G17" i="9"/>
  <c r="B17" i="9"/>
  <c r="C17" i="9" s="1"/>
  <c r="AM16" i="9"/>
  <c r="AF16" i="9"/>
  <c r="Y16" i="9"/>
  <c r="R16" i="9"/>
  <c r="K16" i="9"/>
  <c r="G16" i="9"/>
  <c r="C16" i="9"/>
  <c r="AM15" i="9"/>
  <c r="AF15" i="9"/>
  <c r="Y15" i="9"/>
  <c r="R15" i="9"/>
  <c r="K15" i="9"/>
  <c r="G15" i="9"/>
  <c r="C15" i="9"/>
  <c r="J15" i="9" s="1"/>
  <c r="L15" i="9" s="1"/>
  <c r="AP12" i="9"/>
  <c r="AI12" i="9"/>
  <c r="AB12" i="9"/>
  <c r="U12" i="9"/>
  <c r="N12" i="9"/>
  <c r="AQ11" i="9"/>
  <c r="AN11" i="9"/>
  <c r="AJ11" i="9"/>
  <c r="AG11" i="9"/>
  <c r="AC11" i="9"/>
  <c r="Z11" i="9"/>
  <c r="V11" i="9"/>
  <c r="S11" i="9"/>
  <c r="O11" i="9"/>
  <c r="L11" i="9"/>
  <c r="H11" i="9"/>
  <c r="J350" i="8"/>
  <c r="I350" i="8"/>
  <c r="H350" i="8"/>
  <c r="G350" i="8"/>
  <c r="F350" i="8"/>
  <c r="J335" i="8"/>
  <c r="I335" i="8"/>
  <c r="H335" i="8"/>
  <c r="G335" i="8"/>
  <c r="F335" i="8"/>
  <c r="J322" i="8"/>
  <c r="I322" i="8"/>
  <c r="H322" i="8"/>
  <c r="G322" i="8"/>
  <c r="F322" i="8"/>
  <c r="J302" i="8"/>
  <c r="I302" i="8"/>
  <c r="H302" i="8"/>
  <c r="G302" i="8"/>
  <c r="F302" i="8"/>
  <c r="B300" i="8"/>
  <c r="B299" i="8"/>
  <c r="B298" i="8"/>
  <c r="B297" i="8"/>
  <c r="B296" i="8"/>
  <c r="B295" i="8"/>
  <c r="B294" i="8"/>
  <c r="B293" i="8"/>
  <c r="B292" i="8"/>
  <c r="B291" i="8"/>
  <c r="B290" i="8"/>
  <c r="J289" i="8"/>
  <c r="I289" i="8"/>
  <c r="H289" i="8"/>
  <c r="G289" i="8"/>
  <c r="F289" i="8"/>
  <c r="B284" i="8"/>
  <c r="B283" i="8"/>
  <c r="B282" i="8"/>
  <c r="B281" i="8"/>
  <c r="B280" i="8"/>
  <c r="B279" i="8"/>
  <c r="B278" i="8"/>
  <c r="B277" i="8"/>
  <c r="J276" i="8"/>
  <c r="I276" i="8"/>
  <c r="H276" i="8"/>
  <c r="G276" i="8"/>
  <c r="F276" i="8"/>
  <c r="B274" i="8"/>
  <c r="B273" i="8"/>
  <c r="B272" i="8"/>
  <c r="B271" i="8"/>
  <c r="B270" i="8"/>
  <c r="B269" i="8"/>
  <c r="B268" i="8"/>
  <c r="B267" i="8"/>
  <c r="B266" i="8"/>
  <c r="B265" i="8"/>
  <c r="B264" i="8"/>
  <c r="J263" i="8"/>
  <c r="I263" i="8"/>
  <c r="H263" i="8"/>
  <c r="G263" i="8"/>
  <c r="F263" i="8"/>
  <c r="B259" i="8"/>
  <c r="B258" i="8"/>
  <c r="B257" i="8"/>
  <c r="B256" i="8"/>
  <c r="B255" i="8"/>
  <c r="B254" i="8"/>
  <c r="B253" i="8"/>
  <c r="J252" i="8"/>
  <c r="I252" i="8"/>
  <c r="H252" i="8"/>
  <c r="G252" i="8"/>
  <c r="F252" i="8"/>
  <c r="B250" i="8"/>
  <c r="B249" i="8"/>
  <c r="B248" i="8"/>
  <c r="B247" i="8"/>
  <c r="B246" i="8"/>
  <c r="B245" i="8"/>
  <c r="B244" i="8"/>
  <c r="B243" i="8"/>
  <c r="B242" i="8"/>
  <c r="B241" i="8"/>
  <c r="B240" i="8"/>
  <c r="J239" i="8"/>
  <c r="I239" i="8"/>
  <c r="H239" i="8"/>
  <c r="G239" i="8"/>
  <c r="F239" i="8"/>
  <c r="B236" i="8"/>
  <c r="B235" i="8"/>
  <c r="B234" i="8"/>
  <c r="B233" i="8"/>
  <c r="B232" i="8"/>
  <c r="B231" i="8"/>
  <c r="B230" i="8"/>
  <c r="B229" i="8"/>
  <c r="B228" i="8"/>
  <c r="B227" i="8"/>
  <c r="B226" i="8"/>
  <c r="J225" i="8"/>
  <c r="I225" i="8"/>
  <c r="H225" i="8"/>
  <c r="G225" i="8"/>
  <c r="F225" i="8"/>
  <c r="B223" i="8"/>
  <c r="B222" i="8"/>
  <c r="B221" i="8"/>
  <c r="B220" i="8"/>
  <c r="B219" i="8"/>
  <c r="B218" i="8"/>
  <c r="B217" i="8"/>
  <c r="B216" i="8"/>
  <c r="B215" i="8"/>
  <c r="B214" i="8"/>
  <c r="B213" i="8"/>
  <c r="J212" i="8"/>
  <c r="I212" i="8"/>
  <c r="H212" i="8"/>
  <c r="G212" i="8"/>
  <c r="F212" i="8"/>
  <c r="B210" i="8"/>
  <c r="B209" i="8"/>
  <c r="B208" i="8"/>
  <c r="B207" i="8"/>
  <c r="B206" i="8"/>
  <c r="B205" i="8"/>
  <c r="B204" i="8"/>
  <c r="B202" i="8"/>
  <c r="B200" i="8"/>
  <c r="B199" i="8"/>
  <c r="B198" i="8"/>
  <c r="J197" i="8"/>
  <c r="I197" i="8"/>
  <c r="H197" i="8"/>
  <c r="G197" i="8"/>
  <c r="F197" i="8"/>
  <c r="B195" i="8"/>
  <c r="B194" i="8"/>
  <c r="B193" i="8"/>
  <c r="B192" i="8"/>
  <c r="B191" i="8"/>
  <c r="B190" i="8"/>
  <c r="B189" i="8"/>
  <c r="B187" i="8"/>
  <c r="B185" i="8"/>
  <c r="B184" i="8"/>
  <c r="B183" i="8"/>
  <c r="J182" i="8"/>
  <c r="I182" i="8"/>
  <c r="H182" i="8"/>
  <c r="G182" i="8"/>
  <c r="F182" i="8"/>
  <c r="B180" i="8"/>
  <c r="B179" i="8"/>
  <c r="B178" i="8"/>
  <c r="B177" i="8"/>
  <c r="B176" i="8"/>
  <c r="B175" i="8"/>
  <c r="B174" i="8"/>
  <c r="B173" i="8"/>
  <c r="B172" i="8"/>
  <c r="B171" i="8"/>
  <c r="B170" i="8"/>
  <c r="J169" i="8"/>
  <c r="I169" i="8"/>
  <c r="H169" i="8"/>
  <c r="G169" i="8"/>
  <c r="F169" i="8"/>
  <c r="B166" i="8"/>
  <c r="B165" i="8"/>
  <c r="B164" i="8"/>
  <c r="B163" i="8"/>
  <c r="B162" i="8"/>
  <c r="B161" i="8"/>
  <c r="B160" i="8"/>
  <c r="B159" i="8"/>
  <c r="B158" i="8"/>
  <c r="B157" i="8"/>
  <c r="B156" i="8"/>
  <c r="J155" i="8"/>
  <c r="I155" i="8"/>
  <c r="H155" i="8"/>
  <c r="G155" i="8"/>
  <c r="F155" i="8"/>
  <c r="B152" i="8"/>
  <c r="B151" i="8"/>
  <c r="B150" i="8"/>
  <c r="B149" i="8"/>
  <c r="B148" i="8"/>
  <c r="B147" i="8"/>
  <c r="B146" i="8"/>
  <c r="B145" i="8"/>
  <c r="B144" i="8"/>
  <c r="B143" i="8"/>
  <c r="B142" i="8"/>
  <c r="J141" i="8"/>
  <c r="I141" i="8"/>
  <c r="H141" i="8"/>
  <c r="G141" i="8"/>
  <c r="F141" i="8"/>
  <c r="C139" i="8"/>
  <c r="B139" i="8" s="1"/>
  <c r="C138" i="8"/>
  <c r="B138" i="8" s="1"/>
  <c r="C137" i="8"/>
  <c r="B137" i="8" s="1"/>
  <c r="C136" i="8"/>
  <c r="B136" i="8" s="1"/>
  <c r="C135" i="8"/>
  <c r="B135" i="8" s="1"/>
  <c r="C134" i="8"/>
  <c r="B134" i="8" s="1"/>
  <c r="C133" i="8"/>
  <c r="B133" i="8" s="1"/>
  <c r="C132" i="8"/>
  <c r="B132" i="8" s="1"/>
  <c r="X41" i="9" s="1"/>
  <c r="Z41" i="9" s="1"/>
  <c r="C131" i="8"/>
  <c r="B131" i="8" s="1"/>
  <c r="C130" i="8"/>
  <c r="B130" i="8" s="1"/>
  <c r="C129" i="8"/>
  <c r="B129" i="8" s="1"/>
  <c r="J128" i="8"/>
  <c r="I128" i="8"/>
  <c r="H128" i="8"/>
  <c r="G128" i="8"/>
  <c r="F128" i="8"/>
  <c r="C126" i="8"/>
  <c r="B126" i="8"/>
  <c r="C125" i="8"/>
  <c r="B125" i="8"/>
  <c r="C124" i="8"/>
  <c r="B124" i="8"/>
  <c r="C123" i="8"/>
  <c r="B123" i="8" s="1"/>
  <c r="C122" i="8"/>
  <c r="B122" i="8"/>
  <c r="C121" i="8"/>
  <c r="B121" i="8"/>
  <c r="C120" i="8"/>
  <c r="B120" i="8"/>
  <c r="C119" i="8"/>
  <c r="B119" i="8"/>
  <c r="C118" i="8"/>
  <c r="B118" i="8"/>
  <c r="C117" i="8"/>
  <c r="B117" i="8" s="1"/>
  <c r="C116" i="8"/>
  <c r="B116" i="8"/>
  <c r="B113" i="8"/>
  <c r="B112" i="8"/>
  <c r="B111" i="8"/>
  <c r="B110" i="8"/>
  <c r="B109" i="8"/>
  <c r="B108" i="8"/>
  <c r="B107" i="8"/>
  <c r="B106" i="8"/>
  <c r="B105" i="8"/>
  <c r="B104" i="8"/>
  <c r="B103" i="8"/>
  <c r="J102" i="8"/>
  <c r="I102" i="8"/>
  <c r="H102" i="8"/>
  <c r="G102" i="8"/>
  <c r="F102" i="8"/>
  <c r="B100" i="8"/>
  <c r="B99" i="8"/>
  <c r="B98" i="8"/>
  <c r="B97" i="8"/>
  <c r="B96" i="8"/>
  <c r="B95" i="8"/>
  <c r="B94" i="8"/>
  <c r="B93" i="8"/>
  <c r="B92" i="8"/>
  <c r="B91" i="8"/>
  <c r="B90" i="8"/>
  <c r="J89" i="8"/>
  <c r="I89" i="8"/>
  <c r="H89" i="8"/>
  <c r="G89" i="8"/>
  <c r="F89" i="8"/>
  <c r="B86" i="8"/>
  <c r="B85" i="8"/>
  <c r="B84" i="8"/>
  <c r="B83" i="8"/>
  <c r="B82" i="8"/>
  <c r="B81" i="8"/>
  <c r="B80" i="8"/>
  <c r="B79" i="8"/>
  <c r="B78" i="8"/>
  <c r="B77" i="8"/>
  <c r="B76" i="8"/>
  <c r="B71" i="8"/>
  <c r="B70" i="8"/>
  <c r="B69" i="8"/>
  <c r="B68" i="8"/>
  <c r="B67" i="8"/>
  <c r="B66" i="8"/>
  <c r="B65" i="8"/>
  <c r="B64" i="8"/>
  <c r="J63" i="8"/>
  <c r="I63" i="8"/>
  <c r="H63" i="8"/>
  <c r="G63" i="8"/>
  <c r="F63" i="8"/>
  <c r="B60" i="8"/>
  <c r="B59" i="8"/>
  <c r="B58" i="8"/>
  <c r="B57" i="8"/>
  <c r="B56" i="8"/>
  <c r="B55" i="8"/>
  <c r="B54" i="8"/>
  <c r="B53" i="8"/>
  <c r="B52" i="8"/>
  <c r="B51" i="8"/>
  <c r="J50" i="8"/>
  <c r="I50" i="8"/>
  <c r="H50" i="8"/>
  <c r="G50" i="8"/>
  <c r="F50" i="8"/>
  <c r="B47" i="8"/>
  <c r="B46" i="8"/>
  <c r="B45" i="8"/>
  <c r="B44" i="8"/>
  <c r="B43" i="8"/>
  <c r="B42" i="8"/>
  <c r="B41" i="8"/>
  <c r="B40" i="8"/>
  <c r="B39" i="8"/>
  <c r="B38" i="8"/>
  <c r="B37" i="8"/>
  <c r="J36" i="8"/>
  <c r="I36" i="8"/>
  <c r="H36" i="8"/>
  <c r="G36" i="8"/>
  <c r="F36" i="8"/>
  <c r="B31" i="8"/>
  <c r="B30" i="8"/>
  <c r="B29" i="8"/>
  <c r="B28" i="8"/>
  <c r="B27" i="8"/>
  <c r="B26" i="8"/>
  <c r="B25" i="8"/>
  <c r="B24" i="8"/>
  <c r="B23" i="8"/>
  <c r="B22" i="8"/>
  <c r="B21" i="8"/>
  <c r="J20" i="8"/>
  <c r="I20" i="8"/>
  <c r="H20" i="8"/>
  <c r="G20" i="8"/>
  <c r="F20" i="8"/>
  <c r="B18" i="8"/>
  <c r="B17" i="8"/>
  <c r="B16" i="8"/>
  <c r="B15" i="8"/>
  <c r="B14" i="8"/>
  <c r="B13" i="8"/>
  <c r="B12" i="8"/>
  <c r="B11" i="8"/>
  <c r="B10" i="8"/>
  <c r="B9" i="8"/>
  <c r="B8" i="8"/>
  <c r="J7" i="8"/>
  <c r="I7" i="8"/>
  <c r="H7" i="8"/>
  <c r="G7" i="8"/>
  <c r="F7" i="8"/>
  <c r="D530" i="7"/>
  <c r="D529" i="7"/>
  <c r="D528" i="7"/>
  <c r="D527" i="7"/>
  <c r="A523" i="7"/>
  <c r="A522" i="7"/>
  <c r="A521" i="7"/>
  <c r="A520" i="7"/>
  <c r="A519" i="7"/>
  <c r="A518" i="7"/>
  <c r="D516" i="7"/>
  <c r="D513" i="7"/>
  <c r="D512" i="7"/>
  <c r="D507" i="7"/>
  <c r="D506" i="7"/>
  <c r="D504" i="7"/>
  <c r="D503" i="7"/>
  <c r="D502" i="7"/>
  <c r="D501" i="7"/>
  <c r="D500" i="7"/>
  <c r="A487" i="7"/>
  <c r="A486" i="7"/>
  <c r="A485" i="7"/>
  <c r="A484" i="7"/>
  <c r="A483" i="7"/>
  <c r="A482" i="7"/>
  <c r="D480" i="7"/>
  <c r="D479" i="7"/>
  <c r="D478" i="7"/>
  <c r="D477" i="7"/>
  <c r="D476" i="7"/>
  <c r="D475" i="7"/>
  <c r="D472" i="7"/>
  <c r="D471" i="7"/>
  <c r="D470" i="7"/>
  <c r="D469" i="7"/>
  <c r="D468" i="7"/>
  <c r="D465" i="7"/>
  <c r="D464" i="7"/>
  <c r="D463" i="7"/>
  <c r="D462" i="7"/>
  <c r="D461" i="7"/>
  <c r="D460" i="7"/>
  <c r="D459" i="7"/>
  <c r="D458" i="7"/>
  <c r="D457" i="7"/>
  <c r="A445" i="7"/>
  <c r="A444" i="7"/>
  <c r="A443" i="7"/>
  <c r="A442" i="7"/>
  <c r="A441" i="7"/>
  <c r="A440" i="7"/>
  <c r="D435" i="7"/>
  <c r="A419" i="7"/>
  <c r="A418" i="7"/>
  <c r="A417" i="7"/>
  <c r="A416" i="7"/>
  <c r="A415" i="7"/>
  <c r="A414" i="7"/>
  <c r="D412" i="7"/>
  <c r="A396" i="7"/>
  <c r="A395" i="7"/>
  <c r="A394" i="7"/>
  <c r="A393" i="7"/>
  <c r="A392" i="7"/>
  <c r="A391" i="7"/>
  <c r="D389" i="7"/>
  <c r="A373" i="7"/>
  <c r="A372" i="7"/>
  <c r="A371" i="7"/>
  <c r="A370" i="7"/>
  <c r="A369" i="7"/>
  <c r="A368" i="7"/>
  <c r="D366" i="7"/>
  <c r="A350" i="7"/>
  <c r="A349" i="7"/>
  <c r="A348" i="7"/>
  <c r="A347" i="7"/>
  <c r="A346" i="7"/>
  <c r="A345" i="7"/>
  <c r="D343" i="7"/>
  <c r="D342" i="7"/>
  <c r="D340" i="7"/>
  <c r="D336" i="7"/>
  <c r="D335" i="7"/>
  <c r="D334" i="7"/>
  <c r="D333" i="7"/>
  <c r="D332" i="7"/>
  <c r="D331" i="7"/>
  <c r="D330" i="7"/>
  <c r="D329" i="7"/>
  <c r="D328" i="7"/>
  <c r="A312" i="7"/>
  <c r="A311" i="7"/>
  <c r="A310" i="7"/>
  <c r="A309" i="7"/>
  <c r="A308" i="7"/>
  <c r="A307" i="7"/>
  <c r="D305" i="7"/>
  <c r="D304" i="7"/>
  <c r="D302" i="7"/>
  <c r="D298" i="7"/>
  <c r="D297" i="7"/>
  <c r="D296" i="7"/>
  <c r="D295" i="7"/>
  <c r="D294" i="7"/>
  <c r="D293" i="7"/>
  <c r="D292" i="7"/>
  <c r="D291" i="7"/>
  <c r="A275" i="7"/>
  <c r="A274" i="7"/>
  <c r="A273" i="7"/>
  <c r="A272" i="7"/>
  <c r="A271" i="7"/>
  <c r="A270" i="7"/>
  <c r="D268" i="7"/>
  <c r="D267" i="7"/>
  <c r="D266" i="7"/>
  <c r="D265" i="7"/>
  <c r="A249" i="7"/>
  <c r="A248" i="7"/>
  <c r="A247" i="7"/>
  <c r="A246" i="7"/>
  <c r="A245" i="7"/>
  <c r="A244" i="7"/>
  <c r="D242" i="7"/>
  <c r="D241" i="7"/>
  <c r="D239" i="7"/>
  <c r="D235" i="7"/>
  <c r="D234" i="7"/>
  <c r="D233" i="7"/>
  <c r="D232" i="7"/>
  <c r="D231" i="7"/>
  <c r="D230" i="7"/>
  <c r="D229" i="7"/>
  <c r="D228" i="7"/>
  <c r="A212" i="7"/>
  <c r="A211" i="7"/>
  <c r="A210" i="7"/>
  <c r="A209" i="7"/>
  <c r="A208" i="7"/>
  <c r="A207" i="7"/>
  <c r="D205" i="7"/>
  <c r="D204" i="7"/>
  <c r="D203" i="7"/>
  <c r="D202" i="7"/>
  <c r="D198" i="7"/>
  <c r="D197" i="7"/>
  <c r="D196" i="7"/>
  <c r="D195" i="7"/>
  <c r="D194" i="7"/>
  <c r="D193" i="7"/>
  <c r="D192" i="7"/>
  <c r="D191" i="7"/>
  <c r="D190" i="7"/>
  <c r="A171" i="7"/>
  <c r="A170" i="7"/>
  <c r="A169" i="7"/>
  <c r="A168" i="7"/>
  <c r="A167" i="7"/>
  <c r="A166" i="7"/>
  <c r="D164" i="7"/>
  <c r="D163" i="7"/>
  <c r="D161" i="7"/>
  <c r="D157" i="7"/>
  <c r="D156" i="7"/>
  <c r="D155" i="7"/>
  <c r="D154" i="7"/>
  <c r="D153" i="7"/>
  <c r="D152" i="7"/>
  <c r="D151" i="7"/>
  <c r="D150" i="7"/>
  <c r="D149" i="7"/>
  <c r="D148" i="7"/>
  <c r="D147" i="7"/>
  <c r="D146" i="7"/>
  <c r="A127" i="7"/>
  <c r="A126" i="7"/>
  <c r="A125" i="7"/>
  <c r="A124" i="7"/>
  <c r="A123" i="7"/>
  <c r="A122" i="7"/>
  <c r="D120" i="7"/>
  <c r="D119" i="7"/>
  <c r="D117" i="7"/>
  <c r="D113" i="7"/>
  <c r="D112" i="7"/>
  <c r="D111" i="7"/>
  <c r="D110" i="7"/>
  <c r="D109" i="7"/>
  <c r="D108" i="7"/>
  <c r="D107" i="7"/>
  <c r="D106" i="7"/>
  <c r="D105" i="7"/>
  <c r="D104" i="7"/>
  <c r="D103" i="7"/>
  <c r="D102" i="7"/>
  <c r="A83" i="7"/>
  <c r="A82" i="7"/>
  <c r="A81" i="7"/>
  <c r="A80" i="7"/>
  <c r="A79" i="7"/>
  <c r="A78" i="7"/>
  <c r="D76" i="7"/>
  <c r="D75" i="7"/>
  <c r="D73" i="7"/>
  <c r="D69" i="7"/>
  <c r="D68" i="7"/>
  <c r="D67" i="7"/>
  <c r="D66" i="7"/>
  <c r="D65" i="7"/>
  <c r="D64" i="7"/>
  <c r="D63" i="7"/>
  <c r="D62" i="7"/>
  <c r="D61" i="7"/>
  <c r="D60" i="7"/>
  <c r="A44" i="7"/>
  <c r="A43" i="7"/>
  <c r="A42" i="7"/>
  <c r="A41" i="7"/>
  <c r="A40" i="7"/>
  <c r="A39" i="7"/>
  <c r="D37" i="7"/>
  <c r="D36" i="7"/>
  <c r="D35" i="7"/>
  <c r="D30" i="7"/>
  <c r="D29" i="7"/>
  <c r="D28" i="7"/>
  <c r="D27" i="7"/>
  <c r="D26" i="7"/>
  <c r="D25" i="7"/>
  <c r="D24" i="7"/>
  <c r="D23" i="7"/>
  <c r="D22" i="7"/>
  <c r="D530" i="6"/>
  <c r="D529" i="6"/>
  <c r="D528" i="6"/>
  <c r="D527" i="6"/>
  <c r="A523" i="6"/>
  <c r="A522" i="6"/>
  <c r="A521" i="6"/>
  <c r="A520" i="6"/>
  <c r="A519" i="6"/>
  <c r="A518" i="6"/>
  <c r="D516" i="6"/>
  <c r="D513" i="6"/>
  <c r="D512" i="6"/>
  <c r="D507" i="6"/>
  <c r="D506" i="6"/>
  <c r="D504" i="6"/>
  <c r="D503" i="6"/>
  <c r="D502" i="6"/>
  <c r="D501" i="6"/>
  <c r="D500" i="6"/>
  <c r="A487" i="6"/>
  <c r="A486" i="6"/>
  <c r="A485" i="6"/>
  <c r="A484" i="6"/>
  <c r="A483" i="6"/>
  <c r="A482" i="6"/>
  <c r="D480" i="6"/>
  <c r="D479" i="6"/>
  <c r="D478" i="6"/>
  <c r="D477" i="6"/>
  <c r="D476" i="6"/>
  <c r="D475" i="6"/>
  <c r="D472" i="6"/>
  <c r="D471" i="6"/>
  <c r="D470" i="6"/>
  <c r="D469" i="6"/>
  <c r="D468" i="6"/>
  <c r="D465" i="6"/>
  <c r="D464" i="6"/>
  <c r="D463" i="6"/>
  <c r="D462" i="6"/>
  <c r="D461" i="6"/>
  <c r="D460" i="6"/>
  <c r="D459" i="6"/>
  <c r="D458" i="6"/>
  <c r="D457" i="6"/>
  <c r="A445" i="6"/>
  <c r="A444" i="6"/>
  <c r="A443" i="6"/>
  <c r="A442" i="6"/>
  <c r="A441" i="6"/>
  <c r="A440" i="6"/>
  <c r="D435" i="6"/>
  <c r="A419" i="6"/>
  <c r="A418" i="6"/>
  <c r="A417" i="6"/>
  <c r="A416" i="6"/>
  <c r="A415" i="6"/>
  <c r="A414" i="6"/>
  <c r="D412" i="6"/>
  <c r="D389" i="6"/>
  <c r="A373" i="6"/>
  <c r="A372" i="6"/>
  <c r="A371" i="6"/>
  <c r="A370" i="6"/>
  <c r="A369" i="6"/>
  <c r="A368" i="6"/>
  <c r="D366" i="6"/>
  <c r="A350" i="6"/>
  <c r="A349" i="6"/>
  <c r="A348" i="6"/>
  <c r="A347" i="6"/>
  <c r="A346" i="6"/>
  <c r="A345" i="6"/>
  <c r="D343" i="6"/>
  <c r="D342" i="6"/>
  <c r="D340" i="6"/>
  <c r="D336" i="6"/>
  <c r="D335" i="6"/>
  <c r="D334" i="6"/>
  <c r="D333" i="6"/>
  <c r="D332" i="6"/>
  <c r="D331" i="6"/>
  <c r="D330" i="6"/>
  <c r="D329" i="6"/>
  <c r="D328" i="6"/>
  <c r="A312" i="6"/>
  <c r="A311" i="6"/>
  <c r="A310" i="6"/>
  <c r="A309" i="6"/>
  <c r="A308" i="6"/>
  <c r="A307" i="6"/>
  <c r="D305" i="6"/>
  <c r="D304" i="6"/>
  <c r="D302" i="6"/>
  <c r="D298" i="6"/>
  <c r="D297" i="6"/>
  <c r="D296" i="6"/>
  <c r="D295" i="6"/>
  <c r="D294" i="6"/>
  <c r="D293" i="6"/>
  <c r="D292" i="6"/>
  <c r="D291" i="6"/>
  <c r="A275" i="6"/>
  <c r="A274" i="6"/>
  <c r="A273" i="6"/>
  <c r="A272" i="6"/>
  <c r="A271" i="6"/>
  <c r="A270" i="6"/>
  <c r="D268" i="6"/>
  <c r="D267" i="6"/>
  <c r="D266" i="6"/>
  <c r="D265" i="6"/>
  <c r="A249" i="6"/>
  <c r="A248" i="6"/>
  <c r="A247" i="6"/>
  <c r="A246" i="6"/>
  <c r="A245" i="6"/>
  <c r="A244" i="6"/>
  <c r="D242" i="6"/>
  <c r="D241" i="6"/>
  <c r="D239" i="6"/>
  <c r="D235" i="6"/>
  <c r="D234" i="6"/>
  <c r="D233" i="6"/>
  <c r="D232" i="6"/>
  <c r="D231" i="6"/>
  <c r="D230" i="6"/>
  <c r="D229" i="6"/>
  <c r="D228" i="6"/>
  <c r="A212" i="6"/>
  <c r="A211" i="6"/>
  <c r="A210" i="6"/>
  <c r="A209" i="6"/>
  <c r="A208" i="6"/>
  <c r="A207" i="6"/>
  <c r="D205" i="6"/>
  <c r="D204" i="6"/>
  <c r="D203" i="6"/>
  <c r="D202" i="6"/>
  <c r="D198" i="6"/>
  <c r="D197" i="6"/>
  <c r="D196" i="6"/>
  <c r="D195" i="6"/>
  <c r="D194" i="6"/>
  <c r="D193" i="6"/>
  <c r="D192" i="6"/>
  <c r="D191" i="6"/>
  <c r="D190" i="6"/>
  <c r="A171" i="6"/>
  <c r="A170" i="6"/>
  <c r="A169" i="6"/>
  <c r="A168" i="6"/>
  <c r="A167" i="6"/>
  <c r="A166" i="6"/>
  <c r="D164" i="6"/>
  <c r="D163" i="6"/>
  <c r="D161" i="6"/>
  <c r="D157" i="6"/>
  <c r="D156" i="6"/>
  <c r="D155" i="6"/>
  <c r="D154" i="6"/>
  <c r="D153" i="6"/>
  <c r="D152" i="6"/>
  <c r="D151" i="6"/>
  <c r="D150" i="6"/>
  <c r="D149" i="6"/>
  <c r="D148" i="6"/>
  <c r="D147" i="6"/>
  <c r="D146" i="6"/>
  <c r="A127" i="6"/>
  <c r="A126" i="6"/>
  <c r="A125" i="6"/>
  <c r="A124" i="6"/>
  <c r="A123" i="6"/>
  <c r="A122" i="6"/>
  <c r="D120" i="6"/>
  <c r="D119" i="6"/>
  <c r="D117" i="6"/>
  <c r="D113" i="6"/>
  <c r="D112" i="6"/>
  <c r="D111" i="6"/>
  <c r="D110" i="6"/>
  <c r="D109" i="6"/>
  <c r="D108" i="6"/>
  <c r="D107" i="6"/>
  <c r="D106" i="6"/>
  <c r="D105" i="6"/>
  <c r="D104" i="6"/>
  <c r="D103" i="6"/>
  <c r="D102" i="6"/>
  <c r="A83" i="6"/>
  <c r="A82" i="6"/>
  <c r="A81" i="6"/>
  <c r="A80" i="6"/>
  <c r="A79" i="6"/>
  <c r="A78" i="6"/>
  <c r="D76" i="6"/>
  <c r="D75" i="6"/>
  <c r="D73" i="6"/>
  <c r="D69" i="6"/>
  <c r="D68" i="6"/>
  <c r="D67" i="6"/>
  <c r="D66" i="6"/>
  <c r="D65" i="6"/>
  <c r="D64" i="6"/>
  <c r="D63" i="6"/>
  <c r="D62" i="6"/>
  <c r="D61" i="6"/>
  <c r="D60" i="6"/>
  <c r="A44" i="6"/>
  <c r="A43" i="6"/>
  <c r="A42" i="6"/>
  <c r="A41" i="6"/>
  <c r="A40" i="6"/>
  <c r="A39" i="6"/>
  <c r="D37" i="6"/>
  <c r="D36" i="6"/>
  <c r="D35" i="6"/>
  <c r="D30" i="6"/>
  <c r="D29" i="6"/>
  <c r="D28" i="6"/>
  <c r="D27" i="6"/>
  <c r="D26" i="6"/>
  <c r="D25" i="6"/>
  <c r="D24" i="6"/>
  <c r="D23" i="6"/>
  <c r="D22" i="6"/>
  <c r="D529" i="5"/>
  <c r="D528" i="5"/>
  <c r="D527" i="5"/>
  <c r="D526" i="5"/>
  <c r="A522" i="5"/>
  <c r="A521" i="5"/>
  <c r="A520" i="5"/>
  <c r="A519" i="5"/>
  <c r="A518" i="5"/>
  <c r="A517" i="5"/>
  <c r="D515" i="5"/>
  <c r="D512" i="5"/>
  <c r="D511" i="5"/>
  <c r="D506" i="5"/>
  <c r="D505" i="5"/>
  <c r="D503" i="5"/>
  <c r="D502" i="5"/>
  <c r="D501" i="5"/>
  <c r="D500" i="5"/>
  <c r="D499" i="5"/>
  <c r="A487" i="5"/>
  <c r="A486" i="5"/>
  <c r="A485" i="5"/>
  <c r="A484" i="5"/>
  <c r="A483" i="5"/>
  <c r="A482" i="5"/>
  <c r="D480" i="5"/>
  <c r="D479" i="5"/>
  <c r="D478" i="5"/>
  <c r="D477" i="5"/>
  <c r="D476" i="5"/>
  <c r="D475" i="5"/>
  <c r="D472" i="5"/>
  <c r="D471" i="5"/>
  <c r="D470" i="5"/>
  <c r="D469" i="5"/>
  <c r="D468" i="5"/>
  <c r="D465" i="5"/>
  <c r="D464" i="5"/>
  <c r="D463" i="5"/>
  <c r="D462" i="5"/>
  <c r="D461" i="5"/>
  <c r="D460" i="5"/>
  <c r="D459" i="5"/>
  <c r="D458" i="5"/>
  <c r="D457" i="5"/>
  <c r="A445" i="5"/>
  <c r="A444" i="5"/>
  <c r="A443" i="5"/>
  <c r="A442" i="5"/>
  <c r="A441" i="5"/>
  <c r="A440" i="5"/>
  <c r="D435" i="5"/>
  <c r="A419" i="5"/>
  <c r="A418" i="5"/>
  <c r="A417" i="5"/>
  <c r="A416" i="5"/>
  <c r="A415" i="5"/>
  <c r="A414" i="5"/>
  <c r="D412" i="5"/>
  <c r="A396" i="5"/>
  <c r="A395" i="5"/>
  <c r="A394" i="5"/>
  <c r="A393" i="5"/>
  <c r="A392" i="5"/>
  <c r="A391" i="5"/>
  <c r="D389" i="5"/>
  <c r="A373" i="5"/>
  <c r="A372" i="5"/>
  <c r="A371" i="5"/>
  <c r="A370" i="5"/>
  <c r="A369" i="5"/>
  <c r="A368" i="5"/>
  <c r="D366" i="5"/>
  <c r="A350" i="5"/>
  <c r="A349" i="5"/>
  <c r="A348" i="5"/>
  <c r="A347" i="5"/>
  <c r="A346" i="5"/>
  <c r="A345" i="5"/>
  <c r="D343" i="5"/>
  <c r="D342" i="5"/>
  <c r="D340" i="5"/>
  <c r="D336" i="5"/>
  <c r="D335" i="5"/>
  <c r="D334" i="5"/>
  <c r="D333" i="5"/>
  <c r="D332" i="5"/>
  <c r="D331" i="5"/>
  <c r="D330" i="5"/>
  <c r="D329" i="5"/>
  <c r="D328" i="5"/>
  <c r="A312" i="5"/>
  <c r="A311" i="5"/>
  <c r="A310" i="5"/>
  <c r="A309" i="5"/>
  <c r="A308" i="5"/>
  <c r="A307" i="5"/>
  <c r="D305" i="5"/>
  <c r="D304" i="5"/>
  <c r="D302" i="5"/>
  <c r="D298" i="5"/>
  <c r="D297" i="5"/>
  <c r="D296" i="5"/>
  <c r="D295" i="5"/>
  <c r="D294" i="5"/>
  <c r="D293" i="5"/>
  <c r="D292" i="5"/>
  <c r="D291" i="5"/>
  <c r="A275" i="5"/>
  <c r="A274" i="5"/>
  <c r="A273" i="5"/>
  <c r="A272" i="5"/>
  <c r="A271" i="5"/>
  <c r="A270" i="5"/>
  <c r="D268" i="5"/>
  <c r="D267" i="5"/>
  <c r="D266" i="5"/>
  <c r="D265" i="5"/>
  <c r="A249" i="5"/>
  <c r="A248" i="5"/>
  <c r="A247" i="5"/>
  <c r="A246" i="5"/>
  <c r="A245" i="5"/>
  <c r="A244" i="5"/>
  <c r="D242" i="5"/>
  <c r="D241" i="5"/>
  <c r="D239" i="5"/>
  <c r="D235" i="5"/>
  <c r="D234" i="5"/>
  <c r="D233" i="5"/>
  <c r="D232" i="5"/>
  <c r="D231" i="5"/>
  <c r="D230" i="5"/>
  <c r="D229" i="5"/>
  <c r="D228" i="5"/>
  <c r="A212" i="5"/>
  <c r="A211" i="5"/>
  <c r="A210" i="5"/>
  <c r="A209" i="5"/>
  <c r="A208" i="5"/>
  <c r="A207" i="5"/>
  <c r="D205" i="5"/>
  <c r="D204" i="5"/>
  <c r="D203" i="5"/>
  <c r="D202" i="5"/>
  <c r="D198" i="5"/>
  <c r="D197" i="5"/>
  <c r="D196" i="5"/>
  <c r="D195" i="5"/>
  <c r="D194" i="5"/>
  <c r="D193" i="5"/>
  <c r="D192" i="5"/>
  <c r="D191" i="5"/>
  <c r="D190" i="5"/>
  <c r="A171" i="5"/>
  <c r="A170" i="5"/>
  <c r="A169" i="5"/>
  <c r="A168" i="5"/>
  <c r="A167" i="5"/>
  <c r="A166" i="5"/>
  <c r="D164" i="5"/>
  <c r="D163" i="5"/>
  <c r="D161" i="5"/>
  <c r="D157" i="5"/>
  <c r="D156" i="5"/>
  <c r="D155" i="5"/>
  <c r="D154" i="5"/>
  <c r="D153" i="5"/>
  <c r="D152" i="5"/>
  <c r="D151" i="5"/>
  <c r="D150" i="5"/>
  <c r="D149" i="5"/>
  <c r="D148" i="5"/>
  <c r="D147" i="5"/>
  <c r="D146" i="5"/>
  <c r="A127" i="5"/>
  <c r="A126" i="5"/>
  <c r="A125" i="5"/>
  <c r="A124" i="5"/>
  <c r="A123" i="5"/>
  <c r="A122" i="5"/>
  <c r="D120" i="5"/>
  <c r="D119" i="5"/>
  <c r="D117" i="5"/>
  <c r="D113" i="5"/>
  <c r="D112" i="5"/>
  <c r="D111" i="5"/>
  <c r="D110" i="5"/>
  <c r="D109" i="5"/>
  <c r="D108" i="5"/>
  <c r="D107" i="5"/>
  <c r="D106" i="5"/>
  <c r="D105" i="5"/>
  <c r="D104" i="5"/>
  <c r="D103" i="5"/>
  <c r="D102" i="5"/>
  <c r="A83" i="5"/>
  <c r="A82" i="5"/>
  <c r="A81" i="5"/>
  <c r="A80" i="5"/>
  <c r="A79" i="5"/>
  <c r="A78" i="5"/>
  <c r="D76" i="5"/>
  <c r="D75" i="5"/>
  <c r="D73" i="5"/>
  <c r="D69" i="5"/>
  <c r="D68" i="5"/>
  <c r="D67" i="5"/>
  <c r="D66" i="5"/>
  <c r="D65" i="5"/>
  <c r="D64" i="5"/>
  <c r="D63" i="5"/>
  <c r="D62" i="5"/>
  <c r="D61" i="5"/>
  <c r="D60" i="5"/>
  <c r="A44" i="5"/>
  <c r="A43" i="5"/>
  <c r="A42" i="5"/>
  <c r="A41" i="5"/>
  <c r="A40" i="5"/>
  <c r="A39" i="5"/>
  <c r="D37" i="5"/>
  <c r="D36" i="5"/>
  <c r="D35" i="5"/>
  <c r="D30" i="5"/>
  <c r="D29" i="5"/>
  <c r="D28" i="5"/>
  <c r="D27" i="5"/>
  <c r="D26" i="5"/>
  <c r="D25" i="5"/>
  <c r="D24" i="5"/>
  <c r="D23" i="5"/>
  <c r="D22" i="5"/>
  <c r="D542" i="4"/>
  <c r="D541" i="4"/>
  <c r="D540" i="4"/>
  <c r="D539" i="4"/>
  <c r="A535" i="4"/>
  <c r="A534" i="4"/>
  <c r="A533" i="4"/>
  <c r="A532" i="4"/>
  <c r="A531" i="4"/>
  <c r="A530" i="4"/>
  <c r="D528" i="4"/>
  <c r="D525" i="4"/>
  <c r="D524" i="4"/>
  <c r="D519" i="4"/>
  <c r="D518" i="4"/>
  <c r="D516" i="4"/>
  <c r="D515" i="4"/>
  <c r="D514" i="4"/>
  <c r="D513" i="4"/>
  <c r="D512" i="4"/>
  <c r="A499" i="4"/>
  <c r="A498" i="4"/>
  <c r="A497" i="4"/>
  <c r="A496" i="4"/>
  <c r="A495" i="4"/>
  <c r="A494" i="4"/>
  <c r="D492" i="4"/>
  <c r="D491" i="4"/>
  <c r="D490" i="4"/>
  <c r="D489" i="4"/>
  <c r="D488" i="4"/>
  <c r="D487" i="4"/>
  <c r="D484" i="4"/>
  <c r="D483" i="4"/>
  <c r="D482" i="4"/>
  <c r="D481" i="4"/>
  <c r="D480" i="4"/>
  <c r="D477" i="4"/>
  <c r="D476" i="4"/>
  <c r="D475" i="4"/>
  <c r="D474" i="4"/>
  <c r="D473" i="4"/>
  <c r="D472" i="4"/>
  <c r="D471" i="4"/>
  <c r="D470" i="4"/>
  <c r="D469" i="4"/>
  <c r="A457" i="4"/>
  <c r="A456" i="4"/>
  <c r="A455" i="4"/>
  <c r="A454" i="4"/>
  <c r="A453" i="4"/>
  <c r="A452" i="4"/>
  <c r="D447" i="4"/>
  <c r="A431" i="4"/>
  <c r="A430" i="4"/>
  <c r="A429" i="4"/>
  <c r="A428" i="4"/>
  <c r="A427" i="4"/>
  <c r="A426" i="4"/>
  <c r="D424" i="4"/>
  <c r="A408" i="4"/>
  <c r="A407" i="4"/>
  <c r="A406" i="4"/>
  <c r="A405" i="4"/>
  <c r="A404" i="4"/>
  <c r="A403" i="4"/>
  <c r="D401" i="4"/>
  <c r="A385" i="4"/>
  <c r="A384" i="4"/>
  <c r="A383" i="4"/>
  <c r="A382" i="4"/>
  <c r="A381" i="4"/>
  <c r="A380" i="4"/>
  <c r="D363" i="4"/>
  <c r="A347" i="4"/>
  <c r="A346" i="4"/>
  <c r="A345" i="4"/>
  <c r="A344" i="4"/>
  <c r="A343" i="4"/>
  <c r="A342" i="4"/>
  <c r="D340" i="4"/>
  <c r="D339" i="4"/>
  <c r="D337" i="4"/>
  <c r="D333" i="4"/>
  <c r="D332" i="4"/>
  <c r="D331" i="4"/>
  <c r="D330" i="4"/>
  <c r="D329" i="4"/>
  <c r="D328" i="4"/>
  <c r="D327" i="4"/>
  <c r="D326" i="4"/>
  <c r="A310" i="4"/>
  <c r="A309" i="4"/>
  <c r="A308" i="4"/>
  <c r="A307" i="4"/>
  <c r="A306" i="4"/>
  <c r="A305" i="4"/>
  <c r="D303" i="4"/>
  <c r="D302" i="4"/>
  <c r="D300" i="4"/>
  <c r="D296" i="4"/>
  <c r="D295" i="4"/>
  <c r="D294" i="4"/>
  <c r="D293" i="4"/>
  <c r="D292" i="4"/>
  <c r="D291" i="4"/>
  <c r="D290" i="4"/>
  <c r="D289" i="4"/>
  <c r="A273" i="4"/>
  <c r="A272" i="4"/>
  <c r="A271" i="4"/>
  <c r="A270" i="4"/>
  <c r="A269" i="4"/>
  <c r="A268" i="4"/>
  <c r="D266" i="4"/>
  <c r="D265" i="4"/>
  <c r="D264" i="4"/>
  <c r="D263" i="4"/>
  <c r="A247" i="4"/>
  <c r="A246" i="4"/>
  <c r="A245" i="4"/>
  <c r="A244" i="4"/>
  <c r="A243" i="4"/>
  <c r="A242" i="4"/>
  <c r="D240" i="4"/>
  <c r="D239" i="4"/>
  <c r="D237" i="4"/>
  <c r="D233" i="4"/>
  <c r="D232" i="4"/>
  <c r="D231" i="4"/>
  <c r="D230" i="4"/>
  <c r="D229" i="4"/>
  <c r="D228" i="4"/>
  <c r="D227" i="4"/>
  <c r="A211" i="4"/>
  <c r="A210" i="4"/>
  <c r="A209" i="4"/>
  <c r="A208" i="4"/>
  <c r="A207" i="4"/>
  <c r="A206" i="4"/>
  <c r="D204" i="4"/>
  <c r="D203" i="4"/>
  <c r="D201" i="4"/>
  <c r="D197" i="4"/>
  <c r="D196" i="4"/>
  <c r="D195" i="4"/>
  <c r="D194" i="4"/>
  <c r="D193" i="4"/>
  <c r="D192" i="4"/>
  <c r="D191" i="4"/>
  <c r="D190" i="4"/>
  <c r="A171" i="4"/>
  <c r="A170" i="4"/>
  <c r="A169" i="4"/>
  <c r="A168" i="4"/>
  <c r="A167" i="4"/>
  <c r="A166" i="4"/>
  <c r="D163" i="4"/>
  <c r="D162" i="4"/>
  <c r="D160" i="4"/>
  <c r="D156" i="4"/>
  <c r="D155" i="4"/>
  <c r="D154" i="4"/>
  <c r="D153" i="4"/>
  <c r="D152" i="4"/>
  <c r="D151" i="4"/>
  <c r="D150" i="4"/>
  <c r="D149" i="4"/>
  <c r="D148" i="4"/>
  <c r="D147" i="4"/>
  <c r="D146" i="4"/>
  <c r="A127" i="4"/>
  <c r="A126" i="4"/>
  <c r="A125" i="4"/>
  <c r="A124" i="4"/>
  <c r="A123" i="4"/>
  <c r="A122" i="4"/>
  <c r="D120" i="4"/>
  <c r="D119" i="4"/>
  <c r="D117" i="4"/>
  <c r="D113" i="4"/>
  <c r="D112" i="4"/>
  <c r="D111" i="4"/>
  <c r="D110" i="4"/>
  <c r="D109" i="4"/>
  <c r="D108" i="4"/>
  <c r="D107" i="4"/>
  <c r="D106" i="4"/>
  <c r="D105" i="4"/>
  <c r="D104" i="4"/>
  <c r="D103" i="4"/>
  <c r="D102" i="4"/>
  <c r="D101" i="4"/>
  <c r="A82" i="4"/>
  <c r="A81" i="4"/>
  <c r="A80" i="4"/>
  <c r="A79" i="4"/>
  <c r="A78" i="4"/>
  <c r="A77" i="4"/>
  <c r="D75" i="4"/>
  <c r="D74" i="4"/>
  <c r="D72" i="4"/>
  <c r="D68" i="4"/>
  <c r="D67" i="4"/>
  <c r="D66" i="4"/>
  <c r="D65" i="4"/>
  <c r="D64" i="4"/>
  <c r="D63" i="4"/>
  <c r="D62" i="4"/>
  <c r="D61" i="4"/>
  <c r="D60" i="4"/>
  <c r="A44" i="4"/>
  <c r="A43" i="4"/>
  <c r="A42" i="4"/>
  <c r="A41" i="4"/>
  <c r="A40" i="4"/>
  <c r="A39" i="4"/>
  <c r="D37" i="4"/>
  <c r="D36" i="4"/>
  <c r="D35" i="4"/>
  <c r="D30" i="4"/>
  <c r="D29" i="4"/>
  <c r="D28" i="4"/>
  <c r="D27" i="4"/>
  <c r="D26" i="4"/>
  <c r="D25" i="4"/>
  <c r="D24" i="4"/>
  <c r="D23" i="4"/>
  <c r="D22" i="4"/>
  <c r="U55" i="3"/>
  <c r="N55" i="3"/>
  <c r="L55" i="3"/>
  <c r="S55" i="3" s="1"/>
  <c r="AB54" i="3"/>
  <c r="AA54" i="3"/>
  <c r="X54" i="3"/>
  <c r="W53" i="3"/>
  <c r="X53" i="3" s="1"/>
  <c r="S53" i="3"/>
  <c r="W54" i="3" s="1"/>
  <c r="Z54" i="3" s="1"/>
  <c r="I53" i="3"/>
  <c r="H53" i="3"/>
  <c r="T53" i="3" s="1"/>
  <c r="U53" i="3" s="1"/>
  <c r="G53" i="3"/>
  <c r="F53" i="3"/>
  <c r="E53" i="3"/>
  <c r="AI52" i="3"/>
  <c r="AC52" i="3"/>
  <c r="AB52" i="3"/>
  <c r="X52" i="3"/>
  <c r="W52" i="3"/>
  <c r="V52" i="3"/>
  <c r="U52" i="3"/>
  <c r="T52" i="3"/>
  <c r="O52" i="3"/>
  <c r="N52" i="3"/>
  <c r="L52" i="3"/>
  <c r="X51" i="3"/>
  <c r="V51" i="3"/>
  <c r="T51" i="3"/>
  <c r="U51" i="3" s="1"/>
  <c r="U50" i="3"/>
  <c r="R50" i="3"/>
  <c r="N50" i="3"/>
  <c r="L50" i="3"/>
  <c r="S50" i="3" s="1"/>
  <c r="T49" i="3" s="1"/>
  <c r="U49" i="3" s="1"/>
  <c r="AC49" i="3"/>
  <c r="AB49" i="3"/>
  <c r="X49" i="3"/>
  <c r="AA49" i="3" s="1"/>
  <c r="W49" i="3"/>
  <c r="Z49" i="3" s="1"/>
  <c r="W48" i="3"/>
  <c r="X48" i="3" s="1"/>
  <c r="V48" i="3"/>
  <c r="U48" i="3"/>
  <c r="T48" i="3"/>
  <c r="S48" i="3"/>
  <c r="AC47" i="3"/>
  <c r="AB47" i="3"/>
  <c r="X47" i="3"/>
  <c r="W47" i="3"/>
  <c r="T47" i="3"/>
  <c r="U47" i="3" s="1"/>
  <c r="R47" i="3"/>
  <c r="V47" i="3" s="1"/>
  <c r="Q47" i="3"/>
  <c r="X46" i="3"/>
  <c r="U46" i="3"/>
  <c r="T46" i="3"/>
  <c r="U45" i="3"/>
  <c r="R45" i="3"/>
  <c r="N45" i="3"/>
  <c r="L45" i="3"/>
  <c r="S45" i="3" s="1"/>
  <c r="T44" i="3" s="1"/>
  <c r="U44" i="3" s="1"/>
  <c r="AC44" i="3"/>
  <c r="AB44" i="3"/>
  <c r="X44" i="3"/>
  <c r="AA44" i="3" s="1"/>
  <c r="N44" i="3"/>
  <c r="S44" i="3" s="1"/>
  <c r="W43" i="3"/>
  <c r="X43" i="3" s="1"/>
  <c r="V43" i="3"/>
  <c r="S43" i="3"/>
  <c r="W44" i="3" s="1"/>
  <c r="Z44" i="3" s="1"/>
  <c r="I43" i="3"/>
  <c r="H43" i="3"/>
  <c r="T43" i="3" s="1"/>
  <c r="U43" i="3" s="1"/>
  <c r="G43" i="3"/>
  <c r="F43" i="3"/>
  <c r="E43" i="3"/>
  <c r="AC42" i="3"/>
  <c r="AB42" i="3"/>
  <c r="W42" i="3"/>
  <c r="X42" i="3" s="1"/>
  <c r="V42" i="3"/>
  <c r="T42" i="3"/>
  <c r="U42" i="3" s="1"/>
  <c r="R42" i="3"/>
  <c r="O42" i="3"/>
  <c r="O47" i="3" s="1"/>
  <c r="N42" i="3"/>
  <c r="N47" i="3" s="1"/>
  <c r="N49" i="3" s="1"/>
  <c r="S49" i="3" s="1"/>
  <c r="L42" i="3"/>
  <c r="AI42" i="3" s="1"/>
  <c r="X41" i="3"/>
  <c r="U41" i="3"/>
  <c r="T41" i="3"/>
  <c r="U40" i="3"/>
  <c r="R40" i="3"/>
  <c r="N40" i="3"/>
  <c r="L40" i="3"/>
  <c r="S40" i="3" s="1"/>
  <c r="AB39" i="3"/>
  <c r="X39" i="3"/>
  <c r="AA39" i="3" s="1"/>
  <c r="W39" i="3"/>
  <c r="Z39" i="3" s="1"/>
  <c r="N39" i="3"/>
  <c r="S39" i="3" s="1"/>
  <c r="W38" i="3"/>
  <c r="X38" i="3" s="1"/>
  <c r="V38" i="3"/>
  <c r="S38" i="3"/>
  <c r="I38" i="3"/>
  <c r="H38" i="3"/>
  <c r="G38" i="3"/>
  <c r="F38" i="3"/>
  <c r="E38" i="3"/>
  <c r="AC37" i="3"/>
  <c r="AB37" i="3"/>
  <c r="Z37" i="3"/>
  <c r="W37" i="3"/>
  <c r="X37" i="3" s="1"/>
  <c r="V37" i="3"/>
  <c r="U37" i="3"/>
  <c r="T37" i="3"/>
  <c r="O37" i="3"/>
  <c r="N37" i="3"/>
  <c r="L37" i="3"/>
  <c r="S37" i="3" s="1"/>
  <c r="X36" i="3"/>
  <c r="U36" i="3"/>
  <c r="T36" i="3"/>
  <c r="V32" i="3"/>
  <c r="R32" i="3"/>
  <c r="N32" i="3"/>
  <c r="N34" i="3" s="1"/>
  <c r="S34" i="3" s="1"/>
  <c r="L32" i="3"/>
  <c r="S29" i="3"/>
  <c r="N29" i="3"/>
  <c r="R27" i="3"/>
  <c r="V27" i="3" s="1"/>
  <c r="Q27" i="3"/>
  <c r="O27" i="3"/>
  <c r="N27" i="3"/>
  <c r="L27" i="3"/>
  <c r="AI23" i="3"/>
  <c r="AI22" i="3"/>
  <c r="R22" i="3"/>
  <c r="V22" i="3" s="1"/>
  <c r="M22" i="3"/>
  <c r="L22" i="3"/>
  <c r="R17" i="3"/>
  <c r="V17" i="3" s="1"/>
  <c r="N15" i="3"/>
  <c r="I15" i="3"/>
  <c r="H15" i="3"/>
  <c r="G15" i="3"/>
  <c r="F15" i="3"/>
  <c r="E15" i="3"/>
  <c r="I14" i="3"/>
  <c r="H14" i="3"/>
  <c r="G14" i="3"/>
  <c r="F14" i="3"/>
  <c r="E14" i="3"/>
  <c r="V13" i="3"/>
  <c r="N13" i="3"/>
  <c r="L13" i="3"/>
  <c r="X14" i="3" s="1"/>
  <c r="AA14" i="3" s="1"/>
  <c r="G13" i="3"/>
  <c r="F13" i="3"/>
  <c r="E13" i="3"/>
  <c r="AI12" i="3"/>
  <c r="V12" i="3"/>
  <c r="U12" i="3"/>
  <c r="O12" i="3"/>
  <c r="N12" i="3"/>
  <c r="N14" i="3" s="1"/>
  <c r="S14" i="3" s="1"/>
  <c r="L12" i="3"/>
  <c r="I12" i="3"/>
  <c r="H12" i="3"/>
  <c r="T12" i="3" s="1"/>
  <c r="G12" i="3"/>
  <c r="F12" i="3"/>
  <c r="E12" i="3"/>
  <c r="I11" i="3"/>
  <c r="H11" i="3"/>
  <c r="G11" i="3"/>
  <c r="H13" i="3" s="1"/>
  <c r="T13" i="3" s="1"/>
  <c r="F11" i="3"/>
  <c r="E11" i="3"/>
  <c r="D11" i="3"/>
  <c r="V7" i="3"/>
  <c r="R7" i="3"/>
  <c r="R12" i="3" s="1"/>
  <c r="L7" i="3"/>
  <c r="AI7" i="3" s="1"/>
  <c r="D545" i="2"/>
  <c r="D544" i="2"/>
  <c r="D543" i="2"/>
  <c r="D542" i="2"/>
  <c r="D531" i="2"/>
  <c r="D528" i="2"/>
  <c r="D527" i="2"/>
  <c r="D522" i="2"/>
  <c r="D521" i="2"/>
  <c r="D519" i="2"/>
  <c r="D518" i="2"/>
  <c r="D517" i="2"/>
  <c r="D516" i="2"/>
  <c r="D515" i="2"/>
  <c r="D495" i="2"/>
  <c r="D494" i="2"/>
  <c r="D493" i="2"/>
  <c r="D492" i="2"/>
  <c r="D491" i="2"/>
  <c r="D490" i="2"/>
  <c r="D487" i="2"/>
  <c r="D486" i="2"/>
  <c r="D485" i="2"/>
  <c r="D484" i="2"/>
  <c r="D483" i="2"/>
  <c r="D480" i="2"/>
  <c r="D479" i="2"/>
  <c r="D478" i="2"/>
  <c r="D477" i="2"/>
  <c r="D476" i="2"/>
  <c r="D475" i="2"/>
  <c r="D474" i="2"/>
  <c r="D473" i="2"/>
  <c r="D472" i="2"/>
  <c r="D450" i="2"/>
  <c r="D427" i="2"/>
  <c r="D404" i="2"/>
  <c r="D373" i="2"/>
  <c r="A357" i="2"/>
  <c r="A356" i="2"/>
  <c r="A355" i="2"/>
  <c r="A354" i="2"/>
  <c r="A353" i="2"/>
  <c r="A352" i="2"/>
  <c r="D350" i="2"/>
  <c r="D349" i="2"/>
  <c r="D347" i="2"/>
  <c r="D343" i="2"/>
  <c r="D342" i="2"/>
  <c r="D341" i="2"/>
  <c r="D340" i="2"/>
  <c r="D339" i="2"/>
  <c r="D338" i="2"/>
  <c r="D336" i="2"/>
  <c r="D335" i="2"/>
  <c r="D334" i="2"/>
  <c r="D333" i="2"/>
  <c r="D310" i="2"/>
  <c r="D309" i="2"/>
  <c r="D307" i="2"/>
  <c r="D303" i="7" s="1"/>
  <c r="D303" i="2"/>
  <c r="D302" i="2"/>
  <c r="D301" i="2"/>
  <c r="D300" i="2"/>
  <c r="D298" i="2"/>
  <c r="D297" i="2"/>
  <c r="D296" i="2"/>
  <c r="D295" i="2"/>
  <c r="D272" i="2"/>
  <c r="D271" i="2"/>
  <c r="D270" i="2"/>
  <c r="D269" i="2"/>
  <c r="D246" i="2"/>
  <c r="D245" i="2"/>
  <c r="D243" i="2"/>
  <c r="D239" i="2"/>
  <c r="D238" i="2"/>
  <c r="D237" i="2"/>
  <c r="D236" i="2"/>
  <c r="D234" i="2"/>
  <c r="D233" i="2"/>
  <c r="D232" i="2"/>
  <c r="D231" i="2"/>
  <c r="D208" i="2"/>
  <c r="D207" i="2"/>
  <c r="D205" i="2"/>
  <c r="D201" i="2"/>
  <c r="D200" i="2"/>
  <c r="D199" i="2"/>
  <c r="D198" i="2"/>
  <c r="D197" i="2"/>
  <c r="D195" i="2"/>
  <c r="D194" i="2"/>
  <c r="D193" i="2"/>
  <c r="D192" i="2"/>
  <c r="D166" i="2"/>
  <c r="D165" i="2"/>
  <c r="D163" i="2"/>
  <c r="D161" i="4" s="1"/>
  <c r="D159" i="2"/>
  <c r="D158" i="2"/>
  <c r="D157" i="2"/>
  <c r="D156" i="2"/>
  <c r="D155" i="2"/>
  <c r="D154" i="2"/>
  <c r="D153" i="2"/>
  <c r="D151" i="2"/>
  <c r="D150" i="2"/>
  <c r="D149" i="2"/>
  <c r="D148" i="2"/>
  <c r="D122" i="2"/>
  <c r="D121" i="2"/>
  <c r="D119" i="2"/>
  <c r="D115" i="2"/>
  <c r="D114" i="2"/>
  <c r="D113" i="2"/>
  <c r="D112" i="2"/>
  <c r="D111" i="2"/>
  <c r="D110" i="2"/>
  <c r="D109" i="2"/>
  <c r="D107" i="2"/>
  <c r="D106" i="2"/>
  <c r="D105" i="2"/>
  <c r="D104" i="2"/>
  <c r="D78" i="2"/>
  <c r="D77" i="2"/>
  <c r="D75" i="2"/>
  <c r="D74" i="7" s="1"/>
  <c r="D71" i="2"/>
  <c r="D70" i="2"/>
  <c r="D69" i="2"/>
  <c r="D68" i="2"/>
  <c r="D67" i="2"/>
  <c r="D65" i="2"/>
  <c r="D64" i="2"/>
  <c r="D63" i="2"/>
  <c r="D62" i="2"/>
  <c r="D61" i="2"/>
  <c r="A45" i="2"/>
  <c r="A460" i="2" s="1"/>
  <c r="A44" i="2"/>
  <c r="A433" i="2" s="1"/>
  <c r="A43" i="2"/>
  <c r="A458" i="2" s="1"/>
  <c r="A42" i="2"/>
  <c r="A82" i="2" s="1"/>
  <c r="A41" i="2"/>
  <c r="A384" i="2" s="1"/>
  <c r="A40" i="2"/>
  <c r="A429" i="2" s="1"/>
  <c r="D38" i="2"/>
  <c r="D37" i="2"/>
  <c r="D36" i="2"/>
  <c r="D31" i="2"/>
  <c r="D30" i="2"/>
  <c r="D29" i="2"/>
  <c r="D27" i="2"/>
  <c r="D26" i="2"/>
  <c r="D25" i="2"/>
  <c r="D24" i="2"/>
  <c r="D23" i="2"/>
  <c r="D22" i="2"/>
  <c r="B93" i="1"/>
  <c r="B92" i="1"/>
  <c r="B83" i="1"/>
  <c r="B82" i="1"/>
  <c r="D79" i="1"/>
  <c r="B79" i="1"/>
  <c r="B74" i="1"/>
  <c r="B73" i="1"/>
  <c r="B72" i="1"/>
  <c r="A70" i="1"/>
  <c r="B69" i="1"/>
  <c r="B68" i="1"/>
  <c r="B67" i="1"/>
  <c r="G64" i="1"/>
  <c r="G79" i="1" s="1"/>
  <c r="F64" i="1"/>
  <c r="F79" i="1" s="1"/>
  <c r="E64" i="1"/>
  <c r="E79" i="1" s="1"/>
  <c r="G7" i="1"/>
  <c r="F7" i="1"/>
  <c r="E7" i="1"/>
  <c r="D7" i="1"/>
  <c r="D64" i="1" s="1"/>
  <c r="C7" i="1"/>
  <c r="C64" i="1" s="1"/>
  <c r="C79" i="1" s="1"/>
  <c r="B7" i="1"/>
  <c r="G4" i="1"/>
  <c r="F4" i="1"/>
  <c r="E4" i="1"/>
  <c r="D4" i="1"/>
  <c r="C4" i="1"/>
  <c r="B4" i="1"/>
  <c r="A84" i="2" l="1"/>
  <c r="D164" i="2"/>
  <c r="A85" i="2"/>
  <c r="A434" i="2"/>
  <c r="A212" i="2"/>
  <c r="A214" i="2"/>
  <c r="A250" i="2"/>
  <c r="D74" i="6"/>
  <c r="A385" i="2"/>
  <c r="A537" i="2"/>
  <c r="A83" i="2"/>
  <c r="A410" i="2"/>
  <c r="A499" i="2"/>
  <c r="A213" i="2"/>
  <c r="A500" i="2"/>
  <c r="A251" i="2"/>
  <c r="A501" i="2"/>
  <c r="A252" i="2"/>
  <c r="A459" i="2"/>
  <c r="A126" i="2"/>
  <c r="A128" i="2"/>
  <c r="D74" i="5"/>
  <c r="A386" i="2"/>
  <c r="D76" i="2"/>
  <c r="A278" i="2"/>
  <c r="A316" i="2"/>
  <c r="A387" i="2"/>
  <c r="A171" i="2"/>
  <c r="A172" i="2"/>
  <c r="A408" i="2"/>
  <c r="D206" i="2"/>
  <c r="D202" i="4"/>
  <c r="U38" i="3"/>
  <c r="T38" i="3"/>
  <c r="A274" i="2"/>
  <c r="A533" i="2"/>
  <c r="T11" i="3"/>
  <c r="U11" i="3" s="1"/>
  <c r="L15" i="3"/>
  <c r="X24" i="14"/>
  <c r="Z24" i="14" s="1"/>
  <c r="AL33" i="13"/>
  <c r="AN33" i="13" s="1"/>
  <c r="J17" i="13"/>
  <c r="L17" i="13" s="1"/>
  <c r="X23" i="12"/>
  <c r="Z23" i="12" s="1"/>
  <c r="X16" i="12"/>
  <c r="Z16" i="12" s="1"/>
  <c r="X42" i="11"/>
  <c r="AE20" i="11"/>
  <c r="AG20" i="11" s="1"/>
  <c r="F25" i="9"/>
  <c r="H25" i="9" s="1"/>
  <c r="O25" i="9" s="1"/>
  <c r="Q26" i="9"/>
  <c r="S26" i="9" s="1"/>
  <c r="F30" i="9"/>
  <c r="H30" i="9" s="1"/>
  <c r="X30" i="9"/>
  <c r="Z30" i="9" s="1"/>
  <c r="AL30" i="9"/>
  <c r="AN30" i="9" s="1"/>
  <c r="Q30" i="9"/>
  <c r="S30" i="9" s="1"/>
  <c r="AE30" i="9"/>
  <c r="AG30" i="9" s="1"/>
  <c r="J30" i="9"/>
  <c r="L30" i="9" s="1"/>
  <c r="AL32" i="9"/>
  <c r="AN32" i="9" s="1"/>
  <c r="F38" i="9"/>
  <c r="H38" i="9" s="1"/>
  <c r="AL43" i="9"/>
  <c r="AN43" i="9" s="1"/>
  <c r="Q43" i="9"/>
  <c r="S43" i="9" s="1"/>
  <c r="AE43" i="9"/>
  <c r="AG43" i="9" s="1"/>
  <c r="J43" i="9"/>
  <c r="L43" i="9" s="1"/>
  <c r="X43" i="9"/>
  <c r="Z43" i="9" s="1"/>
  <c r="F43" i="9"/>
  <c r="H43" i="9" s="1"/>
  <c r="J35" i="9"/>
  <c r="R38" i="9"/>
  <c r="R35" i="9"/>
  <c r="S35" i="9" s="1"/>
  <c r="R42" i="9"/>
  <c r="R41" i="9"/>
  <c r="R39" i="9"/>
  <c r="R34" i="9"/>
  <c r="V48" i="11"/>
  <c r="D238" i="4"/>
  <c r="D240" i="6"/>
  <c r="D240" i="5"/>
  <c r="D240" i="7"/>
  <c r="D341" i="6"/>
  <c r="D341" i="5"/>
  <c r="D338" i="4"/>
  <c r="D341" i="7"/>
  <c r="S27" i="3"/>
  <c r="AI27" i="3"/>
  <c r="X20" i="9"/>
  <c r="AL41" i="9"/>
  <c r="AN41" i="9" s="1"/>
  <c r="Q41" i="9"/>
  <c r="AE41" i="9"/>
  <c r="J41" i="9"/>
  <c r="F41" i="9"/>
  <c r="H41" i="9" s="1"/>
  <c r="X16" i="10"/>
  <c r="Z16" i="10" s="1"/>
  <c r="D244" i="2"/>
  <c r="A317" i="2"/>
  <c r="D348" i="2"/>
  <c r="AL16" i="9"/>
  <c r="AN16" i="9" s="1"/>
  <c r="X28" i="9"/>
  <c r="Z28" i="9" s="1"/>
  <c r="AE33" i="9"/>
  <c r="AG33" i="9" s="1"/>
  <c r="AL36" i="9"/>
  <c r="AN36" i="9" s="1"/>
  <c r="AB46" i="9"/>
  <c r="AC46" i="9" s="1"/>
  <c r="AJ46" i="9"/>
  <c r="AI46" i="9"/>
  <c r="V47" i="9"/>
  <c r="N47" i="9"/>
  <c r="O47" i="9" s="1"/>
  <c r="D118" i="6"/>
  <c r="D118" i="5"/>
  <c r="D120" i="2"/>
  <c r="D118" i="7"/>
  <c r="D118" i="4"/>
  <c r="S32" i="3"/>
  <c r="F16" i="9"/>
  <c r="H16" i="9" s="1"/>
  <c r="O16" i="9" s="1"/>
  <c r="N21" i="9"/>
  <c r="O21" i="9" s="1"/>
  <c r="X24" i="9"/>
  <c r="Z24" i="9" s="1"/>
  <c r="AI45" i="9"/>
  <c r="AQ45" i="9"/>
  <c r="U47" i="9"/>
  <c r="AB47" i="9"/>
  <c r="AC47" i="9" s="1"/>
  <c r="AJ48" i="10"/>
  <c r="AC21" i="9"/>
  <c r="U21" i="9"/>
  <c r="Q20" i="14"/>
  <c r="S20" i="14" s="1"/>
  <c r="L47" i="3"/>
  <c r="S42" i="3"/>
  <c r="J28" i="9"/>
  <c r="L28" i="9" s="1"/>
  <c r="J36" i="9"/>
  <c r="L36" i="9" s="1"/>
  <c r="A406" i="2"/>
  <c r="AQ17" i="9"/>
  <c r="AJ32" i="9"/>
  <c r="Q33" i="9"/>
  <c r="S33" i="9" s="1"/>
  <c r="AL33" i="10"/>
  <c r="AN33" i="10" s="1"/>
  <c r="A498" i="2"/>
  <c r="A211" i="2"/>
  <c r="A81" i="2"/>
  <c r="A456" i="2"/>
  <c r="A313" i="2"/>
  <c r="A407" i="2"/>
  <c r="A125" i="2"/>
  <c r="A249" i="2"/>
  <c r="A169" i="2"/>
  <c r="A534" i="2"/>
  <c r="A275" i="2"/>
  <c r="A124" i="2"/>
  <c r="Z20" i="9"/>
  <c r="Q23" i="9"/>
  <c r="S23" i="9" s="1"/>
  <c r="AE23" i="9"/>
  <c r="AG23" i="9" s="1"/>
  <c r="J23" i="9"/>
  <c r="L23" i="9" s="1"/>
  <c r="X23" i="9"/>
  <c r="Z23" i="9" s="1"/>
  <c r="F23" i="9"/>
  <c r="H23" i="9" s="1"/>
  <c r="O23" i="9" s="1"/>
  <c r="X39" i="9"/>
  <c r="I13" i="3"/>
  <c r="U13" i="3"/>
  <c r="AI32" i="3"/>
  <c r="T54" i="3"/>
  <c r="U54" i="3" s="1"/>
  <c r="AC54" i="3"/>
  <c r="F39" i="9"/>
  <c r="H39" i="9" s="1"/>
  <c r="N45" i="9"/>
  <c r="AE39" i="10"/>
  <c r="J59" i="10"/>
  <c r="U44" i="9"/>
  <c r="L17" i="3"/>
  <c r="S12" i="3"/>
  <c r="AC12" i="3"/>
  <c r="AB12" i="3"/>
  <c r="AB14" i="3"/>
  <c r="AL18" i="9"/>
  <c r="AN18" i="9" s="1"/>
  <c r="Q18" i="9"/>
  <c r="S18" i="9" s="1"/>
  <c r="AE18" i="9"/>
  <c r="AG18" i="9" s="1"/>
  <c r="J18" i="9"/>
  <c r="L18" i="9" s="1"/>
  <c r="X18" i="9"/>
  <c r="Z18" i="9" s="1"/>
  <c r="AE31" i="9"/>
  <c r="AG31" i="9" s="1"/>
  <c r="L35" i="9"/>
  <c r="O46" i="9"/>
  <c r="X17" i="10"/>
  <c r="Z17" i="10" s="1"/>
  <c r="X26" i="10"/>
  <c r="AE27" i="10"/>
  <c r="AG27" i="10" s="1"/>
  <c r="T39" i="3"/>
  <c r="U39" i="3" s="1"/>
  <c r="AC39" i="3"/>
  <c r="F18" i="9"/>
  <c r="H18" i="9" s="1"/>
  <c r="O18" i="9" s="1"/>
  <c r="AE24" i="9"/>
  <c r="AG24" i="9" s="1"/>
  <c r="AE26" i="9"/>
  <c r="AG26" i="9" s="1"/>
  <c r="N46" i="9"/>
  <c r="AI47" i="9"/>
  <c r="AQ47" i="9"/>
  <c r="AC48" i="9"/>
  <c r="U48" i="9"/>
  <c r="A411" i="2"/>
  <c r="A129" i="2"/>
  <c r="A253" i="2"/>
  <c r="A173" i="2"/>
  <c r="A538" i="2"/>
  <c r="A279" i="2"/>
  <c r="A388" i="2"/>
  <c r="A502" i="2"/>
  <c r="A215" i="2"/>
  <c r="A430" i="2"/>
  <c r="N54" i="3"/>
  <c r="S54" i="3" s="1"/>
  <c r="S52" i="3"/>
  <c r="AE21" i="9"/>
  <c r="AG21" i="9" s="1"/>
  <c r="AL22" i="9"/>
  <c r="AN22" i="9" s="1"/>
  <c r="Z35" i="9"/>
  <c r="O13" i="3"/>
  <c r="X25" i="9"/>
  <c r="Z25" i="9" s="1"/>
  <c r="O45" i="9"/>
  <c r="A383" i="2"/>
  <c r="A497" i="2"/>
  <c r="A210" i="2"/>
  <c r="A80" i="2"/>
  <c r="A455" i="2"/>
  <c r="A312" i="2"/>
  <c r="A248" i="2"/>
  <c r="A168" i="2"/>
  <c r="J17" i="9"/>
  <c r="L17" i="9" s="1"/>
  <c r="X17" i="9"/>
  <c r="Z17" i="9" s="1"/>
  <c r="F17" i="9"/>
  <c r="H17" i="9" s="1"/>
  <c r="O17" i="9" s="1"/>
  <c r="AL17" i="9"/>
  <c r="AN17" i="9" s="1"/>
  <c r="AP17" i="9" s="1"/>
  <c r="Q17" i="9"/>
  <c r="S17" i="9" s="1"/>
  <c r="AG19" i="9"/>
  <c r="X34" i="9"/>
  <c r="AI35" i="9"/>
  <c r="X42" i="9"/>
  <c r="U46" i="9"/>
  <c r="V46" i="9" s="1"/>
  <c r="AJ48" i="9"/>
  <c r="AI48" i="9"/>
  <c r="AB48" i="9"/>
  <c r="X20" i="10"/>
  <c r="Z20" i="10" s="1"/>
  <c r="X41" i="10"/>
  <c r="Z41" i="10" s="1"/>
  <c r="AE33" i="11"/>
  <c r="AG33" i="11" s="1"/>
  <c r="J33" i="11"/>
  <c r="L33" i="11" s="1"/>
  <c r="X33" i="11"/>
  <c r="Z33" i="11" s="1"/>
  <c r="F33" i="11"/>
  <c r="H33" i="11" s="1"/>
  <c r="O33" i="11" s="1"/>
  <c r="AL33" i="11"/>
  <c r="AN33" i="11" s="1"/>
  <c r="Q33" i="11"/>
  <c r="AL39" i="11"/>
  <c r="AN39" i="11" s="1"/>
  <c r="AB44" i="11"/>
  <c r="G39" i="11"/>
  <c r="G35" i="11"/>
  <c r="G34" i="11"/>
  <c r="G38" i="11"/>
  <c r="G42" i="11"/>
  <c r="J19" i="12"/>
  <c r="L19" i="12" s="1"/>
  <c r="AE19" i="12"/>
  <c r="AG19" i="12" s="1"/>
  <c r="X19" i="12"/>
  <c r="Z19" i="12" s="1"/>
  <c r="F19" i="12"/>
  <c r="H19" i="12" s="1"/>
  <c r="O19" i="12" s="1"/>
  <c r="AL19" i="12"/>
  <c r="AN19" i="12" s="1"/>
  <c r="Q19" i="12"/>
  <c r="S19" i="12" s="1"/>
  <c r="AL28" i="12"/>
  <c r="Q30" i="12"/>
  <c r="S30" i="12" s="1"/>
  <c r="AE43" i="12"/>
  <c r="AG43" i="12" s="1"/>
  <c r="J43" i="12"/>
  <c r="L43" i="12" s="1"/>
  <c r="X43" i="12"/>
  <c r="Z43" i="12" s="1"/>
  <c r="F43" i="12"/>
  <c r="H43" i="12" s="1"/>
  <c r="AL43" i="12"/>
  <c r="AN43" i="12" s="1"/>
  <c r="Q43" i="12"/>
  <c r="S43" i="12" s="1"/>
  <c r="X16" i="14"/>
  <c r="Z16" i="14" s="1"/>
  <c r="X23" i="14"/>
  <c r="Z23" i="14" s="1"/>
  <c r="AE23" i="14"/>
  <c r="J23" i="14"/>
  <c r="L23" i="14" s="1"/>
  <c r="F23" i="14"/>
  <c r="H23" i="14" s="1"/>
  <c r="O23" i="14" s="1"/>
  <c r="Q23" i="14"/>
  <c r="S23" i="14" s="1"/>
  <c r="AL23" i="14"/>
  <c r="D303" i="5"/>
  <c r="D303" i="6"/>
  <c r="AE15" i="9"/>
  <c r="AG15" i="9" s="1"/>
  <c r="X16" i="9"/>
  <c r="Z16" i="9" s="1"/>
  <c r="Q19" i="9"/>
  <c r="S19" i="9" s="1"/>
  <c r="J20" i="9"/>
  <c r="L20" i="9" s="1"/>
  <c r="X31" i="9"/>
  <c r="Z31" i="9" s="1"/>
  <c r="F42" i="9"/>
  <c r="H42" i="9" s="1"/>
  <c r="AL35" i="9"/>
  <c r="AN35" i="9" s="1"/>
  <c r="AP35" i="9" s="1"/>
  <c r="AQ35" i="9" s="1"/>
  <c r="Y42" i="9"/>
  <c r="Y39" i="9"/>
  <c r="Y34" i="9"/>
  <c r="J16" i="10"/>
  <c r="L16" i="10" s="1"/>
  <c r="AL16" i="10"/>
  <c r="AN16" i="10" s="1"/>
  <c r="AL19" i="10"/>
  <c r="AN19" i="10" s="1"/>
  <c r="Q19" i="10"/>
  <c r="S19" i="10" s="1"/>
  <c r="AE19" i="10"/>
  <c r="AG19" i="10" s="1"/>
  <c r="N21" i="10"/>
  <c r="O21" i="10" s="1"/>
  <c r="J31" i="10"/>
  <c r="L31" i="10" s="1"/>
  <c r="Q32" i="10"/>
  <c r="S32" i="10" s="1"/>
  <c r="Q38" i="10"/>
  <c r="AE43" i="10"/>
  <c r="AG43" i="10" s="1"/>
  <c r="AB46" i="10"/>
  <c r="X17" i="11"/>
  <c r="Z17" i="11" s="1"/>
  <c r="AE24" i="11"/>
  <c r="AI35" i="11"/>
  <c r="J41" i="11"/>
  <c r="L41" i="11" s="1"/>
  <c r="AF48" i="11"/>
  <c r="AG48" i="11" s="1"/>
  <c r="J38" i="12"/>
  <c r="N46" i="12"/>
  <c r="O46" i="12" s="1"/>
  <c r="J16" i="13"/>
  <c r="L16" i="13" s="1"/>
  <c r="J22" i="13"/>
  <c r="L22" i="13" s="1"/>
  <c r="U46" i="13"/>
  <c r="AE18" i="14"/>
  <c r="AG18" i="14" s="1"/>
  <c r="Q41" i="14"/>
  <c r="N44" i="14"/>
  <c r="X31" i="15"/>
  <c r="Z31" i="15" s="1"/>
  <c r="D301" i="4"/>
  <c r="D162" i="7"/>
  <c r="AL21" i="9"/>
  <c r="AN21" i="9" s="1"/>
  <c r="AE22" i="9"/>
  <c r="AG22" i="9" s="1"/>
  <c r="Q24" i="9"/>
  <c r="S24" i="9" s="1"/>
  <c r="J25" i="9"/>
  <c r="L25" i="9" s="1"/>
  <c r="AL26" i="9"/>
  <c r="AN26" i="9" s="1"/>
  <c r="Q27" i="9"/>
  <c r="S27" i="9" s="1"/>
  <c r="AE28" i="9"/>
  <c r="AG28" i="9" s="1"/>
  <c r="F31" i="9"/>
  <c r="H31" i="9" s="1"/>
  <c r="O31" i="9" s="1"/>
  <c r="AL33" i="9"/>
  <c r="AN33" i="9" s="1"/>
  <c r="AP33" i="9" s="1"/>
  <c r="Q34" i="9"/>
  <c r="J38" i="9"/>
  <c r="L38" i="9" s="1"/>
  <c r="J39" i="9"/>
  <c r="L39" i="9" s="1"/>
  <c r="AE39" i="9"/>
  <c r="AG39" i="9" s="1"/>
  <c r="AJ45" i="9"/>
  <c r="AF41" i="9"/>
  <c r="AF38" i="9"/>
  <c r="F19" i="10"/>
  <c r="H19" i="10" s="1"/>
  <c r="O19" i="10" s="1"/>
  <c r="AL22" i="10"/>
  <c r="AN22" i="10" s="1"/>
  <c r="J26" i="10"/>
  <c r="L26" i="10" s="1"/>
  <c r="AL27" i="10"/>
  <c r="AN27" i="10" s="1"/>
  <c r="F32" i="10"/>
  <c r="H32" i="10" s="1"/>
  <c r="AL36" i="10"/>
  <c r="AN36" i="10" s="1"/>
  <c r="Q35" i="10"/>
  <c r="F24" i="11"/>
  <c r="H24" i="11" s="1"/>
  <c r="O24" i="11" s="1"/>
  <c r="AE30" i="11"/>
  <c r="AG30" i="11" s="1"/>
  <c r="AL36" i="11"/>
  <c r="AN36" i="11" s="1"/>
  <c r="AQ44" i="11"/>
  <c r="R41" i="11"/>
  <c r="R35" i="11"/>
  <c r="S35" i="11" s="1"/>
  <c r="R42" i="11"/>
  <c r="Q18" i="12"/>
  <c r="AL18" i="12"/>
  <c r="AN18" i="12" s="1"/>
  <c r="AE18" i="12"/>
  <c r="AG18" i="12" s="1"/>
  <c r="J18" i="12"/>
  <c r="X18" i="12"/>
  <c r="Z18" i="12" s="1"/>
  <c r="F18" i="12"/>
  <c r="H18" i="12" s="1"/>
  <c r="O18" i="12" s="1"/>
  <c r="AL27" i="12"/>
  <c r="AN27" i="12" s="1"/>
  <c r="J30" i="12"/>
  <c r="L30" i="12" s="1"/>
  <c r="N44" i="12"/>
  <c r="AB45" i="12"/>
  <c r="AE24" i="13"/>
  <c r="AG24" i="13" s="1"/>
  <c r="AL25" i="13"/>
  <c r="AN25" i="13" s="1"/>
  <c r="Q38" i="13"/>
  <c r="S38" i="13" s="1"/>
  <c r="X43" i="13"/>
  <c r="Z43" i="13" s="1"/>
  <c r="AQ45" i="13"/>
  <c r="AI45" i="13"/>
  <c r="AJ45" i="13" s="1"/>
  <c r="X20" i="14"/>
  <c r="Z20" i="14" s="1"/>
  <c r="D73" i="4"/>
  <c r="Q15" i="9"/>
  <c r="S15" i="9" s="1"/>
  <c r="J16" i="9"/>
  <c r="L16" i="9" s="1"/>
  <c r="V21" i="9"/>
  <c r="F32" i="9"/>
  <c r="H32" i="9" s="1"/>
  <c r="AL34" i="9"/>
  <c r="AN34" i="9" s="1"/>
  <c r="AE38" i="9"/>
  <c r="J42" i="9"/>
  <c r="L42" i="9" s="1"/>
  <c r="V44" i="9"/>
  <c r="AP44" i="9"/>
  <c r="AQ44" i="9" s="1"/>
  <c r="F22" i="10"/>
  <c r="H22" i="10" s="1"/>
  <c r="O22" i="10" s="1"/>
  <c r="AE23" i="10"/>
  <c r="AG23" i="10" s="1"/>
  <c r="Q25" i="10"/>
  <c r="S25" i="10" s="1"/>
  <c r="F27" i="10"/>
  <c r="H27" i="10" s="1"/>
  <c r="O27" i="10" s="1"/>
  <c r="F33" i="10"/>
  <c r="H33" i="10" s="1"/>
  <c r="O33" i="10" s="1"/>
  <c r="AE33" i="10"/>
  <c r="AG33" i="10" s="1"/>
  <c r="J33" i="10"/>
  <c r="L33" i="10" s="1"/>
  <c r="AL42" i="10"/>
  <c r="AE16" i="11"/>
  <c r="AG16" i="11" s="1"/>
  <c r="AE21" i="11"/>
  <c r="AG21" i="11" s="1"/>
  <c r="X21" i="11"/>
  <c r="Z21" i="11" s="1"/>
  <c r="AL21" i="11"/>
  <c r="AN21" i="11" s="1"/>
  <c r="AL23" i="11"/>
  <c r="AN23" i="11" s="1"/>
  <c r="Q26" i="11"/>
  <c r="S26" i="11" s="1"/>
  <c r="AI44" i="11"/>
  <c r="AJ44" i="11" s="1"/>
  <c r="AJ35" i="11"/>
  <c r="AB35" i="11"/>
  <c r="AC21" i="12"/>
  <c r="U21" i="12"/>
  <c r="AL24" i="12"/>
  <c r="AN24" i="12" s="1"/>
  <c r="Q26" i="12"/>
  <c r="S26" i="12" s="1"/>
  <c r="AE32" i="12"/>
  <c r="AG32" i="12" s="1"/>
  <c r="J15" i="13"/>
  <c r="L15" i="13" s="1"/>
  <c r="N21" i="13"/>
  <c r="O21" i="13" s="1"/>
  <c r="V21" i="13"/>
  <c r="Q28" i="13"/>
  <c r="S28" i="13" s="1"/>
  <c r="J27" i="14"/>
  <c r="L27" i="14" s="1"/>
  <c r="Q38" i="14"/>
  <c r="J41" i="14"/>
  <c r="L41" i="14" s="1"/>
  <c r="AL19" i="9"/>
  <c r="AN19" i="9" s="1"/>
  <c r="AE20" i="9"/>
  <c r="AG20" i="9" s="1"/>
  <c r="X21" i="9"/>
  <c r="Z21" i="9" s="1"/>
  <c r="Q22" i="9"/>
  <c r="S22" i="9" s="1"/>
  <c r="F26" i="9"/>
  <c r="H26" i="9" s="1"/>
  <c r="O26" i="9" s="1"/>
  <c r="AL27" i="9"/>
  <c r="AN27" i="9" s="1"/>
  <c r="Q28" i="9"/>
  <c r="S28" i="9" s="1"/>
  <c r="Q36" i="9"/>
  <c r="S36" i="9" s="1"/>
  <c r="AE42" i="9"/>
  <c r="U45" i="9"/>
  <c r="V45" i="9" s="1"/>
  <c r="K47" i="10"/>
  <c r="L47" i="10" s="1"/>
  <c r="AF48" i="10"/>
  <c r="AG48" i="10" s="1"/>
  <c r="R47" i="10"/>
  <c r="S47" i="10" s="1"/>
  <c r="K48" i="10"/>
  <c r="L48" i="10" s="1"/>
  <c r="AF47" i="10"/>
  <c r="AG47" i="10" s="1"/>
  <c r="Y47" i="10"/>
  <c r="Z47" i="10" s="1"/>
  <c r="G47" i="10"/>
  <c r="H47" i="10" s="1"/>
  <c r="R48" i="10"/>
  <c r="S48" i="10" s="1"/>
  <c r="AB48" i="10" s="1"/>
  <c r="AM47" i="10"/>
  <c r="AN47" i="10" s="1"/>
  <c r="Q17" i="10"/>
  <c r="S17" i="10" s="1"/>
  <c r="AE17" i="10"/>
  <c r="AG17" i="10" s="1"/>
  <c r="J17" i="10"/>
  <c r="L17" i="10" s="1"/>
  <c r="AL17" i="10"/>
  <c r="AN17" i="10" s="1"/>
  <c r="J19" i="10"/>
  <c r="L19" i="10" s="1"/>
  <c r="U21" i="10"/>
  <c r="AC21" i="10"/>
  <c r="X24" i="10"/>
  <c r="Z24" i="10" s="1"/>
  <c r="F28" i="10"/>
  <c r="H28" i="10" s="1"/>
  <c r="O28" i="10" s="1"/>
  <c r="AE28" i="10"/>
  <c r="AG28" i="10" s="1"/>
  <c r="J28" i="10"/>
  <c r="L28" i="10" s="1"/>
  <c r="AL28" i="10"/>
  <c r="AN28" i="10" s="1"/>
  <c r="Q30" i="10"/>
  <c r="S30" i="10" s="1"/>
  <c r="AE36" i="10"/>
  <c r="AG36" i="10" s="1"/>
  <c r="AL43" i="10"/>
  <c r="AN43" i="10" s="1"/>
  <c r="AI44" i="10"/>
  <c r="AJ44" i="10" s="1"/>
  <c r="U45" i="10"/>
  <c r="AI46" i="10"/>
  <c r="AJ46" i="10" s="1"/>
  <c r="J22" i="11"/>
  <c r="L22" i="11" s="1"/>
  <c r="Q25" i="11"/>
  <c r="S25" i="11" s="1"/>
  <c r="AL32" i="11"/>
  <c r="AN32" i="11" s="1"/>
  <c r="J36" i="11"/>
  <c r="L36" i="11" s="1"/>
  <c r="J38" i="11"/>
  <c r="L38" i="11" s="1"/>
  <c r="X38" i="11"/>
  <c r="Z38" i="11" s="1"/>
  <c r="F38" i="11"/>
  <c r="Q38" i="11"/>
  <c r="AE38" i="11"/>
  <c r="AG38" i="11" s="1"/>
  <c r="AL20" i="12"/>
  <c r="AN20" i="12" s="1"/>
  <c r="AC48" i="12"/>
  <c r="AE23" i="13"/>
  <c r="AG23" i="13" s="1"/>
  <c r="Q26" i="13"/>
  <c r="Q33" i="13"/>
  <c r="J42" i="13"/>
  <c r="X42" i="13"/>
  <c r="F42" i="13"/>
  <c r="H42" i="13" s="1"/>
  <c r="AE42" i="13"/>
  <c r="AG42" i="13" s="1"/>
  <c r="Q42" i="13"/>
  <c r="AL42" i="13"/>
  <c r="AJ46" i="13"/>
  <c r="AB46" i="13"/>
  <c r="AC46" i="13" s="1"/>
  <c r="AE59" i="13"/>
  <c r="V21" i="14"/>
  <c r="N21" i="14"/>
  <c r="O21" i="14" s="1"/>
  <c r="A431" i="2"/>
  <c r="A276" i="2"/>
  <c r="A432" i="2"/>
  <c r="A535" i="2"/>
  <c r="A170" i="2"/>
  <c r="A277" i="2"/>
  <c r="D308" i="2"/>
  <c r="A536" i="2"/>
  <c r="F19" i="9"/>
  <c r="H19" i="9" s="1"/>
  <c r="O19" i="9" s="1"/>
  <c r="AL24" i="9"/>
  <c r="AN24" i="9" s="1"/>
  <c r="AE25" i="9"/>
  <c r="AG25" i="9" s="1"/>
  <c r="X26" i="9"/>
  <c r="Z26" i="9" s="1"/>
  <c r="J31" i="9"/>
  <c r="L31" i="9" s="1"/>
  <c r="J32" i="9"/>
  <c r="L32" i="9" s="1"/>
  <c r="F33" i="9"/>
  <c r="H33" i="9" s="1"/>
  <c r="O33" i="9" s="1"/>
  <c r="X33" i="9"/>
  <c r="Z33" i="9" s="1"/>
  <c r="L41" i="9"/>
  <c r="AF42" i="9"/>
  <c r="H44" i="9"/>
  <c r="X15" i="10"/>
  <c r="Z15" i="10" s="1"/>
  <c r="F17" i="10"/>
  <c r="H17" i="10" s="1"/>
  <c r="O17" i="10" s="1"/>
  <c r="AE20" i="10"/>
  <c r="AG20" i="10" s="1"/>
  <c r="F20" i="10"/>
  <c r="H20" i="10" s="1"/>
  <c r="O20" i="10" s="1"/>
  <c r="AL20" i="10"/>
  <c r="AN20" i="10" s="1"/>
  <c r="Q20" i="10"/>
  <c r="S20" i="10" s="1"/>
  <c r="V21" i="10"/>
  <c r="X34" i="10"/>
  <c r="Z34" i="10" s="1"/>
  <c r="F36" i="10"/>
  <c r="H36" i="10" s="1"/>
  <c r="V45" i="10"/>
  <c r="O21" i="11"/>
  <c r="AJ45" i="11"/>
  <c r="AB45" i="11"/>
  <c r="AC45" i="11" s="1"/>
  <c r="V46" i="11"/>
  <c r="N46" i="11"/>
  <c r="O46" i="11" s="1"/>
  <c r="X17" i="12"/>
  <c r="Z17" i="12" s="1"/>
  <c r="F17" i="12"/>
  <c r="H17" i="12" s="1"/>
  <c r="O17" i="12" s="1"/>
  <c r="AL17" i="12"/>
  <c r="AN17" i="12" s="1"/>
  <c r="Q17" i="12"/>
  <c r="S17" i="12" s="1"/>
  <c r="AE17" i="12"/>
  <c r="AG17" i="12" s="1"/>
  <c r="J17" i="12"/>
  <c r="L17" i="12" s="1"/>
  <c r="L18" i="12"/>
  <c r="F25" i="12"/>
  <c r="J26" i="12"/>
  <c r="L26" i="12" s="1"/>
  <c r="X30" i="12"/>
  <c r="Z30" i="12" s="1"/>
  <c r="X34" i="12"/>
  <c r="Z34" i="12" s="1"/>
  <c r="AE34" i="12"/>
  <c r="AG34" i="12" s="1"/>
  <c r="J34" i="12"/>
  <c r="F34" i="12"/>
  <c r="AL34" i="12"/>
  <c r="AN34" i="12" s="1"/>
  <c r="Q34" i="12"/>
  <c r="S34" i="12" s="1"/>
  <c r="S44" i="12"/>
  <c r="O45" i="12"/>
  <c r="V46" i="12"/>
  <c r="AE17" i="13"/>
  <c r="AG17" i="13" s="1"/>
  <c r="U21" i="13"/>
  <c r="N35" i="13"/>
  <c r="O35" i="13" s="1"/>
  <c r="Z44" i="13"/>
  <c r="AL19" i="14"/>
  <c r="AN19" i="14" s="1"/>
  <c r="F38" i="41"/>
  <c r="H38" i="41" s="1"/>
  <c r="O38" i="41" s="1"/>
  <c r="F34" i="41"/>
  <c r="H34" i="41" s="1"/>
  <c r="O34" i="41" s="1"/>
  <c r="Q38" i="41"/>
  <c r="S38" i="41" s="1"/>
  <c r="Q34" i="41"/>
  <c r="S34" i="41" s="1"/>
  <c r="F32" i="41"/>
  <c r="H32" i="41" s="1"/>
  <c r="F27" i="41"/>
  <c r="H27" i="41" s="1"/>
  <c r="O27" i="41" s="1"/>
  <c r="AL45" i="41"/>
  <c r="AN45" i="41" s="1"/>
  <c r="X34" i="41"/>
  <c r="X32" i="41"/>
  <c r="Q28" i="41"/>
  <c r="S28" i="41" s="1"/>
  <c r="J23" i="41"/>
  <c r="L23" i="41" s="1"/>
  <c r="AE27" i="41"/>
  <c r="AG27" i="41" s="1"/>
  <c r="X15" i="41"/>
  <c r="Z15" i="41" s="1"/>
  <c r="X38" i="41"/>
  <c r="Z38" i="41" s="1"/>
  <c r="AE35" i="41"/>
  <c r="AG35" i="41" s="1"/>
  <c r="Q32" i="41"/>
  <c r="S32" i="41" s="1"/>
  <c r="AC32" i="41" s="1"/>
  <c r="J28" i="41"/>
  <c r="L28" i="41" s="1"/>
  <c r="F26" i="41"/>
  <c r="H26" i="41" s="1"/>
  <c r="O26" i="41" s="1"/>
  <c r="F23" i="41"/>
  <c r="H23" i="41" s="1"/>
  <c r="O23" i="41" s="1"/>
  <c r="Q16" i="41"/>
  <c r="S16" i="41" s="1"/>
  <c r="F15" i="41"/>
  <c r="H15" i="41" s="1"/>
  <c r="X41" i="41"/>
  <c r="F40" i="41"/>
  <c r="X23" i="41"/>
  <c r="Z23" i="41" s="1"/>
  <c r="J34" i="41"/>
  <c r="L34" i="41" s="1"/>
  <c r="AL15" i="41"/>
  <c r="AN15" i="41" s="1"/>
  <c r="X44" i="41"/>
  <c r="Z44" i="41" s="1"/>
  <c r="J43" i="41"/>
  <c r="L43" i="41" s="1"/>
  <c r="AE34" i="41"/>
  <c r="AG34" i="41" s="1"/>
  <c r="Q23" i="41"/>
  <c r="S23" i="41" s="1"/>
  <c r="Q15" i="41"/>
  <c r="S15" i="41" s="1"/>
  <c r="J38" i="41"/>
  <c r="L38" i="41" s="1"/>
  <c r="J30" i="41"/>
  <c r="L30" i="41" s="1"/>
  <c r="X28" i="41"/>
  <c r="Z28" i="41" s="1"/>
  <c r="X38" i="40"/>
  <c r="Z38" i="40" s="1"/>
  <c r="F28" i="40"/>
  <c r="H28" i="40" s="1"/>
  <c r="O28" i="40" s="1"/>
  <c r="Q40" i="41"/>
  <c r="AL33" i="41"/>
  <c r="AN33" i="41" s="1"/>
  <c r="AL32" i="41"/>
  <c r="AN32" i="41" s="1"/>
  <c r="X27" i="41"/>
  <c r="Z27" i="41" s="1"/>
  <c r="AL25" i="41"/>
  <c r="AN25" i="41" s="1"/>
  <c r="Q24" i="41"/>
  <c r="S24" i="41" s="1"/>
  <c r="X16" i="41"/>
  <c r="Z16" i="41" s="1"/>
  <c r="F38" i="40"/>
  <c r="H38" i="40" s="1"/>
  <c r="O38" i="40" s="1"/>
  <c r="AL28" i="40"/>
  <c r="AN28" i="40" s="1"/>
  <c r="J27" i="40"/>
  <c r="L27" i="40" s="1"/>
  <c r="AL30" i="41"/>
  <c r="AN30" i="41" s="1"/>
  <c r="AE15" i="41"/>
  <c r="AG15" i="41" s="1"/>
  <c r="AL38" i="40"/>
  <c r="AN38" i="40" s="1"/>
  <c r="AL41" i="41"/>
  <c r="AN41" i="41" s="1"/>
  <c r="Q27" i="41"/>
  <c r="S27" i="41" s="1"/>
  <c r="AE18" i="41"/>
  <c r="AG18" i="41" s="1"/>
  <c r="Q41" i="40"/>
  <c r="S41" i="40" s="1"/>
  <c r="X31" i="41"/>
  <c r="Z31" i="41" s="1"/>
  <c r="Q45" i="41"/>
  <c r="S45" i="41" s="1"/>
  <c r="AE43" i="41"/>
  <c r="AE30" i="41"/>
  <c r="AG30" i="41" s="1"/>
  <c r="F28" i="41"/>
  <c r="H28" i="41" s="1"/>
  <c r="O28" i="41" s="1"/>
  <c r="AL24" i="41"/>
  <c r="AN24" i="41" s="1"/>
  <c r="F45" i="41"/>
  <c r="H45" i="41" s="1"/>
  <c r="J41" i="41"/>
  <c r="X35" i="41"/>
  <c r="Q33" i="41"/>
  <c r="S33" i="41" s="1"/>
  <c r="Q22" i="41"/>
  <c r="S22" i="41" s="1"/>
  <c r="Q43" i="40"/>
  <c r="Q30" i="41"/>
  <c r="S30" i="41" s="1"/>
  <c r="Q25" i="41"/>
  <c r="S25" i="41" s="1"/>
  <c r="F16" i="41"/>
  <c r="AE16" i="41"/>
  <c r="AE40" i="41"/>
  <c r="F44" i="39"/>
  <c r="H44" i="39" s="1"/>
  <c r="AL36" i="41"/>
  <c r="AN36" i="41" s="1"/>
  <c r="F35" i="41"/>
  <c r="X41" i="40"/>
  <c r="Z41" i="40" s="1"/>
  <c r="AE28" i="40"/>
  <c r="AG28" i="40" s="1"/>
  <c r="J28" i="40"/>
  <c r="L28" i="40" s="1"/>
  <c r="AL26" i="41"/>
  <c r="AN26" i="41" s="1"/>
  <c r="AL22" i="41"/>
  <c r="AN22" i="41" s="1"/>
  <c r="X21" i="41"/>
  <c r="Z21" i="41" s="1"/>
  <c r="Q19" i="41"/>
  <c r="J43" i="40"/>
  <c r="X27" i="40"/>
  <c r="Z27" i="40" s="1"/>
  <c r="F27" i="40"/>
  <c r="AE23" i="40"/>
  <c r="AG23" i="40" s="1"/>
  <c r="J38" i="40"/>
  <c r="L38" i="40" s="1"/>
  <c r="Q35" i="40"/>
  <c r="S35" i="40" s="1"/>
  <c r="F30" i="40"/>
  <c r="H30" i="40" s="1"/>
  <c r="F26" i="40"/>
  <c r="H26" i="40" s="1"/>
  <c r="O26" i="40" s="1"/>
  <c r="J23" i="40"/>
  <c r="L23" i="40" s="1"/>
  <c r="F16" i="40"/>
  <c r="H16" i="40" s="1"/>
  <c r="O16" i="40" s="1"/>
  <c r="J19" i="41"/>
  <c r="L19" i="41" s="1"/>
  <c r="AE43" i="40"/>
  <c r="AG43" i="40" s="1"/>
  <c r="AE38" i="40"/>
  <c r="AE33" i="40"/>
  <c r="J33" i="40"/>
  <c r="AL17" i="41"/>
  <c r="AN17" i="41" s="1"/>
  <c r="X28" i="40"/>
  <c r="AL27" i="40"/>
  <c r="AE41" i="40"/>
  <c r="AG41" i="40" s="1"/>
  <c r="J41" i="40"/>
  <c r="L41" i="40" s="1"/>
  <c r="F40" i="40"/>
  <c r="H40" i="40" s="1"/>
  <c r="AE35" i="40"/>
  <c r="AG35" i="40" s="1"/>
  <c r="J35" i="40"/>
  <c r="L35" i="40" s="1"/>
  <c r="F34" i="40"/>
  <c r="H34" i="40" s="1"/>
  <c r="O34" i="40" s="1"/>
  <c r="AL30" i="40"/>
  <c r="Q28" i="40"/>
  <c r="J36" i="40"/>
  <c r="L36" i="40" s="1"/>
  <c r="X33" i="40"/>
  <c r="Z33" i="40" s="1"/>
  <c r="Q30" i="40"/>
  <c r="S30" i="40" s="1"/>
  <c r="AE16" i="40"/>
  <c r="AG16" i="40" s="1"/>
  <c r="Q32" i="40"/>
  <c r="S32" i="40" s="1"/>
  <c r="Q27" i="40"/>
  <c r="S27" i="40" s="1"/>
  <c r="X24" i="40"/>
  <c r="Z24" i="40" s="1"/>
  <c r="X23" i="40"/>
  <c r="Z23" i="40" s="1"/>
  <c r="AE21" i="40"/>
  <c r="AE40" i="40"/>
  <c r="AL36" i="40"/>
  <c r="X34" i="40"/>
  <c r="Z34" i="40" s="1"/>
  <c r="AE38" i="41"/>
  <c r="AG38" i="41" s="1"/>
  <c r="Q33" i="40"/>
  <c r="S33" i="40" s="1"/>
  <c r="Q23" i="40"/>
  <c r="S23" i="40" s="1"/>
  <c r="X44" i="39"/>
  <c r="Z44" i="39" s="1"/>
  <c r="X21" i="40"/>
  <c r="Z21" i="40" s="1"/>
  <c r="Q18" i="41"/>
  <c r="S18" i="41" s="1"/>
  <c r="AL26" i="40"/>
  <c r="AN26" i="40" s="1"/>
  <c r="F19" i="40"/>
  <c r="H19" i="40" s="1"/>
  <c r="X46" i="39"/>
  <c r="X37" i="39" s="1"/>
  <c r="Z37" i="39" s="1"/>
  <c r="Q15" i="39"/>
  <c r="AL31" i="40"/>
  <c r="F23" i="40"/>
  <c r="AE22" i="39"/>
  <c r="AG22" i="39" s="1"/>
  <c r="AE23" i="41"/>
  <c r="AG23" i="41" s="1"/>
  <c r="AL24" i="40"/>
  <c r="AN24" i="40" s="1"/>
  <c r="AL41" i="39"/>
  <c r="AN41" i="39" s="1"/>
  <c r="Q31" i="39"/>
  <c r="S31" i="39" s="1"/>
  <c r="J16" i="41"/>
  <c r="L16" i="41" s="1"/>
  <c r="F41" i="40"/>
  <c r="AE27" i="40"/>
  <c r="AG27" i="40" s="1"/>
  <c r="AL22" i="40"/>
  <c r="Q16" i="40"/>
  <c r="X15" i="40"/>
  <c r="AE44" i="39"/>
  <c r="AG44" i="39" s="1"/>
  <c r="J40" i="39"/>
  <c r="L40" i="39" s="1"/>
  <c r="J24" i="39"/>
  <c r="L24" i="39" s="1"/>
  <c r="Q36" i="39"/>
  <c r="F31" i="39"/>
  <c r="AE24" i="39"/>
  <c r="AG24" i="39" s="1"/>
  <c r="Q22" i="39"/>
  <c r="S22" i="39" s="1"/>
  <c r="AE31" i="39"/>
  <c r="AG31" i="39" s="1"/>
  <c r="AL40" i="39"/>
  <c r="AN40" i="39" s="1"/>
  <c r="X35" i="39"/>
  <c r="Z35" i="39" s="1"/>
  <c r="AJ35" i="39" s="1"/>
  <c r="AE21" i="39"/>
  <c r="AG21" i="39" s="1"/>
  <c r="J15" i="39"/>
  <c r="X46" i="38"/>
  <c r="F46" i="38"/>
  <c r="AE41" i="39"/>
  <c r="AG41" i="39" s="1"/>
  <c r="F27" i="39"/>
  <c r="Q26" i="39"/>
  <c r="S26" i="39" s="1"/>
  <c r="J22" i="39"/>
  <c r="L22" i="39" s="1"/>
  <c r="X20" i="39"/>
  <c r="Z20" i="39" s="1"/>
  <c r="Q43" i="38"/>
  <c r="S43" i="38" s="1"/>
  <c r="J46" i="39"/>
  <c r="AL36" i="39"/>
  <c r="AN36" i="39" s="1"/>
  <c r="Q35" i="39"/>
  <c r="AE34" i="39"/>
  <c r="AG34" i="39" s="1"/>
  <c r="AE15" i="39"/>
  <c r="AG15" i="39" s="1"/>
  <c r="AL32" i="40"/>
  <c r="J44" i="39"/>
  <c r="AL45" i="38"/>
  <c r="AN45" i="38" s="1"/>
  <c r="Q45" i="38"/>
  <c r="S45" i="38" s="1"/>
  <c r="AE40" i="38"/>
  <c r="AG40" i="38" s="1"/>
  <c r="AE36" i="39"/>
  <c r="AG36" i="39" s="1"/>
  <c r="AL35" i="39"/>
  <c r="AN35" i="39" s="1"/>
  <c r="Q34" i="39"/>
  <c r="S34" i="39" s="1"/>
  <c r="AE46" i="38"/>
  <c r="AE37" i="38" s="1"/>
  <c r="AG37" i="38" s="1"/>
  <c r="X43" i="38"/>
  <c r="Z43" i="38" s="1"/>
  <c r="J40" i="38"/>
  <c r="L40" i="38" s="1"/>
  <c r="J34" i="38"/>
  <c r="L34" i="38" s="1"/>
  <c r="AE26" i="40"/>
  <c r="AG26" i="40" s="1"/>
  <c r="F33" i="38"/>
  <c r="H33" i="38" s="1"/>
  <c r="X45" i="39"/>
  <c r="Z45" i="39" s="1"/>
  <c r="AL33" i="39"/>
  <c r="F30" i="39"/>
  <c r="H30" i="39" s="1"/>
  <c r="F26" i="39"/>
  <c r="H26" i="39" s="1"/>
  <c r="O26" i="39" s="1"/>
  <c r="AL20" i="39"/>
  <c r="AN20" i="39" s="1"/>
  <c r="F44" i="38"/>
  <c r="H44" i="38" s="1"/>
  <c r="AE35" i="38"/>
  <c r="AG35" i="38" s="1"/>
  <c r="J35" i="38"/>
  <c r="L35" i="38" s="1"/>
  <c r="X23" i="38"/>
  <c r="Z23" i="38" s="1"/>
  <c r="AE44" i="40"/>
  <c r="F23" i="39"/>
  <c r="H23" i="39" s="1"/>
  <c r="O23" i="39" s="1"/>
  <c r="F22" i="39"/>
  <c r="H22" i="39" s="1"/>
  <c r="O22" i="39" s="1"/>
  <c r="X33" i="38"/>
  <c r="Z33" i="38" s="1"/>
  <c r="Q28" i="38"/>
  <c r="S28" i="38" s="1"/>
  <c r="X15" i="38"/>
  <c r="Z15" i="38" s="1"/>
  <c r="F15" i="38"/>
  <c r="H15" i="38" s="1"/>
  <c r="AL46" i="39"/>
  <c r="AL37" i="39" s="1"/>
  <c r="AN37" i="39" s="1"/>
  <c r="J43" i="38"/>
  <c r="AL16" i="38"/>
  <c r="X33" i="39"/>
  <c r="Z33" i="39" s="1"/>
  <c r="AL23" i="39"/>
  <c r="Q46" i="38"/>
  <c r="AE45" i="38"/>
  <c r="AG45" i="38" s="1"/>
  <c r="J41" i="38"/>
  <c r="L41" i="38" s="1"/>
  <c r="Q38" i="40"/>
  <c r="Q40" i="39"/>
  <c r="S40" i="39" s="1"/>
  <c r="AE26" i="39"/>
  <c r="AG26" i="39" s="1"/>
  <c r="Q16" i="39"/>
  <c r="S16" i="39" s="1"/>
  <c r="X15" i="39"/>
  <c r="Z15" i="39" s="1"/>
  <c r="AL41" i="38"/>
  <c r="AN41" i="38" s="1"/>
  <c r="Q33" i="38"/>
  <c r="S33" i="38" s="1"/>
  <c r="Q41" i="39"/>
  <c r="X25" i="39"/>
  <c r="AE43" i="38"/>
  <c r="F41" i="38"/>
  <c r="H41" i="38" s="1"/>
  <c r="Q40" i="38"/>
  <c r="S40" i="38" s="1"/>
  <c r="AE27" i="38"/>
  <c r="AG27" i="38" s="1"/>
  <c r="F33" i="39"/>
  <c r="H33" i="39" s="1"/>
  <c r="AE28" i="39"/>
  <c r="AG28" i="39" s="1"/>
  <c r="X27" i="39"/>
  <c r="Z27" i="39" s="1"/>
  <c r="J46" i="38"/>
  <c r="Q35" i="38"/>
  <c r="S35" i="38" s="1"/>
  <c r="AL34" i="38"/>
  <c r="AN34" i="38" s="1"/>
  <c r="Q34" i="38"/>
  <c r="S34" i="38" s="1"/>
  <c r="AE23" i="38"/>
  <c r="AG23" i="38" s="1"/>
  <c r="AE16" i="38"/>
  <c r="AG16" i="38" s="1"/>
  <c r="J41" i="39"/>
  <c r="L41" i="39" s="1"/>
  <c r="X22" i="39"/>
  <c r="Z22" i="39" s="1"/>
  <c r="AE33" i="38"/>
  <c r="AG33" i="38" s="1"/>
  <c r="J33" i="38"/>
  <c r="L33" i="38" s="1"/>
  <c r="F28" i="38"/>
  <c r="H28" i="38" s="1"/>
  <c r="O28" i="38" s="1"/>
  <c r="J23" i="38"/>
  <c r="L23" i="38" s="1"/>
  <c r="AL15" i="38"/>
  <c r="AN15" i="38" s="1"/>
  <c r="AE45" i="37"/>
  <c r="Q40" i="37"/>
  <c r="S40" i="37" s="1"/>
  <c r="F36" i="37"/>
  <c r="Q44" i="38"/>
  <c r="S44" i="38" s="1"/>
  <c r="Q32" i="38"/>
  <c r="S32" i="38" s="1"/>
  <c r="J15" i="38"/>
  <c r="L15" i="38" s="1"/>
  <c r="AE43" i="37"/>
  <c r="X36" i="37"/>
  <c r="Z36" i="37" s="1"/>
  <c r="X35" i="37"/>
  <c r="Z35" i="37" s="1"/>
  <c r="F35" i="37"/>
  <c r="H35" i="37" s="1"/>
  <c r="O35" i="37" s="1"/>
  <c r="Q31" i="37"/>
  <c r="S31" i="37" s="1"/>
  <c r="AE24" i="37"/>
  <c r="AG24" i="37" s="1"/>
  <c r="J20" i="39"/>
  <c r="L20" i="39" s="1"/>
  <c r="Q22" i="38"/>
  <c r="S22" i="38" s="1"/>
  <c r="Q16" i="38"/>
  <c r="S16" i="38" s="1"/>
  <c r="J43" i="37"/>
  <c r="AE41" i="37"/>
  <c r="AG41" i="37" s="1"/>
  <c r="J22" i="37"/>
  <c r="L22" i="37" s="1"/>
  <c r="X20" i="37"/>
  <c r="Z20" i="37" s="1"/>
  <c r="J26" i="38"/>
  <c r="L26" i="38" s="1"/>
  <c r="Q18" i="38"/>
  <c r="S18" i="38" s="1"/>
  <c r="X45" i="37"/>
  <c r="Z45" i="37" s="1"/>
  <c r="F45" i="37"/>
  <c r="H45" i="37" s="1"/>
  <c r="F43" i="37"/>
  <c r="J41" i="37"/>
  <c r="L41" i="37" s="1"/>
  <c r="X34" i="37"/>
  <c r="Z34" i="37" s="1"/>
  <c r="J35" i="39"/>
  <c r="J17" i="39"/>
  <c r="J22" i="38"/>
  <c r="Q36" i="37"/>
  <c r="S36" i="37" s="1"/>
  <c r="AE31" i="37"/>
  <c r="AG31" i="37" s="1"/>
  <c r="AE28" i="38"/>
  <c r="AG28" i="38" s="1"/>
  <c r="X24" i="38"/>
  <c r="Z24" i="38" s="1"/>
  <c r="J18" i="38"/>
  <c r="L18" i="38" s="1"/>
  <c r="AL35" i="37"/>
  <c r="AN35" i="37" s="1"/>
  <c r="AL32" i="38"/>
  <c r="AN32" i="38" s="1"/>
  <c r="AL22" i="38"/>
  <c r="AN22" i="38" s="1"/>
  <c r="X20" i="38"/>
  <c r="Z20" i="38" s="1"/>
  <c r="F41" i="37"/>
  <c r="J31" i="37"/>
  <c r="AL16" i="39"/>
  <c r="AN16" i="39" s="1"/>
  <c r="X27" i="38"/>
  <c r="Z27" i="38" s="1"/>
  <c r="AE26" i="38"/>
  <c r="AG26" i="38" s="1"/>
  <c r="Q45" i="37"/>
  <c r="AL43" i="37"/>
  <c r="AN43" i="37" s="1"/>
  <c r="AE36" i="37"/>
  <c r="AG36" i="37" s="1"/>
  <c r="AL28" i="39"/>
  <c r="AN28" i="39" s="1"/>
  <c r="X21" i="39"/>
  <c r="Z21" i="39" s="1"/>
  <c r="AE22" i="38"/>
  <c r="AG22" i="38" s="1"/>
  <c r="Q43" i="37"/>
  <c r="J36" i="37"/>
  <c r="L36" i="37" s="1"/>
  <c r="X31" i="37"/>
  <c r="Z31" i="37" s="1"/>
  <c r="F31" i="37"/>
  <c r="H31" i="37" s="1"/>
  <c r="O31" i="37" s="1"/>
  <c r="Q22" i="37"/>
  <c r="S22" i="37" s="1"/>
  <c r="J45" i="38"/>
  <c r="L45" i="38" s="1"/>
  <c r="AL40" i="37"/>
  <c r="AN40" i="37" s="1"/>
  <c r="AE27" i="37"/>
  <c r="AE20" i="37"/>
  <c r="AG20" i="37" s="1"/>
  <c r="J20" i="37"/>
  <c r="L20" i="37" s="1"/>
  <c r="AE15" i="37"/>
  <c r="AG15" i="37" s="1"/>
  <c r="AE33" i="37"/>
  <c r="AG33" i="37" s="1"/>
  <c r="AE38" i="36"/>
  <c r="AG38" i="36" s="1"/>
  <c r="AE33" i="36"/>
  <c r="AG33" i="36" s="1"/>
  <c r="AL18" i="38"/>
  <c r="AN18" i="38" s="1"/>
  <c r="J15" i="37"/>
  <c r="L15" i="37" s="1"/>
  <c r="X41" i="36"/>
  <c r="Z41" i="36" s="1"/>
  <c r="F35" i="36"/>
  <c r="H35" i="36" s="1"/>
  <c r="O35" i="36" s="1"/>
  <c r="AE19" i="39"/>
  <c r="AG19" i="39" s="1"/>
  <c r="Q15" i="38"/>
  <c r="S15" i="38" s="1"/>
  <c r="X40" i="37"/>
  <c r="Z40" i="37" s="1"/>
  <c r="J25" i="37"/>
  <c r="L25" i="37" s="1"/>
  <c r="Q24" i="37"/>
  <c r="S24" i="37" s="1"/>
  <c r="F20" i="37"/>
  <c r="H20" i="37" s="1"/>
  <c r="O20" i="37" s="1"/>
  <c r="J38" i="36"/>
  <c r="L38" i="36" s="1"/>
  <c r="J33" i="36"/>
  <c r="L33" i="36" s="1"/>
  <c r="X44" i="38"/>
  <c r="X28" i="38"/>
  <c r="Z28" i="38" s="1"/>
  <c r="X41" i="37"/>
  <c r="Z41" i="37" s="1"/>
  <c r="X27" i="37"/>
  <c r="Z27" i="37" s="1"/>
  <c r="X23" i="37"/>
  <c r="Z23" i="37" s="1"/>
  <c r="AL41" i="36"/>
  <c r="AN41" i="36" s="1"/>
  <c r="AE25" i="38"/>
  <c r="AG25" i="38" s="1"/>
  <c r="Q23" i="38"/>
  <c r="S23" i="38" s="1"/>
  <c r="J34" i="37"/>
  <c r="L34" i="37" s="1"/>
  <c r="AE26" i="37"/>
  <c r="AG26" i="37" s="1"/>
  <c r="AE22" i="37"/>
  <c r="AG22" i="37" s="1"/>
  <c r="F22" i="37"/>
  <c r="H22" i="37" s="1"/>
  <c r="O22" i="37" s="1"/>
  <c r="X15" i="37"/>
  <c r="Z15" i="37" s="1"/>
  <c r="X38" i="36"/>
  <c r="Z38" i="36" s="1"/>
  <c r="F38" i="36"/>
  <c r="Q41" i="37"/>
  <c r="S41" i="37" s="1"/>
  <c r="Q41" i="36"/>
  <c r="S41" i="36" s="1"/>
  <c r="Q35" i="36"/>
  <c r="S35" i="36" s="1"/>
  <c r="X33" i="36"/>
  <c r="Z33" i="36" s="1"/>
  <c r="F33" i="36"/>
  <c r="H33" i="36" s="1"/>
  <c r="F17" i="37"/>
  <c r="H17" i="37" s="1"/>
  <c r="O17" i="37" s="1"/>
  <c r="J35" i="36"/>
  <c r="L35" i="36" s="1"/>
  <c r="J23" i="36"/>
  <c r="F24" i="38"/>
  <c r="H24" i="38" s="1"/>
  <c r="O24" i="38" s="1"/>
  <c r="F34" i="37"/>
  <c r="H34" i="37" s="1"/>
  <c r="O34" i="37" s="1"/>
  <c r="F24" i="37"/>
  <c r="H24" i="37" s="1"/>
  <c r="O24" i="37" s="1"/>
  <c r="F23" i="37"/>
  <c r="H23" i="37" s="1"/>
  <c r="O23" i="37" s="1"/>
  <c r="Q20" i="37"/>
  <c r="S20" i="37" s="1"/>
  <c r="J16" i="37"/>
  <c r="L16" i="37" s="1"/>
  <c r="Q15" i="37"/>
  <c r="S15" i="37" s="1"/>
  <c r="J25" i="38"/>
  <c r="L25" i="38" s="1"/>
  <c r="AE17" i="37"/>
  <c r="AG17" i="37" s="1"/>
  <c r="F43" i="38"/>
  <c r="H43" i="38" s="1"/>
  <c r="J28" i="38"/>
  <c r="L28" i="38" s="1"/>
  <c r="Q19" i="37"/>
  <c r="S19" i="37" s="1"/>
  <c r="AE43" i="36"/>
  <c r="AE35" i="36"/>
  <c r="X19" i="38"/>
  <c r="Z19" i="38" s="1"/>
  <c r="AL33" i="37"/>
  <c r="AN33" i="37" s="1"/>
  <c r="AL21" i="37"/>
  <c r="AN21" i="37" s="1"/>
  <c r="AE16" i="37"/>
  <c r="AG16" i="37" s="1"/>
  <c r="Q31" i="36"/>
  <c r="S31" i="36" s="1"/>
  <c r="J30" i="36"/>
  <c r="L30" i="36" s="1"/>
  <c r="Q25" i="36"/>
  <c r="S25" i="36" s="1"/>
  <c r="AL45" i="37"/>
  <c r="AN45" i="37" s="1"/>
  <c r="AE34" i="37"/>
  <c r="AG34" i="37" s="1"/>
  <c r="Q32" i="37"/>
  <c r="S32" i="37" s="1"/>
  <c r="AL19" i="37"/>
  <c r="AN19" i="37" s="1"/>
  <c r="F40" i="37"/>
  <c r="H40" i="37" s="1"/>
  <c r="F45" i="36"/>
  <c r="H45" i="36" s="1"/>
  <c r="X43" i="36"/>
  <c r="Z43" i="36" s="1"/>
  <c r="AE41" i="36"/>
  <c r="AG41" i="36" s="1"/>
  <c r="AE31" i="36"/>
  <c r="AG31" i="36" s="1"/>
  <c r="J25" i="36"/>
  <c r="L25" i="36" s="1"/>
  <c r="F22" i="36"/>
  <c r="H22" i="36" s="1"/>
  <c r="O22" i="36" s="1"/>
  <c r="AL19" i="36"/>
  <c r="AN19" i="36" s="1"/>
  <c r="Q16" i="36"/>
  <c r="S16" i="36" s="1"/>
  <c r="J31" i="35"/>
  <c r="L31" i="35" s="1"/>
  <c r="Q28" i="35"/>
  <c r="S28" i="35" s="1"/>
  <c r="X26" i="35"/>
  <c r="Z26" i="35" s="1"/>
  <c r="F26" i="35"/>
  <c r="H26" i="35" s="1"/>
  <c r="O26" i="35" s="1"/>
  <c r="AE24" i="35"/>
  <c r="AG24" i="35" s="1"/>
  <c r="AE40" i="36"/>
  <c r="AG40" i="36" s="1"/>
  <c r="AL38" i="36"/>
  <c r="AN38" i="36" s="1"/>
  <c r="X21" i="36"/>
  <c r="Z21" i="36" s="1"/>
  <c r="J19" i="36"/>
  <c r="L19" i="36" s="1"/>
  <c r="Q45" i="35"/>
  <c r="S45" i="35" s="1"/>
  <c r="AE30" i="35"/>
  <c r="AG30" i="35" s="1"/>
  <c r="AE25" i="36"/>
  <c r="AG25" i="36" s="1"/>
  <c r="Q20" i="36"/>
  <c r="S20" i="36" s="1"/>
  <c r="AL45" i="35"/>
  <c r="AN45" i="35" s="1"/>
  <c r="AP45" i="35" s="1"/>
  <c r="F40" i="35"/>
  <c r="H40" i="35" s="1"/>
  <c r="J17" i="38"/>
  <c r="L17" i="38" s="1"/>
  <c r="X32" i="37"/>
  <c r="Z32" i="37" s="1"/>
  <c r="J26" i="36"/>
  <c r="L26" i="36" s="1"/>
  <c r="F25" i="36"/>
  <c r="H25" i="36" s="1"/>
  <c r="O25" i="36" s="1"/>
  <c r="AE19" i="36"/>
  <c r="AG19" i="36" s="1"/>
  <c r="AL16" i="36"/>
  <c r="AN16" i="36" s="1"/>
  <c r="X15" i="36"/>
  <c r="Z15" i="36" s="1"/>
  <c r="Q43" i="35"/>
  <c r="Q33" i="35"/>
  <c r="S33" i="35" s="1"/>
  <c r="X31" i="35"/>
  <c r="Z31" i="35" s="1"/>
  <c r="F31" i="35"/>
  <c r="H31" i="35" s="1"/>
  <c r="O31" i="35" s="1"/>
  <c r="J30" i="35"/>
  <c r="L30" i="35" s="1"/>
  <c r="F43" i="36"/>
  <c r="H43" i="36" s="1"/>
  <c r="Q40" i="36"/>
  <c r="S40" i="36" s="1"/>
  <c r="AE23" i="36"/>
  <c r="AG23" i="36" s="1"/>
  <c r="F23" i="36"/>
  <c r="H23" i="36" s="1"/>
  <c r="O23" i="36" s="1"/>
  <c r="AL20" i="36"/>
  <c r="AN20" i="36" s="1"/>
  <c r="Q24" i="38"/>
  <c r="S24" i="38" s="1"/>
  <c r="AL15" i="37"/>
  <c r="AN15" i="37" s="1"/>
  <c r="AE30" i="36"/>
  <c r="AG30" i="36" s="1"/>
  <c r="F30" i="36"/>
  <c r="H30" i="36" s="1"/>
  <c r="AL21" i="36"/>
  <c r="AN21" i="36" s="1"/>
  <c r="J20" i="36"/>
  <c r="L20" i="36" s="1"/>
  <c r="AL43" i="35"/>
  <c r="X30" i="35"/>
  <c r="Z30" i="35" s="1"/>
  <c r="F30" i="35"/>
  <c r="J28" i="35"/>
  <c r="L28" i="35" s="1"/>
  <c r="X24" i="35"/>
  <c r="Z24" i="35" s="1"/>
  <c r="F24" i="35"/>
  <c r="H24" i="35" s="1"/>
  <c r="O24" i="35" s="1"/>
  <c r="X45" i="36"/>
  <c r="X44" i="36"/>
  <c r="J41" i="36"/>
  <c r="L41" i="36" s="1"/>
  <c r="AL32" i="36"/>
  <c r="AN32" i="36" s="1"/>
  <c r="F32" i="36"/>
  <c r="H32" i="36" s="1"/>
  <c r="F26" i="36"/>
  <c r="H26" i="36" s="1"/>
  <c r="O26" i="36" s="1"/>
  <c r="Q22" i="36"/>
  <c r="X19" i="36"/>
  <c r="AE16" i="36"/>
  <c r="AG16" i="36" s="1"/>
  <c r="AE45" i="35"/>
  <c r="AG45" i="35" s="1"/>
  <c r="AL34" i="37"/>
  <c r="AN34" i="37" s="1"/>
  <c r="X23" i="36"/>
  <c r="Z23" i="36" s="1"/>
  <c r="AE20" i="36"/>
  <c r="F43" i="35"/>
  <c r="H43" i="35" s="1"/>
  <c r="J33" i="35"/>
  <c r="L33" i="35" s="1"/>
  <c r="AL30" i="35"/>
  <c r="AN30" i="35" s="1"/>
  <c r="F28" i="35"/>
  <c r="H28" i="35" s="1"/>
  <c r="O28" i="35" s="1"/>
  <c r="AL24" i="35"/>
  <c r="AN24" i="35" s="1"/>
  <c r="AP24" i="35" s="1"/>
  <c r="Q38" i="36"/>
  <c r="S38" i="36" s="1"/>
  <c r="J36" i="36"/>
  <c r="L36" i="36" s="1"/>
  <c r="X32" i="36"/>
  <c r="Z32" i="36" s="1"/>
  <c r="AL31" i="36"/>
  <c r="AN31" i="36" s="1"/>
  <c r="J31" i="36"/>
  <c r="L31" i="36" s="1"/>
  <c r="AE21" i="36"/>
  <c r="AG21" i="36" s="1"/>
  <c r="X16" i="36"/>
  <c r="Z16" i="36" s="1"/>
  <c r="AL15" i="36"/>
  <c r="AN15" i="36" s="1"/>
  <c r="X46" i="36"/>
  <c r="J44" i="36"/>
  <c r="Q33" i="36"/>
  <c r="S33" i="36" s="1"/>
  <c r="Q23" i="36"/>
  <c r="S23" i="36" s="1"/>
  <c r="X45" i="35"/>
  <c r="J33" i="34"/>
  <c r="L33" i="34" s="1"/>
  <c r="J28" i="34"/>
  <c r="L28" i="34" s="1"/>
  <c r="J22" i="36"/>
  <c r="L22" i="36" s="1"/>
  <c r="J40" i="35"/>
  <c r="L40" i="35" s="1"/>
  <c r="AE33" i="35"/>
  <c r="AG33" i="35" s="1"/>
  <c r="Q25" i="35"/>
  <c r="S25" i="35" s="1"/>
  <c r="X21" i="34"/>
  <c r="Z21" i="34" s="1"/>
  <c r="J16" i="38"/>
  <c r="L16" i="38" s="1"/>
  <c r="F36" i="35"/>
  <c r="H36" i="35" s="1"/>
  <c r="Q30" i="35"/>
  <c r="S30" i="35" s="1"/>
  <c r="AE26" i="35"/>
  <c r="AG26" i="35" s="1"/>
  <c r="J35" i="34"/>
  <c r="X33" i="34"/>
  <c r="Q34" i="36"/>
  <c r="S34" i="36" s="1"/>
  <c r="Q30" i="36"/>
  <c r="S30" i="36" s="1"/>
  <c r="F33" i="34"/>
  <c r="H33" i="34" s="1"/>
  <c r="F28" i="34"/>
  <c r="H28" i="34" s="1"/>
  <c r="O28" i="34" s="1"/>
  <c r="Q16" i="37"/>
  <c r="S16" i="37" s="1"/>
  <c r="F45" i="35"/>
  <c r="H45" i="35" s="1"/>
  <c r="Q24" i="35"/>
  <c r="S24" i="35" s="1"/>
  <c r="AE45" i="34"/>
  <c r="AG45" i="34" s="1"/>
  <c r="AE40" i="34"/>
  <c r="AG40" i="34" s="1"/>
  <c r="AE24" i="34"/>
  <c r="AG24" i="34" s="1"/>
  <c r="AL22" i="36"/>
  <c r="F15" i="36"/>
  <c r="H15" i="36" s="1"/>
  <c r="AE31" i="35"/>
  <c r="AG31" i="35" s="1"/>
  <c r="F25" i="35"/>
  <c r="H25" i="35" s="1"/>
  <c r="O25" i="35" s="1"/>
  <c r="AE36" i="34"/>
  <c r="AG36" i="34" s="1"/>
  <c r="AE19" i="34"/>
  <c r="Q26" i="35"/>
  <c r="S26" i="35" s="1"/>
  <c r="J23" i="35"/>
  <c r="L23" i="35" s="1"/>
  <c r="Q23" i="34"/>
  <c r="S23" i="34" s="1"/>
  <c r="AE43" i="33"/>
  <c r="AG43" i="33" s="1"/>
  <c r="F43" i="33"/>
  <c r="H43" i="33" s="1"/>
  <c r="J27" i="33"/>
  <c r="L27" i="33" s="1"/>
  <c r="J16" i="33"/>
  <c r="J32" i="32"/>
  <c r="L32" i="32" s="1"/>
  <c r="J27" i="32"/>
  <c r="J40" i="36"/>
  <c r="L40" i="36" s="1"/>
  <c r="Q19" i="36"/>
  <c r="S19" i="36" s="1"/>
  <c r="J24" i="35"/>
  <c r="L24" i="35" s="1"/>
  <c r="F40" i="34"/>
  <c r="H40" i="34" s="1"/>
  <c r="AL26" i="34"/>
  <c r="AN26" i="34" s="1"/>
  <c r="J26" i="34"/>
  <c r="L26" i="34" s="1"/>
  <c r="F24" i="34"/>
  <c r="H24" i="34" s="1"/>
  <c r="O24" i="34" s="1"/>
  <c r="F20" i="34"/>
  <c r="H20" i="34" s="1"/>
  <c r="O20" i="34" s="1"/>
  <c r="X19" i="34"/>
  <c r="Z19" i="34" s="1"/>
  <c r="J18" i="34"/>
  <c r="F45" i="33"/>
  <c r="H45" i="33" s="1"/>
  <c r="X20" i="36"/>
  <c r="Z20" i="36" s="1"/>
  <c r="Q40" i="35"/>
  <c r="S40" i="35" s="1"/>
  <c r="Q31" i="35"/>
  <c r="S31" i="35" s="1"/>
  <c r="AE15" i="35"/>
  <c r="AG15" i="35" s="1"/>
  <c r="AL43" i="34"/>
  <c r="AE33" i="34"/>
  <c r="AG33" i="34" s="1"/>
  <c r="J16" i="34"/>
  <c r="L16" i="34" s="1"/>
  <c r="F15" i="34"/>
  <c r="H15" i="34" s="1"/>
  <c r="AL32" i="33"/>
  <c r="AN32" i="33" s="1"/>
  <c r="J26" i="35"/>
  <c r="L26" i="35" s="1"/>
  <c r="X45" i="34"/>
  <c r="Z45" i="34" s="1"/>
  <c r="AE44" i="34"/>
  <c r="AE28" i="34"/>
  <c r="AG28" i="34" s="1"/>
  <c r="AE26" i="34"/>
  <c r="AG26" i="34" s="1"/>
  <c r="X36" i="33"/>
  <c r="Z36" i="33" s="1"/>
  <c r="Q41" i="35"/>
  <c r="S41" i="35" s="1"/>
  <c r="J38" i="35"/>
  <c r="L38" i="35" s="1"/>
  <c r="J32" i="35"/>
  <c r="L32" i="35" s="1"/>
  <c r="AE16" i="34"/>
  <c r="AG16" i="34" s="1"/>
  <c r="F16" i="34"/>
  <c r="H16" i="34" s="1"/>
  <c r="O16" i="34" s="1"/>
  <c r="X43" i="33"/>
  <c r="X36" i="35"/>
  <c r="Z36" i="35" s="1"/>
  <c r="F33" i="35"/>
  <c r="H33" i="35" s="1"/>
  <c r="AE25" i="35"/>
  <c r="X22" i="35"/>
  <c r="Z22" i="35" s="1"/>
  <c r="AE23" i="34"/>
  <c r="AG23" i="34" s="1"/>
  <c r="J32" i="33"/>
  <c r="L32" i="33" s="1"/>
  <c r="Q27" i="33"/>
  <c r="S27" i="33" s="1"/>
  <c r="Q30" i="34"/>
  <c r="S30" i="34" s="1"/>
  <c r="X26" i="36"/>
  <c r="Z26" i="36" s="1"/>
  <c r="AE28" i="35"/>
  <c r="AG28" i="35" s="1"/>
  <c r="X21" i="35"/>
  <c r="Z21" i="35" s="1"/>
  <c r="Q44" i="34"/>
  <c r="X36" i="34"/>
  <c r="Z36" i="34" s="1"/>
  <c r="J31" i="34"/>
  <c r="L31" i="34" s="1"/>
  <c r="Q31" i="33"/>
  <c r="S31" i="33" s="1"/>
  <c r="X26" i="33"/>
  <c r="Z26" i="33" s="1"/>
  <c r="J22" i="33"/>
  <c r="L22" i="33" s="1"/>
  <c r="AE41" i="32"/>
  <c r="AG41" i="32" s="1"/>
  <c r="AE33" i="32"/>
  <c r="J25" i="32"/>
  <c r="L25" i="32" s="1"/>
  <c r="J22" i="31"/>
  <c r="L22" i="31" s="1"/>
  <c r="J46" i="30"/>
  <c r="J41" i="30"/>
  <c r="L41" i="30" s="1"/>
  <c r="J30" i="30"/>
  <c r="L30" i="30" s="1"/>
  <c r="J25" i="30"/>
  <c r="L25" i="30" s="1"/>
  <c r="Q35" i="34"/>
  <c r="S35" i="34" s="1"/>
  <c r="Q28" i="34"/>
  <c r="S28" i="34" s="1"/>
  <c r="X24" i="34"/>
  <c r="Z24" i="34" s="1"/>
  <c r="J45" i="33"/>
  <c r="L45" i="33" s="1"/>
  <c r="J36" i="33"/>
  <c r="L36" i="33" s="1"/>
  <c r="X27" i="33"/>
  <c r="Z27" i="33" s="1"/>
  <c r="F36" i="32"/>
  <c r="H36" i="32" s="1"/>
  <c r="J33" i="32"/>
  <c r="L33" i="32" s="1"/>
  <c r="AE32" i="32"/>
  <c r="AG32" i="32" s="1"/>
  <c r="Q27" i="32"/>
  <c r="S27" i="32" s="1"/>
  <c r="AL15" i="32"/>
  <c r="AN15" i="32" s="1"/>
  <c r="X25" i="35"/>
  <c r="Z25" i="35" s="1"/>
  <c r="AE22" i="35"/>
  <c r="AG22" i="35" s="1"/>
  <c r="F46" i="33"/>
  <c r="H46" i="33" s="1"/>
  <c r="J23" i="33"/>
  <c r="L23" i="33" s="1"/>
  <c r="F20" i="33"/>
  <c r="H20" i="33" s="1"/>
  <c r="O20" i="33" s="1"/>
  <c r="F19" i="33"/>
  <c r="H19" i="33" s="1"/>
  <c r="F18" i="33"/>
  <c r="AE16" i="33"/>
  <c r="AL44" i="35"/>
  <c r="J36" i="34"/>
  <c r="L36" i="34" s="1"/>
  <c r="F36" i="33"/>
  <c r="H36" i="33" s="1"/>
  <c r="F34" i="33"/>
  <c r="H34" i="33" s="1"/>
  <c r="O34" i="33" s="1"/>
  <c r="Q26" i="33"/>
  <c r="S26" i="33" s="1"/>
  <c r="F22" i="33"/>
  <c r="H22" i="33" s="1"/>
  <c r="O22" i="33" s="1"/>
  <c r="F41" i="32"/>
  <c r="H41" i="32" s="1"/>
  <c r="Q26" i="32"/>
  <c r="S26" i="32" s="1"/>
  <c r="F25" i="32"/>
  <c r="H25" i="32" s="1"/>
  <c r="O25" i="32" s="1"/>
  <c r="Q15" i="32"/>
  <c r="S15" i="32" s="1"/>
  <c r="Q45" i="31"/>
  <c r="S45" i="31" s="1"/>
  <c r="X44" i="31"/>
  <c r="Q20" i="35"/>
  <c r="S20" i="35" s="1"/>
  <c r="X43" i="34"/>
  <c r="X40" i="34"/>
  <c r="Z40" i="34" s="1"/>
  <c r="J15" i="34"/>
  <c r="L15" i="34" s="1"/>
  <c r="AE36" i="33"/>
  <c r="J31" i="33"/>
  <c r="L31" i="33" s="1"/>
  <c r="J15" i="35"/>
  <c r="L15" i="35" s="1"/>
  <c r="J24" i="34"/>
  <c r="L24" i="34" s="1"/>
  <c r="J38" i="33"/>
  <c r="L38" i="33" s="1"/>
  <c r="AE31" i="33"/>
  <c r="AG31" i="33" s="1"/>
  <c r="X22" i="33"/>
  <c r="Z22" i="33" s="1"/>
  <c r="F16" i="33"/>
  <c r="H16" i="33" s="1"/>
  <c r="O16" i="33" s="1"/>
  <c r="Q46" i="32"/>
  <c r="S46" i="32" s="1"/>
  <c r="AL45" i="32"/>
  <c r="AN45" i="32" s="1"/>
  <c r="AL44" i="32"/>
  <c r="AN44" i="32" s="1"/>
  <c r="X33" i="32"/>
  <c r="Z33" i="32" s="1"/>
  <c r="AE27" i="32"/>
  <c r="AG27" i="32" s="1"/>
  <c r="AL25" i="32"/>
  <c r="AN25" i="32" s="1"/>
  <c r="AE45" i="31"/>
  <c r="AG45" i="31" s="1"/>
  <c r="AE40" i="31"/>
  <c r="AG40" i="31" s="1"/>
  <c r="F43" i="34"/>
  <c r="H43" i="34" s="1"/>
  <c r="J40" i="34"/>
  <c r="AL25" i="34"/>
  <c r="AN25" i="34" s="1"/>
  <c r="AE26" i="33"/>
  <c r="AG26" i="33" s="1"/>
  <c r="AL21" i="33"/>
  <c r="AN21" i="33" s="1"/>
  <c r="AL20" i="33"/>
  <c r="AN20" i="33" s="1"/>
  <c r="AE46" i="32"/>
  <c r="AG46" i="32" s="1"/>
  <c r="Q34" i="32"/>
  <c r="S34" i="32" s="1"/>
  <c r="AL33" i="32"/>
  <c r="AN33" i="32" s="1"/>
  <c r="AL32" i="32"/>
  <c r="F27" i="32"/>
  <c r="H27" i="32" s="1"/>
  <c r="O27" i="32" s="1"/>
  <c r="J26" i="32"/>
  <c r="L26" i="32" s="1"/>
  <c r="J15" i="32"/>
  <c r="L15" i="32" s="1"/>
  <c r="J45" i="31"/>
  <c r="L45" i="31" s="1"/>
  <c r="Q44" i="31"/>
  <c r="AL24" i="36"/>
  <c r="AN24" i="36" s="1"/>
  <c r="F45" i="34"/>
  <c r="H45" i="34" s="1"/>
  <c r="Q18" i="34"/>
  <c r="S18" i="34" s="1"/>
  <c r="Q36" i="33"/>
  <c r="S36" i="33" s="1"/>
  <c r="J33" i="33"/>
  <c r="L33" i="33" s="1"/>
  <c r="X31" i="33"/>
  <c r="Z31" i="33" s="1"/>
  <c r="F26" i="33"/>
  <c r="Q16" i="34"/>
  <c r="S16" i="34" s="1"/>
  <c r="F31" i="33"/>
  <c r="H31" i="33" s="1"/>
  <c r="O31" i="33" s="1"/>
  <c r="J19" i="33"/>
  <c r="L19" i="33" s="1"/>
  <c r="AL15" i="33"/>
  <c r="AN15" i="33" s="1"/>
  <c r="Q41" i="32"/>
  <c r="S41" i="32" s="1"/>
  <c r="AL20" i="32"/>
  <c r="AN20" i="32" s="1"/>
  <c r="F20" i="32"/>
  <c r="H20" i="32" s="1"/>
  <c r="O20" i="32" s="1"/>
  <c r="AE17" i="35"/>
  <c r="AG17" i="35" s="1"/>
  <c r="AE35" i="34"/>
  <c r="AG35" i="34" s="1"/>
  <c r="F27" i="33"/>
  <c r="H27" i="33" s="1"/>
  <c r="O27" i="33" s="1"/>
  <c r="F24" i="33"/>
  <c r="H24" i="33" s="1"/>
  <c r="O24" i="33" s="1"/>
  <c r="X16" i="33"/>
  <c r="X38" i="32"/>
  <c r="Z38" i="32" s="1"/>
  <c r="J36" i="32"/>
  <c r="L36" i="32" s="1"/>
  <c r="AE34" i="32"/>
  <c r="AG34" i="32" s="1"/>
  <c r="Q32" i="32"/>
  <c r="S32" i="32" s="1"/>
  <c r="AC32" i="32" s="1"/>
  <c r="Q30" i="32"/>
  <c r="S30" i="32" s="1"/>
  <c r="F15" i="32"/>
  <c r="H15" i="32" s="1"/>
  <c r="J40" i="31"/>
  <c r="L40" i="31" s="1"/>
  <c r="AE45" i="32"/>
  <c r="AG45" i="32" s="1"/>
  <c r="J44" i="32"/>
  <c r="L44" i="32" s="1"/>
  <c r="X25" i="32"/>
  <c r="Z25" i="32" s="1"/>
  <c r="F45" i="31"/>
  <c r="H45" i="31" s="1"/>
  <c r="Q22" i="31"/>
  <c r="S22" i="31" s="1"/>
  <c r="Q16" i="31"/>
  <c r="S16" i="31" s="1"/>
  <c r="F46" i="30"/>
  <c r="H46" i="30" s="1"/>
  <c r="AE25" i="30"/>
  <c r="AG25" i="30" s="1"/>
  <c r="J45" i="34"/>
  <c r="L45" i="34" s="1"/>
  <c r="AE27" i="34"/>
  <c r="AG27" i="34" s="1"/>
  <c r="J40" i="33"/>
  <c r="L40" i="33" s="1"/>
  <c r="AL33" i="33"/>
  <c r="AN33" i="33" s="1"/>
  <c r="AL27" i="33"/>
  <c r="AN27" i="33" s="1"/>
  <c r="Q22" i="33"/>
  <c r="S22" i="33" s="1"/>
  <c r="AL19" i="33"/>
  <c r="AN19" i="33" s="1"/>
  <c r="X15" i="33"/>
  <c r="AL41" i="32"/>
  <c r="AN41" i="32" s="1"/>
  <c r="X40" i="32"/>
  <c r="Z40" i="32" s="1"/>
  <c r="Q38" i="32"/>
  <c r="X27" i="32"/>
  <c r="Z27" i="32" s="1"/>
  <c r="AL26" i="32"/>
  <c r="AN26" i="32" s="1"/>
  <c r="F26" i="32"/>
  <c r="H26" i="32" s="1"/>
  <c r="O26" i="32" s="1"/>
  <c r="AL35" i="33"/>
  <c r="AN35" i="33" s="1"/>
  <c r="AE25" i="33"/>
  <c r="AG25" i="33" s="1"/>
  <c r="AL23" i="33"/>
  <c r="AN23" i="33" s="1"/>
  <c r="Q16" i="33"/>
  <c r="S16" i="33" s="1"/>
  <c r="AE36" i="32"/>
  <c r="AG36" i="32" s="1"/>
  <c r="Q25" i="32"/>
  <c r="S25" i="32" s="1"/>
  <c r="F40" i="31"/>
  <c r="Q33" i="31"/>
  <c r="Q41" i="34"/>
  <c r="S41" i="34" s="1"/>
  <c r="AL15" i="34"/>
  <c r="AN15" i="34" s="1"/>
  <c r="J43" i="33"/>
  <c r="F40" i="33"/>
  <c r="H40" i="33" s="1"/>
  <c r="AE33" i="33"/>
  <c r="AG33" i="33" s="1"/>
  <c r="F30" i="32"/>
  <c r="H30" i="32" s="1"/>
  <c r="AE35" i="37"/>
  <c r="AG35" i="37" s="1"/>
  <c r="X34" i="33"/>
  <c r="Z34" i="33" s="1"/>
  <c r="X32" i="33"/>
  <c r="Z32" i="33" s="1"/>
  <c r="X45" i="32"/>
  <c r="Z45" i="32" s="1"/>
  <c r="F32" i="32"/>
  <c r="AL30" i="31"/>
  <c r="AN30" i="31" s="1"/>
  <c r="AE22" i="31"/>
  <c r="AG22" i="31" s="1"/>
  <c r="J16" i="31"/>
  <c r="L16" i="31" s="1"/>
  <c r="AL27" i="36"/>
  <c r="AN27" i="36" s="1"/>
  <c r="X28" i="34"/>
  <c r="Z28" i="34" s="1"/>
  <c r="AE21" i="34"/>
  <c r="AG21" i="34" s="1"/>
  <c r="X23" i="33"/>
  <c r="Z23" i="33" s="1"/>
  <c r="Q20" i="33"/>
  <c r="S20" i="33" s="1"/>
  <c r="X36" i="32"/>
  <c r="Z36" i="32" s="1"/>
  <c r="AL20" i="35"/>
  <c r="AN20" i="35" s="1"/>
  <c r="Q19" i="33"/>
  <c r="J38" i="31"/>
  <c r="L38" i="31" s="1"/>
  <c r="X33" i="31"/>
  <c r="Z33" i="31" s="1"/>
  <c r="Q19" i="31"/>
  <c r="S19" i="31" s="1"/>
  <c r="AL40" i="30"/>
  <c r="AN40" i="30" s="1"/>
  <c r="AE38" i="30"/>
  <c r="AG38" i="30" s="1"/>
  <c r="AE28" i="30"/>
  <c r="AG28" i="30" s="1"/>
  <c r="J28" i="30"/>
  <c r="L28" i="30" s="1"/>
  <c r="Q25" i="30"/>
  <c r="S25" i="30" s="1"/>
  <c r="X25" i="33"/>
  <c r="Z25" i="33" s="1"/>
  <c r="AL22" i="33"/>
  <c r="AN22" i="33" s="1"/>
  <c r="AE44" i="32"/>
  <c r="AG44" i="32" s="1"/>
  <c r="AE20" i="32"/>
  <c r="AG20" i="32" s="1"/>
  <c r="Q40" i="31"/>
  <c r="F22" i="31"/>
  <c r="H22" i="31" s="1"/>
  <c r="O22" i="31" s="1"/>
  <c r="AL19" i="31"/>
  <c r="AN19" i="31" s="1"/>
  <c r="AL45" i="30"/>
  <c r="AN45" i="30" s="1"/>
  <c r="Q41" i="30"/>
  <c r="S41" i="30" s="1"/>
  <c r="X20" i="32"/>
  <c r="Z20" i="32" s="1"/>
  <c r="AL16" i="32"/>
  <c r="AN16" i="32" s="1"/>
  <c r="F32" i="31"/>
  <c r="H32" i="31" s="1"/>
  <c r="AE18" i="31"/>
  <c r="AG18" i="31" s="1"/>
  <c r="F18" i="31"/>
  <c r="H18" i="31" s="1"/>
  <c r="O18" i="31" s="1"/>
  <c r="X16" i="31"/>
  <c r="Z16" i="31" s="1"/>
  <c r="AL20" i="34"/>
  <c r="AN20" i="34" s="1"/>
  <c r="F32" i="33"/>
  <c r="H32" i="33" s="1"/>
  <c r="J25" i="33"/>
  <c r="L25" i="33" s="1"/>
  <c r="Q44" i="32"/>
  <c r="S44" i="32" s="1"/>
  <c r="F34" i="32"/>
  <c r="H34" i="32" s="1"/>
  <c r="O34" i="32" s="1"/>
  <c r="AE26" i="32"/>
  <c r="AG26" i="32" s="1"/>
  <c r="J36" i="31"/>
  <c r="AL27" i="31"/>
  <c r="AN27" i="31" s="1"/>
  <c r="X22" i="31"/>
  <c r="Z22" i="31" s="1"/>
  <c r="J19" i="31"/>
  <c r="L19" i="31" s="1"/>
  <c r="F30" i="30"/>
  <c r="H30" i="30" s="1"/>
  <c r="X28" i="30"/>
  <c r="Z28" i="30" s="1"/>
  <c r="Q33" i="34"/>
  <c r="S33" i="34" s="1"/>
  <c r="J19" i="34"/>
  <c r="J20" i="33"/>
  <c r="L20" i="33" s="1"/>
  <c r="Q36" i="32"/>
  <c r="S36" i="32" s="1"/>
  <c r="Q20" i="32"/>
  <c r="S20" i="32" s="1"/>
  <c r="F43" i="31"/>
  <c r="H43" i="31" s="1"/>
  <c r="J33" i="31"/>
  <c r="L33" i="31" s="1"/>
  <c r="AE32" i="31"/>
  <c r="AG32" i="31" s="1"/>
  <c r="AE30" i="31"/>
  <c r="AG30" i="31" s="1"/>
  <c r="J30" i="31"/>
  <c r="L30" i="31" s="1"/>
  <c r="AE45" i="30"/>
  <c r="AG45" i="30" s="1"/>
  <c r="F40" i="30"/>
  <c r="H40" i="30" s="1"/>
  <c r="X21" i="30"/>
  <c r="Z21" i="30" s="1"/>
  <c r="AL40" i="32"/>
  <c r="AN40" i="32" s="1"/>
  <c r="X26" i="32"/>
  <c r="AE25" i="32"/>
  <c r="AG25" i="32" s="1"/>
  <c r="AL21" i="32"/>
  <c r="AN21" i="32" s="1"/>
  <c r="AE15" i="32"/>
  <c r="AG15" i="32" s="1"/>
  <c r="AL36" i="31"/>
  <c r="AN36" i="31" s="1"/>
  <c r="F19" i="31"/>
  <c r="H19" i="31" s="1"/>
  <c r="AE41" i="30"/>
  <c r="AG41" i="30" s="1"/>
  <c r="F41" i="30"/>
  <c r="H41" i="30" s="1"/>
  <c r="X30" i="30"/>
  <c r="Z30" i="30" s="1"/>
  <c r="Q20" i="34"/>
  <c r="S20" i="34" s="1"/>
  <c r="AE35" i="33"/>
  <c r="AG35" i="33" s="1"/>
  <c r="Q23" i="33"/>
  <c r="AL34" i="32"/>
  <c r="X28" i="32"/>
  <c r="Z28" i="32" s="1"/>
  <c r="X22" i="32"/>
  <c r="Z22" i="32" s="1"/>
  <c r="Q17" i="32"/>
  <c r="S17" i="32" s="1"/>
  <c r="F33" i="31"/>
  <c r="H33" i="31" s="1"/>
  <c r="AE27" i="31"/>
  <c r="AG27" i="31" s="1"/>
  <c r="AE15" i="31"/>
  <c r="AG15" i="31" s="1"/>
  <c r="AE46" i="30"/>
  <c r="AG46" i="30" s="1"/>
  <c r="Q38" i="30"/>
  <c r="S38" i="30" s="1"/>
  <c r="AL28" i="30"/>
  <c r="AN28" i="30" s="1"/>
  <c r="X25" i="30"/>
  <c r="Z25" i="30" s="1"/>
  <c r="AE19" i="35"/>
  <c r="AL22" i="34"/>
  <c r="J45" i="32"/>
  <c r="Q24" i="32"/>
  <c r="S24" i="32" s="1"/>
  <c r="AL43" i="31"/>
  <c r="AN43" i="31" s="1"/>
  <c r="AL28" i="31"/>
  <c r="AN28" i="31" s="1"/>
  <c r="F27" i="31"/>
  <c r="J24" i="31"/>
  <c r="L24" i="31" s="1"/>
  <c r="Q18" i="31"/>
  <c r="S18" i="31" s="1"/>
  <c r="X41" i="30"/>
  <c r="Z41" i="30" s="1"/>
  <c r="Q30" i="30"/>
  <c r="S30" i="30" s="1"/>
  <c r="AE16" i="30"/>
  <c r="X46" i="33"/>
  <c r="Z46" i="33" s="1"/>
  <c r="F46" i="32"/>
  <c r="F35" i="31"/>
  <c r="H35" i="31" s="1"/>
  <c r="O35" i="31" s="1"/>
  <c r="Q28" i="31"/>
  <c r="S28" i="31" s="1"/>
  <c r="AE44" i="30"/>
  <c r="AG44" i="30" s="1"/>
  <c r="AE30" i="30"/>
  <c r="AG30" i="30" s="1"/>
  <c r="AE21" i="30"/>
  <c r="AG21" i="30" s="1"/>
  <c r="AE45" i="29"/>
  <c r="AG45" i="29" s="1"/>
  <c r="Q32" i="29"/>
  <c r="S32" i="29" s="1"/>
  <c r="Q15" i="29"/>
  <c r="S15" i="29" s="1"/>
  <c r="AE38" i="28"/>
  <c r="AG38" i="28" s="1"/>
  <c r="F22" i="28"/>
  <c r="H22" i="28" s="1"/>
  <c r="O22" i="28" s="1"/>
  <c r="AE15" i="28"/>
  <c r="AG15" i="28" s="1"/>
  <c r="J45" i="27"/>
  <c r="L45" i="27" s="1"/>
  <c r="J40" i="27"/>
  <c r="L40" i="27" s="1"/>
  <c r="AE40" i="33"/>
  <c r="AG40" i="33" s="1"/>
  <c r="J40" i="32"/>
  <c r="L40" i="32" s="1"/>
  <c r="X45" i="31"/>
  <c r="Q38" i="31"/>
  <c r="S38" i="31" s="1"/>
  <c r="AC38" i="31" s="1"/>
  <c r="F36" i="31"/>
  <c r="H36" i="31" s="1"/>
  <c r="J27" i="31"/>
  <c r="L27" i="31" s="1"/>
  <c r="F24" i="31"/>
  <c r="H24" i="31" s="1"/>
  <c r="O24" i="31" s="1"/>
  <c r="Q20" i="30"/>
  <c r="S20" i="30" s="1"/>
  <c r="J45" i="29"/>
  <c r="L45" i="29" s="1"/>
  <c r="AE40" i="29"/>
  <c r="AG40" i="29" s="1"/>
  <c r="J40" i="29"/>
  <c r="L40" i="29" s="1"/>
  <c r="J38" i="29"/>
  <c r="L38" i="29" s="1"/>
  <c r="X25" i="29"/>
  <c r="Z25" i="29" s="1"/>
  <c r="X21" i="29"/>
  <c r="Z21" i="29" s="1"/>
  <c r="J26" i="33"/>
  <c r="J28" i="31"/>
  <c r="L28" i="31" s="1"/>
  <c r="AL21" i="31"/>
  <c r="AN21" i="31" s="1"/>
  <c r="J46" i="29"/>
  <c r="AE41" i="29"/>
  <c r="AG41" i="29" s="1"/>
  <c r="J41" i="29"/>
  <c r="L41" i="29" s="1"/>
  <c r="Q27" i="29"/>
  <c r="S27" i="29" s="1"/>
  <c r="J38" i="28"/>
  <c r="J15" i="28"/>
  <c r="L15" i="28" s="1"/>
  <c r="J43" i="31"/>
  <c r="X46" i="30"/>
  <c r="Q36" i="30"/>
  <c r="S36" i="30" s="1"/>
  <c r="AE27" i="30"/>
  <c r="AG27" i="30" s="1"/>
  <c r="AL23" i="30"/>
  <c r="AN23" i="30" s="1"/>
  <c r="J22" i="30"/>
  <c r="L22" i="30" s="1"/>
  <c r="X44" i="29"/>
  <c r="F38" i="29"/>
  <c r="H38" i="29" s="1"/>
  <c r="O38" i="29" s="1"/>
  <c r="J35" i="29"/>
  <c r="L35" i="29" s="1"/>
  <c r="AE34" i="29"/>
  <c r="AG34" i="29" s="1"/>
  <c r="J34" i="29"/>
  <c r="L34" i="29" s="1"/>
  <c r="AE32" i="29"/>
  <c r="AG32" i="29" s="1"/>
  <c r="Q22" i="32"/>
  <c r="S22" i="32" s="1"/>
  <c r="F38" i="31"/>
  <c r="H38" i="31" s="1"/>
  <c r="O38" i="31" s="1"/>
  <c r="AL24" i="31"/>
  <c r="AN24" i="31" s="1"/>
  <c r="AE16" i="31"/>
  <c r="AG16" i="31" s="1"/>
  <c r="Q46" i="30"/>
  <c r="J40" i="30"/>
  <c r="L40" i="30" s="1"/>
  <c r="AL16" i="30"/>
  <c r="AN16" i="30" s="1"/>
  <c r="J16" i="30"/>
  <c r="L16" i="30" s="1"/>
  <c r="X38" i="29"/>
  <c r="Z38" i="29" s="1"/>
  <c r="AE15" i="29"/>
  <c r="AG15" i="29" s="1"/>
  <c r="Q22" i="28"/>
  <c r="S22" i="28" s="1"/>
  <c r="X20" i="28"/>
  <c r="Z20" i="28" s="1"/>
  <c r="F20" i="28"/>
  <c r="H20" i="28" s="1"/>
  <c r="O20" i="28" s="1"/>
  <c r="AE18" i="33"/>
  <c r="AG18" i="33" s="1"/>
  <c r="AL38" i="32"/>
  <c r="AN38" i="32" s="1"/>
  <c r="AE33" i="31"/>
  <c r="AG33" i="31" s="1"/>
  <c r="F22" i="30"/>
  <c r="H22" i="30" s="1"/>
  <c r="O22" i="30" s="1"/>
  <c r="AL20" i="30"/>
  <c r="AN20" i="30" s="1"/>
  <c r="J32" i="29"/>
  <c r="L32" i="29" s="1"/>
  <c r="AE27" i="29"/>
  <c r="AG27" i="29" s="1"/>
  <c r="J15" i="29"/>
  <c r="L15" i="29" s="1"/>
  <c r="X38" i="28"/>
  <c r="Z38" i="28" s="1"/>
  <c r="X15" i="28"/>
  <c r="Z15" i="28" s="1"/>
  <c r="AE31" i="34"/>
  <c r="Q18" i="33"/>
  <c r="S18" i="33" s="1"/>
  <c r="AE18" i="32"/>
  <c r="AG18" i="32" s="1"/>
  <c r="F46" i="31"/>
  <c r="AE26" i="31"/>
  <c r="AG26" i="31" s="1"/>
  <c r="X23" i="31"/>
  <c r="Z23" i="31" s="1"/>
  <c r="F32" i="30"/>
  <c r="H32" i="30" s="1"/>
  <c r="AL21" i="30"/>
  <c r="AN21" i="30" s="1"/>
  <c r="J28" i="33"/>
  <c r="L28" i="33" s="1"/>
  <c r="X31" i="31"/>
  <c r="Z31" i="31" s="1"/>
  <c r="AL26" i="31"/>
  <c r="AN26" i="31" s="1"/>
  <c r="F16" i="30"/>
  <c r="H16" i="30" s="1"/>
  <c r="O16" i="30" s="1"/>
  <c r="X32" i="29"/>
  <c r="Z32" i="29" s="1"/>
  <c r="J22" i="32"/>
  <c r="L22" i="32" s="1"/>
  <c r="X40" i="31"/>
  <c r="Z40" i="31" s="1"/>
  <c r="F34" i="29"/>
  <c r="H34" i="29" s="1"/>
  <c r="J27" i="29"/>
  <c r="L27" i="29" s="1"/>
  <c r="J23" i="29"/>
  <c r="L23" i="29" s="1"/>
  <c r="X17" i="29"/>
  <c r="Z17" i="29" s="1"/>
  <c r="J46" i="28"/>
  <c r="Q38" i="28"/>
  <c r="S38" i="28" s="1"/>
  <c r="J36" i="28"/>
  <c r="L36" i="28" s="1"/>
  <c r="X35" i="28"/>
  <c r="Z35" i="28" s="1"/>
  <c r="AJ35" i="28" s="1"/>
  <c r="AL34" i="28"/>
  <c r="AN34" i="28" s="1"/>
  <c r="X21" i="31"/>
  <c r="Z21" i="31" s="1"/>
  <c r="AL44" i="30"/>
  <c r="AN44" i="30" s="1"/>
  <c r="Q46" i="29"/>
  <c r="S46" i="29" s="1"/>
  <c r="Q45" i="29"/>
  <c r="S45" i="29" s="1"/>
  <c r="Q40" i="29"/>
  <c r="S40" i="29" s="1"/>
  <c r="AE19" i="29"/>
  <c r="AG19" i="29" s="1"/>
  <c r="AL18" i="29"/>
  <c r="AN18" i="29" s="1"/>
  <c r="AE33" i="28"/>
  <c r="AG33" i="28" s="1"/>
  <c r="F23" i="28"/>
  <c r="H23" i="28" s="1"/>
  <c r="O23" i="28" s="1"/>
  <c r="Q16" i="28"/>
  <c r="S16" i="28" s="1"/>
  <c r="F15" i="33"/>
  <c r="H15" i="33" s="1"/>
  <c r="X26" i="31"/>
  <c r="F25" i="30"/>
  <c r="H25" i="30" s="1"/>
  <c r="O25" i="30" s="1"/>
  <c r="Q44" i="29"/>
  <c r="S44" i="29" s="1"/>
  <c r="F27" i="29"/>
  <c r="H27" i="29" s="1"/>
  <c r="O27" i="29" s="1"/>
  <c r="F16" i="29"/>
  <c r="H16" i="29" s="1"/>
  <c r="O16" i="29" s="1"/>
  <c r="X44" i="28"/>
  <c r="Z44" i="28" s="1"/>
  <c r="AL38" i="28"/>
  <c r="AN38" i="28" s="1"/>
  <c r="Q35" i="28"/>
  <c r="S35" i="28" s="1"/>
  <c r="X31" i="28"/>
  <c r="Z31" i="28" s="1"/>
  <c r="F31" i="31"/>
  <c r="H31" i="31" s="1"/>
  <c r="O31" i="31" s="1"/>
  <c r="AL15" i="30"/>
  <c r="AN15" i="30" s="1"/>
  <c r="AL41" i="29"/>
  <c r="AN41" i="29" s="1"/>
  <c r="X35" i="29"/>
  <c r="F23" i="29"/>
  <c r="H23" i="29" s="1"/>
  <c r="O23" i="29" s="1"/>
  <c r="AE21" i="29"/>
  <c r="AG21" i="29" s="1"/>
  <c r="F36" i="28"/>
  <c r="H36" i="28" s="1"/>
  <c r="J34" i="28"/>
  <c r="L34" i="28" s="1"/>
  <c r="F40" i="27"/>
  <c r="H40" i="27" s="1"/>
  <c r="AE31" i="27"/>
  <c r="X45" i="26"/>
  <c r="Z45" i="26" s="1"/>
  <c r="AE40" i="26"/>
  <c r="AG40" i="26" s="1"/>
  <c r="J17" i="32"/>
  <c r="L17" i="32" s="1"/>
  <c r="AE24" i="31"/>
  <c r="AG24" i="31" s="1"/>
  <c r="F38" i="30"/>
  <c r="H38" i="30" s="1"/>
  <c r="O38" i="30" s="1"/>
  <c r="X16" i="30"/>
  <c r="Z16" i="30" s="1"/>
  <c r="J25" i="29"/>
  <c r="L25" i="29" s="1"/>
  <c r="AL17" i="29"/>
  <c r="AN17" i="29" s="1"/>
  <c r="F15" i="29"/>
  <c r="H15" i="29" s="1"/>
  <c r="Q33" i="28"/>
  <c r="S33" i="28" s="1"/>
  <c r="Q31" i="28"/>
  <c r="S31" i="28" s="1"/>
  <c r="AE22" i="28"/>
  <c r="AG22" i="28" s="1"/>
  <c r="AE20" i="28"/>
  <c r="AG20" i="28" s="1"/>
  <c r="X30" i="31"/>
  <c r="Z30" i="31" s="1"/>
  <c r="F16" i="31"/>
  <c r="H16" i="31" s="1"/>
  <c r="O16" i="31" s="1"/>
  <c r="J27" i="30"/>
  <c r="L27" i="30" s="1"/>
  <c r="Q23" i="30"/>
  <c r="S23" i="30" s="1"/>
  <c r="AL44" i="29"/>
  <c r="Q34" i="29"/>
  <c r="S34" i="29" s="1"/>
  <c r="X27" i="29"/>
  <c r="Z27" i="29" s="1"/>
  <c r="AE20" i="29"/>
  <c r="AG20" i="29" s="1"/>
  <c r="AL19" i="29"/>
  <c r="AN19" i="29" s="1"/>
  <c r="Q36" i="28"/>
  <c r="S36" i="28" s="1"/>
  <c r="AL33" i="28"/>
  <c r="AN33" i="28" s="1"/>
  <c r="AE16" i="28"/>
  <c r="AG16" i="28" s="1"/>
  <c r="AL38" i="31"/>
  <c r="AN38" i="31" s="1"/>
  <c r="F35" i="29"/>
  <c r="H35" i="29" s="1"/>
  <c r="O35" i="29" s="1"/>
  <c r="AE22" i="29"/>
  <c r="AG22" i="29" s="1"/>
  <c r="X46" i="28"/>
  <c r="Z46" i="28" s="1"/>
  <c r="AE35" i="28"/>
  <c r="AG35" i="28" s="1"/>
  <c r="F35" i="28"/>
  <c r="H35" i="28" s="1"/>
  <c r="O35" i="28" s="1"/>
  <c r="AL31" i="28"/>
  <c r="AN31" i="28" s="1"/>
  <c r="Q27" i="31"/>
  <c r="S27" i="31" s="1"/>
  <c r="Q17" i="29"/>
  <c r="S17" i="29" s="1"/>
  <c r="J44" i="28"/>
  <c r="F44" i="26"/>
  <c r="H44" i="26" s="1"/>
  <c r="X40" i="26"/>
  <c r="Z40" i="26" s="1"/>
  <c r="J32" i="26"/>
  <c r="L32" i="26" s="1"/>
  <c r="AL40" i="29"/>
  <c r="AN40" i="29" s="1"/>
  <c r="AL20" i="29"/>
  <c r="AN20" i="29" s="1"/>
  <c r="Q34" i="28"/>
  <c r="S34" i="28" s="1"/>
  <c r="Q36" i="27"/>
  <c r="S36" i="27" s="1"/>
  <c r="Q35" i="27"/>
  <c r="S35" i="27" s="1"/>
  <c r="AL34" i="27"/>
  <c r="AN34" i="27" s="1"/>
  <c r="X43" i="26"/>
  <c r="Z43" i="26" s="1"/>
  <c r="AE31" i="26"/>
  <c r="AG31" i="26" s="1"/>
  <c r="AL32" i="30"/>
  <c r="AN32" i="30" s="1"/>
  <c r="X46" i="29"/>
  <c r="X36" i="28"/>
  <c r="Z36" i="28" s="1"/>
  <c r="J33" i="28"/>
  <c r="L33" i="28" s="1"/>
  <c r="X26" i="28"/>
  <c r="Z26" i="28" s="1"/>
  <c r="J22" i="28"/>
  <c r="L22" i="28" s="1"/>
  <c r="Q20" i="28"/>
  <c r="S20" i="28" s="1"/>
  <c r="F17" i="28"/>
  <c r="H17" i="28" s="1"/>
  <c r="O17" i="28" s="1"/>
  <c r="AE44" i="27"/>
  <c r="F44" i="27"/>
  <c r="AE40" i="27"/>
  <c r="AG40" i="27" s="1"/>
  <c r="F38" i="27"/>
  <c r="H38" i="27" s="1"/>
  <c r="O38" i="27" s="1"/>
  <c r="AL35" i="27"/>
  <c r="AN35" i="27" s="1"/>
  <c r="AE26" i="27"/>
  <c r="AG26" i="27" s="1"/>
  <c r="J26" i="27"/>
  <c r="L26" i="27" s="1"/>
  <c r="AE25" i="27"/>
  <c r="AG25" i="27" s="1"/>
  <c r="F46" i="26"/>
  <c r="H46" i="26" s="1"/>
  <c r="X38" i="26"/>
  <c r="Z38" i="26" s="1"/>
  <c r="F38" i="26"/>
  <c r="H38" i="26" s="1"/>
  <c r="O38" i="26" s="1"/>
  <c r="J31" i="26"/>
  <c r="L31" i="26" s="1"/>
  <c r="X26" i="26"/>
  <c r="X25" i="26"/>
  <c r="Z25" i="26" s="1"/>
  <c r="F25" i="26"/>
  <c r="H25" i="26" s="1"/>
  <c r="O25" i="26" s="1"/>
  <c r="Q19" i="26"/>
  <c r="S19" i="26" s="1"/>
  <c r="X17" i="26"/>
  <c r="AL46" i="33"/>
  <c r="AN46" i="33" s="1"/>
  <c r="AE44" i="31"/>
  <c r="AG44" i="31" s="1"/>
  <c r="AE38" i="29"/>
  <c r="AG38" i="29" s="1"/>
  <c r="F36" i="29"/>
  <c r="H36" i="29" s="1"/>
  <c r="Q19" i="29"/>
  <c r="S19" i="29" s="1"/>
  <c r="AE27" i="28"/>
  <c r="AG27" i="28" s="1"/>
  <c r="J23" i="28"/>
  <c r="L23" i="28" s="1"/>
  <c r="J16" i="28"/>
  <c r="L16" i="28" s="1"/>
  <c r="Q40" i="26"/>
  <c r="S40" i="26" s="1"/>
  <c r="F32" i="26"/>
  <c r="H32" i="26" s="1"/>
  <c r="AL27" i="26"/>
  <c r="AN27" i="26" s="1"/>
  <c r="Q44" i="25"/>
  <c r="S44" i="25" s="1"/>
  <c r="F34" i="30"/>
  <c r="H34" i="30" s="1"/>
  <c r="X18" i="30"/>
  <c r="Z18" i="30" s="1"/>
  <c r="J35" i="28"/>
  <c r="L35" i="28" s="1"/>
  <c r="Q15" i="28"/>
  <c r="S15" i="28" s="1"/>
  <c r="AE45" i="27"/>
  <c r="AG45" i="27" s="1"/>
  <c r="J31" i="27"/>
  <c r="L31" i="27" s="1"/>
  <c r="F25" i="27"/>
  <c r="H25" i="27" s="1"/>
  <c r="O25" i="27" s="1"/>
  <c r="AE21" i="27"/>
  <c r="J35" i="31"/>
  <c r="L35" i="31" s="1"/>
  <c r="N35" i="31" s="1"/>
  <c r="F32" i="29"/>
  <c r="H32" i="29" s="1"/>
  <c r="AE23" i="29"/>
  <c r="AG23" i="29" s="1"/>
  <c r="AE46" i="28"/>
  <c r="J20" i="28"/>
  <c r="L20" i="28" s="1"/>
  <c r="X44" i="27"/>
  <c r="Z44" i="27" s="1"/>
  <c r="X40" i="27"/>
  <c r="Z40" i="27" s="1"/>
  <c r="AE36" i="27"/>
  <c r="AG36" i="27" s="1"/>
  <c r="AE34" i="27"/>
  <c r="AG34" i="27" s="1"/>
  <c r="J34" i="27"/>
  <c r="L34" i="27" s="1"/>
  <c r="F26" i="27"/>
  <c r="H26" i="27" s="1"/>
  <c r="O26" i="27" s="1"/>
  <c r="X25" i="27"/>
  <c r="AE20" i="27"/>
  <c r="AG20" i="27" s="1"/>
  <c r="J20" i="27"/>
  <c r="L20" i="27" s="1"/>
  <c r="J19" i="27"/>
  <c r="L19" i="27" s="1"/>
  <c r="Q27" i="26"/>
  <c r="S27" i="26" s="1"/>
  <c r="Q26" i="26"/>
  <c r="S26" i="26" s="1"/>
  <c r="J38" i="30"/>
  <c r="L38" i="30" s="1"/>
  <c r="AL36" i="30"/>
  <c r="AN36" i="30" s="1"/>
  <c r="X45" i="27"/>
  <c r="Z45" i="27" s="1"/>
  <c r="Q40" i="27"/>
  <c r="S40" i="27" s="1"/>
  <c r="AL38" i="27"/>
  <c r="F34" i="27"/>
  <c r="H34" i="27" s="1"/>
  <c r="X31" i="27"/>
  <c r="Z31" i="27" s="1"/>
  <c r="X20" i="27"/>
  <c r="Z20" i="27" s="1"/>
  <c r="F20" i="27"/>
  <c r="H20" i="27" s="1"/>
  <c r="O20" i="27" s="1"/>
  <c r="F19" i="27"/>
  <c r="H19" i="27" s="1"/>
  <c r="AL46" i="26"/>
  <c r="AN46" i="26" s="1"/>
  <c r="Q46" i="26"/>
  <c r="S46" i="26" s="1"/>
  <c r="J40" i="26"/>
  <c r="L40" i="26" s="1"/>
  <c r="J27" i="26"/>
  <c r="L27" i="26" s="1"/>
  <c r="J22" i="29"/>
  <c r="L22" i="29" s="1"/>
  <c r="AE34" i="28"/>
  <c r="AG34" i="28" s="1"/>
  <c r="Q26" i="27"/>
  <c r="S26" i="27" s="1"/>
  <c r="AL25" i="27"/>
  <c r="AN25" i="27" s="1"/>
  <c r="Q25" i="27"/>
  <c r="S25" i="27" s="1"/>
  <c r="X21" i="27"/>
  <c r="Z21" i="27" s="1"/>
  <c r="J44" i="26"/>
  <c r="AE43" i="26"/>
  <c r="J43" i="26"/>
  <c r="AE38" i="26"/>
  <c r="AG38" i="26" s="1"/>
  <c r="J34" i="26"/>
  <c r="L34" i="26" s="1"/>
  <c r="Q32" i="26"/>
  <c r="S32" i="26" s="1"/>
  <c r="Q31" i="26"/>
  <c r="S31" i="26" s="1"/>
  <c r="AE26" i="26"/>
  <c r="AG26" i="26" s="1"/>
  <c r="AE17" i="26"/>
  <c r="AG17" i="26" s="1"/>
  <c r="Q45" i="27"/>
  <c r="S45" i="27" s="1"/>
  <c r="J36" i="27"/>
  <c r="L36" i="27" s="1"/>
  <c r="Q23" i="27"/>
  <c r="S23" i="27" s="1"/>
  <c r="AL18" i="27"/>
  <c r="AN18" i="27" s="1"/>
  <c r="F15" i="27"/>
  <c r="H15" i="27" s="1"/>
  <c r="Q45" i="26"/>
  <c r="S45" i="26" s="1"/>
  <c r="F30" i="26"/>
  <c r="H30" i="26" s="1"/>
  <c r="AL25" i="26"/>
  <c r="AN25" i="26" s="1"/>
  <c r="J33" i="25"/>
  <c r="L33" i="25" s="1"/>
  <c r="Q32" i="25"/>
  <c r="S32" i="25" s="1"/>
  <c r="J28" i="25"/>
  <c r="L28" i="25" s="1"/>
  <c r="Q27" i="25"/>
  <c r="S27" i="25" s="1"/>
  <c r="F19" i="25"/>
  <c r="H19" i="25" s="1"/>
  <c r="F42" i="24"/>
  <c r="H42" i="24" s="1"/>
  <c r="F32" i="24"/>
  <c r="H32" i="24" s="1"/>
  <c r="F27" i="24"/>
  <c r="H27" i="24" s="1"/>
  <c r="O27" i="24" s="1"/>
  <c r="Q23" i="24"/>
  <c r="S23" i="24" s="1"/>
  <c r="J20" i="29"/>
  <c r="L20" i="29" s="1"/>
  <c r="AL21" i="26"/>
  <c r="AN21" i="26" s="1"/>
  <c r="X19" i="26"/>
  <c r="Z19" i="26" s="1"/>
  <c r="J17" i="26"/>
  <c r="L17" i="26" s="1"/>
  <c r="Q35" i="25"/>
  <c r="S35" i="25" s="1"/>
  <c r="J44" i="29"/>
  <c r="F28" i="28"/>
  <c r="H28" i="28" s="1"/>
  <c r="O28" i="28" s="1"/>
  <c r="F45" i="27"/>
  <c r="F35" i="27"/>
  <c r="H35" i="27" s="1"/>
  <c r="O35" i="27" s="1"/>
  <c r="F22" i="27"/>
  <c r="H22" i="27" s="1"/>
  <c r="O22" i="27" s="1"/>
  <c r="J45" i="26"/>
  <c r="L45" i="26" s="1"/>
  <c r="AL43" i="26"/>
  <c r="X31" i="26"/>
  <c r="Z31" i="26" s="1"/>
  <c r="AL24" i="26"/>
  <c r="AN24" i="26" s="1"/>
  <c r="F17" i="26"/>
  <c r="H17" i="26" s="1"/>
  <c r="O17" i="26" s="1"/>
  <c r="J44" i="25"/>
  <c r="F33" i="25"/>
  <c r="H33" i="25" s="1"/>
  <c r="F28" i="25"/>
  <c r="H28" i="25" s="1"/>
  <c r="O28" i="25" s="1"/>
  <c r="Q38" i="29"/>
  <c r="S38" i="29" s="1"/>
  <c r="AE25" i="29"/>
  <c r="AG25" i="29" s="1"/>
  <c r="X18" i="28"/>
  <c r="Z18" i="28" s="1"/>
  <c r="J46" i="26"/>
  <c r="J38" i="26"/>
  <c r="L38" i="26" s="1"/>
  <c r="AE25" i="26"/>
  <c r="AG25" i="26" s="1"/>
  <c r="AL44" i="27"/>
  <c r="X26" i="27"/>
  <c r="Z26" i="27" s="1"/>
  <c r="AL24" i="27"/>
  <c r="AN24" i="27" s="1"/>
  <c r="AE16" i="27"/>
  <c r="AG16" i="27" s="1"/>
  <c r="J33" i="26"/>
  <c r="L33" i="26" s="1"/>
  <c r="F27" i="26"/>
  <c r="H27" i="26" s="1"/>
  <c r="O27" i="26" s="1"/>
  <c r="AE24" i="26"/>
  <c r="AG24" i="26" s="1"/>
  <c r="AL23" i="26"/>
  <c r="AN23" i="26" s="1"/>
  <c r="J19" i="26"/>
  <c r="L19" i="26" s="1"/>
  <c r="AE44" i="25"/>
  <c r="F44" i="25"/>
  <c r="AL33" i="25"/>
  <c r="J32" i="25"/>
  <c r="J27" i="25"/>
  <c r="L27" i="25" s="1"/>
  <c r="J23" i="24"/>
  <c r="L23" i="24" s="1"/>
  <c r="AL21" i="28"/>
  <c r="AN21" i="28" s="1"/>
  <c r="X36" i="27"/>
  <c r="Z36" i="27" s="1"/>
  <c r="AE35" i="27"/>
  <c r="P22" i="3" s="1"/>
  <c r="P24" i="3" s="1"/>
  <c r="F30" i="27"/>
  <c r="H30" i="27" s="1"/>
  <c r="F18" i="27"/>
  <c r="H18" i="27" s="1"/>
  <c r="O18" i="27" s="1"/>
  <c r="AE34" i="26"/>
  <c r="F19" i="26"/>
  <c r="H19" i="26" s="1"/>
  <c r="AL45" i="25"/>
  <c r="AN45" i="25" s="1"/>
  <c r="J34" i="25"/>
  <c r="L34" i="25" s="1"/>
  <c r="F32" i="25"/>
  <c r="H32" i="25" s="1"/>
  <c r="F27" i="25"/>
  <c r="J24" i="25"/>
  <c r="L24" i="25" s="1"/>
  <c r="Q23" i="25"/>
  <c r="S23" i="25" s="1"/>
  <c r="AE21" i="25"/>
  <c r="AG21" i="25" s="1"/>
  <c r="J17" i="25"/>
  <c r="L17" i="25" s="1"/>
  <c r="AE39" i="24"/>
  <c r="AG39" i="24" s="1"/>
  <c r="Q36" i="24"/>
  <c r="S36" i="24" s="1"/>
  <c r="AE34" i="24"/>
  <c r="AG34" i="24" s="1"/>
  <c r="J27" i="28"/>
  <c r="L27" i="28" s="1"/>
  <c r="F32" i="27"/>
  <c r="H32" i="27" s="1"/>
  <c r="F31" i="27"/>
  <c r="H31" i="27" s="1"/>
  <c r="O31" i="27" s="1"/>
  <c r="X24" i="27"/>
  <c r="Z24" i="27" s="1"/>
  <c r="AE45" i="26"/>
  <c r="AG45" i="26" s="1"/>
  <c r="AE44" i="26"/>
  <c r="AE36" i="26"/>
  <c r="AG36" i="26" s="1"/>
  <c r="AL32" i="26"/>
  <c r="AN32" i="26" s="1"/>
  <c r="Q24" i="26"/>
  <c r="S24" i="26" s="1"/>
  <c r="AE19" i="26"/>
  <c r="Q17" i="26"/>
  <c r="S17" i="26" s="1"/>
  <c r="X44" i="25"/>
  <c r="AE33" i="25"/>
  <c r="AG33" i="25" s="1"/>
  <c r="AE28" i="25"/>
  <c r="AG28" i="25" s="1"/>
  <c r="J19" i="25"/>
  <c r="L19" i="25" s="1"/>
  <c r="AL15" i="28"/>
  <c r="AN15" i="28" s="1"/>
  <c r="AL22" i="27"/>
  <c r="AN22" i="27" s="1"/>
  <c r="AL38" i="26"/>
  <c r="AN38" i="26" s="1"/>
  <c r="Q25" i="26"/>
  <c r="S25" i="26" s="1"/>
  <c r="AL17" i="26"/>
  <c r="AN17" i="26" s="1"/>
  <c r="F45" i="25"/>
  <c r="H45" i="25" s="1"/>
  <c r="AL30" i="25"/>
  <c r="AN30" i="25" s="1"/>
  <c r="F30" i="25"/>
  <c r="Q34" i="24"/>
  <c r="S34" i="24" s="1"/>
  <c r="J31" i="24"/>
  <c r="L31" i="24" s="1"/>
  <c r="F24" i="24"/>
  <c r="H24" i="24" s="1"/>
  <c r="O24" i="24" s="1"/>
  <c r="X23" i="24"/>
  <c r="Z23" i="24" s="1"/>
  <c r="X16" i="24"/>
  <c r="Z16" i="24" s="1"/>
  <c r="F16" i="24"/>
  <c r="H16" i="24" s="1"/>
  <c r="O16" i="24" s="1"/>
  <c r="X43" i="23"/>
  <c r="Z43" i="23" s="1"/>
  <c r="X38" i="23"/>
  <c r="Z38" i="23" s="1"/>
  <c r="X33" i="23"/>
  <c r="Z33" i="23" s="1"/>
  <c r="X28" i="23"/>
  <c r="Z28" i="23" s="1"/>
  <c r="J16" i="23"/>
  <c r="L16" i="23" s="1"/>
  <c r="J41" i="22"/>
  <c r="L41" i="22" s="1"/>
  <c r="F39" i="22"/>
  <c r="F34" i="22"/>
  <c r="H34" i="22" s="1"/>
  <c r="J31" i="22"/>
  <c r="L31" i="22" s="1"/>
  <c r="J26" i="22"/>
  <c r="L26" i="22" s="1"/>
  <c r="X24" i="22"/>
  <c r="Z24" i="22" s="1"/>
  <c r="F15" i="22"/>
  <c r="H15" i="22" s="1"/>
  <c r="X16" i="29"/>
  <c r="Z16" i="29" s="1"/>
  <c r="F43" i="27"/>
  <c r="H43" i="27" s="1"/>
  <c r="F41" i="27"/>
  <c r="H41" i="27" s="1"/>
  <c r="AL34" i="25"/>
  <c r="AN34" i="25" s="1"/>
  <c r="F24" i="25"/>
  <c r="H24" i="25" s="1"/>
  <c r="O24" i="25" s="1"/>
  <c r="AE19" i="25"/>
  <c r="AG19" i="25" s="1"/>
  <c r="J38" i="24"/>
  <c r="L38" i="24" s="1"/>
  <c r="Q32" i="24"/>
  <c r="S32" i="24" s="1"/>
  <c r="J28" i="24"/>
  <c r="L28" i="24" s="1"/>
  <c r="F24" i="22"/>
  <c r="H24" i="22" s="1"/>
  <c r="O24" i="22" s="1"/>
  <c r="J34" i="21"/>
  <c r="L34" i="21" s="1"/>
  <c r="F45" i="28"/>
  <c r="H45" i="28" s="1"/>
  <c r="AL23" i="27"/>
  <c r="AN23" i="27" s="1"/>
  <c r="J25" i="26"/>
  <c r="L25" i="26" s="1"/>
  <c r="AE18" i="26"/>
  <c r="AG18" i="26" s="1"/>
  <c r="J36" i="25"/>
  <c r="L36" i="25" s="1"/>
  <c r="Q20" i="25"/>
  <c r="S20" i="25" s="1"/>
  <c r="X17" i="25"/>
  <c r="Z17" i="25" s="1"/>
  <c r="X43" i="24"/>
  <c r="Z43" i="24" s="1"/>
  <c r="X16" i="23"/>
  <c r="Z16" i="23" s="1"/>
  <c r="X41" i="22"/>
  <c r="Z41" i="22" s="1"/>
  <c r="X31" i="22"/>
  <c r="Z31" i="22" s="1"/>
  <c r="X26" i="22"/>
  <c r="Z26" i="22" s="1"/>
  <c r="AL32" i="28"/>
  <c r="AN32" i="28" s="1"/>
  <c r="AE25" i="28"/>
  <c r="AG25" i="28" s="1"/>
  <c r="J18" i="28"/>
  <c r="L18" i="28" s="1"/>
  <c r="AL36" i="25"/>
  <c r="AN36" i="25" s="1"/>
  <c r="AE34" i="25"/>
  <c r="AG34" i="25" s="1"/>
  <c r="F38" i="24"/>
  <c r="J34" i="24"/>
  <c r="L34" i="24" s="1"/>
  <c r="X33" i="24"/>
  <c r="Z33" i="24" s="1"/>
  <c r="F28" i="24"/>
  <c r="H28" i="24" s="1"/>
  <c r="O28" i="24" s="1"/>
  <c r="X27" i="24"/>
  <c r="Z27" i="24" s="1"/>
  <c r="AE25" i="24"/>
  <c r="AG25" i="24" s="1"/>
  <c r="X24" i="24"/>
  <c r="Z24" i="24" s="1"/>
  <c r="AE19" i="24"/>
  <c r="AG19" i="24" s="1"/>
  <c r="AL16" i="24"/>
  <c r="AN16" i="24" s="1"/>
  <c r="X15" i="24"/>
  <c r="Z15" i="24" s="1"/>
  <c r="Q41" i="23"/>
  <c r="S41" i="23" s="1"/>
  <c r="X30" i="23"/>
  <c r="Z30" i="23" s="1"/>
  <c r="F16" i="23"/>
  <c r="H16" i="23" s="1"/>
  <c r="O16" i="23" s="1"/>
  <c r="F41" i="22"/>
  <c r="H41" i="22" s="1"/>
  <c r="F31" i="22"/>
  <c r="H31" i="22" s="1"/>
  <c r="O31" i="22" s="1"/>
  <c r="F26" i="22"/>
  <c r="H26" i="22" s="1"/>
  <c r="O26" i="22" s="1"/>
  <c r="X21" i="22"/>
  <c r="Z21" i="22" s="1"/>
  <c r="X39" i="21"/>
  <c r="X34" i="21"/>
  <c r="X15" i="27"/>
  <c r="Z15" i="27" s="1"/>
  <c r="AL44" i="26"/>
  <c r="Q33" i="26"/>
  <c r="S33" i="26" s="1"/>
  <c r="J26" i="26"/>
  <c r="L26" i="26" s="1"/>
  <c r="X19" i="25"/>
  <c r="Z19" i="25" s="1"/>
  <c r="F34" i="24"/>
  <c r="F27" i="27"/>
  <c r="H27" i="27" s="1"/>
  <c r="O27" i="27" s="1"/>
  <c r="AL30" i="26"/>
  <c r="AN30" i="26" s="1"/>
  <c r="X20" i="26"/>
  <c r="Z20" i="26" s="1"/>
  <c r="X34" i="25"/>
  <c r="Z34" i="25" s="1"/>
  <c r="X28" i="25"/>
  <c r="Z28" i="25" s="1"/>
  <c r="Q43" i="24"/>
  <c r="S43" i="24" s="1"/>
  <c r="AE42" i="24"/>
  <c r="F36" i="24"/>
  <c r="H36" i="24" s="1"/>
  <c r="X31" i="24"/>
  <c r="Z31" i="24" s="1"/>
  <c r="F19" i="24"/>
  <c r="H19" i="24" s="1"/>
  <c r="Q43" i="23"/>
  <c r="S43" i="23" s="1"/>
  <c r="Q38" i="23"/>
  <c r="S38" i="23" s="1"/>
  <c r="Q33" i="23"/>
  <c r="S33" i="23" s="1"/>
  <c r="Q28" i="23"/>
  <c r="S28" i="23" s="1"/>
  <c r="X35" i="26"/>
  <c r="Z35" i="26" s="1"/>
  <c r="AJ35" i="26" s="1"/>
  <c r="X30" i="26"/>
  <c r="Z30" i="26" s="1"/>
  <c r="AE46" i="25"/>
  <c r="X33" i="25"/>
  <c r="Z33" i="25" s="1"/>
  <c r="Q30" i="25"/>
  <c r="S30" i="25" s="1"/>
  <c r="X27" i="25"/>
  <c r="Z27" i="25" s="1"/>
  <c r="AE23" i="25"/>
  <c r="AG23" i="25" s="1"/>
  <c r="F17" i="25"/>
  <c r="H17" i="25" s="1"/>
  <c r="O17" i="25" s="1"/>
  <c r="J43" i="24"/>
  <c r="L43" i="24" s="1"/>
  <c r="X42" i="24"/>
  <c r="Z42" i="24" s="1"/>
  <c r="AL24" i="24"/>
  <c r="AN24" i="24" s="1"/>
  <c r="AE23" i="24"/>
  <c r="AG23" i="24" s="1"/>
  <c r="Q15" i="24"/>
  <c r="S15" i="24" s="1"/>
  <c r="J41" i="23"/>
  <c r="L41" i="23" s="1"/>
  <c r="J31" i="23"/>
  <c r="L31" i="23" s="1"/>
  <c r="Q30" i="23"/>
  <c r="S30" i="23" s="1"/>
  <c r="Q25" i="23"/>
  <c r="S25" i="23" s="1"/>
  <c r="AE23" i="23"/>
  <c r="AG23" i="23" s="1"/>
  <c r="Q34" i="21"/>
  <c r="Q31" i="27"/>
  <c r="S31" i="27" s="1"/>
  <c r="J20" i="26"/>
  <c r="L20" i="26" s="1"/>
  <c r="F18" i="26"/>
  <c r="Q45" i="25"/>
  <c r="S45" i="25" s="1"/>
  <c r="X38" i="25"/>
  <c r="Z38" i="25" s="1"/>
  <c r="AE32" i="25"/>
  <c r="AG32" i="25" s="1"/>
  <c r="AE26" i="25"/>
  <c r="AG26" i="25" s="1"/>
  <c r="J39" i="24"/>
  <c r="L39" i="24" s="1"/>
  <c r="J33" i="24"/>
  <c r="L33" i="24" s="1"/>
  <c r="F23" i="24"/>
  <c r="H23" i="24" s="1"/>
  <c r="O23" i="24" s="1"/>
  <c r="J16" i="24"/>
  <c r="L16" i="24" s="1"/>
  <c r="AE16" i="23"/>
  <c r="AG16" i="23" s="1"/>
  <c r="AE41" i="22"/>
  <c r="AG41" i="22" s="1"/>
  <c r="J39" i="22"/>
  <c r="J34" i="22"/>
  <c r="AE31" i="22"/>
  <c r="AG31" i="22" s="1"/>
  <c r="Q33" i="25"/>
  <c r="S33" i="25" s="1"/>
  <c r="F43" i="24"/>
  <c r="H43" i="24" s="1"/>
  <c r="F39" i="24"/>
  <c r="Q38" i="24"/>
  <c r="S38" i="24" s="1"/>
  <c r="X32" i="24"/>
  <c r="Z32" i="24" s="1"/>
  <c r="Q28" i="24"/>
  <c r="S28" i="24" s="1"/>
  <c r="Q25" i="24"/>
  <c r="S25" i="24" s="1"/>
  <c r="AE15" i="24"/>
  <c r="AG15" i="24" s="1"/>
  <c r="J43" i="23"/>
  <c r="L43" i="23" s="1"/>
  <c r="X41" i="23"/>
  <c r="Z41" i="23" s="1"/>
  <c r="J38" i="23"/>
  <c r="L38" i="23" s="1"/>
  <c r="Q39" i="24"/>
  <c r="S39" i="24" s="1"/>
  <c r="Q33" i="24"/>
  <c r="Q24" i="24"/>
  <c r="S24" i="24" s="1"/>
  <c r="J23" i="23"/>
  <c r="L23" i="23" s="1"/>
  <c r="Q22" i="23"/>
  <c r="S22" i="23" s="1"/>
  <c r="X21" i="23"/>
  <c r="Z21" i="23" s="1"/>
  <c r="AE39" i="22"/>
  <c r="AG39" i="22" s="1"/>
  <c r="Q16" i="22"/>
  <c r="S16" i="22" s="1"/>
  <c r="J30" i="21"/>
  <c r="L30" i="21" s="1"/>
  <c r="X24" i="25"/>
  <c r="Z24" i="25" s="1"/>
  <c r="AE43" i="22"/>
  <c r="AG43" i="22" s="1"/>
  <c r="AL42" i="22"/>
  <c r="AN42" i="22" s="1"/>
  <c r="J36" i="22"/>
  <c r="L36" i="22" s="1"/>
  <c r="X34" i="22"/>
  <c r="Z34" i="22" s="1"/>
  <c r="AE17" i="22"/>
  <c r="AG17" i="22" s="1"/>
  <c r="Q42" i="21"/>
  <c r="AE34" i="21"/>
  <c r="AG34" i="21" s="1"/>
  <c r="AE22" i="21"/>
  <c r="AG22" i="21" s="1"/>
  <c r="X20" i="21"/>
  <c r="Z20" i="21" s="1"/>
  <c r="F41" i="20"/>
  <c r="H41" i="20" s="1"/>
  <c r="AE33" i="27"/>
  <c r="Q22" i="3" s="1"/>
  <c r="Q38" i="25"/>
  <c r="S38" i="25" s="1"/>
  <c r="Q28" i="25"/>
  <c r="S28" i="25" s="1"/>
  <c r="AL15" i="25"/>
  <c r="X19" i="24"/>
  <c r="Z19" i="24" s="1"/>
  <c r="AL36" i="23"/>
  <c r="AN36" i="23" s="1"/>
  <c r="AE33" i="23"/>
  <c r="AG33" i="23" s="1"/>
  <c r="F31" i="23"/>
  <c r="H31" i="23" s="1"/>
  <c r="O31" i="23" s="1"/>
  <c r="J24" i="22"/>
  <c r="L24" i="22" s="1"/>
  <c r="J19" i="22"/>
  <c r="L19" i="22" s="1"/>
  <c r="X15" i="22"/>
  <c r="Z15" i="22" s="1"/>
  <c r="X41" i="21"/>
  <c r="Q31" i="21"/>
  <c r="S31" i="21" s="1"/>
  <c r="AE30" i="21"/>
  <c r="AG30" i="21" s="1"/>
  <c r="X43" i="20"/>
  <c r="Z43" i="20" s="1"/>
  <c r="X38" i="20"/>
  <c r="Z38" i="20" s="1"/>
  <c r="X33" i="20"/>
  <c r="Z33" i="20" s="1"/>
  <c r="X28" i="20"/>
  <c r="Q44" i="26"/>
  <c r="Q23" i="26"/>
  <c r="S23" i="26" s="1"/>
  <c r="X45" i="25"/>
  <c r="Z45" i="25" s="1"/>
  <c r="AL28" i="24"/>
  <c r="AN28" i="24" s="1"/>
  <c r="X39" i="23"/>
  <c r="Z39" i="23" s="1"/>
  <c r="F27" i="23"/>
  <c r="H27" i="23" s="1"/>
  <c r="O27" i="23" s="1"/>
  <c r="F22" i="23"/>
  <c r="H22" i="23" s="1"/>
  <c r="O22" i="23" s="1"/>
  <c r="AE20" i="23"/>
  <c r="AG20" i="23" s="1"/>
  <c r="X39" i="22"/>
  <c r="Z39" i="22" s="1"/>
  <c r="F16" i="22"/>
  <c r="H16" i="22" s="1"/>
  <c r="O16" i="22" s="1"/>
  <c r="F30" i="21"/>
  <c r="H30" i="21" s="1"/>
  <c r="O30" i="21" s="1"/>
  <c r="X23" i="21"/>
  <c r="Z23" i="21" s="1"/>
  <c r="F23" i="21"/>
  <c r="H23" i="21" s="1"/>
  <c r="O23" i="21" s="1"/>
  <c r="J22" i="21"/>
  <c r="L22" i="21" s="1"/>
  <c r="F43" i="20"/>
  <c r="H43" i="20" s="1"/>
  <c r="F38" i="20"/>
  <c r="H38" i="20" s="1"/>
  <c r="Q19" i="28"/>
  <c r="S19" i="28" s="1"/>
  <c r="J17" i="27"/>
  <c r="L17" i="27" s="1"/>
  <c r="F41" i="26"/>
  <c r="H41" i="26" s="1"/>
  <c r="AL41" i="25"/>
  <c r="AN41" i="25" s="1"/>
  <c r="AE31" i="25"/>
  <c r="AG31" i="25" s="1"/>
  <c r="AL26" i="25"/>
  <c r="AN26" i="25" s="1"/>
  <c r="Q42" i="24"/>
  <c r="S42" i="24" s="1"/>
  <c r="F33" i="24"/>
  <c r="H33" i="24" s="1"/>
  <c r="O33" i="24" s="1"/>
  <c r="AL31" i="24"/>
  <c r="AN31" i="24" s="1"/>
  <c r="AE27" i="24"/>
  <c r="AG27" i="24" s="1"/>
  <c r="X26" i="24"/>
  <c r="Z26" i="24" s="1"/>
  <c r="AE22" i="24"/>
  <c r="Q19" i="24"/>
  <c r="AE28" i="23"/>
  <c r="AG28" i="23" s="1"/>
  <c r="Q26" i="22"/>
  <c r="S26" i="22" s="1"/>
  <c r="X22" i="22"/>
  <c r="Z22" i="22" s="1"/>
  <c r="AL26" i="21"/>
  <c r="AN26" i="21" s="1"/>
  <c r="J15" i="27"/>
  <c r="L15" i="27" s="1"/>
  <c r="X32" i="25"/>
  <c r="Z32" i="25" s="1"/>
  <c r="J31" i="25"/>
  <c r="L31" i="25" s="1"/>
  <c r="AE27" i="25"/>
  <c r="AG27" i="25" s="1"/>
  <c r="AE32" i="24"/>
  <c r="AG32" i="24" s="1"/>
  <c r="J33" i="23"/>
  <c r="L33" i="23" s="1"/>
  <c r="X31" i="23"/>
  <c r="Z31" i="23" s="1"/>
  <c r="AE30" i="23"/>
  <c r="AG30" i="23" s="1"/>
  <c r="Q31" i="22"/>
  <c r="S31" i="22" s="1"/>
  <c r="X30" i="22"/>
  <c r="Z30" i="22" s="1"/>
  <c r="J20" i="22"/>
  <c r="L20" i="22" s="1"/>
  <c r="X16" i="22"/>
  <c r="Z16" i="22" s="1"/>
  <c r="F41" i="21"/>
  <c r="H41" i="21" s="1"/>
  <c r="Q23" i="21"/>
  <c r="S23" i="21" s="1"/>
  <c r="AE20" i="21"/>
  <c r="AG20" i="21" s="1"/>
  <c r="F42" i="20"/>
  <c r="H42" i="20" s="1"/>
  <c r="J24" i="20"/>
  <c r="L24" i="20" s="1"/>
  <c r="F20" i="25"/>
  <c r="H20" i="25" s="1"/>
  <c r="O20" i="25" s="1"/>
  <c r="F15" i="25"/>
  <c r="H15" i="25" s="1"/>
  <c r="AE16" i="24"/>
  <c r="AG16" i="24" s="1"/>
  <c r="J24" i="23"/>
  <c r="L24" i="23" s="1"/>
  <c r="Q23" i="23"/>
  <c r="S23" i="23" s="1"/>
  <c r="X22" i="23"/>
  <c r="Z22" i="23" s="1"/>
  <c r="AE21" i="23"/>
  <c r="AG21" i="23" s="1"/>
  <c r="J42" i="22"/>
  <c r="L42" i="22" s="1"/>
  <c r="Q41" i="22"/>
  <c r="J17" i="22"/>
  <c r="L17" i="22" s="1"/>
  <c r="AE39" i="21"/>
  <c r="AG39" i="21" s="1"/>
  <c r="AE26" i="21"/>
  <c r="AG26" i="21" s="1"/>
  <c r="AE43" i="20"/>
  <c r="AG43" i="20" s="1"/>
  <c r="AE38" i="20"/>
  <c r="AE33" i="20"/>
  <c r="AG33" i="20" s="1"/>
  <c r="AE28" i="20"/>
  <c r="AG28" i="20" s="1"/>
  <c r="X16" i="27"/>
  <c r="Z16" i="27" s="1"/>
  <c r="Q46" i="25"/>
  <c r="AE18" i="25"/>
  <c r="AG18" i="25" s="1"/>
  <c r="AE43" i="23"/>
  <c r="AG43" i="23" s="1"/>
  <c r="J36" i="23"/>
  <c r="L36" i="23" s="1"/>
  <c r="Q36" i="22"/>
  <c r="AE34" i="22"/>
  <c r="AG34" i="22" s="1"/>
  <c r="AL20" i="22"/>
  <c r="AN20" i="22" s="1"/>
  <c r="Q19" i="22"/>
  <c r="S19" i="22" s="1"/>
  <c r="AE15" i="22"/>
  <c r="AG15" i="22" s="1"/>
  <c r="J32" i="21"/>
  <c r="L32" i="21" s="1"/>
  <c r="X31" i="21"/>
  <c r="Z31" i="21" s="1"/>
  <c r="AE28" i="21"/>
  <c r="AG28" i="21" s="1"/>
  <c r="J27" i="21"/>
  <c r="L27" i="21" s="1"/>
  <c r="Q22" i="21"/>
  <c r="S22" i="21" s="1"/>
  <c r="J41" i="20"/>
  <c r="L41" i="20" s="1"/>
  <c r="J42" i="21"/>
  <c r="AL23" i="21"/>
  <c r="F22" i="21"/>
  <c r="H22" i="21" s="1"/>
  <c r="O22" i="21" s="1"/>
  <c r="Q20" i="21"/>
  <c r="S20" i="21" s="1"/>
  <c r="F26" i="20"/>
  <c r="H26" i="20" s="1"/>
  <c r="O26" i="20" s="1"/>
  <c r="Q24" i="20"/>
  <c r="S24" i="20" s="1"/>
  <c r="X24" i="19"/>
  <c r="Z24" i="19" s="1"/>
  <c r="J15" i="19"/>
  <c r="L15" i="19" s="1"/>
  <c r="AL35" i="25"/>
  <c r="AN35" i="25" s="1"/>
  <c r="Q25" i="25"/>
  <c r="S25" i="25" s="1"/>
  <c r="F42" i="22"/>
  <c r="H42" i="22" s="1"/>
  <c r="F31" i="21"/>
  <c r="H31" i="21" s="1"/>
  <c r="O31" i="21" s="1"/>
  <c r="Q26" i="21"/>
  <c r="S26" i="21" s="1"/>
  <c r="J15" i="21"/>
  <c r="L15" i="21" s="1"/>
  <c r="AL39" i="20"/>
  <c r="AN39" i="20" s="1"/>
  <c r="F33" i="20"/>
  <c r="H33" i="20" s="1"/>
  <c r="O33" i="20" s="1"/>
  <c r="X32" i="20"/>
  <c r="Z32" i="20" s="1"/>
  <c r="J30" i="20"/>
  <c r="L30" i="20" s="1"/>
  <c r="J27" i="20"/>
  <c r="L27" i="20" s="1"/>
  <c r="J23" i="20"/>
  <c r="L23" i="20" s="1"/>
  <c r="F17" i="20"/>
  <c r="H17" i="20" s="1"/>
  <c r="O17" i="20" s="1"/>
  <c r="J15" i="20"/>
  <c r="L15" i="20" s="1"/>
  <c r="AL42" i="19"/>
  <c r="AN42" i="19" s="1"/>
  <c r="AL41" i="19"/>
  <c r="X23" i="19"/>
  <c r="Z23" i="19" s="1"/>
  <c r="F23" i="19"/>
  <c r="H23" i="19" s="1"/>
  <c r="O23" i="19" s="1"/>
  <c r="Q19" i="19"/>
  <c r="S19" i="19" s="1"/>
  <c r="X16" i="19"/>
  <c r="Z16" i="19" s="1"/>
  <c r="F16" i="19"/>
  <c r="H16" i="19" s="1"/>
  <c r="O16" i="19" s="1"/>
  <c r="X41" i="18"/>
  <c r="X31" i="18"/>
  <c r="Z31" i="18" s="1"/>
  <c r="X26" i="18"/>
  <c r="Z26" i="18" s="1"/>
  <c r="AE36" i="24"/>
  <c r="AG36" i="24" s="1"/>
  <c r="J17" i="23"/>
  <c r="L17" i="23" s="1"/>
  <c r="Q28" i="20"/>
  <c r="S28" i="20" s="1"/>
  <c r="AE23" i="20"/>
  <c r="AG23" i="20" s="1"/>
  <c r="F20" i="20"/>
  <c r="H20" i="20" s="1"/>
  <c r="O20" i="20" s="1"/>
  <c r="Q41" i="19"/>
  <c r="F34" i="19"/>
  <c r="H34" i="19" s="1"/>
  <c r="AE31" i="19"/>
  <c r="AG31" i="19" s="1"/>
  <c r="J31" i="19"/>
  <c r="L31" i="19" s="1"/>
  <c r="Q28" i="19"/>
  <c r="S28" i="19" s="1"/>
  <c r="AE20" i="19"/>
  <c r="AG20" i="19" s="1"/>
  <c r="F15" i="19"/>
  <c r="H15" i="19" s="1"/>
  <c r="AE43" i="18"/>
  <c r="AG43" i="18" s="1"/>
  <c r="F41" i="18"/>
  <c r="H41" i="18" s="1"/>
  <c r="F31" i="18"/>
  <c r="H31" i="18" s="1"/>
  <c r="O31" i="18" s="1"/>
  <c r="F26" i="18"/>
  <c r="H26" i="18" s="1"/>
  <c r="O26" i="18" s="1"/>
  <c r="X21" i="18"/>
  <c r="Z21" i="18" s="1"/>
  <c r="AE20" i="18"/>
  <c r="AG20" i="18" s="1"/>
  <c r="J28" i="23"/>
  <c r="L28" i="23" s="1"/>
  <c r="AE25" i="23"/>
  <c r="AG25" i="23" s="1"/>
  <c r="AL23" i="22"/>
  <c r="AN23" i="22" s="1"/>
  <c r="J20" i="21"/>
  <c r="L20" i="21" s="1"/>
  <c r="J31" i="20"/>
  <c r="L31" i="20" s="1"/>
  <c r="AE20" i="20"/>
  <c r="AG20" i="20" s="1"/>
  <c r="J20" i="19"/>
  <c r="L20" i="19" s="1"/>
  <c r="F34" i="25"/>
  <c r="H34" i="25" s="1"/>
  <c r="AL36" i="20"/>
  <c r="AN36" i="20" s="1"/>
  <c r="AE24" i="20"/>
  <c r="AG24" i="20" s="1"/>
  <c r="AL25" i="19"/>
  <c r="AN25" i="19" s="1"/>
  <c r="Q25" i="19"/>
  <c r="S25" i="19" s="1"/>
  <c r="Q24" i="19"/>
  <c r="S24" i="19" s="1"/>
  <c r="Q17" i="19"/>
  <c r="S17" i="19" s="1"/>
  <c r="J43" i="18"/>
  <c r="L43" i="18" s="1"/>
  <c r="AL41" i="18"/>
  <c r="F41" i="23"/>
  <c r="H41" i="23" s="1"/>
  <c r="AE38" i="23"/>
  <c r="AG38" i="23" s="1"/>
  <c r="F18" i="22"/>
  <c r="H18" i="22" s="1"/>
  <c r="O18" i="22" s="1"/>
  <c r="AL28" i="21"/>
  <c r="AN28" i="21" s="1"/>
  <c r="AL27" i="21"/>
  <c r="AN27" i="21" s="1"/>
  <c r="Q24" i="21"/>
  <c r="S24" i="21" s="1"/>
  <c r="AE15" i="21"/>
  <c r="AG15" i="21" s="1"/>
  <c r="AE31" i="20"/>
  <c r="Q26" i="20"/>
  <c r="S26" i="20" s="1"/>
  <c r="F24" i="20"/>
  <c r="H24" i="20" s="1"/>
  <c r="O24" i="20" s="1"/>
  <c r="J35" i="25"/>
  <c r="L35" i="25" s="1"/>
  <c r="X20" i="25"/>
  <c r="Z20" i="25" s="1"/>
  <c r="J26" i="24"/>
  <c r="L26" i="24" s="1"/>
  <c r="AE24" i="22"/>
  <c r="AG24" i="22" s="1"/>
  <c r="X30" i="21"/>
  <c r="Z30" i="21" s="1"/>
  <c r="F26" i="21"/>
  <c r="H26" i="21" s="1"/>
  <c r="O26" i="21" s="1"/>
  <c r="X22" i="21"/>
  <c r="Z22" i="21" s="1"/>
  <c r="Q17" i="21"/>
  <c r="S17" i="21" s="1"/>
  <c r="F31" i="20"/>
  <c r="H31" i="20" s="1"/>
  <c r="O31" i="20" s="1"/>
  <c r="X23" i="20"/>
  <c r="Z23" i="20" s="1"/>
  <c r="Q22" i="20"/>
  <c r="S22" i="20" s="1"/>
  <c r="X20" i="20"/>
  <c r="Z20" i="20" s="1"/>
  <c r="F20" i="19"/>
  <c r="H20" i="19" s="1"/>
  <c r="O20" i="19" s="1"/>
  <c r="Q31" i="18"/>
  <c r="S31" i="18" s="1"/>
  <c r="Q26" i="18"/>
  <c r="S26" i="18" s="1"/>
  <c r="AE24" i="18"/>
  <c r="AG24" i="18" s="1"/>
  <c r="X38" i="24"/>
  <c r="X26" i="23"/>
  <c r="Z26" i="23" s="1"/>
  <c r="AL32" i="22"/>
  <c r="AN32" i="22" s="1"/>
  <c r="AP32" i="22" s="1"/>
  <c r="F22" i="22"/>
  <c r="F43" i="21"/>
  <c r="H43" i="21" s="1"/>
  <c r="Q41" i="21"/>
  <c r="X16" i="21"/>
  <c r="Z16" i="21" s="1"/>
  <c r="AE41" i="20"/>
  <c r="J32" i="20"/>
  <c r="L32" i="20" s="1"/>
  <c r="F28" i="20"/>
  <c r="H28" i="20" s="1"/>
  <c r="O28" i="20" s="1"/>
  <c r="X27" i="20"/>
  <c r="Z27" i="20" s="1"/>
  <c r="AL22" i="20"/>
  <c r="AN22" i="20" s="1"/>
  <c r="AL34" i="19"/>
  <c r="Q34" i="19"/>
  <c r="S34" i="19" s="1"/>
  <c r="AL33" i="19"/>
  <c r="AN33" i="19" s="1"/>
  <c r="Q36" i="25"/>
  <c r="S36" i="25" s="1"/>
  <c r="X15" i="23"/>
  <c r="Z15" i="23" s="1"/>
  <c r="F20" i="22"/>
  <c r="H20" i="22" s="1"/>
  <c r="O20" i="22" s="1"/>
  <c r="Q33" i="20"/>
  <c r="S33" i="20" s="1"/>
  <c r="X24" i="20"/>
  <c r="Z24" i="20" s="1"/>
  <c r="J25" i="19"/>
  <c r="L25" i="19" s="1"/>
  <c r="AE24" i="19"/>
  <c r="AG24" i="19" s="1"/>
  <c r="AE17" i="19"/>
  <c r="AG17" i="19" s="1"/>
  <c r="AE41" i="18"/>
  <c r="AG41" i="18" s="1"/>
  <c r="J39" i="18"/>
  <c r="L39" i="18" s="1"/>
  <c r="J34" i="18"/>
  <c r="L34" i="18" s="1"/>
  <c r="AE31" i="18"/>
  <c r="AG31" i="18" s="1"/>
  <c r="AE26" i="18"/>
  <c r="AG26" i="18" s="1"/>
  <c r="F20" i="18"/>
  <c r="H20" i="18" s="1"/>
  <c r="O20" i="18" s="1"/>
  <c r="J15" i="18"/>
  <c r="F43" i="17"/>
  <c r="H43" i="17" s="1"/>
  <c r="F38" i="17"/>
  <c r="H38" i="17" s="1"/>
  <c r="F33" i="17"/>
  <c r="H33" i="17" s="1"/>
  <c r="O33" i="17" s="1"/>
  <c r="J27" i="17"/>
  <c r="L27" i="17" s="1"/>
  <c r="AE24" i="17"/>
  <c r="AG24" i="17" s="1"/>
  <c r="F16" i="17"/>
  <c r="H16" i="17" s="1"/>
  <c r="O16" i="17" s="1"/>
  <c r="F41" i="16"/>
  <c r="H41" i="16" s="1"/>
  <c r="Q27" i="24"/>
  <c r="S27" i="24" s="1"/>
  <c r="AL27" i="22"/>
  <c r="AN27" i="22" s="1"/>
  <c r="AE26" i="22"/>
  <c r="AG26" i="22" s="1"/>
  <c r="X25" i="22"/>
  <c r="Z25" i="22" s="1"/>
  <c r="F23" i="22"/>
  <c r="H23" i="22" s="1"/>
  <c r="O23" i="22" s="1"/>
  <c r="AL25" i="21"/>
  <c r="AN25" i="21" s="1"/>
  <c r="X42" i="20"/>
  <c r="Z42" i="20" s="1"/>
  <c r="Q41" i="20"/>
  <c r="X36" i="20"/>
  <c r="Z36" i="20" s="1"/>
  <c r="Q30" i="20"/>
  <c r="S30" i="20" s="1"/>
  <c r="J26" i="20"/>
  <c r="L26" i="20" s="1"/>
  <c r="J22" i="20"/>
  <c r="L22" i="20" s="1"/>
  <c r="Q20" i="20"/>
  <c r="S20" i="20" s="1"/>
  <c r="Q33" i="19"/>
  <c r="S33" i="19" s="1"/>
  <c r="AL31" i="19"/>
  <c r="AN31" i="19" s="1"/>
  <c r="AP31" i="19" s="1"/>
  <c r="X34" i="23"/>
  <c r="Z34" i="23" s="1"/>
  <c r="J15" i="22"/>
  <c r="L15" i="22" s="1"/>
  <c r="J38" i="21"/>
  <c r="Q32" i="21"/>
  <c r="S32" i="21" s="1"/>
  <c r="Q16" i="21"/>
  <c r="S16" i="21" s="1"/>
  <c r="Q43" i="20"/>
  <c r="S43" i="20" s="1"/>
  <c r="J39" i="20"/>
  <c r="L39" i="20" s="1"/>
  <c r="Q38" i="20"/>
  <c r="S38" i="20" s="1"/>
  <c r="AL23" i="20"/>
  <c r="AN23" i="20" s="1"/>
  <c r="X42" i="19"/>
  <c r="AE36" i="19"/>
  <c r="AG36" i="19" s="1"/>
  <c r="Q31" i="19"/>
  <c r="S31" i="19" s="1"/>
  <c r="J23" i="19"/>
  <c r="L23" i="19" s="1"/>
  <c r="AE22" i="19"/>
  <c r="AG22" i="19" s="1"/>
  <c r="J16" i="19"/>
  <c r="L16" i="19" s="1"/>
  <c r="AE15" i="19"/>
  <c r="AG15" i="19" s="1"/>
  <c r="X39" i="18"/>
  <c r="J36" i="18"/>
  <c r="L36" i="18" s="1"/>
  <c r="X34" i="18"/>
  <c r="J42" i="20"/>
  <c r="L42" i="20" s="1"/>
  <c r="X20" i="19"/>
  <c r="Z20" i="19" s="1"/>
  <c r="Q15" i="19"/>
  <c r="S15" i="19" s="1"/>
  <c r="AE36" i="18"/>
  <c r="AG36" i="18" s="1"/>
  <c r="F23" i="18"/>
  <c r="H23" i="18" s="1"/>
  <c r="O23" i="18" s="1"/>
  <c r="Q18" i="18"/>
  <c r="S18" i="18" s="1"/>
  <c r="Q42" i="17"/>
  <c r="S42" i="17" s="1"/>
  <c r="J33" i="16"/>
  <c r="L33" i="16" s="1"/>
  <c r="AE21" i="22"/>
  <c r="AG21" i="22" s="1"/>
  <c r="AE26" i="20"/>
  <c r="AG26" i="20" s="1"/>
  <c r="X43" i="19"/>
  <c r="Z43" i="19" s="1"/>
  <c r="F31" i="19"/>
  <c r="H31" i="19" s="1"/>
  <c r="O31" i="19" s="1"/>
  <c r="Q20" i="19"/>
  <c r="S20" i="19" s="1"/>
  <c r="J18" i="19"/>
  <c r="L18" i="19" s="1"/>
  <c r="J41" i="18"/>
  <c r="L41" i="18" s="1"/>
  <c r="Q30" i="18"/>
  <c r="S30" i="18" s="1"/>
  <c r="J42" i="17"/>
  <c r="J16" i="17"/>
  <c r="L16" i="17" s="1"/>
  <c r="Q15" i="17"/>
  <c r="F17" i="19"/>
  <c r="H17" i="19" s="1"/>
  <c r="O17" i="19" s="1"/>
  <c r="X43" i="18"/>
  <c r="Z43" i="18" s="1"/>
  <c r="Q36" i="18"/>
  <c r="S36" i="18" s="1"/>
  <c r="Q34" i="17"/>
  <c r="S34" i="17" s="1"/>
  <c r="X33" i="17"/>
  <c r="Z33" i="17" s="1"/>
  <c r="AE32" i="17"/>
  <c r="AG32" i="17" s="1"/>
  <c r="AE34" i="19"/>
  <c r="AG34" i="19" s="1"/>
  <c r="F24" i="19"/>
  <c r="H24" i="19" s="1"/>
  <c r="O24" i="19" s="1"/>
  <c r="J31" i="18"/>
  <c r="L31" i="18" s="1"/>
  <c r="AE23" i="18"/>
  <c r="AG23" i="18" s="1"/>
  <c r="X20" i="18"/>
  <c r="Z20" i="18" s="1"/>
  <c r="AE19" i="18"/>
  <c r="AG19" i="18" s="1"/>
  <c r="X15" i="18"/>
  <c r="Z15" i="18" s="1"/>
  <c r="X38" i="17"/>
  <c r="F36" i="17"/>
  <c r="H36" i="17" s="1"/>
  <c r="AE27" i="17"/>
  <c r="AG27" i="17" s="1"/>
  <c r="Q23" i="17"/>
  <c r="S23" i="17" s="1"/>
  <c r="X22" i="17"/>
  <c r="Z22" i="17" s="1"/>
  <c r="F39" i="16"/>
  <c r="H39" i="16" s="1"/>
  <c r="Q31" i="20"/>
  <c r="S31" i="20" s="1"/>
  <c r="AL30" i="19"/>
  <c r="AN30" i="19" s="1"/>
  <c r="X27" i="19"/>
  <c r="Z27" i="19" s="1"/>
  <c r="Q43" i="18"/>
  <c r="S43" i="18" s="1"/>
  <c r="F34" i="18"/>
  <c r="H34" i="18" s="1"/>
  <c r="AL18" i="18"/>
  <c r="AN18" i="18" s="1"/>
  <c r="AE33" i="22"/>
  <c r="AE28" i="19"/>
  <c r="AG28" i="19" s="1"/>
  <c r="F25" i="19"/>
  <c r="H25" i="19" s="1"/>
  <c r="O25" i="19" s="1"/>
  <c r="AL16" i="19"/>
  <c r="AN16" i="19" s="1"/>
  <c r="F39" i="18"/>
  <c r="H39" i="18" s="1"/>
  <c r="F30" i="18"/>
  <c r="H30" i="18" s="1"/>
  <c r="X24" i="18"/>
  <c r="Z24" i="18" s="1"/>
  <c r="Q39" i="17"/>
  <c r="S39" i="17" s="1"/>
  <c r="AL36" i="19"/>
  <c r="AN36" i="19" s="1"/>
  <c r="AL23" i="19"/>
  <c r="AN23" i="19" s="1"/>
  <c r="Q25" i="18"/>
  <c r="S25" i="18" s="1"/>
  <c r="AL41" i="17"/>
  <c r="AN41" i="17" s="1"/>
  <c r="J38" i="17"/>
  <c r="AE36" i="17"/>
  <c r="AG36" i="17" s="1"/>
  <c r="J33" i="17"/>
  <c r="L33" i="17" s="1"/>
  <c r="Q32" i="17"/>
  <c r="S32" i="17" s="1"/>
  <c r="X27" i="17"/>
  <c r="Z27" i="17" s="1"/>
  <c r="AE26" i="17"/>
  <c r="AG26" i="17" s="1"/>
  <c r="AL25" i="17"/>
  <c r="AN25" i="17" s="1"/>
  <c r="X28" i="24"/>
  <c r="Z28" i="24" s="1"/>
  <c r="F26" i="23"/>
  <c r="H26" i="23" s="1"/>
  <c r="O26" i="23" s="1"/>
  <c r="X21" i="20"/>
  <c r="Z21" i="20" s="1"/>
  <c r="AE19" i="19"/>
  <c r="AG19" i="19" s="1"/>
  <c r="AL33" i="18"/>
  <c r="AN33" i="18" s="1"/>
  <c r="J20" i="18"/>
  <c r="L20" i="18" s="1"/>
  <c r="Q19" i="18"/>
  <c r="S19" i="18" s="1"/>
  <c r="AE42" i="17"/>
  <c r="Q28" i="17"/>
  <c r="S28" i="17" s="1"/>
  <c r="F23" i="17"/>
  <c r="H23" i="17" s="1"/>
  <c r="O23" i="17" s="1"/>
  <c r="Q27" i="21"/>
  <c r="S27" i="21" s="1"/>
  <c r="AE42" i="19"/>
  <c r="F43" i="18"/>
  <c r="H43" i="18" s="1"/>
  <c r="J26" i="18"/>
  <c r="L26" i="18" s="1"/>
  <c r="X18" i="18"/>
  <c r="Z18" i="18" s="1"/>
  <c r="X43" i="17"/>
  <c r="Z43" i="17" s="1"/>
  <c r="Q27" i="23"/>
  <c r="S27" i="23" s="1"/>
  <c r="AL28" i="22"/>
  <c r="AN28" i="22" s="1"/>
  <c r="AL30" i="20"/>
  <c r="AN30" i="20" s="1"/>
  <c r="Q30" i="19"/>
  <c r="S30" i="19" s="1"/>
  <c r="AE34" i="18"/>
  <c r="F15" i="18"/>
  <c r="H15" i="18" s="1"/>
  <c r="X41" i="17"/>
  <c r="J32" i="17"/>
  <c r="L32" i="17" s="1"/>
  <c r="X16" i="17"/>
  <c r="Z16" i="17" s="1"/>
  <c r="AE15" i="17"/>
  <c r="AG15" i="17" s="1"/>
  <c r="Q16" i="23"/>
  <c r="S16" i="23" s="1"/>
  <c r="X19" i="21"/>
  <c r="Z19" i="21" s="1"/>
  <c r="X25" i="20"/>
  <c r="Z25" i="20" s="1"/>
  <c r="AE22" i="20"/>
  <c r="AG22" i="20" s="1"/>
  <c r="Q22" i="19"/>
  <c r="S22" i="19" s="1"/>
  <c r="AE39" i="18"/>
  <c r="AG39" i="18" s="1"/>
  <c r="F25" i="18"/>
  <c r="H25" i="18" s="1"/>
  <c r="O25" i="18" s="1"/>
  <c r="J19" i="18"/>
  <c r="L19" i="18" s="1"/>
  <c r="AL28" i="18"/>
  <c r="AN28" i="18" s="1"/>
  <c r="J22" i="18"/>
  <c r="L22" i="18" s="1"/>
  <c r="X33" i="16"/>
  <c r="Z33" i="16" s="1"/>
  <c r="AE28" i="16"/>
  <c r="AG28" i="16" s="1"/>
  <c r="Q41" i="15"/>
  <c r="S41" i="15" s="1"/>
  <c r="J31" i="15"/>
  <c r="L31" i="15" s="1"/>
  <c r="AL26" i="16"/>
  <c r="AN26" i="16" s="1"/>
  <c r="Q32" i="16"/>
  <c r="S32" i="16" s="1"/>
  <c r="J28" i="16"/>
  <c r="L28" i="16" s="1"/>
  <c r="F22" i="16"/>
  <c r="H22" i="16" s="1"/>
  <c r="O22" i="16" s="1"/>
  <c r="J19" i="16"/>
  <c r="L19" i="16" s="1"/>
  <c r="Q16" i="16"/>
  <c r="S16" i="16" s="1"/>
  <c r="AL38" i="15"/>
  <c r="AN38" i="15" s="1"/>
  <c r="F32" i="15"/>
  <c r="H32" i="15" s="1"/>
  <c r="J30" i="15"/>
  <c r="L30" i="15" s="1"/>
  <c r="AL20" i="15"/>
  <c r="AN20" i="15" s="1"/>
  <c r="X17" i="15"/>
  <c r="Z17" i="15" s="1"/>
  <c r="F17" i="15"/>
  <c r="H17" i="15" s="1"/>
  <c r="O17" i="15" s="1"/>
  <c r="F16" i="15"/>
  <c r="H16" i="15" s="1"/>
  <c r="O16" i="15" s="1"/>
  <c r="F43" i="14"/>
  <c r="H43" i="14" s="1"/>
  <c r="AL25" i="16"/>
  <c r="AN25" i="16" s="1"/>
  <c r="Q38" i="15"/>
  <c r="S38" i="15" s="1"/>
  <c r="F31" i="15"/>
  <c r="H31" i="15" s="1"/>
  <c r="O31" i="15" s="1"/>
  <c r="AL25" i="15"/>
  <c r="AN25" i="15" s="1"/>
  <c r="AE39" i="14"/>
  <c r="AG39" i="14" s="1"/>
  <c r="J36" i="19"/>
  <c r="L36" i="19" s="1"/>
  <c r="J43" i="17"/>
  <c r="L43" i="17" s="1"/>
  <c r="J15" i="17"/>
  <c r="L15" i="17" s="1"/>
  <c r="X28" i="16"/>
  <c r="Z28" i="16" s="1"/>
  <c r="F28" i="16"/>
  <c r="H28" i="16" s="1"/>
  <c r="O28" i="16" s="1"/>
  <c r="J27" i="16"/>
  <c r="L27" i="16" s="1"/>
  <c r="Q25" i="16"/>
  <c r="S25" i="16" s="1"/>
  <c r="AL24" i="16"/>
  <c r="AN24" i="16" s="1"/>
  <c r="F19" i="16"/>
  <c r="H19" i="16" s="1"/>
  <c r="O19" i="16" s="1"/>
  <c r="J41" i="15"/>
  <c r="L41" i="15" s="1"/>
  <c r="X30" i="15"/>
  <c r="Z30" i="15" s="1"/>
  <c r="F30" i="15"/>
  <c r="H30" i="15" s="1"/>
  <c r="AE26" i="15"/>
  <c r="AG26" i="15" s="1"/>
  <c r="Q24" i="15"/>
  <c r="S24" i="15" s="1"/>
  <c r="AE36" i="14"/>
  <c r="AG36" i="14" s="1"/>
  <c r="Q41" i="17"/>
  <c r="S41" i="17" s="1"/>
  <c r="X41" i="16"/>
  <c r="AE16" i="16"/>
  <c r="AG16" i="16" s="1"/>
  <c r="J26" i="15"/>
  <c r="L26" i="15" s="1"/>
  <c r="X42" i="14"/>
  <c r="Z42" i="14" s="1"/>
  <c r="F27" i="17"/>
  <c r="H27" i="17" s="1"/>
  <c r="O27" i="17" s="1"/>
  <c r="J17" i="17"/>
  <c r="L17" i="17" s="1"/>
  <c r="AE25" i="16"/>
  <c r="AG25" i="16" s="1"/>
  <c r="Q22" i="16"/>
  <c r="S22" i="16" s="1"/>
  <c r="J25" i="15"/>
  <c r="L25" i="15" s="1"/>
  <c r="AE24" i="15"/>
  <c r="AG24" i="15" s="1"/>
  <c r="AE19" i="15"/>
  <c r="AG19" i="15" s="1"/>
  <c r="X39" i="14"/>
  <c r="Z39" i="14" s="1"/>
  <c r="J36" i="14"/>
  <c r="L36" i="14" s="1"/>
  <c r="X34" i="14"/>
  <c r="Z34" i="14" s="1"/>
  <c r="Q19" i="17"/>
  <c r="S19" i="17" s="1"/>
  <c r="Q42" i="16"/>
  <c r="J41" i="16"/>
  <c r="L41" i="16" s="1"/>
  <c r="AL34" i="16"/>
  <c r="AN34" i="16" s="1"/>
  <c r="AE33" i="16"/>
  <c r="AG33" i="16" s="1"/>
  <c r="J24" i="17"/>
  <c r="L24" i="17" s="1"/>
  <c r="F33" i="16"/>
  <c r="H33" i="16" s="1"/>
  <c r="O33" i="16" s="1"/>
  <c r="J25" i="16"/>
  <c r="L25" i="16" s="1"/>
  <c r="AL19" i="16"/>
  <c r="AN19" i="16" s="1"/>
  <c r="F16" i="16"/>
  <c r="H16" i="16" s="1"/>
  <c r="O16" i="16" s="1"/>
  <c r="Q30" i="15"/>
  <c r="S30" i="15" s="1"/>
  <c r="J24" i="15"/>
  <c r="L24" i="15" s="1"/>
  <c r="X36" i="14"/>
  <c r="Z36" i="14" s="1"/>
  <c r="J34" i="16"/>
  <c r="L34" i="16" s="1"/>
  <c r="AE23" i="16"/>
  <c r="AG23" i="16" s="1"/>
  <c r="J32" i="15"/>
  <c r="L32" i="15" s="1"/>
  <c r="AE31" i="15"/>
  <c r="AL28" i="15"/>
  <c r="AN28" i="15" s="1"/>
  <c r="X25" i="15"/>
  <c r="Z25" i="15" s="1"/>
  <c r="F25" i="15"/>
  <c r="H25" i="15" s="1"/>
  <c r="O25" i="15" s="1"/>
  <c r="J17" i="15"/>
  <c r="L17" i="15" s="1"/>
  <c r="F36" i="14"/>
  <c r="H36" i="14" s="1"/>
  <c r="F27" i="16"/>
  <c r="H27" i="16" s="1"/>
  <c r="O27" i="16" s="1"/>
  <c r="F24" i="16"/>
  <c r="H24" i="16" s="1"/>
  <c r="O24" i="16" s="1"/>
  <c r="X21" i="16"/>
  <c r="Z21" i="16" s="1"/>
  <c r="AE20" i="16"/>
  <c r="AG20" i="16" s="1"/>
  <c r="Q25" i="15"/>
  <c r="S25" i="15" s="1"/>
  <c r="J20" i="15"/>
  <c r="L20" i="15" s="1"/>
  <c r="X43" i="14"/>
  <c r="Z43" i="14" s="1"/>
  <c r="AE30" i="14"/>
  <c r="AG30" i="14" s="1"/>
  <c r="J26" i="14"/>
  <c r="L26" i="14" s="1"/>
  <c r="AE21" i="17"/>
  <c r="AG21" i="17" s="1"/>
  <c r="J42" i="15"/>
  <c r="L42" i="15" s="1"/>
  <c r="J34" i="14"/>
  <c r="L34" i="14" s="1"/>
  <c r="AE33" i="14"/>
  <c r="AG33" i="14" s="1"/>
  <c r="J32" i="14"/>
  <c r="L32" i="14" s="1"/>
  <c r="F41" i="15"/>
  <c r="AL30" i="15"/>
  <c r="AN30" i="15" s="1"/>
  <c r="F28" i="15"/>
  <c r="H28" i="15" s="1"/>
  <c r="O28" i="15" s="1"/>
  <c r="F26" i="15"/>
  <c r="H26" i="15" s="1"/>
  <c r="O26" i="15" s="1"/>
  <c r="AE21" i="15"/>
  <c r="AG21" i="15" s="1"/>
  <c r="J19" i="15"/>
  <c r="L19" i="15" s="1"/>
  <c r="AE41" i="14"/>
  <c r="AG41" i="14" s="1"/>
  <c r="AE34" i="14"/>
  <c r="AG34" i="14" s="1"/>
  <c r="AE31" i="16"/>
  <c r="AG31" i="16" s="1"/>
  <c r="F42" i="15"/>
  <c r="H42" i="15" s="1"/>
  <c r="F24" i="15"/>
  <c r="H24" i="15" s="1"/>
  <c r="O24" i="15" s="1"/>
  <c r="Q36" i="14"/>
  <c r="S36" i="14" s="1"/>
  <c r="F33" i="14"/>
  <c r="H33" i="14" s="1"/>
  <c r="O33" i="14" s="1"/>
  <c r="AL23" i="16"/>
  <c r="AN23" i="16" s="1"/>
  <c r="Q20" i="16"/>
  <c r="S20" i="16" s="1"/>
  <c r="F38" i="14"/>
  <c r="H38" i="14" s="1"/>
  <c r="F34" i="14"/>
  <c r="H34" i="14" s="1"/>
  <c r="Q28" i="21"/>
  <c r="S28" i="21" s="1"/>
  <c r="J16" i="16"/>
  <c r="L16" i="16" s="1"/>
  <c r="J39" i="15"/>
  <c r="L39" i="15" s="1"/>
  <c r="F38" i="15"/>
  <c r="AE20" i="15"/>
  <c r="AG20" i="15" s="1"/>
  <c r="AL19" i="15"/>
  <c r="AN19" i="15" s="1"/>
  <c r="Q39" i="14"/>
  <c r="X25" i="14"/>
  <c r="Z25" i="14" s="1"/>
  <c r="F25" i="14"/>
  <c r="H25" i="14" s="1"/>
  <c r="O25" i="14" s="1"/>
  <c r="AE15" i="18"/>
  <c r="AG15" i="18" s="1"/>
  <c r="Q30" i="16"/>
  <c r="S30" i="16" s="1"/>
  <c r="F34" i="15"/>
  <c r="H34" i="15" s="1"/>
  <c r="F33" i="15"/>
  <c r="H33" i="15" s="1"/>
  <c r="O33" i="15" s="1"/>
  <c r="Q31" i="15"/>
  <c r="S31" i="15" s="1"/>
  <c r="J42" i="14"/>
  <c r="L42" i="14" s="1"/>
  <c r="AL26" i="14"/>
  <c r="AN26" i="14" s="1"/>
  <c r="AE39" i="16"/>
  <c r="AG39" i="16" s="1"/>
  <c r="X27" i="16"/>
  <c r="Z27" i="16" s="1"/>
  <c r="AL22" i="16"/>
  <c r="AN22" i="16" s="1"/>
  <c r="F20" i="16"/>
  <c r="H20" i="16" s="1"/>
  <c r="O20" i="16" s="1"/>
  <c r="AE28" i="15"/>
  <c r="AG28" i="15" s="1"/>
  <c r="AL30" i="14"/>
  <c r="AN30" i="14" s="1"/>
  <c r="Q39" i="13"/>
  <c r="S39" i="13" s="1"/>
  <c r="Q19" i="13"/>
  <c r="S19" i="13" s="1"/>
  <c r="AL28" i="17"/>
  <c r="AN28" i="17" s="1"/>
  <c r="Q33" i="16"/>
  <c r="S33" i="16" s="1"/>
  <c r="J32" i="16"/>
  <c r="L32" i="16" s="1"/>
  <c r="X25" i="16"/>
  <c r="Z25" i="16" s="1"/>
  <c r="AE41" i="15"/>
  <c r="AG41" i="15" s="1"/>
  <c r="F42" i="14"/>
  <c r="H42" i="14" s="1"/>
  <c r="J39" i="14"/>
  <c r="L39" i="14" s="1"/>
  <c r="X38" i="14"/>
  <c r="Z38" i="14" s="1"/>
  <c r="X34" i="16"/>
  <c r="Z34" i="16" s="1"/>
  <c r="J31" i="16"/>
  <c r="L31" i="16" s="1"/>
  <c r="Q24" i="16"/>
  <c r="S24" i="16" s="1"/>
  <c r="X23" i="16"/>
  <c r="Z23" i="16" s="1"/>
  <c r="Q26" i="15"/>
  <c r="S26" i="15" s="1"/>
  <c r="X19" i="15"/>
  <c r="Z19" i="15" s="1"/>
  <c r="Q34" i="16"/>
  <c r="S34" i="16" s="1"/>
  <c r="F32" i="16"/>
  <c r="H32" i="16" s="1"/>
  <c r="Q28" i="16"/>
  <c r="S28" i="16" s="1"/>
  <c r="AL32" i="15"/>
  <c r="AN32" i="15" s="1"/>
  <c r="X24" i="15"/>
  <c r="Z24" i="15" s="1"/>
  <c r="Q20" i="15"/>
  <c r="S20" i="15" s="1"/>
  <c r="AE18" i="15"/>
  <c r="AG18" i="15" s="1"/>
  <c r="AL16" i="15"/>
  <c r="AN16" i="15" s="1"/>
  <c r="Q33" i="14"/>
  <c r="S33" i="14" s="1"/>
  <c r="X30" i="14"/>
  <c r="Z30" i="14" s="1"/>
  <c r="Q28" i="14"/>
  <c r="S28" i="14" s="1"/>
  <c r="J22" i="14"/>
  <c r="L22" i="14" s="1"/>
  <c r="AE38" i="13"/>
  <c r="AG38" i="13" s="1"/>
  <c r="X30" i="13"/>
  <c r="Z30" i="13" s="1"/>
  <c r="X32" i="12"/>
  <c r="Z32" i="12" s="1"/>
  <c r="F32" i="12"/>
  <c r="H32" i="12" s="1"/>
  <c r="AE16" i="12"/>
  <c r="AG16" i="12" s="1"/>
  <c r="J43" i="11"/>
  <c r="L43" i="11" s="1"/>
  <c r="J34" i="11"/>
  <c r="L34" i="11" s="1"/>
  <c r="X30" i="11"/>
  <c r="Z30" i="11" s="1"/>
  <c r="F30" i="11"/>
  <c r="H30" i="11" s="1"/>
  <c r="J25" i="11"/>
  <c r="L25" i="11" s="1"/>
  <c r="J18" i="11"/>
  <c r="L18" i="11" s="1"/>
  <c r="AE41" i="10"/>
  <c r="AG41" i="10" s="1"/>
  <c r="AE24" i="10"/>
  <c r="AG24" i="10" s="1"/>
  <c r="X28" i="17"/>
  <c r="Z28" i="17" s="1"/>
  <c r="AE34" i="15"/>
  <c r="AG34" i="15" s="1"/>
  <c r="AL41" i="14"/>
  <c r="AN41" i="14" s="1"/>
  <c r="F26" i="14"/>
  <c r="H26" i="14" s="1"/>
  <c r="O26" i="14" s="1"/>
  <c r="F38" i="13"/>
  <c r="H38" i="13" s="1"/>
  <c r="F36" i="13"/>
  <c r="H36" i="13" s="1"/>
  <c r="X34" i="13"/>
  <c r="Z34" i="13" s="1"/>
  <c r="F32" i="13"/>
  <c r="H32" i="13" s="1"/>
  <c r="Q42" i="12"/>
  <c r="S42" i="12" s="1"/>
  <c r="AE39" i="12"/>
  <c r="AG39" i="12" s="1"/>
  <c r="X36" i="12"/>
  <c r="Z36" i="12" s="1"/>
  <c r="F36" i="12"/>
  <c r="H36" i="12" s="1"/>
  <c r="X28" i="12"/>
  <c r="Z28" i="12" s="1"/>
  <c r="F28" i="12"/>
  <c r="H28" i="12" s="1"/>
  <c r="O28" i="12" s="1"/>
  <c r="J27" i="12"/>
  <c r="L27" i="12" s="1"/>
  <c r="J24" i="12"/>
  <c r="L24" i="12" s="1"/>
  <c r="X21" i="12"/>
  <c r="Z21" i="12" s="1"/>
  <c r="AE42" i="11"/>
  <c r="AG42" i="11" s="1"/>
  <c r="X39" i="11"/>
  <c r="Z39" i="11" s="1"/>
  <c r="F39" i="11"/>
  <c r="F39" i="14"/>
  <c r="H39" i="14" s="1"/>
  <c r="Q30" i="14"/>
  <c r="S30" i="14" s="1"/>
  <c r="AE26" i="14"/>
  <c r="AG26" i="14" s="1"/>
  <c r="F39" i="13"/>
  <c r="H39" i="13" s="1"/>
  <c r="X31" i="13"/>
  <c r="Z31" i="13" s="1"/>
  <c r="J16" i="12"/>
  <c r="L16" i="12" s="1"/>
  <c r="J41" i="10"/>
  <c r="L41" i="10" s="1"/>
  <c r="J24" i="10"/>
  <c r="L24" i="10" s="1"/>
  <c r="X21" i="10"/>
  <c r="Z21" i="10" s="1"/>
  <c r="Q23" i="16"/>
  <c r="S23" i="16" s="1"/>
  <c r="Q19" i="15"/>
  <c r="S19" i="15" s="1"/>
  <c r="Q31" i="14"/>
  <c r="S31" i="14" s="1"/>
  <c r="Q25" i="14"/>
  <c r="S25" i="14" s="1"/>
  <c r="F22" i="14"/>
  <c r="H22" i="14" s="1"/>
  <c r="O22" i="14" s="1"/>
  <c r="J15" i="14"/>
  <c r="L15" i="14" s="1"/>
  <c r="X38" i="13"/>
  <c r="Z38" i="13" s="1"/>
  <c r="AL26" i="13"/>
  <c r="AN26" i="13" s="1"/>
  <c r="AL23" i="13"/>
  <c r="AN23" i="13" s="1"/>
  <c r="Q23" i="13"/>
  <c r="S23" i="13" s="1"/>
  <c r="AL22" i="13"/>
  <c r="AN22" i="13" s="1"/>
  <c r="Q20" i="13"/>
  <c r="S20" i="13" s="1"/>
  <c r="AL41" i="12"/>
  <c r="AN41" i="12" s="1"/>
  <c r="J39" i="12"/>
  <c r="X24" i="12"/>
  <c r="Z24" i="12" s="1"/>
  <c r="F24" i="12"/>
  <c r="H24" i="12" s="1"/>
  <c r="O24" i="12" s="1"/>
  <c r="X43" i="11"/>
  <c r="Z43" i="11" s="1"/>
  <c r="F43" i="11"/>
  <c r="H43" i="11" s="1"/>
  <c r="X34" i="11"/>
  <c r="Z34" i="11" s="1"/>
  <c r="F34" i="11"/>
  <c r="AL26" i="11"/>
  <c r="AN26" i="11" s="1"/>
  <c r="X25" i="11"/>
  <c r="Z25" i="11" s="1"/>
  <c r="F25" i="11"/>
  <c r="H25" i="11" s="1"/>
  <c r="O25" i="11" s="1"/>
  <c r="Q23" i="11"/>
  <c r="S23" i="11" s="1"/>
  <c r="AL19" i="11"/>
  <c r="AN19" i="11" s="1"/>
  <c r="X18" i="11"/>
  <c r="Z18" i="11" s="1"/>
  <c r="F18" i="11"/>
  <c r="H18" i="11" s="1"/>
  <c r="O18" i="11" s="1"/>
  <c r="AL16" i="11"/>
  <c r="AN16" i="11" s="1"/>
  <c r="AL38" i="10"/>
  <c r="AN38" i="10" s="1"/>
  <c r="AE32" i="10"/>
  <c r="AG32" i="10" s="1"/>
  <c r="AL30" i="10"/>
  <c r="AN30" i="10" s="1"/>
  <c r="AL26" i="10"/>
  <c r="AN26" i="10" s="1"/>
  <c r="AE17" i="15"/>
  <c r="AG17" i="15" s="1"/>
  <c r="AL25" i="14"/>
  <c r="AN25" i="14" s="1"/>
  <c r="X21" i="14"/>
  <c r="Z21" i="14" s="1"/>
  <c r="X39" i="13"/>
  <c r="Z39" i="13" s="1"/>
  <c r="Q34" i="13"/>
  <c r="S34" i="13" s="1"/>
  <c r="AL30" i="13"/>
  <c r="AN30" i="13" s="1"/>
  <c r="Q30" i="13"/>
  <c r="S30" i="13" s="1"/>
  <c r="AE42" i="12"/>
  <c r="AG42" i="12" s="1"/>
  <c r="Q32" i="12"/>
  <c r="S32" i="12" s="1"/>
  <c r="X27" i="12"/>
  <c r="Z27" i="12" s="1"/>
  <c r="F27" i="12"/>
  <c r="H27" i="12" s="1"/>
  <c r="O27" i="12" s="1"/>
  <c r="Q30" i="11"/>
  <c r="S30" i="11" s="1"/>
  <c r="J26" i="16"/>
  <c r="L26" i="16" s="1"/>
  <c r="AL33" i="14"/>
  <c r="AN33" i="14" s="1"/>
  <c r="AP33" i="14" s="1"/>
  <c r="AL32" i="14"/>
  <c r="AN32" i="14" s="1"/>
  <c r="Q31" i="13"/>
  <c r="S31" i="13" s="1"/>
  <c r="J42" i="12"/>
  <c r="L42" i="12" s="1"/>
  <c r="AL43" i="11"/>
  <c r="AN43" i="11" s="1"/>
  <c r="AE42" i="14"/>
  <c r="AG42" i="14" s="1"/>
  <c r="AL27" i="14"/>
  <c r="AN27" i="14" s="1"/>
  <c r="J30" i="13"/>
  <c r="L30" i="13" s="1"/>
  <c r="AE26" i="13"/>
  <c r="AG26" i="13" s="1"/>
  <c r="J24" i="13"/>
  <c r="L24" i="13" s="1"/>
  <c r="F19" i="13"/>
  <c r="H19" i="13" s="1"/>
  <c r="O19" i="13" s="1"/>
  <c r="AE41" i="12"/>
  <c r="AG41" i="12" s="1"/>
  <c r="AL39" i="12"/>
  <c r="AN39" i="12" s="1"/>
  <c r="Q27" i="12"/>
  <c r="S27" i="12" s="1"/>
  <c r="Q24" i="12"/>
  <c r="S24" i="12" s="1"/>
  <c r="AL16" i="12"/>
  <c r="AN16" i="12" s="1"/>
  <c r="AL42" i="11"/>
  <c r="AN42" i="11" s="1"/>
  <c r="Q34" i="11"/>
  <c r="S34" i="11" s="1"/>
  <c r="J23" i="11"/>
  <c r="L23" i="11" s="1"/>
  <c r="AE19" i="11"/>
  <c r="AG19" i="11" s="1"/>
  <c r="AL41" i="10"/>
  <c r="AN41" i="10" s="1"/>
  <c r="AE38" i="10"/>
  <c r="AG38" i="10" s="1"/>
  <c r="AE34" i="10"/>
  <c r="AE30" i="10"/>
  <c r="AG30" i="10" s="1"/>
  <c r="AL24" i="10"/>
  <c r="J22" i="10"/>
  <c r="L22" i="10" s="1"/>
  <c r="AE15" i="10"/>
  <c r="AG15" i="10" s="1"/>
  <c r="AE25" i="14"/>
  <c r="AG25" i="14" s="1"/>
  <c r="J19" i="14"/>
  <c r="L19" i="14" s="1"/>
  <c r="AL41" i="13"/>
  <c r="AN41" i="13" s="1"/>
  <c r="Q41" i="13"/>
  <c r="S41" i="13" s="1"/>
  <c r="AE34" i="13"/>
  <c r="AG34" i="13" s="1"/>
  <c r="J34" i="13"/>
  <c r="L34" i="13" s="1"/>
  <c r="AE32" i="13"/>
  <c r="AG32" i="13" s="1"/>
  <c r="AE31" i="13"/>
  <c r="AG31" i="13" s="1"/>
  <c r="J31" i="13"/>
  <c r="L31" i="13" s="1"/>
  <c r="V31" i="13" s="1"/>
  <c r="AE30" i="13"/>
  <c r="AG30" i="13" s="1"/>
  <c r="J28" i="13"/>
  <c r="L28" i="13" s="1"/>
  <c r="J26" i="13"/>
  <c r="L26" i="13" s="1"/>
  <c r="AE25" i="13"/>
  <c r="AG25" i="13" s="1"/>
  <c r="F22" i="13"/>
  <c r="H22" i="13" s="1"/>
  <c r="O22" i="13" s="1"/>
  <c r="F20" i="13"/>
  <c r="H20" i="13" s="1"/>
  <c r="O20" i="13" s="1"/>
  <c r="X42" i="12"/>
  <c r="Z42" i="12" s="1"/>
  <c r="F42" i="12"/>
  <c r="H42" i="12" s="1"/>
  <c r="J41" i="12"/>
  <c r="AE36" i="12"/>
  <c r="AG36" i="12" s="1"/>
  <c r="X33" i="12"/>
  <c r="Z33" i="12" s="1"/>
  <c r="F33" i="12"/>
  <c r="H33" i="12" s="1"/>
  <c r="O33" i="12" s="1"/>
  <c r="J32" i="12"/>
  <c r="L32" i="12" s="1"/>
  <c r="J25" i="12"/>
  <c r="L25" i="12" s="1"/>
  <c r="AL23" i="12"/>
  <c r="AN23" i="12" s="1"/>
  <c r="AE21" i="12"/>
  <c r="AG21" i="12" s="1"/>
  <c r="AE39" i="11"/>
  <c r="AG39" i="11" s="1"/>
  <c r="X31" i="11"/>
  <c r="Z31" i="11" s="1"/>
  <c r="F31" i="11"/>
  <c r="H31" i="11" s="1"/>
  <c r="O31" i="11" s="1"/>
  <c r="J30" i="11"/>
  <c r="L30" i="11" s="1"/>
  <c r="F27" i="11"/>
  <c r="H27" i="11" s="1"/>
  <c r="O27" i="11" s="1"/>
  <c r="J26" i="11"/>
  <c r="L26" i="11" s="1"/>
  <c r="AL24" i="11"/>
  <c r="AN24" i="11" s="1"/>
  <c r="AE22" i="11"/>
  <c r="AG22" i="11" s="1"/>
  <c r="J19" i="11"/>
  <c r="J16" i="11"/>
  <c r="L16" i="11" s="1"/>
  <c r="AE27" i="14"/>
  <c r="AG27" i="14" s="1"/>
  <c r="AL22" i="14"/>
  <c r="AN22" i="14" s="1"/>
  <c r="J36" i="13"/>
  <c r="L36" i="13" s="1"/>
  <c r="AE33" i="13"/>
  <c r="AG33" i="13" s="1"/>
  <c r="J32" i="13"/>
  <c r="L32" i="13" s="1"/>
  <c r="F30" i="13"/>
  <c r="H30" i="13" s="1"/>
  <c r="F23" i="13"/>
  <c r="H23" i="13" s="1"/>
  <c r="O23" i="13" s="1"/>
  <c r="X19" i="13"/>
  <c r="Z19" i="13" s="1"/>
  <c r="Q39" i="12"/>
  <c r="S39" i="12" s="1"/>
  <c r="J28" i="12"/>
  <c r="L28" i="12" s="1"/>
  <c r="AE24" i="12"/>
  <c r="AG24" i="12" s="1"/>
  <c r="AE43" i="11"/>
  <c r="AG43" i="11" s="1"/>
  <c r="Q42" i="11"/>
  <c r="J39" i="11"/>
  <c r="L39" i="11" s="1"/>
  <c r="AE25" i="11"/>
  <c r="AG25" i="11" s="1"/>
  <c r="X23" i="11"/>
  <c r="Z23" i="11" s="1"/>
  <c r="AE18" i="11"/>
  <c r="AG18" i="11" s="1"/>
  <c r="J38" i="10"/>
  <c r="L38" i="10" s="1"/>
  <c r="J34" i="10"/>
  <c r="L34" i="10" s="1"/>
  <c r="AL32" i="10"/>
  <c r="AN32" i="10" s="1"/>
  <c r="AE22" i="15"/>
  <c r="AG22" i="15" s="1"/>
  <c r="Q34" i="14"/>
  <c r="AE21" i="14"/>
  <c r="AG21" i="14" s="1"/>
  <c r="Q15" i="14"/>
  <c r="S15" i="14" s="1"/>
  <c r="AE39" i="13"/>
  <c r="AG39" i="13" s="1"/>
  <c r="J39" i="13"/>
  <c r="L39" i="13" s="1"/>
  <c r="J38" i="13"/>
  <c r="L38" i="13" s="1"/>
  <c r="F34" i="13"/>
  <c r="H34" i="13" s="1"/>
  <c r="F28" i="13"/>
  <c r="H28" i="13" s="1"/>
  <c r="O28" i="13" s="1"/>
  <c r="F24" i="13"/>
  <c r="H24" i="13" s="1"/>
  <c r="O24" i="13" s="1"/>
  <c r="X23" i="13"/>
  <c r="Z23" i="13" s="1"/>
  <c r="X22" i="13"/>
  <c r="Z22" i="13" s="1"/>
  <c r="AE27" i="12"/>
  <c r="AG27" i="12" s="1"/>
  <c r="X25" i="12"/>
  <c r="Z25" i="12" s="1"/>
  <c r="AE34" i="11"/>
  <c r="AG34" i="11" s="1"/>
  <c r="AL27" i="11"/>
  <c r="AN27" i="11" s="1"/>
  <c r="Q24" i="11"/>
  <c r="S24" i="11" s="1"/>
  <c r="F23" i="11"/>
  <c r="H23" i="11" s="1"/>
  <c r="O23" i="11" s="1"/>
  <c r="J42" i="10"/>
  <c r="L42" i="10" s="1"/>
  <c r="Q36" i="10"/>
  <c r="S36" i="10" s="1"/>
  <c r="AL15" i="9"/>
  <c r="AN15" i="9" s="1"/>
  <c r="AE16" i="9"/>
  <c r="AG16" i="9" s="1"/>
  <c r="X19" i="9"/>
  <c r="Z19" i="9" s="1"/>
  <c r="Q20" i="9"/>
  <c r="S20" i="9" s="1"/>
  <c r="F24" i="9"/>
  <c r="H24" i="9" s="1"/>
  <c r="O24" i="9" s="1"/>
  <c r="X27" i="9"/>
  <c r="Z27" i="9" s="1"/>
  <c r="AL28" i="9"/>
  <c r="AN28" i="9" s="1"/>
  <c r="Q38" i="9"/>
  <c r="AL38" i="9"/>
  <c r="AN38" i="9" s="1"/>
  <c r="Q39" i="9"/>
  <c r="Z44" i="9"/>
  <c r="X23" i="10"/>
  <c r="Z23" i="10" s="1"/>
  <c r="Q23" i="10"/>
  <c r="S23" i="10" s="1"/>
  <c r="F23" i="10"/>
  <c r="H23" i="10" s="1"/>
  <c r="O23" i="10" s="1"/>
  <c r="AL23" i="10"/>
  <c r="AN23" i="10" s="1"/>
  <c r="AP23" i="10" s="1"/>
  <c r="AL39" i="10"/>
  <c r="AN39" i="10" s="1"/>
  <c r="X42" i="10"/>
  <c r="Z42" i="10" s="1"/>
  <c r="J43" i="10"/>
  <c r="L43" i="10" s="1"/>
  <c r="O46" i="10"/>
  <c r="AP46" i="10"/>
  <c r="AQ46" i="10" s="1"/>
  <c r="AL15" i="11"/>
  <c r="AN15" i="11" s="1"/>
  <c r="X19" i="11"/>
  <c r="Z19" i="11" s="1"/>
  <c r="J20" i="11"/>
  <c r="L20" i="11" s="1"/>
  <c r="S38" i="11"/>
  <c r="AB48" i="12"/>
  <c r="S18" i="12"/>
  <c r="Q23" i="12"/>
  <c r="S23" i="12" s="1"/>
  <c r="H25" i="12"/>
  <c r="O25" i="12" s="1"/>
  <c r="X41" i="12"/>
  <c r="Z41" i="12" s="1"/>
  <c r="K41" i="12"/>
  <c r="K35" i="12"/>
  <c r="L35" i="12" s="1"/>
  <c r="K39" i="12"/>
  <c r="K34" i="12"/>
  <c r="K38" i="12"/>
  <c r="L38" i="12" s="1"/>
  <c r="J19" i="13"/>
  <c r="L19" i="13" s="1"/>
  <c r="AE22" i="13"/>
  <c r="AG22" i="13" s="1"/>
  <c r="F30" i="14"/>
  <c r="H30" i="14" s="1"/>
  <c r="F59" i="15"/>
  <c r="F15" i="9"/>
  <c r="H15" i="9" s="1"/>
  <c r="Q25" i="9"/>
  <c r="S25" i="9" s="1"/>
  <c r="J26" i="9"/>
  <c r="L26" i="9" s="1"/>
  <c r="F27" i="9"/>
  <c r="H27" i="9" s="1"/>
  <c r="O27" i="9" s="1"/>
  <c r="AE32" i="9"/>
  <c r="AG32" i="9" s="1"/>
  <c r="AL39" i="9"/>
  <c r="AN39" i="9" s="1"/>
  <c r="AL15" i="10"/>
  <c r="AN15" i="10" s="1"/>
  <c r="J20" i="10"/>
  <c r="L20" i="10" s="1"/>
  <c r="Z26" i="10"/>
  <c r="Q33" i="10"/>
  <c r="S33" i="10" s="1"/>
  <c r="G48" i="10"/>
  <c r="H48" i="10" s="1"/>
  <c r="O48" i="10" s="1"/>
  <c r="Q22" i="11"/>
  <c r="S22" i="11" s="1"/>
  <c r="Q28" i="11"/>
  <c r="S28" i="11" s="1"/>
  <c r="AE28" i="11"/>
  <c r="AG28" i="11" s="1"/>
  <c r="J28" i="11"/>
  <c r="L28" i="11" s="1"/>
  <c r="X28" i="11"/>
  <c r="Z28" i="11" s="1"/>
  <c r="F28" i="11"/>
  <c r="H28" i="11" s="1"/>
  <c r="O28" i="11" s="1"/>
  <c r="AL28" i="11"/>
  <c r="AN28" i="11" s="1"/>
  <c r="L35" i="11"/>
  <c r="F16" i="12"/>
  <c r="H16" i="12" s="1"/>
  <c r="O16" i="12" s="1"/>
  <c r="AL21" i="12"/>
  <c r="AN21" i="12" s="1"/>
  <c r="F23" i="12"/>
  <c r="H23" i="12" s="1"/>
  <c r="O23" i="12" s="1"/>
  <c r="Z35" i="12"/>
  <c r="AB44" i="12"/>
  <c r="AB46" i="12"/>
  <c r="AC46" i="12" s="1"/>
  <c r="AC21" i="13"/>
  <c r="Q32" i="13"/>
  <c r="S32" i="13" s="1"/>
  <c r="Z35" i="13"/>
  <c r="AL36" i="13"/>
  <c r="AN36" i="13" s="1"/>
  <c r="AL38" i="13"/>
  <c r="AI44" i="13"/>
  <c r="AQ44" i="13"/>
  <c r="AI46" i="13"/>
  <c r="X22" i="14"/>
  <c r="Z22" i="14" s="1"/>
  <c r="AL31" i="14"/>
  <c r="AN31" i="14" s="1"/>
  <c r="AL32" i="16"/>
  <c r="AN32" i="16" s="1"/>
  <c r="D162" i="5"/>
  <c r="D162" i="6"/>
  <c r="X15" i="9"/>
  <c r="Z15" i="9" s="1"/>
  <c r="Q16" i="9"/>
  <c r="S16" i="9" s="1"/>
  <c r="J19" i="9"/>
  <c r="L19" i="9" s="1"/>
  <c r="F22" i="9"/>
  <c r="H22" i="9" s="1"/>
  <c r="O22" i="9" s="1"/>
  <c r="Q31" i="9"/>
  <c r="S31" i="9" s="1"/>
  <c r="J33" i="9"/>
  <c r="L33" i="9" s="1"/>
  <c r="F34" i="9"/>
  <c r="H34" i="9" s="1"/>
  <c r="AE36" i="9"/>
  <c r="AG36" i="9" s="1"/>
  <c r="Q42" i="9"/>
  <c r="N48" i="9"/>
  <c r="J15" i="10"/>
  <c r="L15" i="10" s="1"/>
  <c r="AL21" i="10"/>
  <c r="AN21" i="10" s="1"/>
  <c r="AE21" i="10"/>
  <c r="AG21" i="10" s="1"/>
  <c r="J23" i="10"/>
  <c r="L23" i="10" s="1"/>
  <c r="Q28" i="10"/>
  <c r="S28" i="10" s="1"/>
  <c r="AE31" i="10"/>
  <c r="AG31" i="10" s="1"/>
  <c r="X32" i="10"/>
  <c r="Z32" i="10" s="1"/>
  <c r="L35" i="10"/>
  <c r="J39" i="10"/>
  <c r="L39" i="10" s="1"/>
  <c r="F41" i="10"/>
  <c r="H41" i="10" s="1"/>
  <c r="L44" i="10"/>
  <c r="J35" i="10"/>
  <c r="AP44" i="10"/>
  <c r="AQ44" i="10" s="1"/>
  <c r="AB45" i="10"/>
  <c r="AC45" i="10" s="1"/>
  <c r="V46" i="10"/>
  <c r="R48" i="11"/>
  <c r="S48" i="11" s="1"/>
  <c r="Y47" i="11"/>
  <c r="Z47" i="11" s="1"/>
  <c r="G47" i="11"/>
  <c r="H47" i="11" s="1"/>
  <c r="AM48" i="11"/>
  <c r="AN48" i="11" s="1"/>
  <c r="AM47" i="11"/>
  <c r="AN47" i="11" s="1"/>
  <c r="AF47" i="11"/>
  <c r="AG47" i="11" s="1"/>
  <c r="Y48" i="11"/>
  <c r="Z48" i="11" s="1"/>
  <c r="G48" i="11"/>
  <c r="H48" i="11" s="1"/>
  <c r="O48" i="11" s="1"/>
  <c r="K47" i="11"/>
  <c r="L47" i="11" s="1"/>
  <c r="X16" i="11"/>
  <c r="Z16" i="11" s="1"/>
  <c r="Q17" i="11"/>
  <c r="S17" i="11" s="1"/>
  <c r="AL18" i="11"/>
  <c r="AN18" i="11" s="1"/>
  <c r="Q43" i="11"/>
  <c r="S43" i="11" s="1"/>
  <c r="AL15" i="12"/>
  <c r="AN15" i="12" s="1"/>
  <c r="X26" i="12"/>
  <c r="Z26" i="12" s="1"/>
  <c r="AJ48" i="12"/>
  <c r="J18" i="13"/>
  <c r="L18" i="13" s="1"/>
  <c r="F18" i="13"/>
  <c r="H18" i="13" s="1"/>
  <c r="O18" i="13" s="1"/>
  <c r="AL18" i="13"/>
  <c r="AN18" i="13" s="1"/>
  <c r="Q18" i="13"/>
  <c r="S18" i="13" s="1"/>
  <c r="AE18" i="13"/>
  <c r="AG18" i="13" s="1"/>
  <c r="X18" i="13"/>
  <c r="Z18" i="13" s="1"/>
  <c r="Q24" i="13"/>
  <c r="S24" i="13" s="1"/>
  <c r="S33" i="13"/>
  <c r="AG35" i="13"/>
  <c r="AC45" i="13"/>
  <c r="AB45" i="13"/>
  <c r="U45" i="13"/>
  <c r="V45" i="13" s="1"/>
  <c r="AL35" i="13"/>
  <c r="AN35" i="13" s="1"/>
  <c r="AP35" i="13" s="1"/>
  <c r="J18" i="14"/>
  <c r="L18" i="14" s="1"/>
  <c r="U21" i="14"/>
  <c r="AC21" i="14"/>
  <c r="Q24" i="14"/>
  <c r="S24" i="14" s="1"/>
  <c r="AL24" i="14"/>
  <c r="AN24" i="14" s="1"/>
  <c r="AE24" i="14"/>
  <c r="AG24" i="14" s="1"/>
  <c r="J24" i="14"/>
  <c r="L24" i="14" s="1"/>
  <c r="F24" i="14"/>
  <c r="H24" i="14" s="1"/>
  <c r="O24" i="14" s="1"/>
  <c r="J59" i="14"/>
  <c r="AE38" i="15"/>
  <c r="AG38" i="15" s="1"/>
  <c r="AI37" i="3"/>
  <c r="A127" i="2"/>
  <c r="A409" i="2"/>
  <c r="AL20" i="9"/>
  <c r="AN20" i="9" s="1"/>
  <c r="X22" i="9"/>
  <c r="Z22" i="9" s="1"/>
  <c r="J24" i="9"/>
  <c r="L24" i="9" s="1"/>
  <c r="J27" i="9"/>
  <c r="L27" i="9" s="1"/>
  <c r="F28" i="9"/>
  <c r="H28" i="9" s="1"/>
  <c r="O28" i="9" s="1"/>
  <c r="F36" i="9"/>
  <c r="H36" i="9" s="1"/>
  <c r="X36" i="9"/>
  <c r="Z36" i="9" s="1"/>
  <c r="AL42" i="9"/>
  <c r="AN42" i="9" s="1"/>
  <c r="AJ47" i="9"/>
  <c r="X18" i="10"/>
  <c r="Z18" i="10" s="1"/>
  <c r="F18" i="10"/>
  <c r="H18" i="10" s="1"/>
  <c r="O18" i="10" s="1"/>
  <c r="Q18" i="10"/>
  <c r="S18" i="10" s="1"/>
  <c r="AE18" i="10"/>
  <c r="AG18" i="10" s="1"/>
  <c r="X22" i="10"/>
  <c r="Z22" i="10" s="1"/>
  <c r="F24" i="10"/>
  <c r="H24" i="10" s="1"/>
  <c r="O24" i="10" s="1"/>
  <c r="AN24" i="10"/>
  <c r="AE26" i="10"/>
  <c r="AG26" i="10" s="1"/>
  <c r="X27" i="10"/>
  <c r="Z27" i="10" s="1"/>
  <c r="N46" i="10"/>
  <c r="AE15" i="11"/>
  <c r="AG15" i="11" s="1"/>
  <c r="AG24" i="11"/>
  <c r="F42" i="11"/>
  <c r="AC44" i="11"/>
  <c r="AL35" i="11"/>
  <c r="AN35" i="11" s="1"/>
  <c r="AP35" i="11" s="1"/>
  <c r="AQ35" i="11" s="1"/>
  <c r="AB46" i="11"/>
  <c r="AC46" i="11" s="1"/>
  <c r="AI46" i="11"/>
  <c r="AJ46" i="11" s="1"/>
  <c r="J20" i="12"/>
  <c r="L20" i="12" s="1"/>
  <c r="X20" i="12"/>
  <c r="Z20" i="12" s="1"/>
  <c r="F20" i="12"/>
  <c r="H20" i="12" s="1"/>
  <c r="O20" i="12" s="1"/>
  <c r="Q20" i="12"/>
  <c r="S20" i="12" s="1"/>
  <c r="AE20" i="12"/>
  <c r="AG20" i="12" s="1"/>
  <c r="AN28" i="12"/>
  <c r="F39" i="12"/>
  <c r="Q41" i="12"/>
  <c r="S41" i="12" s="1"/>
  <c r="AQ46" i="12"/>
  <c r="AI46" i="12"/>
  <c r="AJ46" i="12" s="1"/>
  <c r="Q25" i="13"/>
  <c r="S25" i="13" s="1"/>
  <c r="S26" i="13"/>
  <c r="X41" i="13"/>
  <c r="Z41" i="13" s="1"/>
  <c r="F43" i="13"/>
  <c r="H43" i="13" s="1"/>
  <c r="AE43" i="13"/>
  <c r="AG43" i="13" s="1"/>
  <c r="J43" i="13"/>
  <c r="L43" i="13" s="1"/>
  <c r="AL43" i="13"/>
  <c r="AN43" i="13" s="1"/>
  <c r="Q43" i="13"/>
  <c r="S43" i="13" s="1"/>
  <c r="X26" i="14"/>
  <c r="Z26" i="14" s="1"/>
  <c r="A314" i="2"/>
  <c r="A457" i="2"/>
  <c r="F20" i="9"/>
  <c r="H20" i="9" s="1"/>
  <c r="O20" i="9" s="1"/>
  <c r="AL25" i="9"/>
  <c r="AN25" i="9" s="1"/>
  <c r="AP25" i="9" s="1"/>
  <c r="AL31" i="9"/>
  <c r="AN31" i="9" s="1"/>
  <c r="AP31" i="9" s="1"/>
  <c r="Q32" i="9"/>
  <c r="S32" i="9" s="1"/>
  <c r="J34" i="9"/>
  <c r="AE34" i="9"/>
  <c r="AG34" i="9" s="1"/>
  <c r="X38" i="9"/>
  <c r="Z38" i="9" s="1"/>
  <c r="AC45" i="9"/>
  <c r="Q16" i="10"/>
  <c r="S16" i="10" s="1"/>
  <c r="AE16" i="10"/>
  <c r="AG16" i="10" s="1"/>
  <c r="X19" i="10"/>
  <c r="Z19" i="10" s="1"/>
  <c r="AL25" i="10"/>
  <c r="AN25" i="10" s="1"/>
  <c r="X33" i="10"/>
  <c r="Z33" i="10" s="1"/>
  <c r="Q41" i="10"/>
  <c r="Q42" i="10"/>
  <c r="U46" i="10"/>
  <c r="AC46" i="10"/>
  <c r="J17" i="11"/>
  <c r="L17" i="11" s="1"/>
  <c r="Q19" i="11"/>
  <c r="S19" i="11" s="1"/>
  <c r="AE23" i="11"/>
  <c r="AG23" i="11" s="1"/>
  <c r="AL34" i="11"/>
  <c r="AN34" i="11" s="1"/>
  <c r="AE36" i="11"/>
  <c r="AG36" i="11" s="1"/>
  <c r="AL38" i="11"/>
  <c r="R47" i="11"/>
  <c r="S47" i="11" s="1"/>
  <c r="J15" i="12"/>
  <c r="L15" i="12" s="1"/>
  <c r="AQ44" i="12"/>
  <c r="AI44" i="12"/>
  <c r="Q17" i="13"/>
  <c r="S17" i="13" s="1"/>
  <c r="V46" i="13"/>
  <c r="N46" i="13"/>
  <c r="O46" i="13" s="1"/>
  <c r="AL20" i="14"/>
  <c r="AN20" i="14" s="1"/>
  <c r="A315" i="2"/>
  <c r="J22" i="9"/>
  <c r="L22" i="9" s="1"/>
  <c r="AE27" i="9"/>
  <c r="AG27" i="9" s="1"/>
  <c r="F16" i="10"/>
  <c r="H16" i="10" s="1"/>
  <c r="O16" i="10" s="1"/>
  <c r="J18" i="10"/>
  <c r="L18" i="10" s="1"/>
  <c r="AL18" i="10"/>
  <c r="AN18" i="10" s="1"/>
  <c r="J25" i="10"/>
  <c r="L25" i="10" s="1"/>
  <c r="X28" i="10"/>
  <c r="Z28" i="10" s="1"/>
  <c r="AL31" i="10"/>
  <c r="AN31" i="10" s="1"/>
  <c r="Q31" i="10"/>
  <c r="S31" i="10" s="1"/>
  <c r="X31" i="10"/>
  <c r="Z31" i="10" s="1"/>
  <c r="F31" i="10"/>
  <c r="H31" i="10" s="1"/>
  <c r="O31" i="10" s="1"/>
  <c r="O45" i="10"/>
  <c r="AQ45" i="10"/>
  <c r="F59" i="10"/>
  <c r="Q18" i="11"/>
  <c r="S18" i="11" s="1"/>
  <c r="V21" i="11"/>
  <c r="AL41" i="11"/>
  <c r="AN41" i="11" s="1"/>
  <c r="V45" i="11"/>
  <c r="N45" i="11"/>
  <c r="O45" i="11" s="1"/>
  <c r="AP45" i="11"/>
  <c r="AQ45" i="11" s="1"/>
  <c r="J31" i="12"/>
  <c r="L31" i="12" s="1"/>
  <c r="X31" i="12"/>
  <c r="Z31" i="12" s="1"/>
  <c r="F31" i="12"/>
  <c r="H31" i="12" s="1"/>
  <c r="O31" i="12" s="1"/>
  <c r="AL31" i="12"/>
  <c r="AN31" i="12" s="1"/>
  <c r="Q31" i="12"/>
  <c r="S31" i="12" s="1"/>
  <c r="AE31" i="12"/>
  <c r="AG31" i="12" s="1"/>
  <c r="AL36" i="12"/>
  <c r="AN36" i="12" s="1"/>
  <c r="AL38" i="12"/>
  <c r="AN38" i="12" s="1"/>
  <c r="O44" i="12"/>
  <c r="AJ44" i="12"/>
  <c r="U45" i="12"/>
  <c r="V45" i="12" s="1"/>
  <c r="AP47" i="13"/>
  <c r="AQ47" i="13" s="1"/>
  <c r="AE19" i="13"/>
  <c r="AG19" i="13" s="1"/>
  <c r="AL28" i="13"/>
  <c r="AN28" i="13" s="1"/>
  <c r="F22" i="12"/>
  <c r="H22" i="12" s="1"/>
  <c r="O22" i="12" s="1"/>
  <c r="X22" i="12"/>
  <c r="Z22" i="12" s="1"/>
  <c r="X15" i="13"/>
  <c r="Z15" i="13" s="1"/>
  <c r="J25" i="13"/>
  <c r="L25" i="13" s="1"/>
  <c r="X27" i="13"/>
  <c r="Z27" i="13" s="1"/>
  <c r="F27" i="13"/>
  <c r="H27" i="13" s="1"/>
  <c r="O27" i="13" s="1"/>
  <c r="G47" i="13"/>
  <c r="H47" i="13" s="1"/>
  <c r="Y47" i="13"/>
  <c r="Z47" i="13" s="1"/>
  <c r="AI47" i="13" s="1"/>
  <c r="N46" i="14"/>
  <c r="O46" i="14" s="1"/>
  <c r="AE25" i="10"/>
  <c r="AG25" i="10" s="1"/>
  <c r="F39" i="10"/>
  <c r="H39" i="10" s="1"/>
  <c r="X39" i="10"/>
  <c r="Z39" i="10" s="1"/>
  <c r="AE42" i="10"/>
  <c r="AG42" i="10" s="1"/>
  <c r="AL17" i="11"/>
  <c r="AN17" i="11" s="1"/>
  <c r="F20" i="11"/>
  <c r="H20" i="11" s="1"/>
  <c r="O20" i="11" s="1"/>
  <c r="X20" i="11"/>
  <c r="Z20" i="11" s="1"/>
  <c r="X27" i="11"/>
  <c r="Z27" i="11" s="1"/>
  <c r="AE31" i="11"/>
  <c r="AG31" i="11" s="1"/>
  <c r="F36" i="11"/>
  <c r="H36" i="11" s="1"/>
  <c r="X36" i="11"/>
  <c r="Z36" i="11" s="1"/>
  <c r="AL26" i="12"/>
  <c r="AN26" i="12" s="1"/>
  <c r="AL30" i="12"/>
  <c r="AN30" i="12" s="1"/>
  <c r="AE33" i="12"/>
  <c r="AG33" i="12" s="1"/>
  <c r="AG35" i="12"/>
  <c r="AL42" i="12"/>
  <c r="AN42" i="12" s="1"/>
  <c r="AF47" i="12"/>
  <c r="AG47" i="12" s="1"/>
  <c r="F15" i="13"/>
  <c r="H15" i="13" s="1"/>
  <c r="F16" i="13"/>
  <c r="H16" i="13" s="1"/>
  <c r="O16" i="13" s="1"/>
  <c r="X16" i="13"/>
  <c r="Z16" i="13" s="1"/>
  <c r="AE20" i="13"/>
  <c r="AG20" i="13" s="1"/>
  <c r="X20" i="13"/>
  <c r="Z20" i="13" s="1"/>
  <c r="F25" i="13"/>
  <c r="H25" i="13" s="1"/>
  <c r="O25" i="13" s="1"/>
  <c r="AM42" i="13"/>
  <c r="AF48" i="13"/>
  <c r="AG48" i="13" s="1"/>
  <c r="X59" i="13"/>
  <c r="G48" i="14"/>
  <c r="H48" i="14" s="1"/>
  <c r="K47" i="14"/>
  <c r="L47" i="14" s="1"/>
  <c r="G47" i="14"/>
  <c r="H47" i="14" s="1"/>
  <c r="AF48" i="14"/>
  <c r="AG48" i="14" s="1"/>
  <c r="AM47" i="14"/>
  <c r="AN47" i="14" s="1"/>
  <c r="Y48" i="14"/>
  <c r="Z48" i="14" s="1"/>
  <c r="AF47" i="14"/>
  <c r="AG47" i="14" s="1"/>
  <c r="R48" i="14"/>
  <c r="S48" i="14" s="1"/>
  <c r="Y47" i="14"/>
  <c r="Z47" i="14" s="1"/>
  <c r="K48" i="14"/>
  <c r="L48" i="14" s="1"/>
  <c r="R47" i="14"/>
  <c r="S47" i="14" s="1"/>
  <c r="AM48" i="14"/>
  <c r="AN48" i="14" s="1"/>
  <c r="AP48" i="14" s="1"/>
  <c r="AN23" i="14"/>
  <c r="AF39" i="10"/>
  <c r="AF34" i="10"/>
  <c r="J32" i="11"/>
  <c r="L32" i="11" s="1"/>
  <c r="S33" i="11"/>
  <c r="Q41" i="11"/>
  <c r="X15" i="12"/>
  <c r="Z15" i="12" s="1"/>
  <c r="AE38" i="12"/>
  <c r="AG38" i="12" s="1"/>
  <c r="K48" i="12"/>
  <c r="L48" i="12" s="1"/>
  <c r="X17" i="13"/>
  <c r="Z17" i="13" s="1"/>
  <c r="X21" i="13"/>
  <c r="Z21" i="13" s="1"/>
  <c r="AE21" i="13"/>
  <c r="AG21" i="13" s="1"/>
  <c r="AE16" i="14"/>
  <c r="AG16" i="14" s="1"/>
  <c r="Q17" i="14"/>
  <c r="S17" i="14" s="1"/>
  <c r="X17" i="14"/>
  <c r="Z17" i="14" s="1"/>
  <c r="X18" i="14"/>
  <c r="Z18" i="14" s="1"/>
  <c r="F18" i="14"/>
  <c r="H18" i="14" s="1"/>
  <c r="O18" i="14" s="1"/>
  <c r="AL18" i="14"/>
  <c r="AN18" i="14" s="1"/>
  <c r="AP18" i="14" s="1"/>
  <c r="AB45" i="14"/>
  <c r="AJ45" i="14"/>
  <c r="AL15" i="16"/>
  <c r="AN15" i="16" s="1"/>
  <c r="R41" i="10"/>
  <c r="AI45" i="10"/>
  <c r="AJ45" i="10" s="1"/>
  <c r="F17" i="11"/>
  <c r="H17" i="11" s="1"/>
  <c r="O17" i="11" s="1"/>
  <c r="L19" i="11"/>
  <c r="U21" i="11"/>
  <c r="F32" i="11"/>
  <c r="H32" i="11" s="1"/>
  <c r="X32" i="11"/>
  <c r="Z32" i="11" s="1"/>
  <c r="F41" i="11"/>
  <c r="H41" i="11" s="1"/>
  <c r="X41" i="11"/>
  <c r="Z41" i="11" s="1"/>
  <c r="L44" i="11"/>
  <c r="F15" i="12"/>
  <c r="H15" i="12" s="1"/>
  <c r="N21" i="12"/>
  <c r="O21" i="12" s="1"/>
  <c r="J22" i="12"/>
  <c r="L22" i="12" s="1"/>
  <c r="F26" i="12"/>
  <c r="H26" i="12" s="1"/>
  <c r="O26" i="12" s="1"/>
  <c r="F30" i="12"/>
  <c r="H30" i="12" s="1"/>
  <c r="F38" i="12"/>
  <c r="H38" i="12" s="1"/>
  <c r="X38" i="12"/>
  <c r="Z38" i="12" s="1"/>
  <c r="U46" i="12"/>
  <c r="AF48" i="12"/>
  <c r="AG48" i="12" s="1"/>
  <c r="F17" i="13"/>
  <c r="H17" i="13" s="1"/>
  <c r="O17" i="13" s="1"/>
  <c r="J27" i="13"/>
  <c r="L27" i="13" s="1"/>
  <c r="AE27" i="13"/>
  <c r="AG27" i="13" s="1"/>
  <c r="K47" i="13"/>
  <c r="L47" i="13" s="1"/>
  <c r="F16" i="14"/>
  <c r="H16" i="14" s="1"/>
  <c r="O16" i="14" s="1"/>
  <c r="F17" i="14"/>
  <c r="H17" i="14" s="1"/>
  <c r="O17" i="14" s="1"/>
  <c r="X27" i="14"/>
  <c r="Z27" i="14" s="1"/>
  <c r="Q15" i="10"/>
  <c r="S15" i="10" s="1"/>
  <c r="Q24" i="10"/>
  <c r="S24" i="10" s="1"/>
  <c r="J27" i="10"/>
  <c r="L27" i="10" s="1"/>
  <c r="Q34" i="10"/>
  <c r="S34" i="10" s="1"/>
  <c r="X36" i="10"/>
  <c r="Z36" i="10" s="1"/>
  <c r="R42" i="10"/>
  <c r="X24" i="11"/>
  <c r="Z24" i="11" s="1"/>
  <c r="J27" i="11"/>
  <c r="L27" i="11" s="1"/>
  <c r="J31" i="11"/>
  <c r="L31" i="11" s="1"/>
  <c r="AM38" i="11"/>
  <c r="Q39" i="11"/>
  <c r="S39" i="11" s="1"/>
  <c r="J42" i="11"/>
  <c r="L42" i="11" s="1"/>
  <c r="F59" i="11"/>
  <c r="Q16" i="12"/>
  <c r="S16" i="12" s="1"/>
  <c r="AE22" i="12"/>
  <c r="AG22" i="12" s="1"/>
  <c r="AE25" i="12"/>
  <c r="AG25" i="12" s="1"/>
  <c r="Q28" i="12"/>
  <c r="S28" i="12" s="1"/>
  <c r="J33" i="12"/>
  <c r="L33" i="12" s="1"/>
  <c r="AM35" i="12"/>
  <c r="AN35" i="12" s="1"/>
  <c r="AP35" i="12" s="1"/>
  <c r="Q36" i="12"/>
  <c r="S36" i="12" s="1"/>
  <c r="X39" i="12"/>
  <c r="Z39" i="12" s="1"/>
  <c r="AC45" i="12"/>
  <c r="AM47" i="12"/>
  <c r="AN47" i="12" s="1"/>
  <c r="AE15" i="13"/>
  <c r="AG15" i="13" s="1"/>
  <c r="AE16" i="13"/>
  <c r="AG16" i="13" s="1"/>
  <c r="J20" i="13"/>
  <c r="L20" i="13" s="1"/>
  <c r="AM38" i="13"/>
  <c r="Y42" i="13"/>
  <c r="X15" i="14"/>
  <c r="Z15" i="14" s="1"/>
  <c r="F15" i="14"/>
  <c r="H15" i="14" s="1"/>
  <c r="AL15" i="14"/>
  <c r="AN15" i="14" s="1"/>
  <c r="J16" i="14"/>
  <c r="L16" i="14" s="1"/>
  <c r="J17" i="14"/>
  <c r="L17" i="14" s="1"/>
  <c r="AE17" i="14"/>
  <c r="AG17" i="14" s="1"/>
  <c r="Q19" i="14"/>
  <c r="S19" i="14" s="1"/>
  <c r="F31" i="14"/>
  <c r="H31" i="14" s="1"/>
  <c r="X31" i="14"/>
  <c r="Z31" i="14" s="1"/>
  <c r="J31" i="14"/>
  <c r="L31" i="14" s="1"/>
  <c r="V31" i="14" s="1"/>
  <c r="AE31" i="14"/>
  <c r="AG31" i="14" s="1"/>
  <c r="K34" i="9"/>
  <c r="Q22" i="10"/>
  <c r="S22" i="10" s="1"/>
  <c r="Q26" i="10"/>
  <c r="S26" i="10" s="1"/>
  <c r="J32" i="10"/>
  <c r="L32" i="10" s="1"/>
  <c r="AL34" i="10"/>
  <c r="AN34" i="10" s="1"/>
  <c r="AF35" i="10"/>
  <c r="AG35" i="10" s="1"/>
  <c r="J36" i="10"/>
  <c r="L36" i="10" s="1"/>
  <c r="R38" i="10"/>
  <c r="AM42" i="10"/>
  <c r="Q43" i="10"/>
  <c r="S43" i="10" s="1"/>
  <c r="Q16" i="11"/>
  <c r="S16" i="11" s="1"/>
  <c r="AL22" i="11"/>
  <c r="AN22" i="11" s="1"/>
  <c r="J24" i="11"/>
  <c r="L24" i="11" s="1"/>
  <c r="AL25" i="11"/>
  <c r="AN25" i="11" s="1"/>
  <c r="AE27" i="11"/>
  <c r="AG27" i="11" s="1"/>
  <c r="AE32" i="11"/>
  <c r="AG32" i="11" s="1"/>
  <c r="Z42" i="11"/>
  <c r="J23" i="12"/>
  <c r="L23" i="12" s="1"/>
  <c r="Q25" i="12"/>
  <c r="S25" i="12" s="1"/>
  <c r="F35" i="12"/>
  <c r="H35" i="12" s="1"/>
  <c r="AG45" i="12"/>
  <c r="AP45" i="12" s="1"/>
  <c r="Q27" i="13"/>
  <c r="S27" i="13" s="1"/>
  <c r="AL27" i="13"/>
  <c r="AN27" i="13" s="1"/>
  <c r="R47" i="13"/>
  <c r="S47" i="13" s="1"/>
  <c r="AE15" i="14"/>
  <c r="AG15" i="14" s="1"/>
  <c r="AE22" i="14"/>
  <c r="AG22" i="14" s="1"/>
  <c r="Q22" i="14"/>
  <c r="S22" i="14" s="1"/>
  <c r="S35" i="14"/>
  <c r="AB35" i="14" s="1"/>
  <c r="U48" i="15"/>
  <c r="AL27" i="15"/>
  <c r="AN27" i="15" s="1"/>
  <c r="Q39" i="10"/>
  <c r="S39" i="10" s="1"/>
  <c r="J15" i="11"/>
  <c r="L15" i="11" s="1"/>
  <c r="AE17" i="11"/>
  <c r="AG17" i="11" s="1"/>
  <c r="Q36" i="11"/>
  <c r="S36" i="11" s="1"/>
  <c r="AE41" i="11"/>
  <c r="AG41" i="11" s="1"/>
  <c r="AE15" i="12"/>
  <c r="AG15" i="12" s="1"/>
  <c r="Q22" i="12"/>
  <c r="S22" i="12" s="1"/>
  <c r="AE26" i="12"/>
  <c r="AG26" i="12" s="1"/>
  <c r="G47" i="12"/>
  <c r="H47" i="12" s="1"/>
  <c r="Y47" i="12"/>
  <c r="Z47" i="12" s="1"/>
  <c r="AM48" i="12"/>
  <c r="AN48" i="12" s="1"/>
  <c r="AP48" i="12" s="1"/>
  <c r="AE59" i="12"/>
  <c r="J41" i="13"/>
  <c r="Q16" i="14"/>
  <c r="S16" i="14" s="1"/>
  <c r="X21" i="15"/>
  <c r="Z21" i="15" s="1"/>
  <c r="F25" i="10"/>
  <c r="H25" i="10" s="1"/>
  <c r="O25" i="10" s="1"/>
  <c r="X25" i="10"/>
  <c r="Z25" i="10" s="1"/>
  <c r="Q27" i="10"/>
  <c r="S27" i="10" s="1"/>
  <c r="R35" i="10"/>
  <c r="S35" i="10" s="1"/>
  <c r="F42" i="10"/>
  <c r="H42" i="10" s="1"/>
  <c r="F15" i="11"/>
  <c r="H15" i="11" s="1"/>
  <c r="X15" i="11"/>
  <c r="Z15" i="11" s="1"/>
  <c r="Q20" i="11"/>
  <c r="S20" i="11" s="1"/>
  <c r="F22" i="11"/>
  <c r="H22" i="11" s="1"/>
  <c r="O22" i="11" s="1"/>
  <c r="X22" i="11"/>
  <c r="Z22" i="11" s="1"/>
  <c r="Q31" i="11"/>
  <c r="S31" i="11" s="1"/>
  <c r="AE23" i="12"/>
  <c r="AG23" i="12" s="1"/>
  <c r="AL25" i="12"/>
  <c r="AN25" i="12" s="1"/>
  <c r="AE28" i="12"/>
  <c r="AG28" i="12" s="1"/>
  <c r="AE30" i="12"/>
  <c r="AG30" i="12" s="1"/>
  <c r="Q33" i="12"/>
  <c r="S33" i="12" s="1"/>
  <c r="J36" i="12"/>
  <c r="L36" i="12" s="1"/>
  <c r="F59" i="12"/>
  <c r="K48" i="13"/>
  <c r="L48" i="13" s="1"/>
  <c r="Y48" i="13"/>
  <c r="Z48" i="13" s="1"/>
  <c r="G48" i="13"/>
  <c r="H48" i="13" s="1"/>
  <c r="Q15" i="13"/>
  <c r="S15" i="13" s="1"/>
  <c r="AL15" i="13"/>
  <c r="AN15" i="13" s="1"/>
  <c r="Q16" i="13"/>
  <c r="S16" i="13" s="1"/>
  <c r="AL16" i="13"/>
  <c r="AN16" i="13" s="1"/>
  <c r="AL17" i="13"/>
  <c r="AN17" i="13" s="1"/>
  <c r="AL20" i="13"/>
  <c r="AN20" i="13" s="1"/>
  <c r="AL21" i="13"/>
  <c r="AN21" i="13" s="1"/>
  <c r="AL32" i="13"/>
  <c r="AN32" i="13" s="1"/>
  <c r="X32" i="13"/>
  <c r="Z32" i="13" s="1"/>
  <c r="X36" i="13"/>
  <c r="Z36" i="13" s="1"/>
  <c r="Q36" i="13"/>
  <c r="S36" i="13" s="1"/>
  <c r="AE36" i="13"/>
  <c r="AG36" i="13" s="1"/>
  <c r="F41" i="13"/>
  <c r="H41" i="13" s="1"/>
  <c r="K42" i="13"/>
  <c r="L44" i="13"/>
  <c r="R42" i="13"/>
  <c r="R35" i="13"/>
  <c r="S35" i="13" s="1"/>
  <c r="AL16" i="14"/>
  <c r="AN16" i="14" s="1"/>
  <c r="AL17" i="14"/>
  <c r="AN17" i="14" s="1"/>
  <c r="Q18" i="14"/>
  <c r="S18" i="14" s="1"/>
  <c r="AG23" i="14"/>
  <c r="Q26" i="14"/>
  <c r="S26" i="14" s="1"/>
  <c r="X31" i="16"/>
  <c r="Z31" i="16" s="1"/>
  <c r="AL31" i="17"/>
  <c r="AN31" i="17" s="1"/>
  <c r="F15" i="10"/>
  <c r="H15" i="10" s="1"/>
  <c r="J30" i="10"/>
  <c r="L30" i="10" s="1"/>
  <c r="F34" i="10"/>
  <c r="H34" i="10" s="1"/>
  <c r="F38" i="10"/>
  <c r="H38" i="10" s="1"/>
  <c r="X38" i="10"/>
  <c r="Z38" i="10" s="1"/>
  <c r="AE26" i="11"/>
  <c r="AG26" i="11" s="1"/>
  <c r="Q27" i="11"/>
  <c r="S27" i="11" s="1"/>
  <c r="AL30" i="11"/>
  <c r="AN30" i="11" s="1"/>
  <c r="Q32" i="11"/>
  <c r="S32" i="11" s="1"/>
  <c r="AL22" i="12"/>
  <c r="AN22" i="12" s="1"/>
  <c r="AL32" i="12"/>
  <c r="AN32" i="12" s="1"/>
  <c r="Q38" i="12"/>
  <c r="S38" i="12" s="1"/>
  <c r="J33" i="13"/>
  <c r="L33" i="13" s="1"/>
  <c r="X33" i="13"/>
  <c r="Z33" i="13" s="1"/>
  <c r="AE41" i="13"/>
  <c r="AG41" i="13" s="1"/>
  <c r="AE19" i="14"/>
  <c r="AG19" i="14" s="1"/>
  <c r="X19" i="14"/>
  <c r="Z19" i="14" s="1"/>
  <c r="AE20" i="14"/>
  <c r="AG20" i="14" s="1"/>
  <c r="J20" i="14"/>
  <c r="L20" i="14" s="1"/>
  <c r="AI35" i="14"/>
  <c r="AJ35" i="14" s="1"/>
  <c r="AL18" i="15"/>
  <c r="AN18" i="15" s="1"/>
  <c r="AE22" i="10"/>
  <c r="AG22" i="10" s="1"/>
  <c r="F26" i="10"/>
  <c r="H26" i="10" s="1"/>
  <c r="O26" i="10" s="1"/>
  <c r="F30" i="10"/>
  <c r="H30" i="10" s="1"/>
  <c r="X30" i="10"/>
  <c r="Z30" i="10" s="1"/>
  <c r="F43" i="10"/>
  <c r="H43" i="10" s="1"/>
  <c r="X43" i="10"/>
  <c r="Z43" i="10" s="1"/>
  <c r="F16" i="11"/>
  <c r="H16" i="11" s="1"/>
  <c r="O16" i="11" s="1"/>
  <c r="F19" i="11"/>
  <c r="H19" i="11" s="1"/>
  <c r="O19" i="11" s="1"/>
  <c r="AL20" i="11"/>
  <c r="AN20" i="11" s="1"/>
  <c r="AP20" i="11" s="1"/>
  <c r="F26" i="11"/>
  <c r="H26" i="11" s="1"/>
  <c r="O26" i="11" s="1"/>
  <c r="X26" i="11"/>
  <c r="Z26" i="11" s="1"/>
  <c r="AL31" i="11"/>
  <c r="AN31" i="11" s="1"/>
  <c r="F35" i="11"/>
  <c r="Q15" i="12"/>
  <c r="S15" i="12" s="1"/>
  <c r="AL33" i="12"/>
  <c r="AN33" i="12" s="1"/>
  <c r="F41" i="12"/>
  <c r="H41" i="12" s="1"/>
  <c r="K47" i="12"/>
  <c r="L47" i="12" s="1"/>
  <c r="U47" i="12" s="1"/>
  <c r="G48" i="12"/>
  <c r="H48" i="12" s="1"/>
  <c r="O48" i="12" s="1"/>
  <c r="AL24" i="13"/>
  <c r="AN24" i="13" s="1"/>
  <c r="AP24" i="13" s="1"/>
  <c r="X24" i="13"/>
  <c r="Z24" i="13" s="1"/>
  <c r="X25" i="13"/>
  <c r="Z25" i="13" s="1"/>
  <c r="F26" i="13"/>
  <c r="H26" i="13" s="1"/>
  <c r="O26" i="13" s="1"/>
  <c r="X26" i="13"/>
  <c r="Z26" i="13" s="1"/>
  <c r="AE28" i="13"/>
  <c r="AG28" i="13" s="1"/>
  <c r="X28" i="13"/>
  <c r="Z28" i="13" s="1"/>
  <c r="AL31" i="13"/>
  <c r="AN31" i="13" s="1"/>
  <c r="F33" i="13"/>
  <c r="H33" i="13" s="1"/>
  <c r="O33" i="13" s="1"/>
  <c r="K41" i="13"/>
  <c r="F19" i="14"/>
  <c r="H19" i="14" s="1"/>
  <c r="O19" i="14" s="1"/>
  <c r="F20" i="14"/>
  <c r="H20" i="14" s="1"/>
  <c r="O20" i="14" s="1"/>
  <c r="F28" i="14"/>
  <c r="H28" i="14" s="1"/>
  <c r="O28" i="14" s="1"/>
  <c r="X28" i="14"/>
  <c r="Z28" i="14" s="1"/>
  <c r="AL36" i="14"/>
  <c r="AN36" i="14" s="1"/>
  <c r="Q35" i="14"/>
  <c r="S44" i="14"/>
  <c r="X27" i="15"/>
  <c r="Z27" i="15" s="1"/>
  <c r="AN35" i="15"/>
  <c r="J59" i="15"/>
  <c r="X30" i="16"/>
  <c r="Z30" i="16" s="1"/>
  <c r="AL42" i="14"/>
  <c r="AN42" i="14" s="1"/>
  <c r="Q15" i="15"/>
  <c r="S15" i="15" s="1"/>
  <c r="J15" i="15"/>
  <c r="L15" i="15" s="1"/>
  <c r="F15" i="15"/>
  <c r="H15" i="15" s="1"/>
  <c r="AL15" i="15"/>
  <c r="AN15" i="15" s="1"/>
  <c r="AE15" i="15"/>
  <c r="AG15" i="15" s="1"/>
  <c r="J22" i="15"/>
  <c r="L22" i="15" s="1"/>
  <c r="X22" i="15"/>
  <c r="Z22" i="15" s="1"/>
  <c r="F22" i="15"/>
  <c r="H22" i="15" s="1"/>
  <c r="O22" i="15" s="1"/>
  <c r="Q22" i="15"/>
  <c r="S22" i="15" s="1"/>
  <c r="AL22" i="15"/>
  <c r="AN22" i="15" s="1"/>
  <c r="F36" i="15"/>
  <c r="H36" i="15" s="1"/>
  <c r="X36" i="15"/>
  <c r="Z36" i="15" s="1"/>
  <c r="AL36" i="15"/>
  <c r="AN36" i="15" s="1"/>
  <c r="Q36" i="15"/>
  <c r="S36" i="15" s="1"/>
  <c r="J36" i="15"/>
  <c r="L36" i="15" s="1"/>
  <c r="K47" i="15"/>
  <c r="L47" i="15" s="1"/>
  <c r="AE15" i="16"/>
  <c r="AG15" i="16" s="1"/>
  <c r="X15" i="16"/>
  <c r="Z15" i="16" s="1"/>
  <c r="F15" i="16"/>
  <c r="H15" i="16" s="1"/>
  <c r="Q15" i="16"/>
  <c r="S15" i="16" s="1"/>
  <c r="AI44" i="16"/>
  <c r="AJ44" i="16" s="1"/>
  <c r="U21" i="18"/>
  <c r="AC21" i="18"/>
  <c r="AI45" i="14"/>
  <c r="Q16" i="15"/>
  <c r="S16" i="15" s="1"/>
  <c r="V21" i="15"/>
  <c r="N21" i="15"/>
  <c r="O21" i="15" s="1"/>
  <c r="N45" i="15"/>
  <c r="O45" i="15" s="1"/>
  <c r="K48" i="15"/>
  <c r="L48" i="15" s="1"/>
  <c r="AL20" i="16"/>
  <c r="AN20" i="16" s="1"/>
  <c r="AL21" i="16"/>
  <c r="AN21" i="16" s="1"/>
  <c r="G39" i="12"/>
  <c r="G34" i="12"/>
  <c r="Q22" i="13"/>
  <c r="S22" i="13" s="1"/>
  <c r="AL34" i="13"/>
  <c r="AN34" i="13" s="1"/>
  <c r="AE35" i="13"/>
  <c r="J28" i="14"/>
  <c r="L28" i="14" s="1"/>
  <c r="F35" i="14"/>
  <c r="H35" i="14" s="1"/>
  <c r="AL43" i="14"/>
  <c r="AN43" i="14" s="1"/>
  <c r="N45" i="14"/>
  <c r="O45" i="14" s="1"/>
  <c r="U46" i="14"/>
  <c r="V46" i="14" s="1"/>
  <c r="AC46" i="14"/>
  <c r="Q17" i="15"/>
  <c r="S17" i="15" s="1"/>
  <c r="AC21" i="15"/>
  <c r="U21" i="15"/>
  <c r="AL33" i="15"/>
  <c r="AN33" i="15" s="1"/>
  <c r="AL34" i="15"/>
  <c r="AC44" i="15"/>
  <c r="U44" i="15"/>
  <c r="AP45" i="15"/>
  <c r="AQ45" i="15" s="1"/>
  <c r="AB46" i="15"/>
  <c r="J15" i="16"/>
  <c r="L15" i="16" s="1"/>
  <c r="X18" i="16"/>
  <c r="Z18" i="16" s="1"/>
  <c r="AL18" i="16"/>
  <c r="AN18" i="16" s="1"/>
  <c r="AE18" i="16"/>
  <c r="AG18" i="16" s="1"/>
  <c r="J18" i="16"/>
  <c r="L18" i="16" s="1"/>
  <c r="F18" i="16"/>
  <c r="H18" i="16" s="1"/>
  <c r="O18" i="16" s="1"/>
  <c r="Q18" i="16"/>
  <c r="S18" i="16" s="1"/>
  <c r="AL21" i="14"/>
  <c r="AN21" i="14" s="1"/>
  <c r="J25" i="14"/>
  <c r="L25" i="14" s="1"/>
  <c r="AP45" i="14"/>
  <c r="AQ45" i="14" s="1"/>
  <c r="J18" i="15"/>
  <c r="L18" i="15" s="1"/>
  <c r="X18" i="15"/>
  <c r="Z18" i="15" s="1"/>
  <c r="Q18" i="15"/>
  <c r="S18" i="15" s="1"/>
  <c r="F18" i="15"/>
  <c r="H18" i="15" s="1"/>
  <c r="O18" i="15" s="1"/>
  <c r="X23" i="15"/>
  <c r="Z23" i="15" s="1"/>
  <c r="F23" i="15"/>
  <c r="H23" i="15" s="1"/>
  <c r="O23" i="15" s="1"/>
  <c r="AL23" i="15"/>
  <c r="AN23" i="15" s="1"/>
  <c r="Q23" i="15"/>
  <c r="S23" i="15" s="1"/>
  <c r="AE23" i="15"/>
  <c r="AG23" i="15" s="1"/>
  <c r="V44" i="15"/>
  <c r="AL17" i="16"/>
  <c r="AN17" i="16" s="1"/>
  <c r="Q17" i="16"/>
  <c r="S17" i="16" s="1"/>
  <c r="AE17" i="16"/>
  <c r="AG17" i="16" s="1"/>
  <c r="J17" i="16"/>
  <c r="L17" i="16" s="1"/>
  <c r="F17" i="16"/>
  <c r="H17" i="16" s="1"/>
  <c r="O17" i="16" s="1"/>
  <c r="AI35" i="16"/>
  <c r="AJ35" i="16" s="1"/>
  <c r="Q27" i="14"/>
  <c r="S27" i="14" s="1"/>
  <c r="AE28" i="14"/>
  <c r="AG28" i="14" s="1"/>
  <c r="Q32" i="14"/>
  <c r="S32" i="14" s="1"/>
  <c r="X32" i="14"/>
  <c r="Z32" i="14" s="1"/>
  <c r="AL34" i="14"/>
  <c r="AN34" i="14" s="1"/>
  <c r="AL38" i="14"/>
  <c r="AN38" i="14" s="1"/>
  <c r="AE59" i="14"/>
  <c r="Y47" i="15"/>
  <c r="Z47" i="15" s="1"/>
  <c r="V21" i="16"/>
  <c r="N21" i="16"/>
  <c r="O21" i="16" s="1"/>
  <c r="AL19" i="13"/>
  <c r="AN19" i="13" s="1"/>
  <c r="J23" i="13"/>
  <c r="L23" i="13" s="1"/>
  <c r="F31" i="13"/>
  <c r="H31" i="13" s="1"/>
  <c r="AL39" i="13"/>
  <c r="AN39" i="13" s="1"/>
  <c r="AN46" i="13"/>
  <c r="AP46" i="13" s="1"/>
  <c r="AQ46" i="13" s="1"/>
  <c r="J30" i="14"/>
  <c r="L30" i="14" s="1"/>
  <c r="F32" i="14"/>
  <c r="H32" i="14" s="1"/>
  <c r="J33" i="14"/>
  <c r="L33" i="14" s="1"/>
  <c r="X33" i="14"/>
  <c r="Z33" i="14" s="1"/>
  <c r="J35" i="14"/>
  <c r="L35" i="14" s="1"/>
  <c r="R39" i="14"/>
  <c r="R34" i="14"/>
  <c r="R41" i="14"/>
  <c r="R38" i="14"/>
  <c r="R42" i="14"/>
  <c r="J23" i="15"/>
  <c r="L23" i="15" s="1"/>
  <c r="J43" i="15"/>
  <c r="L43" i="15" s="1"/>
  <c r="X43" i="15"/>
  <c r="Z43" i="15" s="1"/>
  <c r="AE43" i="15"/>
  <c r="AG43" i="15" s="1"/>
  <c r="F43" i="15"/>
  <c r="H43" i="15" s="1"/>
  <c r="AL43" i="15"/>
  <c r="AN43" i="15" s="1"/>
  <c r="Q43" i="15"/>
  <c r="S43" i="15" s="1"/>
  <c r="Q35" i="15"/>
  <c r="AI46" i="15"/>
  <c r="AJ46" i="15" s="1"/>
  <c r="Y35" i="15"/>
  <c r="Z35" i="15" s="1"/>
  <c r="Y41" i="15"/>
  <c r="Y39" i="15"/>
  <c r="Y38" i="15"/>
  <c r="AC46" i="17"/>
  <c r="U46" i="17"/>
  <c r="V46" i="17" s="1"/>
  <c r="U45" i="14"/>
  <c r="V45" i="14" s="1"/>
  <c r="AC45" i="14"/>
  <c r="X15" i="15"/>
  <c r="Z15" i="15" s="1"/>
  <c r="AE36" i="15"/>
  <c r="AG36" i="15" s="1"/>
  <c r="AB44" i="15"/>
  <c r="AN46" i="15"/>
  <c r="AP46" i="15" s="1"/>
  <c r="AQ46" i="15" s="1"/>
  <c r="AL35" i="15"/>
  <c r="AL37" i="37" s="1"/>
  <c r="AN37" i="37" s="1"/>
  <c r="O44" i="14"/>
  <c r="AI44" i="14"/>
  <c r="AJ44" i="14" s="1"/>
  <c r="AQ44" i="14"/>
  <c r="AI46" i="14"/>
  <c r="AJ46" i="14" s="1"/>
  <c r="AQ46" i="14"/>
  <c r="F20" i="15"/>
  <c r="H20" i="15" s="1"/>
  <c r="O20" i="15" s="1"/>
  <c r="Q27" i="15"/>
  <c r="S27" i="15" s="1"/>
  <c r="AE27" i="15"/>
  <c r="AG27" i="15" s="1"/>
  <c r="J27" i="15"/>
  <c r="L27" i="15" s="1"/>
  <c r="F27" i="15"/>
  <c r="H27" i="15" s="1"/>
  <c r="O27" i="15" s="1"/>
  <c r="F35" i="15"/>
  <c r="F37" i="37" s="1"/>
  <c r="AE35" i="15"/>
  <c r="AE37" i="37" s="1"/>
  <c r="AG37" i="37" s="1"/>
  <c r="U45" i="15"/>
  <c r="V45" i="15" s="1"/>
  <c r="AL59" i="15"/>
  <c r="AM39" i="15"/>
  <c r="AM34" i="15"/>
  <c r="AM42" i="15"/>
  <c r="AM41" i="15"/>
  <c r="X17" i="16"/>
  <c r="Z17" i="16" s="1"/>
  <c r="AP35" i="16"/>
  <c r="AQ35" i="16" s="1"/>
  <c r="AP46" i="16"/>
  <c r="AQ46" i="16" s="1"/>
  <c r="AI46" i="16"/>
  <c r="F41" i="14"/>
  <c r="H41" i="14" s="1"/>
  <c r="X41" i="14"/>
  <c r="Z41" i="14" s="1"/>
  <c r="AL21" i="15"/>
  <c r="AN21" i="15" s="1"/>
  <c r="X35" i="15"/>
  <c r="X37" i="37" s="1"/>
  <c r="AC21" i="16"/>
  <c r="U21" i="16"/>
  <c r="X24" i="16"/>
  <c r="Z24" i="16" s="1"/>
  <c r="Q26" i="16"/>
  <c r="S26" i="16" s="1"/>
  <c r="Q27" i="16"/>
  <c r="S27" i="16" s="1"/>
  <c r="N45" i="16"/>
  <c r="O45" i="16" s="1"/>
  <c r="F27" i="14"/>
  <c r="H27" i="14" s="1"/>
  <c r="O27" i="14" s="1"/>
  <c r="AL28" i="14"/>
  <c r="AN28" i="14" s="1"/>
  <c r="AE32" i="14"/>
  <c r="AG32" i="14" s="1"/>
  <c r="AL39" i="14"/>
  <c r="AN39" i="14" s="1"/>
  <c r="F59" i="14"/>
  <c r="Y48" i="15"/>
  <c r="Z48" i="15" s="1"/>
  <c r="AF47" i="15"/>
  <c r="AG47" i="15" s="1"/>
  <c r="AM48" i="15"/>
  <c r="AN48" i="15" s="1"/>
  <c r="AP48" i="15" s="1"/>
  <c r="G47" i="15"/>
  <c r="H47" i="15" s="1"/>
  <c r="AM47" i="15"/>
  <c r="AN47" i="15" s="1"/>
  <c r="R47" i="15"/>
  <c r="S47" i="15" s="1"/>
  <c r="AF48" i="15"/>
  <c r="AG48" i="15" s="1"/>
  <c r="G48" i="15"/>
  <c r="H48" i="15" s="1"/>
  <c r="O44" i="15"/>
  <c r="N46" i="15"/>
  <c r="O46" i="15" s="1"/>
  <c r="AL38" i="18"/>
  <c r="AN38" i="18" s="1"/>
  <c r="J38" i="14"/>
  <c r="L38" i="14" s="1"/>
  <c r="Q42" i="14"/>
  <c r="J43" i="14"/>
  <c r="L43" i="14" s="1"/>
  <c r="X20" i="15"/>
  <c r="Z20" i="15" s="1"/>
  <c r="Q39" i="15"/>
  <c r="S39" i="15" s="1"/>
  <c r="X39" i="15"/>
  <c r="X16" i="16"/>
  <c r="Z16" i="16" s="1"/>
  <c r="AE21" i="16"/>
  <c r="AG21" i="16" s="1"/>
  <c r="AL33" i="16"/>
  <c r="AN33" i="16" s="1"/>
  <c r="Q41" i="16"/>
  <c r="S41" i="16" s="1"/>
  <c r="N47" i="16"/>
  <c r="N48" i="16"/>
  <c r="X32" i="17"/>
  <c r="Z32" i="17" s="1"/>
  <c r="X38" i="19"/>
  <c r="X26" i="15"/>
  <c r="Z26" i="15" s="1"/>
  <c r="AE33" i="15"/>
  <c r="AG33" i="15" s="1"/>
  <c r="J34" i="15"/>
  <c r="L34" i="15" s="1"/>
  <c r="J38" i="15"/>
  <c r="L38" i="15" s="1"/>
  <c r="X38" i="15"/>
  <c r="F39" i="15"/>
  <c r="H39" i="15" s="1"/>
  <c r="J24" i="16"/>
  <c r="L24" i="16" s="1"/>
  <c r="AE24" i="16"/>
  <c r="AG24" i="16" s="1"/>
  <c r="F26" i="16"/>
  <c r="H26" i="16" s="1"/>
  <c r="O26" i="16" s="1"/>
  <c r="X26" i="16"/>
  <c r="Z26" i="16" s="1"/>
  <c r="AL27" i="16"/>
  <c r="AN27" i="16" s="1"/>
  <c r="AE30" i="16"/>
  <c r="AG30" i="16" s="1"/>
  <c r="X32" i="16"/>
  <c r="Z32" i="16" s="1"/>
  <c r="N35" i="16"/>
  <c r="AL59" i="16"/>
  <c r="X17" i="17"/>
  <c r="Z17" i="17" s="1"/>
  <c r="F17" i="17"/>
  <c r="H17" i="17" s="1"/>
  <c r="O17" i="17" s="1"/>
  <c r="AL17" i="17"/>
  <c r="AN17" i="17" s="1"/>
  <c r="Q17" i="17"/>
  <c r="S17" i="17" s="1"/>
  <c r="AE17" i="17"/>
  <c r="AG17" i="17" s="1"/>
  <c r="X18" i="17"/>
  <c r="Z18" i="17" s="1"/>
  <c r="AC45" i="17"/>
  <c r="AC44" i="18"/>
  <c r="U44" i="18"/>
  <c r="V44" i="18" s="1"/>
  <c r="Q38" i="16"/>
  <c r="AE38" i="16"/>
  <c r="AG38" i="16" s="1"/>
  <c r="X38" i="16"/>
  <c r="J38" i="16"/>
  <c r="L38" i="16" s="1"/>
  <c r="F38" i="16"/>
  <c r="H38" i="16" s="1"/>
  <c r="AF48" i="17"/>
  <c r="AG48" i="17" s="1"/>
  <c r="AM47" i="17"/>
  <c r="AN47" i="17" s="1"/>
  <c r="K48" i="17"/>
  <c r="L48" i="17" s="1"/>
  <c r="R47" i="17"/>
  <c r="S47" i="17" s="1"/>
  <c r="G48" i="17"/>
  <c r="H48" i="17" s="1"/>
  <c r="K47" i="17"/>
  <c r="L47" i="17" s="1"/>
  <c r="G47" i="17"/>
  <c r="H47" i="17" s="1"/>
  <c r="Y48" i="17"/>
  <c r="Z48" i="17" s="1"/>
  <c r="AF47" i="17"/>
  <c r="AG47" i="17" s="1"/>
  <c r="R48" i="17"/>
  <c r="S48" i="17" s="1"/>
  <c r="Y47" i="17"/>
  <c r="Z47" i="17" s="1"/>
  <c r="AM48" i="17"/>
  <c r="AN48" i="17" s="1"/>
  <c r="V21" i="19"/>
  <c r="U21" i="19"/>
  <c r="AE38" i="14"/>
  <c r="AG38" i="14" s="1"/>
  <c r="AE43" i="14"/>
  <c r="AG43" i="14" s="1"/>
  <c r="J28" i="15"/>
  <c r="L28" i="15" s="1"/>
  <c r="X28" i="15"/>
  <c r="Z28" i="15" s="1"/>
  <c r="X41" i="15"/>
  <c r="Q42" i="15"/>
  <c r="S42" i="15" s="1"/>
  <c r="AE42" i="15"/>
  <c r="AG42" i="15" s="1"/>
  <c r="X42" i="15"/>
  <c r="Z42" i="15" s="1"/>
  <c r="R35" i="16"/>
  <c r="S35" i="16" s="1"/>
  <c r="AB35" i="16" s="1"/>
  <c r="V21" i="18"/>
  <c r="N21" i="18"/>
  <c r="Q43" i="14"/>
  <c r="S43" i="14" s="1"/>
  <c r="AE30" i="15"/>
  <c r="AG30" i="15" s="1"/>
  <c r="Q33" i="15"/>
  <c r="S33" i="15" s="1"/>
  <c r="AE39" i="15"/>
  <c r="AG39" i="15" s="1"/>
  <c r="S46" i="15"/>
  <c r="Q19" i="16"/>
  <c r="S19" i="16" s="1"/>
  <c r="AE19" i="16"/>
  <c r="AG19" i="16" s="1"/>
  <c r="X19" i="16"/>
  <c r="Z19" i="16" s="1"/>
  <c r="AL28" i="16"/>
  <c r="AN28" i="16" s="1"/>
  <c r="AE32" i="16"/>
  <c r="AG32" i="16" s="1"/>
  <c r="J36" i="17"/>
  <c r="J23" i="18"/>
  <c r="L23" i="18" s="1"/>
  <c r="J20" i="16"/>
  <c r="L20" i="16" s="1"/>
  <c r="X20" i="16"/>
  <c r="Z20" i="16" s="1"/>
  <c r="AE26" i="16"/>
  <c r="AG26" i="16" s="1"/>
  <c r="AL30" i="16"/>
  <c r="AN30" i="16" s="1"/>
  <c r="Q31" i="16"/>
  <c r="S31" i="16" s="1"/>
  <c r="AE36" i="16"/>
  <c r="AG36" i="16" s="1"/>
  <c r="X36" i="16"/>
  <c r="Z36" i="16" s="1"/>
  <c r="F36" i="16"/>
  <c r="H36" i="16" s="1"/>
  <c r="AL36" i="16"/>
  <c r="AN36" i="16" s="1"/>
  <c r="Q36" i="16"/>
  <c r="S36" i="16" s="1"/>
  <c r="U45" i="16"/>
  <c r="V45" i="16" s="1"/>
  <c r="X21" i="17"/>
  <c r="Z21" i="17" s="1"/>
  <c r="J16" i="15"/>
  <c r="L16" i="15" s="1"/>
  <c r="X16" i="15"/>
  <c r="Z16" i="15" s="1"/>
  <c r="AL17" i="15"/>
  <c r="AN17" i="15" s="1"/>
  <c r="Q32" i="15"/>
  <c r="S32" i="15" s="1"/>
  <c r="AE32" i="15"/>
  <c r="O7" i="3" s="1"/>
  <c r="X32" i="15"/>
  <c r="Z32" i="15" s="1"/>
  <c r="AL39" i="15"/>
  <c r="Z45" i="15"/>
  <c r="J22" i="16"/>
  <c r="L22" i="16" s="1"/>
  <c r="X22" i="16"/>
  <c r="Z22" i="16" s="1"/>
  <c r="F23" i="16"/>
  <c r="H23" i="16" s="1"/>
  <c r="O23" i="16" s="1"/>
  <c r="AE27" i="16"/>
  <c r="AG27" i="16" s="1"/>
  <c r="AL31" i="16"/>
  <c r="AN31" i="16" s="1"/>
  <c r="J36" i="16"/>
  <c r="L36" i="16" s="1"/>
  <c r="Q43" i="16"/>
  <c r="S43" i="16" s="1"/>
  <c r="AE43" i="16"/>
  <c r="AG43" i="16" s="1"/>
  <c r="X43" i="16"/>
  <c r="Z43" i="16" s="1"/>
  <c r="J43" i="16"/>
  <c r="L43" i="16" s="1"/>
  <c r="AL43" i="16"/>
  <c r="AN43" i="16" s="1"/>
  <c r="F43" i="16"/>
  <c r="H43" i="16" s="1"/>
  <c r="F22" i="17"/>
  <c r="H22" i="17" s="1"/>
  <c r="O22" i="17" s="1"/>
  <c r="AL24" i="15"/>
  <c r="AN24" i="15" s="1"/>
  <c r="J33" i="15"/>
  <c r="L33" i="15" s="1"/>
  <c r="X33" i="15"/>
  <c r="Z33" i="15" s="1"/>
  <c r="Q34" i="15"/>
  <c r="S34" i="15" s="1"/>
  <c r="X34" i="15"/>
  <c r="Z34" i="15" s="1"/>
  <c r="F30" i="16"/>
  <c r="H30" i="16" s="1"/>
  <c r="AE34" i="16"/>
  <c r="AG34" i="16" s="1"/>
  <c r="F34" i="16"/>
  <c r="H34" i="16" s="1"/>
  <c r="AL38" i="16"/>
  <c r="AN38" i="16" s="1"/>
  <c r="N46" i="16"/>
  <c r="O46" i="16" s="1"/>
  <c r="S15" i="17"/>
  <c r="Q30" i="17"/>
  <c r="S30" i="17" s="1"/>
  <c r="AE30" i="17"/>
  <c r="AG30" i="17" s="1"/>
  <c r="J30" i="17"/>
  <c r="L30" i="17" s="1"/>
  <c r="X30" i="17"/>
  <c r="Z30" i="17" s="1"/>
  <c r="F30" i="17"/>
  <c r="H30" i="17" s="1"/>
  <c r="AL30" i="17"/>
  <c r="AN30" i="17" s="1"/>
  <c r="AL22" i="18"/>
  <c r="AN22" i="18" s="1"/>
  <c r="O35" i="16"/>
  <c r="R38" i="16"/>
  <c r="R42" i="16"/>
  <c r="R39" i="16"/>
  <c r="N45" i="17"/>
  <c r="U45" i="17"/>
  <c r="V45" i="17" s="1"/>
  <c r="AL16" i="18"/>
  <c r="AN16" i="18" s="1"/>
  <c r="X21" i="19"/>
  <c r="Z21" i="19" s="1"/>
  <c r="AE16" i="15"/>
  <c r="AG16" i="15" s="1"/>
  <c r="F19" i="15"/>
  <c r="H19" i="15" s="1"/>
  <c r="O19" i="15" s="1"/>
  <c r="AE25" i="15"/>
  <c r="AG25" i="15" s="1"/>
  <c r="Q28" i="15"/>
  <c r="S28" i="15" s="1"/>
  <c r="AL42" i="15"/>
  <c r="AG44" i="15"/>
  <c r="G41" i="15"/>
  <c r="G38" i="15"/>
  <c r="AE22" i="16"/>
  <c r="AG22" i="16" s="1"/>
  <c r="J23" i="16"/>
  <c r="L23" i="16" s="1"/>
  <c r="F25" i="16"/>
  <c r="H25" i="16" s="1"/>
  <c r="O25" i="16" s="1"/>
  <c r="J30" i="16"/>
  <c r="L30" i="16" s="1"/>
  <c r="F31" i="16"/>
  <c r="H31" i="16" s="1"/>
  <c r="O31" i="16" s="1"/>
  <c r="J39" i="16"/>
  <c r="L39" i="16" s="1"/>
  <c r="J42" i="16"/>
  <c r="L42" i="16" s="1"/>
  <c r="AI45" i="16"/>
  <c r="AQ45" i="16"/>
  <c r="U46" i="16"/>
  <c r="V46" i="16" s="1"/>
  <c r="J19" i="17"/>
  <c r="L19" i="17" s="1"/>
  <c r="U35" i="17"/>
  <c r="Q31" i="17"/>
  <c r="S31" i="17" s="1"/>
  <c r="AB46" i="17"/>
  <c r="X59" i="17"/>
  <c r="AL15" i="18"/>
  <c r="AN15" i="18" s="1"/>
  <c r="AL26" i="18"/>
  <c r="AN26" i="18" s="1"/>
  <c r="Q27" i="18"/>
  <c r="S27" i="18" s="1"/>
  <c r="J28" i="18"/>
  <c r="L28" i="18" s="1"/>
  <c r="X28" i="18"/>
  <c r="Z28" i="18" s="1"/>
  <c r="F28" i="18"/>
  <c r="H28" i="18" s="1"/>
  <c r="O28" i="18" s="1"/>
  <c r="Q28" i="18"/>
  <c r="S28" i="18" s="1"/>
  <c r="AE28" i="18"/>
  <c r="AG28" i="18" s="1"/>
  <c r="AB44" i="18"/>
  <c r="AB44" i="19"/>
  <c r="N46" i="19"/>
  <c r="AP46" i="19"/>
  <c r="AN23" i="21"/>
  <c r="J18" i="17"/>
  <c r="L18" i="17" s="1"/>
  <c r="AB35" i="17"/>
  <c r="AC35" i="17" s="1"/>
  <c r="Q20" i="18"/>
  <c r="S20" i="18" s="1"/>
  <c r="Y47" i="18"/>
  <c r="Z47" i="18" s="1"/>
  <c r="Y41" i="18"/>
  <c r="Y38" i="18"/>
  <c r="Y35" i="18"/>
  <c r="Z35" i="18" s="1"/>
  <c r="Y42" i="18"/>
  <c r="Y39" i="18"/>
  <c r="Y34" i="18"/>
  <c r="J35" i="19"/>
  <c r="L35" i="19" s="1"/>
  <c r="X17" i="20"/>
  <c r="Z17" i="20" s="1"/>
  <c r="N44" i="22"/>
  <c r="O44" i="22" s="1"/>
  <c r="AB47" i="22"/>
  <c r="N21" i="23"/>
  <c r="O21" i="23" s="1"/>
  <c r="AE23" i="17"/>
  <c r="AG23" i="17" s="1"/>
  <c r="Q33" i="17"/>
  <c r="S33" i="17" s="1"/>
  <c r="Q38" i="17"/>
  <c r="S38" i="17" s="1"/>
  <c r="J39" i="17"/>
  <c r="L39" i="17" s="1"/>
  <c r="AI44" i="17"/>
  <c r="AJ44" i="17" s="1"/>
  <c r="AE16" i="18"/>
  <c r="AG16" i="18" s="1"/>
  <c r="J16" i="18"/>
  <c r="F16" i="18"/>
  <c r="H16" i="18" s="1"/>
  <c r="O16" i="18" s="1"/>
  <c r="O46" i="18"/>
  <c r="AI46" i="18"/>
  <c r="AJ46" i="18" s="1"/>
  <c r="AQ46" i="18"/>
  <c r="X26" i="19"/>
  <c r="AL26" i="19"/>
  <c r="AN26" i="19" s="1"/>
  <c r="Q26" i="19"/>
  <c r="S26" i="19" s="1"/>
  <c r="AE26" i="19"/>
  <c r="AG26" i="19" s="1"/>
  <c r="J26" i="19"/>
  <c r="L26" i="19" s="1"/>
  <c r="F26" i="19"/>
  <c r="H26" i="19" s="1"/>
  <c r="O26" i="19" s="1"/>
  <c r="J34" i="19"/>
  <c r="L34" i="19" s="1"/>
  <c r="Y39" i="19"/>
  <c r="Y34" i="19"/>
  <c r="Y35" i="19"/>
  <c r="Z35" i="19" s="1"/>
  <c r="Y42" i="19"/>
  <c r="Y41" i="19"/>
  <c r="Y38" i="19"/>
  <c r="AG25" i="21"/>
  <c r="AC44" i="16"/>
  <c r="U44" i="16"/>
  <c r="V44" i="16" s="1"/>
  <c r="X15" i="17"/>
  <c r="Z15" i="17" s="1"/>
  <c r="X31" i="17"/>
  <c r="Z31" i="17" s="1"/>
  <c r="H46" i="17"/>
  <c r="AG46" i="17"/>
  <c r="G42" i="17"/>
  <c r="G39" i="17"/>
  <c r="G34" i="17"/>
  <c r="G35" i="17"/>
  <c r="H35" i="17" s="1"/>
  <c r="L15" i="18"/>
  <c r="X36" i="18"/>
  <c r="Z36" i="18" s="1"/>
  <c r="AQ44" i="18"/>
  <c r="AI44" i="18"/>
  <c r="AJ44" i="18" s="1"/>
  <c r="U45" i="18"/>
  <c r="AG35" i="20"/>
  <c r="X59" i="20"/>
  <c r="Q20" i="17"/>
  <c r="S20" i="17" s="1"/>
  <c r="AE20" i="17"/>
  <c r="AG20" i="17" s="1"/>
  <c r="X20" i="17"/>
  <c r="Z20" i="17" s="1"/>
  <c r="X24" i="17"/>
  <c r="Z24" i="17" s="1"/>
  <c r="AN35" i="17"/>
  <c r="AP35" i="17" s="1"/>
  <c r="V44" i="17"/>
  <c r="N44" i="17"/>
  <c r="O44" i="17" s="1"/>
  <c r="AP44" i="17"/>
  <c r="AQ44" i="17" s="1"/>
  <c r="K41" i="17"/>
  <c r="K38" i="17"/>
  <c r="K35" i="17"/>
  <c r="L35" i="17" s="1"/>
  <c r="K42" i="17"/>
  <c r="L16" i="18"/>
  <c r="F17" i="18"/>
  <c r="H17" i="18" s="1"/>
  <c r="O17" i="18" s="1"/>
  <c r="AL17" i="18"/>
  <c r="AN17" i="18" s="1"/>
  <c r="Q17" i="18"/>
  <c r="S17" i="18" s="1"/>
  <c r="AE17" i="18"/>
  <c r="AG17" i="18" s="1"/>
  <c r="J17" i="18"/>
  <c r="L17" i="18" s="1"/>
  <c r="AL21" i="18"/>
  <c r="AN21" i="18" s="1"/>
  <c r="AE30" i="18"/>
  <c r="AG30" i="18" s="1"/>
  <c r="AL39" i="18"/>
  <c r="AN39" i="18" s="1"/>
  <c r="AL42" i="18"/>
  <c r="AN42" i="18" s="1"/>
  <c r="Q42" i="18"/>
  <c r="S42" i="18" s="1"/>
  <c r="AE42" i="18"/>
  <c r="AG42" i="18" s="1"/>
  <c r="X42" i="18"/>
  <c r="F42" i="18"/>
  <c r="H42" i="18" s="1"/>
  <c r="AL39" i="19"/>
  <c r="AN39" i="19" s="1"/>
  <c r="Q39" i="19"/>
  <c r="S39" i="19" s="1"/>
  <c r="AE39" i="19"/>
  <c r="J39" i="19"/>
  <c r="L39" i="19" s="1"/>
  <c r="F39" i="19"/>
  <c r="H39" i="19" s="1"/>
  <c r="AN44" i="19"/>
  <c r="AP44" i="19" s="1"/>
  <c r="AQ44" i="19" s="1"/>
  <c r="AL35" i="19"/>
  <c r="AC46" i="19"/>
  <c r="U46" i="19"/>
  <c r="V46" i="19" s="1"/>
  <c r="N47" i="19"/>
  <c r="N21" i="21"/>
  <c r="O21" i="21" s="1"/>
  <c r="V21" i="21"/>
  <c r="U21" i="21"/>
  <c r="F38" i="23"/>
  <c r="H38" i="23" s="1"/>
  <c r="AL26" i="15"/>
  <c r="AN26" i="15" s="1"/>
  <c r="AL31" i="15"/>
  <c r="AN31" i="15" s="1"/>
  <c r="AL41" i="15"/>
  <c r="AL16" i="16"/>
  <c r="AN16" i="16" s="1"/>
  <c r="AB46" i="16"/>
  <c r="AC46" i="16" s="1"/>
  <c r="AJ46" i="16"/>
  <c r="F20" i="17"/>
  <c r="H20" i="17" s="1"/>
  <c r="O20" i="17" s="1"/>
  <c r="AL20" i="17"/>
  <c r="AN20" i="17" s="1"/>
  <c r="AC21" i="17"/>
  <c r="U21" i="17"/>
  <c r="Q25" i="17"/>
  <c r="S25" i="17" s="1"/>
  <c r="AE25" i="17"/>
  <c r="AG25" i="17" s="1"/>
  <c r="J25" i="17"/>
  <c r="L25" i="17" s="1"/>
  <c r="X25" i="17"/>
  <c r="Z25" i="17" s="1"/>
  <c r="F25" i="17"/>
  <c r="H25" i="17" s="1"/>
  <c r="O25" i="17" s="1"/>
  <c r="J34" i="17"/>
  <c r="L34" i="17" s="1"/>
  <c r="AL31" i="18"/>
  <c r="AN31" i="18" s="1"/>
  <c r="Q32" i="18"/>
  <c r="S32" i="18" s="1"/>
  <c r="J33" i="18"/>
  <c r="L33" i="18" s="1"/>
  <c r="X33" i="18"/>
  <c r="Z33" i="18" s="1"/>
  <c r="F33" i="18"/>
  <c r="H33" i="18" s="1"/>
  <c r="O33" i="18" s="1"/>
  <c r="Q33" i="18"/>
  <c r="S33" i="18" s="1"/>
  <c r="AE33" i="18"/>
  <c r="AG33" i="18" s="1"/>
  <c r="AL34" i="18"/>
  <c r="AN34" i="18" s="1"/>
  <c r="L35" i="18"/>
  <c r="S41" i="19"/>
  <c r="AI45" i="19"/>
  <c r="AJ45" i="19" s="1"/>
  <c r="AP45" i="19"/>
  <c r="AQ45" i="19" s="1"/>
  <c r="AI46" i="22"/>
  <c r="AJ45" i="17"/>
  <c r="AB45" i="17"/>
  <c r="AP46" i="17"/>
  <c r="Q16" i="18"/>
  <c r="S16" i="18" s="1"/>
  <c r="O21" i="18"/>
  <c r="J42" i="18"/>
  <c r="L42" i="18" s="1"/>
  <c r="J35" i="18"/>
  <c r="AL20" i="19"/>
  <c r="AN20" i="19" s="1"/>
  <c r="AE21" i="19"/>
  <c r="AG21" i="19" s="1"/>
  <c r="AL21" i="19"/>
  <c r="AN21" i="19" s="1"/>
  <c r="F32" i="19"/>
  <c r="H32" i="19" s="1"/>
  <c r="Q32" i="19"/>
  <c r="S32" i="19" s="1"/>
  <c r="AE32" i="19"/>
  <c r="AG32" i="19" s="1"/>
  <c r="J32" i="19"/>
  <c r="L32" i="19" s="1"/>
  <c r="X32" i="19"/>
  <c r="Z32" i="19" s="1"/>
  <c r="AL32" i="19"/>
  <c r="AN32" i="19" s="1"/>
  <c r="AG35" i="19"/>
  <c r="X30" i="20"/>
  <c r="Z30" i="20" s="1"/>
  <c r="AL36" i="21"/>
  <c r="AN36" i="21" s="1"/>
  <c r="R48" i="16"/>
  <c r="S48" i="16" s="1"/>
  <c r="Y47" i="16"/>
  <c r="Z47" i="16" s="1"/>
  <c r="G47" i="16"/>
  <c r="H47" i="16" s="1"/>
  <c r="AF48" i="16"/>
  <c r="AG48" i="16" s="1"/>
  <c r="AM47" i="16"/>
  <c r="AN47" i="16" s="1"/>
  <c r="G48" i="16"/>
  <c r="H48" i="16" s="1"/>
  <c r="AM48" i="16"/>
  <c r="AN48" i="16" s="1"/>
  <c r="AP48" i="16" s="1"/>
  <c r="R47" i="16"/>
  <c r="S47" i="16" s="1"/>
  <c r="Q16" i="17"/>
  <c r="S16" i="17" s="1"/>
  <c r="J20" i="17"/>
  <c r="L20" i="17" s="1"/>
  <c r="J26" i="17"/>
  <c r="L26" i="17" s="1"/>
  <c r="X26" i="17"/>
  <c r="Z26" i="17" s="1"/>
  <c r="F26" i="17"/>
  <c r="H26" i="17" s="1"/>
  <c r="O26" i="17" s="1"/>
  <c r="Q26" i="17"/>
  <c r="S26" i="17" s="1"/>
  <c r="AL26" i="17"/>
  <c r="AN26" i="17" s="1"/>
  <c r="AE41" i="17"/>
  <c r="AG41" i="17" s="1"/>
  <c r="J41" i="17"/>
  <c r="F41" i="17"/>
  <c r="H41" i="17" s="1"/>
  <c r="X42" i="17"/>
  <c r="Z42" i="17" s="1"/>
  <c r="U44" i="17"/>
  <c r="O45" i="17"/>
  <c r="AF38" i="17"/>
  <c r="AF35" i="17"/>
  <c r="AG35" i="17" s="1"/>
  <c r="AF42" i="17"/>
  <c r="AF39" i="17"/>
  <c r="AF34" i="17"/>
  <c r="AE18" i="18"/>
  <c r="AG18" i="18" s="1"/>
  <c r="J18" i="18"/>
  <c r="L18" i="18" s="1"/>
  <c r="F18" i="18"/>
  <c r="H18" i="18" s="1"/>
  <c r="O18" i="18" s="1"/>
  <c r="Q41" i="18"/>
  <c r="S41" i="18" s="1"/>
  <c r="G48" i="18"/>
  <c r="H48" i="18" s="1"/>
  <c r="Q16" i="19"/>
  <c r="S16" i="19" s="1"/>
  <c r="AL18" i="19"/>
  <c r="AN18" i="19" s="1"/>
  <c r="Q18" i="19"/>
  <c r="S18" i="19" s="1"/>
  <c r="AE18" i="19"/>
  <c r="AG18" i="19" s="1"/>
  <c r="X18" i="19"/>
  <c r="Z18" i="19" s="1"/>
  <c r="F18" i="19"/>
  <c r="H18" i="19" s="1"/>
  <c r="O18" i="19" s="1"/>
  <c r="AE31" i="17"/>
  <c r="AG31" i="17" s="1"/>
  <c r="J31" i="17"/>
  <c r="L31" i="17" s="1"/>
  <c r="V31" i="17" s="1"/>
  <c r="F31" i="17"/>
  <c r="H31" i="17" s="1"/>
  <c r="Q43" i="17"/>
  <c r="S43" i="17" s="1"/>
  <c r="AI45" i="17"/>
  <c r="Q22" i="18"/>
  <c r="S22" i="18" s="1"/>
  <c r="AE22" i="18"/>
  <c r="AG22" i="18" s="1"/>
  <c r="X22" i="18"/>
  <c r="Z22" i="18" s="1"/>
  <c r="F22" i="18"/>
  <c r="H22" i="18" s="1"/>
  <c r="O22" i="18" s="1"/>
  <c r="J38" i="18"/>
  <c r="X38" i="18"/>
  <c r="F38" i="18"/>
  <c r="H38" i="18" s="1"/>
  <c r="Q38" i="18"/>
  <c r="S38" i="18" s="1"/>
  <c r="AE38" i="18"/>
  <c r="AI45" i="18"/>
  <c r="AJ45" i="18" s="1"/>
  <c r="X15" i="19"/>
  <c r="Z15" i="19" s="1"/>
  <c r="AE23" i="19"/>
  <c r="AG23" i="19" s="1"/>
  <c r="Z26" i="19"/>
  <c r="Q36" i="19"/>
  <c r="S36" i="19" s="1"/>
  <c r="J38" i="19"/>
  <c r="L38" i="19" s="1"/>
  <c r="AL38" i="19"/>
  <c r="AN38" i="19" s="1"/>
  <c r="Q38" i="19"/>
  <c r="S38" i="19" s="1"/>
  <c r="AE38" i="19"/>
  <c r="AG38" i="19" s="1"/>
  <c r="F38" i="19"/>
  <c r="H38" i="19" s="1"/>
  <c r="J18" i="20"/>
  <c r="L18" i="20" s="1"/>
  <c r="X18" i="20"/>
  <c r="Z18" i="20" s="1"/>
  <c r="Q18" i="20"/>
  <c r="S18" i="20" s="1"/>
  <c r="AL18" i="20"/>
  <c r="AN18" i="20" s="1"/>
  <c r="AE18" i="20"/>
  <c r="AG18" i="20" s="1"/>
  <c r="F18" i="20"/>
  <c r="H18" i="20" s="1"/>
  <c r="O18" i="20" s="1"/>
  <c r="AL19" i="21"/>
  <c r="AN19" i="21" s="1"/>
  <c r="Y42" i="16"/>
  <c r="Y39" i="16"/>
  <c r="Y41" i="16"/>
  <c r="Y38" i="16"/>
  <c r="AL27" i="17"/>
  <c r="AN27" i="17" s="1"/>
  <c r="L36" i="17"/>
  <c r="AF48" i="18"/>
  <c r="AG48" i="18" s="1"/>
  <c r="K48" i="18"/>
  <c r="L48" i="18" s="1"/>
  <c r="AF47" i="18"/>
  <c r="AG47" i="18" s="1"/>
  <c r="K47" i="18"/>
  <c r="L47" i="18" s="1"/>
  <c r="Y48" i="18"/>
  <c r="Z48" i="18" s="1"/>
  <c r="AM48" i="18"/>
  <c r="AN48" i="18" s="1"/>
  <c r="AP48" i="18" s="1"/>
  <c r="R48" i="18"/>
  <c r="S48" i="18" s="1"/>
  <c r="AM47" i="18"/>
  <c r="AN47" i="18" s="1"/>
  <c r="X16" i="18"/>
  <c r="Z16" i="18" s="1"/>
  <c r="X19" i="18"/>
  <c r="Z19" i="18" s="1"/>
  <c r="AL22" i="19"/>
  <c r="AN22" i="19" s="1"/>
  <c r="X39" i="19"/>
  <c r="AP44" i="16"/>
  <c r="AQ44" i="16" s="1"/>
  <c r="Z45" i="16"/>
  <c r="F59" i="16"/>
  <c r="Q18" i="17"/>
  <c r="S18" i="17" s="1"/>
  <c r="AE18" i="17"/>
  <c r="AG18" i="17" s="1"/>
  <c r="F18" i="17"/>
  <c r="H18" i="17" s="1"/>
  <c r="O18" i="17" s="1"/>
  <c r="AL18" i="17"/>
  <c r="AN18" i="17" s="1"/>
  <c r="AE28" i="17"/>
  <c r="AG28" i="17" s="1"/>
  <c r="J28" i="17"/>
  <c r="L28" i="17" s="1"/>
  <c r="F28" i="17"/>
  <c r="H28" i="17" s="1"/>
  <c r="O28" i="17" s="1"/>
  <c r="AN45" i="17"/>
  <c r="AP45" i="17" s="1"/>
  <c r="AQ45" i="17" s="1"/>
  <c r="X17" i="18"/>
  <c r="Z17" i="18" s="1"/>
  <c r="F24" i="18"/>
  <c r="H24" i="18" s="1"/>
  <c r="O24" i="18" s="1"/>
  <c r="AE25" i="18"/>
  <c r="AG25" i="18" s="1"/>
  <c r="AQ35" i="18"/>
  <c r="AI35" i="18"/>
  <c r="L45" i="18"/>
  <c r="AB46" i="18"/>
  <c r="AC46" i="18" s="1"/>
  <c r="R47" i="18"/>
  <c r="S47" i="18" s="1"/>
  <c r="H39" i="22"/>
  <c r="AL27" i="18"/>
  <c r="AN27" i="18" s="1"/>
  <c r="AL32" i="18"/>
  <c r="AN32" i="18" s="1"/>
  <c r="F27" i="19"/>
  <c r="H27" i="19" s="1"/>
  <c r="O27" i="19" s="1"/>
  <c r="Q27" i="19"/>
  <c r="S27" i="19" s="1"/>
  <c r="J43" i="19"/>
  <c r="L43" i="19" s="1"/>
  <c r="AG46" i="19"/>
  <c r="F19" i="20"/>
  <c r="H19" i="20" s="1"/>
  <c r="Q19" i="20"/>
  <c r="S19" i="20" s="1"/>
  <c r="J19" i="20"/>
  <c r="L19" i="20" s="1"/>
  <c r="AE19" i="20"/>
  <c r="AG19" i="20" s="1"/>
  <c r="AE25" i="20"/>
  <c r="AG25" i="20" s="1"/>
  <c r="Z28" i="20"/>
  <c r="Q32" i="20"/>
  <c r="S32" i="20" s="1"/>
  <c r="S47" i="20"/>
  <c r="Q18" i="21"/>
  <c r="S18" i="21" s="1"/>
  <c r="AE18" i="21"/>
  <c r="AG18" i="21" s="1"/>
  <c r="X18" i="21"/>
  <c r="Z18" i="21" s="1"/>
  <c r="F18" i="21"/>
  <c r="H18" i="21" s="1"/>
  <c r="O18" i="21" s="1"/>
  <c r="AL18" i="21"/>
  <c r="AN18" i="21" s="1"/>
  <c r="AL24" i="21"/>
  <c r="AN24" i="21" s="1"/>
  <c r="AP24" i="21" s="1"/>
  <c r="AL21" i="22"/>
  <c r="AN21" i="22" s="1"/>
  <c r="U44" i="22"/>
  <c r="V44" i="22" s="1"/>
  <c r="AE42" i="23"/>
  <c r="AG42" i="23" s="1"/>
  <c r="J42" i="23"/>
  <c r="L42" i="23" s="1"/>
  <c r="X42" i="23"/>
  <c r="Z42" i="23" s="1"/>
  <c r="Q42" i="23"/>
  <c r="S42" i="23" s="1"/>
  <c r="AL42" i="23"/>
  <c r="AN42" i="23" s="1"/>
  <c r="AJ46" i="23"/>
  <c r="U47" i="24"/>
  <c r="N21" i="25"/>
  <c r="O21" i="25" s="1"/>
  <c r="V21" i="25"/>
  <c r="Q39" i="16"/>
  <c r="AL41" i="16"/>
  <c r="AN41" i="16" s="1"/>
  <c r="AE42" i="16"/>
  <c r="AG42" i="16" s="1"/>
  <c r="AL16" i="17"/>
  <c r="AN16" i="17" s="1"/>
  <c r="AE19" i="17"/>
  <c r="AG19" i="17" s="1"/>
  <c r="J22" i="17"/>
  <c r="L22" i="17" s="1"/>
  <c r="AL33" i="17"/>
  <c r="AN33" i="17" s="1"/>
  <c r="AE34" i="17"/>
  <c r="Q36" i="17"/>
  <c r="S36" i="17" s="1"/>
  <c r="AL38" i="17"/>
  <c r="AN38" i="17" s="1"/>
  <c r="AE39" i="17"/>
  <c r="AL43" i="17"/>
  <c r="AN43" i="17" s="1"/>
  <c r="AL20" i="18"/>
  <c r="AN20" i="18" s="1"/>
  <c r="AE21" i="18"/>
  <c r="AG21" i="18" s="1"/>
  <c r="Q23" i="18"/>
  <c r="S23" i="18" s="1"/>
  <c r="J24" i="18"/>
  <c r="L24" i="18" s="1"/>
  <c r="F27" i="18"/>
  <c r="H27" i="18" s="1"/>
  <c r="O27" i="18" s="1"/>
  <c r="F32" i="18"/>
  <c r="H32" i="18" s="1"/>
  <c r="AF38" i="18"/>
  <c r="AE16" i="19"/>
  <c r="AG16" i="19" s="1"/>
  <c r="F19" i="19"/>
  <c r="H19" i="19" s="1"/>
  <c r="X19" i="19"/>
  <c r="Z19" i="19" s="1"/>
  <c r="J28" i="19"/>
  <c r="L28" i="19" s="1"/>
  <c r="X28" i="19"/>
  <c r="Z28" i="19" s="1"/>
  <c r="X41" i="19"/>
  <c r="F42" i="19"/>
  <c r="H42" i="19" s="1"/>
  <c r="Q42" i="19"/>
  <c r="S42" i="19" s="1"/>
  <c r="F43" i="19"/>
  <c r="H43" i="19" s="1"/>
  <c r="J16" i="20"/>
  <c r="L16" i="20" s="1"/>
  <c r="X16" i="20"/>
  <c r="Z16" i="20" s="1"/>
  <c r="Q16" i="20"/>
  <c r="S16" i="20" s="1"/>
  <c r="F25" i="20"/>
  <c r="H25" i="20" s="1"/>
  <c r="O25" i="20" s="1"/>
  <c r="AI44" i="20"/>
  <c r="AG46" i="20"/>
  <c r="AP48" i="20"/>
  <c r="R41" i="20"/>
  <c r="R35" i="20"/>
  <c r="S35" i="20" s="1"/>
  <c r="N45" i="21"/>
  <c r="O45" i="21" s="1"/>
  <c r="X59" i="21"/>
  <c r="R38" i="21"/>
  <c r="R35" i="21"/>
  <c r="S35" i="21" s="1"/>
  <c r="R42" i="21"/>
  <c r="R39" i="21"/>
  <c r="Q32" i="23"/>
  <c r="F42" i="23"/>
  <c r="H42" i="23" s="1"/>
  <c r="AB46" i="23"/>
  <c r="AC46" i="23" s="1"/>
  <c r="AE17" i="24"/>
  <c r="AG17" i="24" s="1"/>
  <c r="AL17" i="24"/>
  <c r="AN17" i="24" s="1"/>
  <c r="Q17" i="24"/>
  <c r="S17" i="24" s="1"/>
  <c r="F17" i="24"/>
  <c r="H17" i="24" s="1"/>
  <c r="O17" i="24" s="1"/>
  <c r="X17" i="24"/>
  <c r="Z17" i="24" s="1"/>
  <c r="J17" i="24"/>
  <c r="L17" i="24" s="1"/>
  <c r="F41" i="24"/>
  <c r="H41" i="24" s="1"/>
  <c r="Q41" i="24"/>
  <c r="S41" i="24" s="1"/>
  <c r="AE41" i="24"/>
  <c r="AG41" i="24" s="1"/>
  <c r="X41" i="24"/>
  <c r="AL41" i="24"/>
  <c r="AN41" i="24" s="1"/>
  <c r="J41" i="24"/>
  <c r="L41" i="24" s="1"/>
  <c r="AE43" i="24"/>
  <c r="AG43" i="24" s="1"/>
  <c r="U21" i="26"/>
  <c r="AL23" i="17"/>
  <c r="AN23" i="17" s="1"/>
  <c r="AL25" i="18"/>
  <c r="AN25" i="18" s="1"/>
  <c r="AP25" i="18" s="1"/>
  <c r="X27" i="18"/>
  <c r="Z27" i="18" s="1"/>
  <c r="AL30" i="18"/>
  <c r="AN30" i="18" s="1"/>
  <c r="X32" i="18"/>
  <c r="Z32" i="18" s="1"/>
  <c r="AL43" i="18"/>
  <c r="AN43" i="18" s="1"/>
  <c r="K48" i="19"/>
  <c r="L48" i="19" s="1"/>
  <c r="R47" i="19"/>
  <c r="S47" i="19" s="1"/>
  <c r="Y48" i="19"/>
  <c r="Z48" i="19" s="1"/>
  <c r="AF47" i="19"/>
  <c r="AG47" i="19" s="1"/>
  <c r="AP47" i="19" s="1"/>
  <c r="R48" i="19"/>
  <c r="S48" i="19" s="1"/>
  <c r="Y47" i="19"/>
  <c r="Z47" i="19" s="1"/>
  <c r="F28" i="19"/>
  <c r="H28" i="19" s="1"/>
  <c r="O28" i="19" s="1"/>
  <c r="F41" i="19"/>
  <c r="H41" i="19" s="1"/>
  <c r="L45" i="19"/>
  <c r="F16" i="20"/>
  <c r="H16" i="20" s="1"/>
  <c r="O16" i="20" s="1"/>
  <c r="AE16" i="20"/>
  <c r="AG16" i="20" s="1"/>
  <c r="Q17" i="20"/>
  <c r="S17" i="20" s="1"/>
  <c r="AE21" i="20"/>
  <c r="AG21" i="20" s="1"/>
  <c r="J28" i="20"/>
  <c r="L28" i="20" s="1"/>
  <c r="AN35" i="20"/>
  <c r="AP35" i="20" s="1"/>
  <c r="U45" i="20"/>
  <c r="V45" i="20" s="1"/>
  <c r="L48" i="20"/>
  <c r="AL59" i="20"/>
  <c r="Y39" i="20"/>
  <c r="Y34" i="20"/>
  <c r="AE25" i="21"/>
  <c r="Q43" i="21"/>
  <c r="S43" i="21" s="1"/>
  <c r="AE43" i="21"/>
  <c r="AG43" i="21" s="1"/>
  <c r="X43" i="21"/>
  <c r="Z43" i="21" s="1"/>
  <c r="J43" i="21"/>
  <c r="L43" i="21" s="1"/>
  <c r="AL43" i="21"/>
  <c r="AN43" i="21" s="1"/>
  <c r="AP43" i="21" s="1"/>
  <c r="Y42" i="21"/>
  <c r="Y39" i="21"/>
  <c r="Y34" i="21"/>
  <c r="Y41" i="21"/>
  <c r="Y35" i="21"/>
  <c r="Z35" i="21" s="1"/>
  <c r="Y38" i="21"/>
  <c r="AL34" i="22"/>
  <c r="AN34" i="22" s="1"/>
  <c r="U45" i="22"/>
  <c r="V45" i="22" s="1"/>
  <c r="R42" i="22"/>
  <c r="R39" i="22"/>
  <c r="R34" i="22"/>
  <c r="R38" i="22"/>
  <c r="R35" i="22"/>
  <c r="S35" i="22" s="1"/>
  <c r="R41" i="22"/>
  <c r="N45" i="23"/>
  <c r="J36" i="24"/>
  <c r="L36" i="24" s="1"/>
  <c r="H30" i="25"/>
  <c r="AL38" i="25"/>
  <c r="AN38" i="25" s="1"/>
  <c r="J27" i="19"/>
  <c r="L27" i="19" s="1"/>
  <c r="AE30" i="19"/>
  <c r="AG30" i="19" s="1"/>
  <c r="X30" i="19"/>
  <c r="Z30" i="19" s="1"/>
  <c r="AE43" i="19"/>
  <c r="AG43" i="19" s="1"/>
  <c r="AL19" i="20"/>
  <c r="AN19" i="20" s="1"/>
  <c r="J25" i="20"/>
  <c r="L25" i="20" s="1"/>
  <c r="X31" i="20"/>
  <c r="Z31" i="20" s="1"/>
  <c r="Q34" i="20"/>
  <c r="AE34" i="20"/>
  <c r="X34" i="20"/>
  <c r="N44" i="20"/>
  <c r="O44" i="20" s="1"/>
  <c r="AF42" i="20"/>
  <c r="AF39" i="20"/>
  <c r="AF38" i="20"/>
  <c r="J18" i="21"/>
  <c r="L18" i="21" s="1"/>
  <c r="AE19" i="21"/>
  <c r="AG19" i="21" s="1"/>
  <c r="J19" i="21"/>
  <c r="L19" i="21" s="1"/>
  <c r="Q19" i="21"/>
  <c r="S19" i="21" s="1"/>
  <c r="AQ35" i="21"/>
  <c r="AE28" i="22"/>
  <c r="AG28" i="22" s="1"/>
  <c r="AQ35" i="22"/>
  <c r="X30" i="24"/>
  <c r="Z30" i="24" s="1"/>
  <c r="Q30" i="24"/>
  <c r="S30" i="24" s="1"/>
  <c r="AE30" i="24"/>
  <c r="AG30" i="24" s="1"/>
  <c r="F30" i="24"/>
  <c r="H30" i="24" s="1"/>
  <c r="O30" i="24" s="1"/>
  <c r="AL30" i="24"/>
  <c r="AN30" i="24" s="1"/>
  <c r="AP30" i="24" s="1"/>
  <c r="J30" i="24"/>
  <c r="L30" i="24" s="1"/>
  <c r="AB46" i="24"/>
  <c r="AC46" i="24" s="1"/>
  <c r="AJ46" i="24"/>
  <c r="AI46" i="24"/>
  <c r="AJ37" i="27"/>
  <c r="AL39" i="16"/>
  <c r="AN39" i="16" s="1"/>
  <c r="AL21" i="17"/>
  <c r="AN21" i="17" s="1"/>
  <c r="AE22" i="17"/>
  <c r="AG22" i="17" s="1"/>
  <c r="X23" i="17"/>
  <c r="Z23" i="17" s="1"/>
  <c r="Q24" i="17"/>
  <c r="S24" i="17" s="1"/>
  <c r="AL36" i="17"/>
  <c r="AN36" i="17" s="1"/>
  <c r="Y38" i="17"/>
  <c r="AL23" i="18"/>
  <c r="AN23" i="18" s="1"/>
  <c r="X25" i="18"/>
  <c r="Z25" i="18" s="1"/>
  <c r="J27" i="18"/>
  <c r="L27" i="18" s="1"/>
  <c r="X30" i="18"/>
  <c r="Z30" i="18" s="1"/>
  <c r="J32" i="18"/>
  <c r="L32" i="18" s="1"/>
  <c r="AL15" i="19"/>
  <c r="AN15" i="19" s="1"/>
  <c r="J19" i="19"/>
  <c r="L19" i="19" s="1"/>
  <c r="AE27" i="19"/>
  <c r="AG27" i="19" s="1"/>
  <c r="F30" i="19"/>
  <c r="H30" i="19" s="1"/>
  <c r="O30" i="19" s="1"/>
  <c r="X31" i="19"/>
  <c r="Z31" i="19" s="1"/>
  <c r="AM34" i="19"/>
  <c r="AM35" i="19"/>
  <c r="AN35" i="19" s="1"/>
  <c r="AP35" i="19" s="1"/>
  <c r="AF39" i="19"/>
  <c r="J41" i="19"/>
  <c r="L41" i="19" s="1"/>
  <c r="AE41" i="19"/>
  <c r="AG41" i="19" s="1"/>
  <c r="J42" i="19"/>
  <c r="L42" i="19" s="1"/>
  <c r="N44" i="19"/>
  <c r="O44" i="19" s="1"/>
  <c r="AI44" i="19"/>
  <c r="AJ44" i="19" s="1"/>
  <c r="G48" i="19"/>
  <c r="H48" i="19" s="1"/>
  <c r="AL24" i="20"/>
  <c r="AN24" i="20" s="1"/>
  <c r="F34" i="20"/>
  <c r="H34" i="20" s="1"/>
  <c r="AF34" i="20"/>
  <c r="F36" i="20"/>
  <c r="H36" i="20" s="1"/>
  <c r="Q36" i="20"/>
  <c r="S36" i="20" s="1"/>
  <c r="J36" i="20"/>
  <c r="L36" i="20" s="1"/>
  <c r="AE36" i="20"/>
  <c r="AG36" i="20" s="1"/>
  <c r="AF41" i="20"/>
  <c r="AQ44" i="20"/>
  <c r="V46" i="20"/>
  <c r="AP46" i="20"/>
  <c r="F19" i="21"/>
  <c r="H19" i="21" s="1"/>
  <c r="R41" i="21"/>
  <c r="S41" i="21" s="1"/>
  <c r="H22" i="22"/>
  <c r="O22" i="22" s="1"/>
  <c r="Q27" i="22"/>
  <c r="S27" i="22" s="1"/>
  <c r="AE27" i="22"/>
  <c r="AG27" i="22" s="1"/>
  <c r="J27" i="22"/>
  <c r="L27" i="22" s="1"/>
  <c r="X27" i="22"/>
  <c r="Z27" i="22" s="1"/>
  <c r="AG44" i="22"/>
  <c r="S32" i="23"/>
  <c r="AL41" i="23"/>
  <c r="AN41" i="23" s="1"/>
  <c r="S45" i="23"/>
  <c r="J19" i="24"/>
  <c r="L19" i="24" s="1"/>
  <c r="AL16" i="20"/>
  <c r="AN16" i="20" s="1"/>
  <c r="AL25" i="20"/>
  <c r="AN25" i="20" s="1"/>
  <c r="AB45" i="20"/>
  <c r="AC45" i="20" s="1"/>
  <c r="N46" i="20"/>
  <c r="O46" i="20" s="1"/>
  <c r="AC48" i="20"/>
  <c r="F20" i="21"/>
  <c r="H20" i="21" s="1"/>
  <c r="O20" i="21" s="1"/>
  <c r="X27" i="21"/>
  <c r="Z27" i="21" s="1"/>
  <c r="F34" i="21"/>
  <c r="H34" i="21" s="1"/>
  <c r="J39" i="21"/>
  <c r="F27" i="22"/>
  <c r="H27" i="22" s="1"/>
  <c r="O27" i="22" s="1"/>
  <c r="AI35" i="22"/>
  <c r="Q17" i="23"/>
  <c r="S17" i="23" s="1"/>
  <c r="AE17" i="23"/>
  <c r="AG17" i="23" s="1"/>
  <c r="X17" i="23"/>
  <c r="Z17" i="23" s="1"/>
  <c r="F17" i="23"/>
  <c r="H17" i="23" s="1"/>
  <c r="O17" i="23" s="1"/>
  <c r="AL17" i="23"/>
  <c r="AN17" i="23" s="1"/>
  <c r="J30" i="23"/>
  <c r="L30" i="23" s="1"/>
  <c r="AL28" i="25"/>
  <c r="AN28" i="25" s="1"/>
  <c r="AP28" i="25" s="1"/>
  <c r="X39" i="16"/>
  <c r="AL42" i="16"/>
  <c r="AN42" i="16" s="1"/>
  <c r="AL19" i="17"/>
  <c r="AN19" i="17" s="1"/>
  <c r="Q22" i="17"/>
  <c r="S22" i="17" s="1"/>
  <c r="J23" i="17"/>
  <c r="L23" i="17" s="1"/>
  <c r="AL34" i="17"/>
  <c r="AN34" i="17" s="1"/>
  <c r="X36" i="17"/>
  <c r="Z36" i="17" s="1"/>
  <c r="AL39" i="17"/>
  <c r="AN39" i="17" s="1"/>
  <c r="Y41" i="17"/>
  <c r="X23" i="18"/>
  <c r="Z23" i="18" s="1"/>
  <c r="Q24" i="18"/>
  <c r="S24" i="18" s="1"/>
  <c r="J25" i="18"/>
  <c r="L25" i="18" s="1"/>
  <c r="J30" i="18"/>
  <c r="L30" i="18" s="1"/>
  <c r="AF34" i="18"/>
  <c r="X22" i="19"/>
  <c r="Z22" i="19" s="1"/>
  <c r="J33" i="19"/>
  <c r="L33" i="19" s="1"/>
  <c r="X33" i="19"/>
  <c r="Z33" i="19" s="1"/>
  <c r="AF42" i="19"/>
  <c r="AC45" i="19"/>
  <c r="AM48" i="19"/>
  <c r="AN48" i="19" s="1"/>
  <c r="AP48" i="19" s="1"/>
  <c r="AQ48" i="19" s="1"/>
  <c r="Q15" i="20"/>
  <c r="S15" i="20" s="1"/>
  <c r="AE15" i="20"/>
  <c r="AG15" i="20" s="1"/>
  <c r="X15" i="20"/>
  <c r="Z15" i="20" s="1"/>
  <c r="V21" i="20"/>
  <c r="N21" i="20"/>
  <c r="O21" i="20" s="1"/>
  <c r="AL21" i="20"/>
  <c r="AN21" i="20" s="1"/>
  <c r="Q27" i="20"/>
  <c r="S27" i="20" s="1"/>
  <c r="AE30" i="20"/>
  <c r="AG30" i="20" s="1"/>
  <c r="J34" i="20"/>
  <c r="L34" i="20" s="1"/>
  <c r="AL34" i="20"/>
  <c r="AN34" i="20" s="1"/>
  <c r="U44" i="20"/>
  <c r="V44" i="20" s="1"/>
  <c r="O45" i="20"/>
  <c r="AL21" i="21"/>
  <c r="AN21" i="21" s="1"/>
  <c r="X21" i="21"/>
  <c r="Z21" i="21" s="1"/>
  <c r="AE21" i="21"/>
  <c r="AG21" i="21" s="1"/>
  <c r="Q33" i="21"/>
  <c r="S33" i="21" s="1"/>
  <c r="AE33" i="21"/>
  <c r="AG33" i="21" s="1"/>
  <c r="X33" i="21"/>
  <c r="Z33" i="21" s="1"/>
  <c r="J33" i="21"/>
  <c r="L33" i="21" s="1"/>
  <c r="AL33" i="21"/>
  <c r="AN33" i="21" s="1"/>
  <c r="V44" i="21"/>
  <c r="AP48" i="23"/>
  <c r="S35" i="23"/>
  <c r="AL16" i="26"/>
  <c r="AN16" i="26" s="1"/>
  <c r="F42" i="16"/>
  <c r="H42" i="16" s="1"/>
  <c r="F19" i="17"/>
  <c r="H19" i="17" s="1"/>
  <c r="O19" i="17" s="1"/>
  <c r="AL24" i="17"/>
  <c r="AN24" i="17" s="1"/>
  <c r="Q27" i="17"/>
  <c r="S27" i="17" s="1"/>
  <c r="F34" i="17"/>
  <c r="F39" i="17"/>
  <c r="Q15" i="18"/>
  <c r="S15" i="18" s="1"/>
  <c r="AE27" i="18"/>
  <c r="AG27" i="18" s="1"/>
  <c r="AE32" i="18"/>
  <c r="AG32" i="18" s="1"/>
  <c r="Q34" i="18"/>
  <c r="S34" i="18" s="1"/>
  <c r="Q39" i="18"/>
  <c r="S39" i="18" s="1"/>
  <c r="AM41" i="18"/>
  <c r="H44" i="18"/>
  <c r="AN45" i="18"/>
  <c r="AP45" i="18" s="1"/>
  <c r="AQ45" i="18" s="1"/>
  <c r="H21" i="19"/>
  <c r="N21" i="19" s="1"/>
  <c r="F22" i="19"/>
  <c r="H22" i="19" s="1"/>
  <c r="O22" i="19" s="1"/>
  <c r="J30" i="19"/>
  <c r="L30" i="19" s="1"/>
  <c r="F33" i="19"/>
  <c r="H33" i="19" s="1"/>
  <c r="O33" i="19" s="1"/>
  <c r="X34" i="19"/>
  <c r="Q43" i="19"/>
  <c r="S43" i="19" s="1"/>
  <c r="AL43" i="19"/>
  <c r="AN43" i="19" s="1"/>
  <c r="S44" i="19"/>
  <c r="F15" i="20"/>
  <c r="H15" i="20" s="1"/>
  <c r="J20" i="20"/>
  <c r="L20" i="20" s="1"/>
  <c r="F23" i="20"/>
  <c r="H23" i="20" s="1"/>
  <c r="O23" i="20" s="1"/>
  <c r="Q23" i="20"/>
  <c r="S23" i="20" s="1"/>
  <c r="Q25" i="20"/>
  <c r="S25" i="20" s="1"/>
  <c r="F30" i="20"/>
  <c r="H30" i="20" s="1"/>
  <c r="O30" i="20" s="1"/>
  <c r="J38" i="20"/>
  <c r="L38" i="20" s="1"/>
  <c r="X41" i="20"/>
  <c r="Z41" i="20" s="1"/>
  <c r="X35" i="20"/>
  <c r="Z35" i="20" s="1"/>
  <c r="AG45" i="20"/>
  <c r="F28" i="21"/>
  <c r="H28" i="21" s="1"/>
  <c r="O28" i="21" s="1"/>
  <c r="F33" i="21"/>
  <c r="H33" i="21" s="1"/>
  <c r="O33" i="21" s="1"/>
  <c r="N44" i="21"/>
  <c r="O44" i="21" s="1"/>
  <c r="AP35" i="22"/>
  <c r="J38" i="22"/>
  <c r="X38" i="22"/>
  <c r="Z38" i="22" s="1"/>
  <c r="F38" i="22"/>
  <c r="H38" i="22" s="1"/>
  <c r="Q38" i="22"/>
  <c r="AE38" i="22"/>
  <c r="AG38" i="22" s="1"/>
  <c r="AL38" i="22"/>
  <c r="AN38" i="22" s="1"/>
  <c r="AE41" i="16"/>
  <c r="AG41" i="16" s="1"/>
  <c r="X42" i="16"/>
  <c r="AL15" i="17"/>
  <c r="AN15" i="17" s="1"/>
  <c r="AE16" i="17"/>
  <c r="AG16" i="17" s="1"/>
  <c r="X19" i="17"/>
  <c r="Z19" i="17" s="1"/>
  <c r="F24" i="17"/>
  <c r="H24" i="17" s="1"/>
  <c r="O24" i="17" s="1"/>
  <c r="AL32" i="17"/>
  <c r="AN32" i="17" s="1"/>
  <c r="AE33" i="17"/>
  <c r="AG33" i="17" s="1"/>
  <c r="X34" i="17"/>
  <c r="AE38" i="17"/>
  <c r="X39" i="17"/>
  <c r="Z39" i="17" s="1"/>
  <c r="AL42" i="17"/>
  <c r="AN42" i="17" s="1"/>
  <c r="AE43" i="17"/>
  <c r="AG43" i="17" s="1"/>
  <c r="AL19" i="18"/>
  <c r="AN19" i="18" s="1"/>
  <c r="AL36" i="18"/>
  <c r="AN36" i="18" s="1"/>
  <c r="Q23" i="19"/>
  <c r="S23" i="19" s="1"/>
  <c r="AL27" i="19"/>
  <c r="AN27" i="19" s="1"/>
  <c r="F36" i="19"/>
  <c r="H36" i="19" s="1"/>
  <c r="X36" i="19"/>
  <c r="Z36" i="19" s="1"/>
  <c r="AL17" i="20"/>
  <c r="AN17" i="20" s="1"/>
  <c r="J17" i="20"/>
  <c r="L17" i="20" s="1"/>
  <c r="J33" i="20"/>
  <c r="L33" i="20" s="1"/>
  <c r="Q42" i="20"/>
  <c r="S42" i="20" s="1"/>
  <c r="O47" i="20"/>
  <c r="AE16" i="21"/>
  <c r="AG16" i="21" s="1"/>
  <c r="J16" i="21"/>
  <c r="L16" i="21" s="1"/>
  <c r="AL16" i="21"/>
  <c r="AN16" i="21" s="1"/>
  <c r="AE31" i="21"/>
  <c r="AG31" i="21" s="1"/>
  <c r="AE36" i="21"/>
  <c r="AG36" i="21" s="1"/>
  <c r="J36" i="21"/>
  <c r="L36" i="21" s="1"/>
  <c r="X36" i="21"/>
  <c r="Z36" i="21" s="1"/>
  <c r="Q36" i="21"/>
  <c r="S36" i="21" s="1"/>
  <c r="X42" i="21"/>
  <c r="AC46" i="21"/>
  <c r="U46" i="21"/>
  <c r="V46" i="21" s="1"/>
  <c r="Q32" i="22"/>
  <c r="S32" i="22" s="1"/>
  <c r="AE32" i="22"/>
  <c r="AG32" i="22" s="1"/>
  <c r="X32" i="22"/>
  <c r="Z32" i="22" s="1"/>
  <c r="J32" i="22"/>
  <c r="L32" i="22" s="1"/>
  <c r="F32" i="22"/>
  <c r="H32" i="22" s="1"/>
  <c r="U35" i="24"/>
  <c r="V35" i="24" s="1"/>
  <c r="F15" i="17"/>
  <c r="H15" i="17" s="1"/>
  <c r="AL22" i="17"/>
  <c r="AN22" i="17" s="1"/>
  <c r="F32" i="17"/>
  <c r="H32" i="17" s="1"/>
  <c r="Y34" i="17"/>
  <c r="F42" i="17"/>
  <c r="F19" i="18"/>
  <c r="H19" i="18" s="1"/>
  <c r="O19" i="18" s="1"/>
  <c r="AL24" i="18"/>
  <c r="AN24" i="18" s="1"/>
  <c r="F36" i="18"/>
  <c r="H36" i="18" s="1"/>
  <c r="F55" i="37"/>
  <c r="F59" i="18"/>
  <c r="AB46" i="19"/>
  <c r="G47" i="19"/>
  <c r="H47" i="19" s="1"/>
  <c r="X19" i="20"/>
  <c r="Z19" i="20" s="1"/>
  <c r="X26" i="20"/>
  <c r="Z26" i="20" s="1"/>
  <c r="J43" i="20"/>
  <c r="L43" i="20" s="1"/>
  <c r="AJ44" i="20"/>
  <c r="AQ48" i="20"/>
  <c r="F16" i="21"/>
  <c r="H16" i="21" s="1"/>
  <c r="O16" i="21" s="1"/>
  <c r="AL22" i="21"/>
  <c r="AN22" i="21" s="1"/>
  <c r="F36" i="21"/>
  <c r="H36" i="21" s="1"/>
  <c r="AI45" i="21"/>
  <c r="AL24" i="22"/>
  <c r="AN24" i="22" s="1"/>
  <c r="F43" i="23"/>
  <c r="H43" i="23" s="1"/>
  <c r="Q18" i="24"/>
  <c r="F18" i="24"/>
  <c r="H18" i="24" s="1"/>
  <c r="O18" i="24" s="1"/>
  <c r="AE18" i="24"/>
  <c r="AG18" i="24" s="1"/>
  <c r="J18" i="24"/>
  <c r="L18" i="24" s="1"/>
  <c r="X18" i="24"/>
  <c r="Z18" i="24" s="1"/>
  <c r="AL18" i="24"/>
  <c r="AN18" i="24" s="1"/>
  <c r="K38" i="18"/>
  <c r="J17" i="19"/>
  <c r="L17" i="19" s="1"/>
  <c r="AL17" i="19"/>
  <c r="AN17" i="19" s="1"/>
  <c r="X17" i="19"/>
  <c r="Z17" i="19" s="1"/>
  <c r="AL19" i="19"/>
  <c r="AN19" i="19" s="1"/>
  <c r="J22" i="19"/>
  <c r="L22" i="19" s="1"/>
  <c r="J24" i="19"/>
  <c r="L24" i="19" s="1"/>
  <c r="AE25" i="19"/>
  <c r="AG25" i="19" s="1"/>
  <c r="X25" i="19"/>
  <c r="Z25" i="19" s="1"/>
  <c r="AL28" i="19"/>
  <c r="AN28" i="19" s="1"/>
  <c r="AE33" i="19"/>
  <c r="AG33" i="19" s="1"/>
  <c r="AM41" i="19"/>
  <c r="O46" i="19"/>
  <c r="AL15" i="20"/>
  <c r="AN15" i="20" s="1"/>
  <c r="AE17" i="20"/>
  <c r="AG17" i="20" s="1"/>
  <c r="U21" i="20"/>
  <c r="X22" i="20"/>
  <c r="Z22" i="20" s="1"/>
  <c r="F22" i="20"/>
  <c r="H22" i="20" s="1"/>
  <c r="O22" i="20" s="1"/>
  <c r="R34" i="20"/>
  <c r="F35" i="20"/>
  <c r="H35" i="20" s="1"/>
  <c r="Q39" i="20"/>
  <c r="S39" i="20" s="1"/>
  <c r="AE39" i="20"/>
  <c r="X39" i="20"/>
  <c r="F39" i="20"/>
  <c r="H39" i="20" s="1"/>
  <c r="AB44" i="20"/>
  <c r="AC44" i="20" s="1"/>
  <c r="AN45" i="20"/>
  <c r="Z46" i="20"/>
  <c r="N47" i="20"/>
  <c r="AI48" i="20"/>
  <c r="AJ48" i="20" s="1"/>
  <c r="X17" i="21"/>
  <c r="Z17" i="21" s="1"/>
  <c r="F17" i="21"/>
  <c r="H17" i="21" s="1"/>
  <c r="O17" i="21" s="1"/>
  <c r="AL17" i="21"/>
  <c r="AN17" i="21" s="1"/>
  <c r="AE17" i="21"/>
  <c r="AG17" i="21" s="1"/>
  <c r="J17" i="21"/>
  <c r="L17" i="21" s="1"/>
  <c r="R34" i="21"/>
  <c r="AC21" i="22"/>
  <c r="O45" i="22"/>
  <c r="AL26" i="23"/>
  <c r="AN26" i="23" s="1"/>
  <c r="F33" i="23"/>
  <c r="H33" i="23" s="1"/>
  <c r="O33" i="23" s="1"/>
  <c r="AB35" i="24"/>
  <c r="AC35" i="24" s="1"/>
  <c r="F15" i="21"/>
  <c r="H15" i="21" s="1"/>
  <c r="X15" i="21"/>
  <c r="Z15" i="21" s="1"/>
  <c r="AF47" i="21"/>
  <c r="AG47" i="21" s="1"/>
  <c r="AL15" i="22"/>
  <c r="AN15" i="22" s="1"/>
  <c r="AG33" i="22"/>
  <c r="Z35" i="22"/>
  <c r="J43" i="22"/>
  <c r="L43" i="22" s="1"/>
  <c r="X43" i="22"/>
  <c r="Z43" i="22" s="1"/>
  <c r="F43" i="22"/>
  <c r="H43" i="22" s="1"/>
  <c r="Q43" i="22"/>
  <c r="S43" i="22" s="1"/>
  <c r="AL43" i="22"/>
  <c r="AN43" i="22" s="1"/>
  <c r="AL16" i="23"/>
  <c r="AN16" i="23" s="1"/>
  <c r="AL21" i="23"/>
  <c r="AN21" i="23" s="1"/>
  <c r="AC21" i="23"/>
  <c r="Q34" i="23"/>
  <c r="S34" i="23" s="1"/>
  <c r="H35" i="23"/>
  <c r="U44" i="23"/>
  <c r="V44" i="23" s="1"/>
  <c r="AQ45" i="23"/>
  <c r="AE20" i="25"/>
  <c r="AG20" i="25" s="1"/>
  <c r="AL27" i="20"/>
  <c r="AN27" i="20" s="1"/>
  <c r="AL32" i="20"/>
  <c r="AN32" i="20" s="1"/>
  <c r="AL42" i="20"/>
  <c r="AN42" i="20" s="1"/>
  <c r="AE24" i="21"/>
  <c r="AG24" i="21" s="1"/>
  <c r="J25" i="21"/>
  <c r="L25" i="21" s="1"/>
  <c r="AE27" i="21"/>
  <c r="AG27" i="21" s="1"/>
  <c r="J28" i="21"/>
  <c r="L28" i="21" s="1"/>
  <c r="Q38" i="21"/>
  <c r="AE38" i="21"/>
  <c r="AG38" i="21" s="1"/>
  <c r="X38" i="21"/>
  <c r="AL38" i="21"/>
  <c r="AN38" i="21" s="1"/>
  <c r="AE41" i="21"/>
  <c r="AG41" i="21" s="1"/>
  <c r="AG44" i="21"/>
  <c r="AL26" i="22"/>
  <c r="AN26" i="22" s="1"/>
  <c r="S36" i="22"/>
  <c r="AB44" i="22"/>
  <c r="AC44" i="22" s="1"/>
  <c r="N45" i="22"/>
  <c r="AJ46" i="22"/>
  <c r="AJ35" i="23"/>
  <c r="O45" i="23"/>
  <c r="Q53" i="23"/>
  <c r="J59" i="23"/>
  <c r="AM38" i="23"/>
  <c r="AM35" i="23"/>
  <c r="AN35" i="23" s="1"/>
  <c r="AP35" i="23" s="1"/>
  <c r="AM39" i="23"/>
  <c r="AM34" i="23"/>
  <c r="AE20" i="24"/>
  <c r="AG20" i="24" s="1"/>
  <c r="AL20" i="24"/>
  <c r="AN20" i="24" s="1"/>
  <c r="Q20" i="24"/>
  <c r="S20" i="24" s="1"/>
  <c r="J20" i="24"/>
  <c r="L20" i="24" s="1"/>
  <c r="X20" i="24"/>
  <c r="Z20" i="24" s="1"/>
  <c r="AB45" i="24"/>
  <c r="AC45" i="24" s="1"/>
  <c r="AE25" i="25"/>
  <c r="AG25" i="25" s="1"/>
  <c r="J25" i="25"/>
  <c r="L25" i="25" s="1"/>
  <c r="X25" i="25"/>
  <c r="Z25" i="25" s="1"/>
  <c r="AL25" i="25"/>
  <c r="AN25" i="25" s="1"/>
  <c r="F25" i="25"/>
  <c r="H25" i="25" s="1"/>
  <c r="O25" i="25" s="1"/>
  <c r="AL33" i="26"/>
  <c r="AN33" i="26" s="1"/>
  <c r="U21" i="28"/>
  <c r="AL20" i="20"/>
  <c r="AN20" i="20" s="1"/>
  <c r="F27" i="20"/>
  <c r="H27" i="20" s="1"/>
  <c r="O27" i="20" s="1"/>
  <c r="F32" i="20"/>
  <c r="H32" i="20" s="1"/>
  <c r="F59" i="20"/>
  <c r="F38" i="21"/>
  <c r="H38" i="21" s="1"/>
  <c r="U45" i="21"/>
  <c r="V45" i="21" s="1"/>
  <c r="Y48" i="21"/>
  <c r="Z48" i="21" s="1"/>
  <c r="K39" i="21"/>
  <c r="K41" i="21"/>
  <c r="K38" i="21"/>
  <c r="AE18" i="22"/>
  <c r="AG18" i="22" s="1"/>
  <c r="J18" i="22"/>
  <c r="L18" i="22" s="1"/>
  <c r="AL18" i="22"/>
  <c r="AN18" i="22" s="1"/>
  <c r="AE23" i="22"/>
  <c r="AG23" i="22" s="1"/>
  <c r="J23" i="22"/>
  <c r="L23" i="22" s="1"/>
  <c r="X23" i="22"/>
  <c r="Z23" i="22" s="1"/>
  <c r="Q28" i="22"/>
  <c r="S28" i="22" s="1"/>
  <c r="J33" i="22"/>
  <c r="L33" i="22" s="1"/>
  <c r="X33" i="22"/>
  <c r="Z33" i="22" s="1"/>
  <c r="F33" i="22"/>
  <c r="H33" i="22" s="1"/>
  <c r="O33" i="22" s="1"/>
  <c r="Q33" i="22"/>
  <c r="S33" i="22" s="1"/>
  <c r="AL33" i="22"/>
  <c r="AN33" i="22" s="1"/>
  <c r="AL39" i="22"/>
  <c r="AN39" i="22" s="1"/>
  <c r="K38" i="22"/>
  <c r="K35" i="22"/>
  <c r="L35" i="22" s="1"/>
  <c r="K39" i="22"/>
  <c r="K34" i="22"/>
  <c r="J25" i="23"/>
  <c r="L25" i="23" s="1"/>
  <c r="Q39" i="23"/>
  <c r="S39" i="23" s="1"/>
  <c r="Z44" i="23"/>
  <c r="F20" i="24"/>
  <c r="H20" i="24" s="1"/>
  <c r="O20" i="24" s="1"/>
  <c r="N21" i="24"/>
  <c r="O21" i="24" s="1"/>
  <c r="U46" i="24"/>
  <c r="V46" i="24" s="1"/>
  <c r="AE53" i="24"/>
  <c r="X59" i="24"/>
  <c r="AL24" i="19"/>
  <c r="AN24" i="19" s="1"/>
  <c r="AL28" i="20"/>
  <c r="AN28" i="20" s="1"/>
  <c r="AL33" i="20"/>
  <c r="AN33" i="20" s="1"/>
  <c r="AL38" i="20"/>
  <c r="AN38" i="20" s="1"/>
  <c r="AL43" i="20"/>
  <c r="AN43" i="20" s="1"/>
  <c r="AL20" i="21"/>
  <c r="AN20" i="21" s="1"/>
  <c r="AP20" i="21" s="1"/>
  <c r="AE23" i="21"/>
  <c r="AG23" i="21" s="1"/>
  <c r="AL30" i="21"/>
  <c r="AN30" i="21" s="1"/>
  <c r="K35" i="21"/>
  <c r="L35" i="21" s="1"/>
  <c r="K42" i="21"/>
  <c r="Z45" i="21"/>
  <c r="H46" i="21"/>
  <c r="AM42" i="21"/>
  <c r="AM39" i="21"/>
  <c r="AM34" i="21"/>
  <c r="AE16" i="22"/>
  <c r="AG16" i="22" s="1"/>
  <c r="Q18" i="22"/>
  <c r="S18" i="22" s="1"/>
  <c r="X19" i="22"/>
  <c r="Z19" i="22" s="1"/>
  <c r="Z45" i="22"/>
  <c r="J18" i="23"/>
  <c r="L18" i="23" s="1"/>
  <c r="X18" i="23"/>
  <c r="Z18" i="23" s="1"/>
  <c r="F18" i="23"/>
  <c r="H18" i="23" s="1"/>
  <c r="O18" i="23" s="1"/>
  <c r="AL18" i="23"/>
  <c r="AN18" i="23" s="1"/>
  <c r="AE18" i="23"/>
  <c r="AG18" i="23" s="1"/>
  <c r="V21" i="23"/>
  <c r="AE22" i="23"/>
  <c r="AG22" i="23" s="1"/>
  <c r="AE27" i="23"/>
  <c r="AG27" i="23" s="1"/>
  <c r="J27" i="23"/>
  <c r="L27" i="23" s="1"/>
  <c r="X27" i="23"/>
  <c r="Z27" i="23" s="1"/>
  <c r="AL27" i="23"/>
  <c r="AN27" i="23" s="1"/>
  <c r="O46" i="23"/>
  <c r="AI46" i="23"/>
  <c r="Z48" i="23"/>
  <c r="J15" i="24"/>
  <c r="L15" i="24" s="1"/>
  <c r="X18" i="25"/>
  <c r="Z18" i="25" s="1"/>
  <c r="F18" i="25"/>
  <c r="H18" i="25" s="1"/>
  <c r="O18" i="25" s="1"/>
  <c r="Q18" i="25"/>
  <c r="S18" i="25" s="1"/>
  <c r="AL18" i="25"/>
  <c r="AN18" i="25" s="1"/>
  <c r="J18" i="25"/>
  <c r="L18" i="25" s="1"/>
  <c r="X28" i="26"/>
  <c r="Z28" i="26" s="1"/>
  <c r="AL28" i="26"/>
  <c r="AN28" i="26" s="1"/>
  <c r="Q28" i="26"/>
  <c r="S28" i="26" s="1"/>
  <c r="AE28" i="26"/>
  <c r="AG28" i="26" s="1"/>
  <c r="F28" i="26"/>
  <c r="H28" i="26" s="1"/>
  <c r="O28" i="26" s="1"/>
  <c r="J28" i="26"/>
  <c r="G47" i="21"/>
  <c r="H47" i="21" s="1"/>
  <c r="AF48" i="21"/>
  <c r="AG48" i="21" s="1"/>
  <c r="AM47" i="21"/>
  <c r="AN47" i="21" s="1"/>
  <c r="K48" i="21"/>
  <c r="L48" i="21" s="1"/>
  <c r="R47" i="21"/>
  <c r="S47" i="21" s="1"/>
  <c r="AM48" i="21"/>
  <c r="AN48" i="21" s="1"/>
  <c r="N46" i="21"/>
  <c r="K48" i="22"/>
  <c r="L48" i="22" s="1"/>
  <c r="R47" i="22"/>
  <c r="S47" i="22" s="1"/>
  <c r="Y48" i="22"/>
  <c r="Z48" i="22" s="1"/>
  <c r="AF47" i="22"/>
  <c r="AG47" i="22" s="1"/>
  <c r="G48" i="22"/>
  <c r="H48" i="22" s="1"/>
  <c r="AM48" i="22"/>
  <c r="AN48" i="22" s="1"/>
  <c r="AP48" i="22" s="1"/>
  <c r="K47" i="22"/>
  <c r="L47" i="22" s="1"/>
  <c r="G47" i="22"/>
  <c r="H47" i="22" s="1"/>
  <c r="AF48" i="22"/>
  <c r="AG48" i="22" s="1"/>
  <c r="AM47" i="22"/>
  <c r="AN47" i="22" s="1"/>
  <c r="Q23" i="22"/>
  <c r="S23" i="22" s="1"/>
  <c r="X36" i="22"/>
  <c r="Z36" i="22" s="1"/>
  <c r="N46" i="22"/>
  <c r="O46" i="22" s="1"/>
  <c r="AP46" i="22"/>
  <c r="AQ46" i="22" s="1"/>
  <c r="Q19" i="23"/>
  <c r="S19" i="23" s="1"/>
  <c r="AE19" i="23"/>
  <c r="AG19" i="23" s="1"/>
  <c r="X19" i="23"/>
  <c r="Z19" i="23" s="1"/>
  <c r="AL19" i="23"/>
  <c r="AN19" i="23" s="1"/>
  <c r="AL31" i="23"/>
  <c r="AN31" i="23" s="1"/>
  <c r="S19" i="24"/>
  <c r="X39" i="24"/>
  <c r="AL26" i="20"/>
  <c r="AN26" i="20" s="1"/>
  <c r="AE27" i="20"/>
  <c r="AG27" i="20" s="1"/>
  <c r="AL31" i="20"/>
  <c r="AN31" i="20" s="1"/>
  <c r="AE32" i="20"/>
  <c r="O17" i="3" s="1"/>
  <c r="AL41" i="20"/>
  <c r="AN41" i="20" s="1"/>
  <c r="AE42" i="20"/>
  <c r="Q15" i="21"/>
  <c r="S15" i="21" s="1"/>
  <c r="U44" i="21"/>
  <c r="Y47" i="21"/>
  <c r="Z47" i="21" s="1"/>
  <c r="Q30" i="22"/>
  <c r="S30" i="22" s="1"/>
  <c r="J59" i="22"/>
  <c r="F19" i="23"/>
  <c r="H19" i="23" s="1"/>
  <c r="X23" i="23"/>
  <c r="Z23" i="23" s="1"/>
  <c r="F28" i="23"/>
  <c r="H28" i="23" s="1"/>
  <c r="O28" i="23" s="1"/>
  <c r="AQ35" i="23"/>
  <c r="N46" i="23"/>
  <c r="V46" i="23"/>
  <c r="S18" i="24"/>
  <c r="AL32" i="24"/>
  <c r="AN32" i="24" s="1"/>
  <c r="J23" i="25"/>
  <c r="L23" i="25" s="1"/>
  <c r="J24" i="21"/>
  <c r="L24" i="21" s="1"/>
  <c r="X24" i="21"/>
  <c r="Z24" i="21" s="1"/>
  <c r="Q25" i="21"/>
  <c r="S25" i="21" s="1"/>
  <c r="X25" i="21"/>
  <c r="Z25" i="21" s="1"/>
  <c r="F27" i="21"/>
  <c r="H27" i="21" s="1"/>
  <c r="O27" i="21" s="1"/>
  <c r="X28" i="21"/>
  <c r="Z28" i="21" s="1"/>
  <c r="X32" i="21"/>
  <c r="Z32" i="21" s="1"/>
  <c r="F32" i="21"/>
  <c r="H32" i="21" s="1"/>
  <c r="AL32" i="21"/>
  <c r="AN32" i="21" s="1"/>
  <c r="AE32" i="21"/>
  <c r="AG32" i="21" s="1"/>
  <c r="V21" i="22"/>
  <c r="Q25" i="22"/>
  <c r="S25" i="22" s="1"/>
  <c r="AE25" i="22"/>
  <c r="AG25" i="22" s="1"/>
  <c r="J25" i="22"/>
  <c r="L25" i="22" s="1"/>
  <c r="F25" i="22"/>
  <c r="H25" i="22" s="1"/>
  <c r="O25" i="22" s="1"/>
  <c r="AL25" i="22"/>
  <c r="AN25" i="22" s="1"/>
  <c r="J28" i="22"/>
  <c r="L28" i="22" s="1"/>
  <c r="X28" i="22"/>
  <c r="Z28" i="22" s="1"/>
  <c r="F28" i="22"/>
  <c r="H28" i="22" s="1"/>
  <c r="O28" i="22" s="1"/>
  <c r="AL41" i="22"/>
  <c r="AN41" i="22" s="1"/>
  <c r="AQ45" i="22"/>
  <c r="AE32" i="23"/>
  <c r="AG32" i="23" s="1"/>
  <c r="J32" i="23"/>
  <c r="L32" i="23" s="1"/>
  <c r="X32" i="23"/>
  <c r="Z32" i="23" s="1"/>
  <c r="AL32" i="23"/>
  <c r="AN32" i="23" s="1"/>
  <c r="H27" i="25"/>
  <c r="O27" i="25" s="1"/>
  <c r="Q15" i="26"/>
  <c r="S15" i="26" s="1"/>
  <c r="AE15" i="26"/>
  <c r="AG15" i="26" s="1"/>
  <c r="J15" i="26"/>
  <c r="L15" i="26" s="1"/>
  <c r="AL15" i="26"/>
  <c r="AN15" i="26" s="1"/>
  <c r="F15" i="26"/>
  <c r="H15" i="26" s="1"/>
  <c r="X15" i="26"/>
  <c r="Z15" i="26" s="1"/>
  <c r="Q22" i="26"/>
  <c r="S22" i="26" s="1"/>
  <c r="AE22" i="26"/>
  <c r="AG22" i="26" s="1"/>
  <c r="J22" i="26"/>
  <c r="L22" i="26" s="1"/>
  <c r="X22" i="26"/>
  <c r="Z22" i="26" s="1"/>
  <c r="F22" i="26"/>
  <c r="H22" i="26" s="1"/>
  <c r="O22" i="26" s="1"/>
  <c r="AL22" i="26"/>
  <c r="AN22" i="26" s="1"/>
  <c r="AF47" i="20"/>
  <c r="AG47" i="20" s="1"/>
  <c r="AL15" i="21"/>
  <c r="AN15" i="21" s="1"/>
  <c r="J23" i="21"/>
  <c r="L23" i="21" s="1"/>
  <c r="F24" i="21"/>
  <c r="H24" i="21" s="1"/>
  <c r="O24" i="21" s="1"/>
  <c r="F25" i="21"/>
  <c r="H25" i="21" s="1"/>
  <c r="O25" i="21" s="1"/>
  <c r="J26" i="21"/>
  <c r="L26" i="21" s="1"/>
  <c r="X26" i="21"/>
  <c r="Z26" i="21" s="1"/>
  <c r="AN46" i="21"/>
  <c r="AP46" i="21" s="1"/>
  <c r="AQ46" i="21" s="1"/>
  <c r="R48" i="21"/>
  <c r="S48" i="21" s="1"/>
  <c r="X17" i="22"/>
  <c r="Z17" i="22" s="1"/>
  <c r="F17" i="22"/>
  <c r="H17" i="22" s="1"/>
  <c r="O17" i="22" s="1"/>
  <c r="AL17" i="22"/>
  <c r="AN17" i="22" s="1"/>
  <c r="Q17" i="22"/>
  <c r="S17" i="22" s="1"/>
  <c r="X18" i="22"/>
  <c r="Z18" i="22" s="1"/>
  <c r="Q20" i="22"/>
  <c r="S20" i="22" s="1"/>
  <c r="AE20" i="22"/>
  <c r="AG20" i="22" s="1"/>
  <c r="X20" i="22"/>
  <c r="Z20" i="22" s="1"/>
  <c r="N21" i="22"/>
  <c r="O21" i="22" s="1"/>
  <c r="AL22" i="22"/>
  <c r="AN22" i="22" s="1"/>
  <c r="AL31" i="22"/>
  <c r="AN31" i="22" s="1"/>
  <c r="Q42" i="22"/>
  <c r="AE42" i="22"/>
  <c r="AG42" i="22" s="1"/>
  <c r="X42" i="22"/>
  <c r="Z42" i="22" s="1"/>
  <c r="AI45" i="22"/>
  <c r="S46" i="22"/>
  <c r="Q53" i="22"/>
  <c r="Q15" i="23"/>
  <c r="S15" i="23" s="1"/>
  <c r="Q18" i="23"/>
  <c r="S18" i="23" s="1"/>
  <c r="J19" i="23"/>
  <c r="L19" i="23" s="1"/>
  <c r="J20" i="23"/>
  <c r="L20" i="23" s="1"/>
  <c r="X20" i="23"/>
  <c r="Z20" i="23" s="1"/>
  <c r="F20" i="23"/>
  <c r="H20" i="23" s="1"/>
  <c r="O20" i="23" s="1"/>
  <c r="Q20" i="23"/>
  <c r="S20" i="23" s="1"/>
  <c r="AL20" i="23"/>
  <c r="AN20" i="23" s="1"/>
  <c r="Q24" i="23"/>
  <c r="S24" i="23" s="1"/>
  <c r="AE24" i="23"/>
  <c r="AG24" i="23" s="1"/>
  <c r="X24" i="23"/>
  <c r="Z24" i="23" s="1"/>
  <c r="F24" i="23"/>
  <c r="H24" i="23" s="1"/>
  <c r="O24" i="23" s="1"/>
  <c r="AL24" i="23"/>
  <c r="AN24" i="23" s="1"/>
  <c r="F32" i="23"/>
  <c r="H32" i="23" s="1"/>
  <c r="Q36" i="23"/>
  <c r="S36" i="23" s="1"/>
  <c r="AE36" i="23"/>
  <c r="AG36" i="23" s="1"/>
  <c r="X36" i="23"/>
  <c r="Z36" i="23" s="1"/>
  <c r="F36" i="23"/>
  <c r="H36" i="23" s="1"/>
  <c r="N44" i="23"/>
  <c r="O44" i="23" s="1"/>
  <c r="U45" i="24"/>
  <c r="AE16" i="25"/>
  <c r="AG16" i="25" s="1"/>
  <c r="Q22" i="25"/>
  <c r="S22" i="25" s="1"/>
  <c r="AE22" i="25"/>
  <c r="AG22" i="25" s="1"/>
  <c r="X22" i="25"/>
  <c r="Z22" i="25" s="1"/>
  <c r="F22" i="25"/>
  <c r="H22" i="25" s="1"/>
  <c r="O22" i="25" s="1"/>
  <c r="J22" i="25"/>
  <c r="L22" i="25" s="1"/>
  <c r="AL22" i="25"/>
  <c r="AN22" i="25" s="1"/>
  <c r="Y48" i="24"/>
  <c r="Z48" i="24" s="1"/>
  <c r="AF47" i="24"/>
  <c r="AG47" i="24" s="1"/>
  <c r="G48" i="24"/>
  <c r="H48" i="24" s="1"/>
  <c r="R48" i="24"/>
  <c r="S48" i="24" s="1"/>
  <c r="Y47" i="24"/>
  <c r="Z47" i="24" s="1"/>
  <c r="AL23" i="24"/>
  <c r="AN23" i="24" s="1"/>
  <c r="AP23" i="24" s="1"/>
  <c r="K47" i="24"/>
  <c r="L47" i="24" s="1"/>
  <c r="AF48" i="24"/>
  <c r="AG48" i="24" s="1"/>
  <c r="F59" i="24"/>
  <c r="X31" i="25"/>
  <c r="Z31" i="25" s="1"/>
  <c r="F31" i="25"/>
  <c r="H31" i="25" s="1"/>
  <c r="O31" i="25" s="1"/>
  <c r="Q31" i="25"/>
  <c r="S31" i="25" s="1"/>
  <c r="X18" i="26"/>
  <c r="Z18" i="26" s="1"/>
  <c r="AL30" i="22"/>
  <c r="AN30" i="22" s="1"/>
  <c r="AL15" i="23"/>
  <c r="AN15" i="23" s="1"/>
  <c r="AL34" i="23"/>
  <c r="AL39" i="23"/>
  <c r="U21" i="24"/>
  <c r="V21" i="24" s="1"/>
  <c r="AL17" i="25"/>
  <c r="AN17" i="25" s="1"/>
  <c r="AL31" i="25"/>
  <c r="AN31" i="25" s="1"/>
  <c r="AE40" i="25"/>
  <c r="AG40" i="25" s="1"/>
  <c r="J40" i="25"/>
  <c r="L40" i="25" s="1"/>
  <c r="AL40" i="25"/>
  <c r="AN40" i="25" s="1"/>
  <c r="Q40" i="25"/>
  <c r="S40" i="25" s="1"/>
  <c r="F40" i="25"/>
  <c r="H40" i="25" s="1"/>
  <c r="AE19" i="28"/>
  <c r="AG19" i="28" s="1"/>
  <c r="J19" i="28"/>
  <c r="L19" i="28" s="1"/>
  <c r="AL19" i="28"/>
  <c r="AN19" i="28" s="1"/>
  <c r="F19" i="28"/>
  <c r="H19" i="28" s="1"/>
  <c r="X19" i="28"/>
  <c r="Z19" i="28" s="1"/>
  <c r="AL31" i="21"/>
  <c r="AN31" i="21" s="1"/>
  <c r="Q39" i="21"/>
  <c r="AL41" i="21"/>
  <c r="AN41" i="21" s="1"/>
  <c r="AE42" i="21"/>
  <c r="AG42" i="21" s="1"/>
  <c r="AQ45" i="21"/>
  <c r="AJ46" i="21"/>
  <c r="AL16" i="22"/>
  <c r="AN16" i="22" s="1"/>
  <c r="AE19" i="22"/>
  <c r="AG19" i="22" s="1"/>
  <c r="J22" i="22"/>
  <c r="L22" i="22" s="1"/>
  <c r="F30" i="22"/>
  <c r="H30" i="22" s="1"/>
  <c r="O30" i="22" s="1"/>
  <c r="AE36" i="22"/>
  <c r="AG36" i="22" s="1"/>
  <c r="F15" i="23"/>
  <c r="H15" i="23" s="1"/>
  <c r="AL22" i="23"/>
  <c r="AN22" i="23" s="1"/>
  <c r="J26" i="23"/>
  <c r="L26" i="23" s="1"/>
  <c r="F34" i="23"/>
  <c r="H34" i="23" s="1"/>
  <c r="F39" i="23"/>
  <c r="H39" i="23" s="1"/>
  <c r="R47" i="23"/>
  <c r="S47" i="23" s="1"/>
  <c r="K48" i="23"/>
  <c r="L48" i="23" s="1"/>
  <c r="X21" i="24"/>
  <c r="Z21" i="24" s="1"/>
  <c r="X22" i="24"/>
  <c r="Z22" i="24" s="1"/>
  <c r="F22" i="24"/>
  <c r="H22" i="24" s="1"/>
  <c r="O22" i="24" s="1"/>
  <c r="Q22" i="24"/>
  <c r="S22" i="24" s="1"/>
  <c r="F26" i="24"/>
  <c r="H26" i="24" s="1"/>
  <c r="O26" i="24" s="1"/>
  <c r="Q26" i="24"/>
  <c r="S26" i="24" s="1"/>
  <c r="AE26" i="24"/>
  <c r="AG26" i="24" s="1"/>
  <c r="S44" i="24"/>
  <c r="AE15" i="25"/>
  <c r="AG15" i="25" s="1"/>
  <c r="X15" i="25"/>
  <c r="Z15" i="25" s="1"/>
  <c r="S21" i="25"/>
  <c r="X26" i="25"/>
  <c r="Z26" i="25" s="1"/>
  <c r="F26" i="25"/>
  <c r="H26" i="25" s="1"/>
  <c r="O26" i="25" s="1"/>
  <c r="Q26" i="25"/>
  <c r="S26" i="25" s="1"/>
  <c r="AL44" i="25"/>
  <c r="H18" i="26"/>
  <c r="O18" i="26" s="1"/>
  <c r="V21" i="26"/>
  <c r="N21" i="26"/>
  <c r="O21" i="26" s="1"/>
  <c r="X40" i="29"/>
  <c r="Z40" i="29" s="1"/>
  <c r="AL34" i="21"/>
  <c r="AL39" i="21"/>
  <c r="AE22" i="22"/>
  <c r="AG22" i="22" s="1"/>
  <c r="Q24" i="22"/>
  <c r="S24" i="22" s="1"/>
  <c r="J30" i="22"/>
  <c r="L30" i="22" s="1"/>
  <c r="J15" i="23"/>
  <c r="L15" i="23" s="1"/>
  <c r="AL25" i="23"/>
  <c r="AN25" i="23" s="1"/>
  <c r="AE26" i="23"/>
  <c r="AG26" i="23" s="1"/>
  <c r="AL30" i="23"/>
  <c r="AN30" i="23" s="1"/>
  <c r="AE31" i="23"/>
  <c r="AG31" i="23" s="1"/>
  <c r="J34" i="23"/>
  <c r="L34" i="23" s="1"/>
  <c r="J39" i="23"/>
  <c r="L39" i="23" s="1"/>
  <c r="AE41" i="23"/>
  <c r="AG41" i="23" s="1"/>
  <c r="AM47" i="23"/>
  <c r="AN47" i="23" s="1"/>
  <c r="AF48" i="23"/>
  <c r="AG48" i="23" s="1"/>
  <c r="AL15" i="24"/>
  <c r="AN15" i="24" s="1"/>
  <c r="J22" i="24"/>
  <c r="L22" i="24" s="1"/>
  <c r="AG22" i="24"/>
  <c r="X25" i="24"/>
  <c r="Z25" i="24" s="1"/>
  <c r="S33" i="24"/>
  <c r="X34" i="24"/>
  <c r="AL42" i="24"/>
  <c r="AN42" i="24" s="1"/>
  <c r="AI45" i="24"/>
  <c r="AJ45" i="24" s="1"/>
  <c r="J15" i="25"/>
  <c r="L15" i="25" s="1"/>
  <c r="AN15" i="25"/>
  <c r="J26" i="25"/>
  <c r="L26" i="25" s="1"/>
  <c r="AL32" i="25"/>
  <c r="AN32" i="25" s="1"/>
  <c r="Q19" i="27"/>
  <c r="S19" i="27" s="1"/>
  <c r="L44" i="28"/>
  <c r="Q30" i="21"/>
  <c r="S30" i="21" s="1"/>
  <c r="J31" i="21"/>
  <c r="L31" i="21" s="1"/>
  <c r="F39" i="21"/>
  <c r="H39" i="21" s="1"/>
  <c r="J41" i="21"/>
  <c r="Q15" i="22"/>
  <c r="S15" i="22" s="1"/>
  <c r="J16" i="22"/>
  <c r="L16" i="22" s="1"/>
  <c r="Q34" i="22"/>
  <c r="Q39" i="22"/>
  <c r="J22" i="23"/>
  <c r="L22" i="23" s="1"/>
  <c r="F25" i="23"/>
  <c r="H25" i="23" s="1"/>
  <c r="O25" i="23" s="1"/>
  <c r="F30" i="23"/>
  <c r="H30" i="23" s="1"/>
  <c r="O30" i="23" s="1"/>
  <c r="G47" i="23"/>
  <c r="H47" i="23" s="1"/>
  <c r="F15" i="24"/>
  <c r="H15" i="24" s="1"/>
  <c r="AE21" i="24"/>
  <c r="AG21" i="24" s="1"/>
  <c r="F25" i="24"/>
  <c r="H25" i="24" s="1"/>
  <c r="O25" i="24" s="1"/>
  <c r="AL26" i="24"/>
  <c r="AN26" i="24" s="1"/>
  <c r="AE28" i="24"/>
  <c r="AG28" i="24" s="1"/>
  <c r="AE38" i="24"/>
  <c r="AJ44" i="24"/>
  <c r="N46" i="24"/>
  <c r="O46" i="24" s="1"/>
  <c r="G39" i="24"/>
  <c r="G34" i="24"/>
  <c r="G35" i="24"/>
  <c r="H35" i="24" s="1"/>
  <c r="AE36" i="25"/>
  <c r="AG36" i="25" s="1"/>
  <c r="X36" i="25"/>
  <c r="Z36" i="25" s="1"/>
  <c r="F36" i="25"/>
  <c r="H36" i="25" s="1"/>
  <c r="X40" i="25"/>
  <c r="Z40" i="25" s="1"/>
  <c r="AL42" i="21"/>
  <c r="AL19" i="22"/>
  <c r="AN19" i="22" s="1"/>
  <c r="Q22" i="22"/>
  <c r="S22" i="22" s="1"/>
  <c r="AL36" i="22"/>
  <c r="AN36" i="22" s="1"/>
  <c r="AL23" i="23"/>
  <c r="AN23" i="23" s="1"/>
  <c r="X25" i="23"/>
  <c r="Z25" i="23" s="1"/>
  <c r="Q26" i="23"/>
  <c r="S26" i="23" s="1"/>
  <c r="Q31" i="23"/>
  <c r="S31" i="23" s="1"/>
  <c r="Y47" i="23"/>
  <c r="Z47" i="23" s="1"/>
  <c r="R48" i="23"/>
  <c r="S48" i="23" s="1"/>
  <c r="H44" i="24"/>
  <c r="F35" i="24"/>
  <c r="N45" i="24"/>
  <c r="O45" i="24" s="1"/>
  <c r="V45" i="24"/>
  <c r="AP46" i="24"/>
  <c r="AQ46" i="24" s="1"/>
  <c r="Q15" i="25"/>
  <c r="S15" i="25" s="1"/>
  <c r="X16" i="25"/>
  <c r="Z16" i="25" s="1"/>
  <c r="F16" i="25"/>
  <c r="H16" i="25" s="1"/>
  <c r="O16" i="25" s="1"/>
  <c r="Q16" i="25"/>
  <c r="S16" i="25" s="1"/>
  <c r="X21" i="25"/>
  <c r="Z21" i="25" s="1"/>
  <c r="AL27" i="25"/>
  <c r="AN27" i="25" s="1"/>
  <c r="J38" i="25"/>
  <c r="L38" i="25" s="1"/>
  <c r="F38" i="25"/>
  <c r="H38" i="25" s="1"/>
  <c r="O38" i="25" s="1"/>
  <c r="AE38" i="25"/>
  <c r="AG38" i="25" s="1"/>
  <c r="J43" i="25"/>
  <c r="X43" i="25"/>
  <c r="F43" i="25"/>
  <c r="AE43" i="25"/>
  <c r="AL43" i="25"/>
  <c r="Z17" i="26"/>
  <c r="AG34" i="26"/>
  <c r="AL26" i="27"/>
  <c r="AN26" i="27" s="1"/>
  <c r="AP26" i="27" s="1"/>
  <c r="X32" i="27"/>
  <c r="Z32" i="27" s="1"/>
  <c r="H45" i="27"/>
  <c r="F42" i="21"/>
  <c r="H42" i="21" s="1"/>
  <c r="F19" i="22"/>
  <c r="H19" i="22" s="1"/>
  <c r="AE30" i="22"/>
  <c r="AG30" i="22" s="1"/>
  <c r="F36" i="22"/>
  <c r="H36" i="22" s="1"/>
  <c r="AE15" i="23"/>
  <c r="AG15" i="23" s="1"/>
  <c r="F23" i="23"/>
  <c r="H23" i="23" s="1"/>
  <c r="O23" i="23" s="1"/>
  <c r="AL28" i="23"/>
  <c r="AN28" i="23" s="1"/>
  <c r="AL33" i="23"/>
  <c r="AN33" i="23" s="1"/>
  <c r="AE34" i="23"/>
  <c r="AG34" i="23" s="1"/>
  <c r="AL38" i="23"/>
  <c r="AE39" i="23"/>
  <c r="AG39" i="23" s="1"/>
  <c r="AL43" i="23"/>
  <c r="AN43" i="23" s="1"/>
  <c r="AL22" i="24"/>
  <c r="AN22" i="24" s="1"/>
  <c r="F31" i="24"/>
  <c r="H31" i="24" s="1"/>
  <c r="O31" i="24" s="1"/>
  <c r="Q31" i="24"/>
  <c r="S31" i="24" s="1"/>
  <c r="AE31" i="24"/>
  <c r="AG31" i="24" s="1"/>
  <c r="H38" i="24"/>
  <c r="AE35" i="24"/>
  <c r="AL24" i="25"/>
  <c r="AN24" i="25" s="1"/>
  <c r="J24" i="26"/>
  <c r="L24" i="26" s="1"/>
  <c r="K44" i="26"/>
  <c r="K43" i="26"/>
  <c r="L37" i="26"/>
  <c r="K46" i="26"/>
  <c r="AF46" i="26"/>
  <c r="AF43" i="26"/>
  <c r="AG37" i="26"/>
  <c r="AF44" i="26"/>
  <c r="Q17" i="27"/>
  <c r="S17" i="27" s="1"/>
  <c r="AL17" i="27"/>
  <c r="AN17" i="27" s="1"/>
  <c r="AE17" i="27"/>
  <c r="AG17" i="27" s="1"/>
  <c r="X17" i="27"/>
  <c r="Z17" i="27" s="1"/>
  <c r="F17" i="27"/>
  <c r="H17" i="27" s="1"/>
  <c r="O17" i="27" s="1"/>
  <c r="K47" i="23"/>
  <c r="L47" i="23" s="1"/>
  <c r="Q16" i="24"/>
  <c r="S16" i="24" s="1"/>
  <c r="J24" i="24"/>
  <c r="L24" i="24" s="1"/>
  <c r="AE24" i="24"/>
  <c r="AG24" i="24" s="1"/>
  <c r="J25" i="24"/>
  <c r="L25" i="24" s="1"/>
  <c r="Y39" i="24"/>
  <c r="Y34" i="24"/>
  <c r="Y41" i="24"/>
  <c r="Y38" i="24"/>
  <c r="J16" i="25"/>
  <c r="L16" i="25" s="1"/>
  <c r="AL16" i="25"/>
  <c r="AN16" i="25" s="1"/>
  <c r="AE30" i="25"/>
  <c r="AG30" i="25" s="1"/>
  <c r="J30" i="25"/>
  <c r="L30" i="25" s="1"/>
  <c r="X30" i="25"/>
  <c r="Z30" i="25" s="1"/>
  <c r="Q43" i="25"/>
  <c r="S43" i="25" s="1"/>
  <c r="Q30" i="26"/>
  <c r="S30" i="26" s="1"/>
  <c r="Q43" i="26"/>
  <c r="AN38" i="27"/>
  <c r="AL21" i="24"/>
  <c r="AN21" i="24" s="1"/>
  <c r="AL25" i="24"/>
  <c r="AN25" i="24" s="1"/>
  <c r="AL27" i="24"/>
  <c r="AN27" i="24" s="1"/>
  <c r="AE33" i="24"/>
  <c r="AG33" i="24" s="1"/>
  <c r="AG35" i="24"/>
  <c r="G47" i="24"/>
  <c r="H47" i="24" s="1"/>
  <c r="AF38" i="24"/>
  <c r="AF42" i="24"/>
  <c r="AL19" i="25"/>
  <c r="AN19" i="25" s="1"/>
  <c r="Q34" i="25"/>
  <c r="S34" i="25" s="1"/>
  <c r="J27" i="24"/>
  <c r="L27" i="24" s="1"/>
  <c r="J32" i="24"/>
  <c r="L32" i="24" s="1"/>
  <c r="J42" i="24"/>
  <c r="L42" i="24" s="1"/>
  <c r="F35" i="25"/>
  <c r="H35" i="25" s="1"/>
  <c r="O35" i="25" s="1"/>
  <c r="X35" i="25"/>
  <c r="Z35" i="25" s="1"/>
  <c r="AL19" i="26"/>
  <c r="AN19" i="26" s="1"/>
  <c r="J18" i="27"/>
  <c r="L18" i="27" s="1"/>
  <c r="Q18" i="27"/>
  <c r="S18" i="27" s="1"/>
  <c r="AE18" i="27"/>
  <c r="AG18" i="27" s="1"/>
  <c r="X18" i="27"/>
  <c r="Z18" i="27" s="1"/>
  <c r="J30" i="27"/>
  <c r="L30" i="27" s="1"/>
  <c r="AL30" i="27"/>
  <c r="AN30" i="27" s="1"/>
  <c r="Q30" i="27"/>
  <c r="S30" i="27" s="1"/>
  <c r="AE30" i="27"/>
  <c r="AG30" i="27" s="1"/>
  <c r="K44" i="27"/>
  <c r="L44" i="27" s="1"/>
  <c r="K46" i="27"/>
  <c r="L37" i="27"/>
  <c r="AM44" i="29"/>
  <c r="AM46" i="29"/>
  <c r="AM43" i="29"/>
  <c r="AL33" i="24"/>
  <c r="AN33" i="24" s="1"/>
  <c r="AL38" i="24"/>
  <c r="AN38" i="24" s="1"/>
  <c r="AL43" i="24"/>
  <c r="AN43" i="24" s="1"/>
  <c r="AL20" i="25"/>
  <c r="AN20" i="25" s="1"/>
  <c r="AP20" i="25" s="1"/>
  <c r="X41" i="25"/>
  <c r="Z41" i="25" s="1"/>
  <c r="F41" i="25"/>
  <c r="H41" i="25" s="1"/>
  <c r="AG19" i="26"/>
  <c r="R43" i="26"/>
  <c r="S37" i="26"/>
  <c r="R44" i="26"/>
  <c r="X43" i="27"/>
  <c r="Z43" i="27" s="1"/>
  <c r="Q43" i="27"/>
  <c r="J43" i="27"/>
  <c r="L43" i="27" s="1"/>
  <c r="AE43" i="27"/>
  <c r="AF44" i="27"/>
  <c r="AG44" i="27" s="1"/>
  <c r="AF46" i="27"/>
  <c r="AF43" i="27"/>
  <c r="AG37" i="27"/>
  <c r="AL32" i="29"/>
  <c r="AN32" i="29" s="1"/>
  <c r="AN37" i="29"/>
  <c r="AL19" i="24"/>
  <c r="AN19" i="24" s="1"/>
  <c r="AL36" i="24"/>
  <c r="AN36" i="24" s="1"/>
  <c r="AE17" i="25"/>
  <c r="AG17" i="25" s="1"/>
  <c r="AL23" i="25"/>
  <c r="AN23" i="25" s="1"/>
  <c r="AE24" i="25"/>
  <c r="AG24" i="25" s="1"/>
  <c r="J41" i="25"/>
  <c r="L41" i="25" s="1"/>
  <c r="AE41" i="25"/>
  <c r="AG41" i="25" s="1"/>
  <c r="X46" i="25"/>
  <c r="F46" i="25"/>
  <c r="AE20" i="26"/>
  <c r="AG20" i="26" s="1"/>
  <c r="AL20" i="26"/>
  <c r="AN20" i="26" s="1"/>
  <c r="Q20" i="26"/>
  <c r="S20" i="26" s="1"/>
  <c r="F20" i="26"/>
  <c r="H20" i="26" s="1"/>
  <c r="O20" i="26" s="1"/>
  <c r="AL34" i="26"/>
  <c r="AN34" i="26" s="1"/>
  <c r="AE35" i="26"/>
  <c r="AG35" i="26" s="1"/>
  <c r="J35" i="26"/>
  <c r="L35" i="26" s="1"/>
  <c r="Q35" i="26"/>
  <c r="S35" i="26" s="1"/>
  <c r="AL35" i="26"/>
  <c r="AN35" i="26" s="1"/>
  <c r="X46" i="26"/>
  <c r="AE46" i="27"/>
  <c r="X46" i="27"/>
  <c r="Z46" i="27" s="1"/>
  <c r="Q46" i="27"/>
  <c r="S46" i="27" s="1"/>
  <c r="AL46" i="27"/>
  <c r="AN46" i="27" s="1"/>
  <c r="F46" i="27"/>
  <c r="K46" i="28"/>
  <c r="K43" i="28"/>
  <c r="AF37" i="25"/>
  <c r="AG37" i="25" s="1"/>
  <c r="K37" i="25"/>
  <c r="K43" i="25" s="1"/>
  <c r="AM46" i="25"/>
  <c r="R46" i="25"/>
  <c r="AM43" i="25"/>
  <c r="Q19" i="25"/>
  <c r="S19" i="25" s="1"/>
  <c r="J20" i="25"/>
  <c r="L20" i="25" s="1"/>
  <c r="F23" i="25"/>
  <c r="H23" i="25" s="1"/>
  <c r="O23" i="25" s="1"/>
  <c r="K32" i="25"/>
  <c r="AM33" i="25"/>
  <c r="AE35" i="25"/>
  <c r="AG35" i="25" s="1"/>
  <c r="Y37" i="25"/>
  <c r="F35" i="26"/>
  <c r="H35" i="26" s="1"/>
  <c r="O35" i="26" s="1"/>
  <c r="X36" i="26"/>
  <c r="Z36" i="26" s="1"/>
  <c r="F36" i="26"/>
  <c r="H36" i="26" s="1"/>
  <c r="AL36" i="26"/>
  <c r="AN36" i="26" s="1"/>
  <c r="Q36" i="26"/>
  <c r="S36" i="26" s="1"/>
  <c r="J36" i="26"/>
  <c r="L36" i="26" s="1"/>
  <c r="Q24" i="27"/>
  <c r="S24" i="27" s="1"/>
  <c r="AE24" i="27"/>
  <c r="AG24" i="27" s="1"/>
  <c r="J24" i="27"/>
  <c r="L24" i="27" s="1"/>
  <c r="AL45" i="27"/>
  <c r="AN45" i="27" s="1"/>
  <c r="Q25" i="28"/>
  <c r="S25" i="28" s="1"/>
  <c r="AL25" i="28"/>
  <c r="AN25" i="28" s="1"/>
  <c r="J25" i="28"/>
  <c r="L25" i="28" s="1"/>
  <c r="X25" i="28"/>
  <c r="Z25" i="28" s="1"/>
  <c r="L37" i="28"/>
  <c r="J41" i="28"/>
  <c r="L41" i="28" s="1"/>
  <c r="AE43" i="32"/>
  <c r="AG43" i="32" s="1"/>
  <c r="F43" i="32"/>
  <c r="X43" i="32"/>
  <c r="Q43" i="32"/>
  <c r="S43" i="32" s="1"/>
  <c r="J43" i="32"/>
  <c r="L43" i="32" s="1"/>
  <c r="AL43" i="32"/>
  <c r="AN43" i="32" s="1"/>
  <c r="AL34" i="24"/>
  <c r="AN34" i="24" s="1"/>
  <c r="X36" i="24"/>
  <c r="Z36" i="24" s="1"/>
  <c r="AL39" i="24"/>
  <c r="AN39" i="24" s="1"/>
  <c r="Q17" i="25"/>
  <c r="S17" i="25" s="1"/>
  <c r="AL21" i="25"/>
  <c r="AN21" i="25" s="1"/>
  <c r="X23" i="25"/>
  <c r="Z23" i="25" s="1"/>
  <c r="Q24" i="25"/>
  <c r="S24" i="25" s="1"/>
  <c r="AM44" i="25"/>
  <c r="J46" i="25"/>
  <c r="AL46" i="25"/>
  <c r="L28" i="26"/>
  <c r="AE41" i="26"/>
  <c r="AG41" i="26" s="1"/>
  <c r="X41" i="26"/>
  <c r="Z41" i="26" s="1"/>
  <c r="AL41" i="26"/>
  <c r="AN41" i="26" s="1"/>
  <c r="Q41" i="26"/>
  <c r="S41" i="26" s="1"/>
  <c r="J41" i="26"/>
  <c r="L41" i="26" s="1"/>
  <c r="X23" i="27"/>
  <c r="Z23" i="27" s="1"/>
  <c r="J23" i="27"/>
  <c r="L23" i="27" s="1"/>
  <c r="AE23" i="27"/>
  <c r="AG23" i="27" s="1"/>
  <c r="F23" i="27"/>
  <c r="H23" i="27" s="1"/>
  <c r="O23" i="27" s="1"/>
  <c r="F24" i="27"/>
  <c r="H24" i="27" s="1"/>
  <c r="O24" i="27" s="1"/>
  <c r="X30" i="27"/>
  <c r="Z30" i="27" s="1"/>
  <c r="X38" i="27"/>
  <c r="Z38" i="27" s="1"/>
  <c r="J46" i="27"/>
  <c r="F25" i="28"/>
  <c r="H25" i="28" s="1"/>
  <c r="O25" i="28" s="1"/>
  <c r="AL28" i="28"/>
  <c r="AN28" i="28" s="1"/>
  <c r="Q28" i="28"/>
  <c r="S28" i="28" s="1"/>
  <c r="AE28" i="28"/>
  <c r="AG28" i="28" s="1"/>
  <c r="J28" i="28"/>
  <c r="L28" i="28" s="1"/>
  <c r="X28" i="28"/>
  <c r="Z28" i="28" s="1"/>
  <c r="AE21" i="31"/>
  <c r="AG21" i="31" s="1"/>
  <c r="AL36" i="28"/>
  <c r="AN36" i="28" s="1"/>
  <c r="V21" i="29"/>
  <c r="N21" i="29"/>
  <c r="O21" i="29" s="1"/>
  <c r="AE26" i="30"/>
  <c r="AG26" i="30" s="1"/>
  <c r="J26" i="30"/>
  <c r="L26" i="30" s="1"/>
  <c r="Q26" i="30"/>
  <c r="S26" i="30" s="1"/>
  <c r="AL26" i="30"/>
  <c r="AN26" i="30" s="1"/>
  <c r="F26" i="30"/>
  <c r="H26" i="30" s="1"/>
  <c r="O26" i="30" s="1"/>
  <c r="X26" i="30"/>
  <c r="Z26" i="30" s="1"/>
  <c r="G37" i="25"/>
  <c r="H37" i="25" s="1"/>
  <c r="O37" i="25" s="1"/>
  <c r="Z26" i="26"/>
  <c r="AE30" i="26"/>
  <c r="AG30" i="26" s="1"/>
  <c r="J30" i="26"/>
  <c r="L30" i="26" s="1"/>
  <c r="F40" i="26"/>
  <c r="H40" i="26" s="1"/>
  <c r="Q15" i="27"/>
  <c r="S15" i="27" s="1"/>
  <c r="AE15" i="27"/>
  <c r="AG15" i="27" s="1"/>
  <c r="AL15" i="27"/>
  <c r="AN15" i="27" s="1"/>
  <c r="J16" i="27"/>
  <c r="L16" i="27" s="1"/>
  <c r="AL16" i="27"/>
  <c r="AN16" i="27" s="1"/>
  <c r="Q16" i="27"/>
  <c r="S16" i="27" s="1"/>
  <c r="F16" i="27"/>
  <c r="H16" i="27" s="1"/>
  <c r="O16" i="27" s="1"/>
  <c r="AL43" i="27"/>
  <c r="AN43" i="27" s="1"/>
  <c r="AL26" i="29"/>
  <c r="AN26" i="29" s="1"/>
  <c r="Q26" i="29"/>
  <c r="S26" i="29" s="1"/>
  <c r="X26" i="29"/>
  <c r="Z26" i="29" s="1"/>
  <c r="J26" i="29"/>
  <c r="L26" i="29" s="1"/>
  <c r="AE26" i="29"/>
  <c r="AG26" i="29" s="1"/>
  <c r="Q41" i="25"/>
  <c r="S41" i="25" s="1"/>
  <c r="AE45" i="25"/>
  <c r="AG45" i="25" s="1"/>
  <c r="J45" i="25"/>
  <c r="L45" i="25" s="1"/>
  <c r="J16" i="26"/>
  <c r="L16" i="26" s="1"/>
  <c r="AE16" i="26"/>
  <c r="AG16" i="26" s="1"/>
  <c r="X16" i="26"/>
  <c r="Z16" i="26" s="1"/>
  <c r="F16" i="26"/>
  <c r="H16" i="26" s="1"/>
  <c r="O16" i="26" s="1"/>
  <c r="Q16" i="26"/>
  <c r="S16" i="26" s="1"/>
  <c r="J18" i="26"/>
  <c r="L18" i="26" s="1"/>
  <c r="AL18" i="26"/>
  <c r="AN18" i="26" s="1"/>
  <c r="Q18" i="26"/>
  <c r="S18" i="26" s="1"/>
  <c r="U21" i="27"/>
  <c r="AE27" i="27"/>
  <c r="AG27" i="27" s="1"/>
  <c r="AL27" i="27"/>
  <c r="AN27" i="27" s="1"/>
  <c r="AP27" i="27" s="1"/>
  <c r="Q27" i="27"/>
  <c r="S27" i="27" s="1"/>
  <c r="J27" i="27"/>
  <c r="L27" i="27" s="1"/>
  <c r="X27" i="27"/>
  <c r="Z27" i="27" s="1"/>
  <c r="AE41" i="27"/>
  <c r="AG41" i="27" s="1"/>
  <c r="Q41" i="27"/>
  <c r="S41" i="27" s="1"/>
  <c r="AL41" i="27"/>
  <c r="AN41" i="27" s="1"/>
  <c r="J41" i="27"/>
  <c r="L41" i="27" s="1"/>
  <c r="X41" i="27"/>
  <c r="Z41" i="27" s="1"/>
  <c r="F26" i="29"/>
  <c r="H26" i="29" s="1"/>
  <c r="O26" i="29" s="1"/>
  <c r="AF46" i="29"/>
  <c r="AF44" i="29"/>
  <c r="AG37" i="29"/>
  <c r="AF43" i="29"/>
  <c r="X21" i="26"/>
  <c r="Z21" i="26" s="1"/>
  <c r="AE33" i="26"/>
  <c r="AG33" i="26" s="1"/>
  <c r="X19" i="27"/>
  <c r="Z19" i="27" s="1"/>
  <c r="AL20" i="27"/>
  <c r="AN20" i="27" s="1"/>
  <c r="Q34" i="27"/>
  <c r="S34" i="27" s="1"/>
  <c r="X34" i="27"/>
  <c r="Z34" i="27" s="1"/>
  <c r="Q30" i="28"/>
  <c r="S30" i="28" s="1"/>
  <c r="AE30" i="28"/>
  <c r="AG30" i="28" s="1"/>
  <c r="J30" i="28"/>
  <c r="L30" i="28" s="1"/>
  <c r="F30" i="28"/>
  <c r="H30" i="28" s="1"/>
  <c r="X30" i="28"/>
  <c r="Z30" i="28" s="1"/>
  <c r="J43" i="28"/>
  <c r="X43" i="28"/>
  <c r="Z43" i="28" s="1"/>
  <c r="AL43" i="28"/>
  <c r="AN43" i="28" s="1"/>
  <c r="Q43" i="28"/>
  <c r="AE43" i="28"/>
  <c r="AG43" i="28" s="1"/>
  <c r="F43" i="28"/>
  <c r="AL21" i="27"/>
  <c r="AN21" i="27" s="1"/>
  <c r="AE22" i="27"/>
  <c r="AG22" i="27" s="1"/>
  <c r="X22" i="27"/>
  <c r="Z22" i="27" s="1"/>
  <c r="X28" i="27"/>
  <c r="Z28" i="27" s="1"/>
  <c r="F28" i="27"/>
  <c r="H28" i="27" s="1"/>
  <c r="O28" i="27" s="1"/>
  <c r="AL28" i="27"/>
  <c r="AN28" i="27" s="1"/>
  <c r="AL31" i="27"/>
  <c r="AN31" i="27" s="1"/>
  <c r="AE32" i="27"/>
  <c r="J32" i="27"/>
  <c r="L32" i="27" s="1"/>
  <c r="X33" i="27"/>
  <c r="Z33" i="27" s="1"/>
  <c r="F33" i="27"/>
  <c r="H33" i="27" s="1"/>
  <c r="J33" i="27"/>
  <c r="L33" i="27" s="1"/>
  <c r="G46" i="27"/>
  <c r="AE26" i="28"/>
  <c r="AG26" i="28" s="1"/>
  <c r="J40" i="28"/>
  <c r="L40" i="28" s="1"/>
  <c r="F40" i="28"/>
  <c r="H40" i="28" s="1"/>
  <c r="AL40" i="28"/>
  <c r="AN40" i="28" s="1"/>
  <c r="Q40" i="28"/>
  <c r="S40" i="28" s="1"/>
  <c r="X40" i="28"/>
  <c r="Z40" i="28" s="1"/>
  <c r="J45" i="28"/>
  <c r="L45" i="28" s="1"/>
  <c r="AL45" i="28"/>
  <c r="AN45" i="28" s="1"/>
  <c r="Q45" i="28"/>
  <c r="S45" i="28" s="1"/>
  <c r="AE45" i="28"/>
  <c r="AG45" i="28" s="1"/>
  <c r="AE33" i="29"/>
  <c r="AG33" i="29" s="1"/>
  <c r="AL33" i="29"/>
  <c r="AN33" i="29" s="1"/>
  <c r="Q33" i="29"/>
  <c r="S33" i="29" s="1"/>
  <c r="J33" i="29"/>
  <c r="L33" i="29" s="1"/>
  <c r="F33" i="29"/>
  <c r="H33" i="29" s="1"/>
  <c r="X33" i="29"/>
  <c r="Z33" i="29" s="1"/>
  <c r="Z35" i="29"/>
  <c r="J23" i="26"/>
  <c r="L23" i="26" s="1"/>
  <c r="X23" i="26"/>
  <c r="Z23" i="26" s="1"/>
  <c r="F31" i="26"/>
  <c r="H31" i="26" s="1"/>
  <c r="O31" i="26" s="1"/>
  <c r="AM43" i="26"/>
  <c r="AM44" i="26"/>
  <c r="J28" i="27"/>
  <c r="L28" i="27" s="1"/>
  <c r="X16" i="28"/>
  <c r="Z16" i="28" s="1"/>
  <c r="AL25" i="29"/>
  <c r="AN25" i="29" s="1"/>
  <c r="H37" i="29"/>
  <c r="O37" i="29" s="1"/>
  <c r="G44" i="29"/>
  <c r="G43" i="29"/>
  <c r="G46" i="29"/>
  <c r="Y46" i="29"/>
  <c r="Z46" i="29" s="1"/>
  <c r="Y44" i="29"/>
  <c r="Y43" i="29"/>
  <c r="Z43" i="29" s="1"/>
  <c r="Z37" i="29"/>
  <c r="O21" i="30"/>
  <c r="X34" i="30"/>
  <c r="Z34" i="30" s="1"/>
  <c r="AE21" i="26"/>
  <c r="AG21" i="26" s="1"/>
  <c r="F23" i="26"/>
  <c r="H23" i="26" s="1"/>
  <c r="O23" i="26" s="1"/>
  <c r="F24" i="26"/>
  <c r="H24" i="26" s="1"/>
  <c r="O24" i="26" s="1"/>
  <c r="X24" i="26"/>
  <c r="Z24" i="26" s="1"/>
  <c r="AE32" i="26"/>
  <c r="AG32" i="26" s="1"/>
  <c r="X32" i="26"/>
  <c r="Z32" i="26" s="1"/>
  <c r="AE19" i="27"/>
  <c r="J22" i="27"/>
  <c r="L22" i="27" s="1"/>
  <c r="Z25" i="27"/>
  <c r="AE28" i="27"/>
  <c r="AG28" i="27" s="1"/>
  <c r="R43" i="27"/>
  <c r="S37" i="27"/>
  <c r="R44" i="27"/>
  <c r="X34" i="28"/>
  <c r="Z34" i="28" s="1"/>
  <c r="U21" i="29"/>
  <c r="Q38" i="26"/>
  <c r="S38" i="26" s="1"/>
  <c r="AE46" i="26"/>
  <c r="Y46" i="26"/>
  <c r="AG21" i="27"/>
  <c r="Q38" i="27"/>
  <c r="S38" i="27" s="1"/>
  <c r="J38" i="27"/>
  <c r="L38" i="27" s="1"/>
  <c r="AL40" i="27"/>
  <c r="AN40" i="27" s="1"/>
  <c r="Q44" i="27"/>
  <c r="J44" i="27"/>
  <c r="AL30" i="28"/>
  <c r="AN30" i="28" s="1"/>
  <c r="AE40" i="28"/>
  <c r="AG40" i="28" s="1"/>
  <c r="X45" i="28"/>
  <c r="Z45" i="28" s="1"/>
  <c r="AL27" i="30"/>
  <c r="AN27" i="30" s="1"/>
  <c r="AE31" i="30"/>
  <c r="AG31" i="30" s="1"/>
  <c r="AL31" i="30"/>
  <c r="AN31" i="30" s="1"/>
  <c r="J31" i="30"/>
  <c r="L31" i="30" s="1"/>
  <c r="F31" i="30"/>
  <c r="H31" i="30" s="1"/>
  <c r="O31" i="30" s="1"/>
  <c r="X31" i="30"/>
  <c r="Z31" i="30" s="1"/>
  <c r="Q31" i="30"/>
  <c r="S31" i="30" s="1"/>
  <c r="X33" i="26"/>
  <c r="Z33" i="26" s="1"/>
  <c r="F45" i="26"/>
  <c r="H45" i="26" s="1"/>
  <c r="V21" i="27"/>
  <c r="N21" i="27"/>
  <c r="O21" i="27" s="1"/>
  <c r="Q32" i="27"/>
  <c r="S32" i="27" s="1"/>
  <c r="AL18" i="28"/>
  <c r="AN18" i="28" s="1"/>
  <c r="Q18" i="28"/>
  <c r="S18" i="28" s="1"/>
  <c r="AE18" i="28"/>
  <c r="AG18" i="28" s="1"/>
  <c r="F18" i="28"/>
  <c r="H18" i="28" s="1"/>
  <c r="O18" i="28" s="1"/>
  <c r="N21" i="28"/>
  <c r="O21" i="28" s="1"/>
  <c r="V21" i="28"/>
  <c r="F32" i="28"/>
  <c r="H32" i="28" s="1"/>
  <c r="AE32" i="28"/>
  <c r="AG32" i="28" s="1"/>
  <c r="J32" i="28"/>
  <c r="L32" i="28" s="1"/>
  <c r="Q32" i="28"/>
  <c r="S32" i="28" s="1"/>
  <c r="X32" i="28"/>
  <c r="Z32" i="28" s="1"/>
  <c r="AE24" i="29"/>
  <c r="AG24" i="29" s="1"/>
  <c r="AL31" i="29"/>
  <c r="AN31" i="29" s="1"/>
  <c r="Q31" i="29"/>
  <c r="S31" i="29" s="1"/>
  <c r="AE31" i="29"/>
  <c r="AG31" i="29" s="1"/>
  <c r="X31" i="29"/>
  <c r="Z31" i="29" s="1"/>
  <c r="J31" i="29"/>
  <c r="L31" i="29" s="1"/>
  <c r="F31" i="29"/>
  <c r="H31" i="29" s="1"/>
  <c r="O31" i="29" s="1"/>
  <c r="AL35" i="29"/>
  <c r="AN35" i="29" s="1"/>
  <c r="AE31" i="31"/>
  <c r="AG31" i="31" s="1"/>
  <c r="AE23" i="26"/>
  <c r="AG23" i="26" s="1"/>
  <c r="F26" i="26"/>
  <c r="H26" i="26" s="1"/>
  <c r="O26" i="26" s="1"/>
  <c r="F33" i="26"/>
  <c r="H33" i="26" s="1"/>
  <c r="Q34" i="26"/>
  <c r="S34" i="26" s="1"/>
  <c r="X44" i="26"/>
  <c r="Y44" i="26"/>
  <c r="AL19" i="27"/>
  <c r="AN19" i="27" s="1"/>
  <c r="Q20" i="27"/>
  <c r="S20" i="27" s="1"/>
  <c r="Q22" i="27"/>
  <c r="S22" i="27" s="1"/>
  <c r="AL32" i="27"/>
  <c r="AN32" i="27" s="1"/>
  <c r="Q33" i="27"/>
  <c r="S33" i="27" s="1"/>
  <c r="AL33" i="27"/>
  <c r="AN33" i="27" s="1"/>
  <c r="G44" i="27"/>
  <c r="AN37" i="27"/>
  <c r="AP37" i="27" s="1"/>
  <c r="AM44" i="27"/>
  <c r="AN44" i="27" s="1"/>
  <c r="J43" i="29"/>
  <c r="Q43" i="29"/>
  <c r="S43" i="29" s="1"/>
  <c r="AL43" i="29"/>
  <c r="AE43" i="29"/>
  <c r="X43" i="29"/>
  <c r="N21" i="30"/>
  <c r="AE27" i="26"/>
  <c r="AG27" i="26" s="1"/>
  <c r="X27" i="26"/>
  <c r="Z27" i="26" s="1"/>
  <c r="F34" i="26"/>
  <c r="H34" i="26" s="1"/>
  <c r="X34" i="26"/>
  <c r="Z34" i="26" s="1"/>
  <c r="Z37" i="26"/>
  <c r="F43" i="26"/>
  <c r="H43" i="26" s="1"/>
  <c r="Q28" i="27"/>
  <c r="S28" i="27" s="1"/>
  <c r="AE38" i="27"/>
  <c r="AG38" i="27" s="1"/>
  <c r="X23" i="29"/>
  <c r="Z23" i="29" s="1"/>
  <c r="X28" i="29"/>
  <c r="Z28" i="29" s="1"/>
  <c r="AE30" i="29"/>
  <c r="AG30" i="29" s="1"/>
  <c r="F43" i="29"/>
  <c r="AL19" i="30"/>
  <c r="AN19" i="30" s="1"/>
  <c r="J24" i="28"/>
  <c r="L24" i="28" s="1"/>
  <c r="X24" i="28"/>
  <c r="Z24" i="28" s="1"/>
  <c r="AL24" i="28"/>
  <c r="AN24" i="28" s="1"/>
  <c r="Q24" i="28"/>
  <c r="S24" i="28" s="1"/>
  <c r="AE24" i="28"/>
  <c r="AG24" i="28" s="1"/>
  <c r="F27" i="28"/>
  <c r="H27" i="28" s="1"/>
  <c r="O27" i="28" s="1"/>
  <c r="AL27" i="28"/>
  <c r="AN27" i="28" s="1"/>
  <c r="Q27" i="28"/>
  <c r="S27" i="28" s="1"/>
  <c r="Q44" i="28"/>
  <c r="AL44" i="28"/>
  <c r="AE44" i="28"/>
  <c r="X22" i="29"/>
  <c r="Z22" i="29" s="1"/>
  <c r="X22" i="30"/>
  <c r="Z22" i="30" s="1"/>
  <c r="R43" i="31"/>
  <c r="R44" i="31"/>
  <c r="R46" i="31"/>
  <c r="AE17" i="32"/>
  <c r="AG17" i="32" s="1"/>
  <c r="S23" i="33"/>
  <c r="X22" i="28"/>
  <c r="Z22" i="28" s="1"/>
  <c r="F24" i="28"/>
  <c r="H24" i="28" s="1"/>
  <c r="O24" i="28" s="1"/>
  <c r="AM46" i="28"/>
  <c r="AM44" i="28"/>
  <c r="F44" i="28"/>
  <c r="X15" i="29"/>
  <c r="Z15" i="29" s="1"/>
  <c r="F17" i="29"/>
  <c r="H17" i="29" s="1"/>
  <c r="O17" i="29" s="1"/>
  <c r="AE17" i="29"/>
  <c r="AG17" i="29" s="1"/>
  <c r="J17" i="29"/>
  <c r="L17" i="29" s="1"/>
  <c r="J28" i="29"/>
  <c r="L28" i="29" s="1"/>
  <c r="X30" i="29"/>
  <c r="Z30" i="29" s="1"/>
  <c r="Q19" i="30"/>
  <c r="S19" i="30" s="1"/>
  <c r="AE35" i="30"/>
  <c r="AG35" i="30" s="1"/>
  <c r="F35" i="30"/>
  <c r="H35" i="30" s="1"/>
  <c r="O35" i="30" s="1"/>
  <c r="X35" i="30"/>
  <c r="Z35" i="30" s="1"/>
  <c r="Q35" i="30"/>
  <c r="S35" i="30" s="1"/>
  <c r="AL35" i="30"/>
  <c r="AN35" i="30" s="1"/>
  <c r="J35" i="30"/>
  <c r="L35" i="30" s="1"/>
  <c r="S37" i="31"/>
  <c r="H37" i="28"/>
  <c r="O37" i="28" s="1"/>
  <c r="G43" i="28"/>
  <c r="G44" i="28"/>
  <c r="AE36" i="29"/>
  <c r="AG36" i="29" s="1"/>
  <c r="J36" i="29"/>
  <c r="L36" i="29" s="1"/>
  <c r="X36" i="29"/>
  <c r="Z36" i="29" s="1"/>
  <c r="AL36" i="29"/>
  <c r="AN36" i="29" s="1"/>
  <c r="Q36" i="29"/>
  <c r="S36" i="29" s="1"/>
  <c r="J25" i="27"/>
  <c r="L25" i="27" s="1"/>
  <c r="J35" i="27"/>
  <c r="L35" i="27" s="1"/>
  <c r="X35" i="27"/>
  <c r="Z35" i="27" s="1"/>
  <c r="AJ35" i="27" s="1"/>
  <c r="F36" i="27"/>
  <c r="H36" i="27" s="1"/>
  <c r="X27" i="28"/>
  <c r="Z27" i="28" s="1"/>
  <c r="L38" i="28"/>
  <c r="F46" i="28"/>
  <c r="AL46" i="28"/>
  <c r="Q46" i="28"/>
  <c r="S46" i="28" s="1"/>
  <c r="Q16" i="29"/>
  <c r="S16" i="29" s="1"/>
  <c r="AE16" i="29"/>
  <c r="AG16" i="29" s="1"/>
  <c r="AL16" i="29"/>
  <c r="AN16" i="29" s="1"/>
  <c r="J16" i="29"/>
  <c r="L16" i="29" s="1"/>
  <c r="Q18" i="29"/>
  <c r="S18" i="29" s="1"/>
  <c r="AE18" i="29"/>
  <c r="AG18" i="29" s="1"/>
  <c r="J18" i="29"/>
  <c r="L18" i="29" s="1"/>
  <c r="F18" i="29"/>
  <c r="H18" i="29" s="1"/>
  <c r="O18" i="29" s="1"/>
  <c r="X18" i="29"/>
  <c r="Z18" i="29" s="1"/>
  <c r="AL21" i="29"/>
  <c r="AN21" i="29" s="1"/>
  <c r="AL27" i="29"/>
  <c r="AN27" i="29" s="1"/>
  <c r="K44" i="29"/>
  <c r="K46" i="29"/>
  <c r="K43" i="29"/>
  <c r="AG16" i="30"/>
  <c r="AL25" i="30"/>
  <c r="AN25" i="30" s="1"/>
  <c r="AL23" i="28"/>
  <c r="AN23" i="28" s="1"/>
  <c r="R44" i="28"/>
  <c r="R43" i="28"/>
  <c r="S37" i="28"/>
  <c r="G46" i="28"/>
  <c r="F30" i="29"/>
  <c r="H30" i="29" s="1"/>
  <c r="AL30" i="29"/>
  <c r="AN30" i="29" s="1"/>
  <c r="Q30" i="29"/>
  <c r="S30" i="29" s="1"/>
  <c r="X24" i="30"/>
  <c r="Z24" i="30" s="1"/>
  <c r="F33" i="30"/>
  <c r="H33" i="30" s="1"/>
  <c r="Q33" i="30"/>
  <c r="S33" i="30" s="1"/>
  <c r="X33" i="30"/>
  <c r="Z33" i="30" s="1"/>
  <c r="AL33" i="30"/>
  <c r="AN33" i="30" s="1"/>
  <c r="AE33" i="30"/>
  <c r="AG33" i="30" s="1"/>
  <c r="J33" i="30"/>
  <c r="L33" i="30" s="1"/>
  <c r="J17" i="28"/>
  <c r="L17" i="28" s="1"/>
  <c r="X17" i="28"/>
  <c r="Z17" i="28" s="1"/>
  <c r="AL17" i="28"/>
  <c r="AN17" i="28" s="1"/>
  <c r="Q17" i="28"/>
  <c r="S17" i="28" s="1"/>
  <c r="AE17" i="28"/>
  <c r="AG17" i="28" s="1"/>
  <c r="F24" i="29"/>
  <c r="H24" i="29" s="1"/>
  <c r="O24" i="29" s="1"/>
  <c r="X24" i="29"/>
  <c r="Z24" i="29" s="1"/>
  <c r="AL24" i="29"/>
  <c r="AN24" i="29" s="1"/>
  <c r="Q24" i="29"/>
  <c r="S24" i="29" s="1"/>
  <c r="X34" i="29"/>
  <c r="Z34" i="29" s="1"/>
  <c r="N37" i="29"/>
  <c r="X17" i="30"/>
  <c r="Z17" i="30" s="1"/>
  <c r="AL17" i="30"/>
  <c r="AN17" i="30" s="1"/>
  <c r="AE17" i="30"/>
  <c r="AG17" i="30" s="1"/>
  <c r="Q17" i="30"/>
  <c r="S17" i="30" s="1"/>
  <c r="J17" i="30"/>
  <c r="L17" i="30" s="1"/>
  <c r="J26" i="28"/>
  <c r="L26" i="28" s="1"/>
  <c r="AL26" i="28"/>
  <c r="AN26" i="28" s="1"/>
  <c r="Q26" i="28"/>
  <c r="S26" i="28" s="1"/>
  <c r="F33" i="28"/>
  <c r="H33" i="28" s="1"/>
  <c r="F41" i="28"/>
  <c r="H41" i="28" s="1"/>
  <c r="X41" i="28"/>
  <c r="Z41" i="28" s="1"/>
  <c r="AL41" i="28"/>
  <c r="AN41" i="28" s="1"/>
  <c r="Q41" i="28"/>
  <c r="S41" i="28" s="1"/>
  <c r="AE41" i="28"/>
  <c r="AG41" i="28" s="1"/>
  <c r="AE28" i="29"/>
  <c r="AG28" i="29" s="1"/>
  <c r="AL28" i="29"/>
  <c r="AN28" i="29" s="1"/>
  <c r="Q28" i="29"/>
  <c r="S28" i="29" s="1"/>
  <c r="F17" i="30"/>
  <c r="H17" i="30" s="1"/>
  <c r="O17" i="30" s="1"/>
  <c r="X20" i="30"/>
  <c r="Z20" i="30" s="1"/>
  <c r="X36" i="30"/>
  <c r="AL41" i="30"/>
  <c r="AN41" i="30" s="1"/>
  <c r="F26" i="28"/>
  <c r="H26" i="28" s="1"/>
  <c r="O26" i="28" s="1"/>
  <c r="J31" i="28"/>
  <c r="L31" i="28" s="1"/>
  <c r="AE31" i="28"/>
  <c r="AG31" i="28" s="1"/>
  <c r="F31" i="28"/>
  <c r="H31" i="28" s="1"/>
  <c r="O31" i="28" s="1"/>
  <c r="AF46" i="28"/>
  <c r="AF44" i="28"/>
  <c r="J24" i="29"/>
  <c r="L24" i="29" s="1"/>
  <c r="F28" i="29"/>
  <c r="H28" i="29" s="1"/>
  <c r="O28" i="29" s="1"/>
  <c r="J30" i="29"/>
  <c r="L30" i="29" s="1"/>
  <c r="AE19" i="30"/>
  <c r="AG19" i="30" s="1"/>
  <c r="J19" i="30"/>
  <c r="L19" i="30" s="1"/>
  <c r="F19" i="30"/>
  <c r="H19" i="30" s="1"/>
  <c r="X19" i="30"/>
  <c r="Z19" i="30" s="1"/>
  <c r="Q16" i="30"/>
  <c r="S16" i="30" s="1"/>
  <c r="S33" i="31"/>
  <c r="Y46" i="31"/>
  <c r="Y43" i="31"/>
  <c r="Z37" i="31"/>
  <c r="Y44" i="31"/>
  <c r="L27" i="32"/>
  <c r="G44" i="32"/>
  <c r="G43" i="32"/>
  <c r="G46" i="32"/>
  <c r="H46" i="32" s="1"/>
  <c r="H37" i="32"/>
  <c r="O37" i="32" s="1"/>
  <c r="AL26" i="26"/>
  <c r="AN26" i="26" s="1"/>
  <c r="AL31" i="26"/>
  <c r="AN31" i="26" s="1"/>
  <c r="AL40" i="26"/>
  <c r="AN40" i="26" s="1"/>
  <c r="AL45" i="26"/>
  <c r="AN45" i="26" s="1"/>
  <c r="AL36" i="27"/>
  <c r="AN36" i="27" s="1"/>
  <c r="AL16" i="28"/>
  <c r="AN16" i="28" s="1"/>
  <c r="AL20" i="28"/>
  <c r="AN20" i="28" s="1"/>
  <c r="X33" i="28"/>
  <c r="Z33" i="28" s="1"/>
  <c r="Q22" i="29"/>
  <c r="S22" i="29" s="1"/>
  <c r="AL22" i="29"/>
  <c r="AN22" i="29" s="1"/>
  <c r="Q23" i="29"/>
  <c r="S23" i="29" s="1"/>
  <c r="Q25" i="29"/>
  <c r="S25" i="29" s="1"/>
  <c r="AL45" i="29"/>
  <c r="AN45" i="29" s="1"/>
  <c r="X45" i="29"/>
  <c r="Z45" i="29" s="1"/>
  <c r="AL46" i="29"/>
  <c r="AE46" i="29"/>
  <c r="X44" i="30"/>
  <c r="J44" i="30"/>
  <c r="L44" i="30" s="1"/>
  <c r="F44" i="30"/>
  <c r="H44" i="30" s="1"/>
  <c r="Q44" i="30"/>
  <c r="S44" i="30" s="1"/>
  <c r="AE38" i="31"/>
  <c r="AG38" i="31" s="1"/>
  <c r="G44" i="34"/>
  <c r="G46" i="34"/>
  <c r="F15" i="28"/>
  <c r="H15" i="28" s="1"/>
  <c r="F38" i="28"/>
  <c r="H38" i="28" s="1"/>
  <c r="O38" i="28" s="1"/>
  <c r="AL23" i="29"/>
  <c r="AN23" i="29" s="1"/>
  <c r="AL38" i="29"/>
  <c r="AN38" i="29" s="1"/>
  <c r="X41" i="29"/>
  <c r="Z41" i="29" s="1"/>
  <c r="F41" i="29"/>
  <c r="H41" i="29" s="1"/>
  <c r="Q41" i="29"/>
  <c r="S41" i="29" s="1"/>
  <c r="F45" i="29"/>
  <c r="H45" i="29" s="1"/>
  <c r="F46" i="29"/>
  <c r="U37" i="30"/>
  <c r="AC37" i="30"/>
  <c r="N37" i="30"/>
  <c r="V37" i="30"/>
  <c r="J19" i="32"/>
  <c r="L19" i="32" s="1"/>
  <c r="AL19" i="32"/>
  <c r="AN19" i="32" s="1"/>
  <c r="AE19" i="32"/>
  <c r="AG19" i="32" s="1"/>
  <c r="Q19" i="32"/>
  <c r="S19" i="32" s="1"/>
  <c r="F19" i="32"/>
  <c r="H19" i="32" s="1"/>
  <c r="X19" i="32"/>
  <c r="Z19" i="32" s="1"/>
  <c r="J23" i="34"/>
  <c r="L23" i="34" s="1"/>
  <c r="AE21" i="28"/>
  <c r="AG21" i="28" s="1"/>
  <c r="F34" i="28"/>
  <c r="H34" i="28" s="1"/>
  <c r="J19" i="29"/>
  <c r="L19" i="29" s="1"/>
  <c r="X19" i="29"/>
  <c r="Z19" i="29" s="1"/>
  <c r="Q20" i="29"/>
  <c r="S20" i="29" s="1"/>
  <c r="X20" i="29"/>
  <c r="Z20" i="29" s="1"/>
  <c r="AC37" i="29"/>
  <c r="U37" i="29"/>
  <c r="F40" i="29"/>
  <c r="H40" i="29" s="1"/>
  <c r="J15" i="30"/>
  <c r="L15" i="30" s="1"/>
  <c r="X15" i="30"/>
  <c r="Z15" i="30" s="1"/>
  <c r="F15" i="30"/>
  <c r="H15" i="30" s="1"/>
  <c r="Q15" i="30"/>
  <c r="S15" i="30" s="1"/>
  <c r="AE15" i="30"/>
  <c r="AG15" i="30" s="1"/>
  <c r="Q18" i="30"/>
  <c r="S18" i="30" s="1"/>
  <c r="AE18" i="30"/>
  <c r="AG18" i="30" s="1"/>
  <c r="J18" i="30"/>
  <c r="L18" i="30" s="1"/>
  <c r="U21" i="30"/>
  <c r="Y43" i="30"/>
  <c r="Y46" i="30"/>
  <c r="Y44" i="30"/>
  <c r="J26" i="31"/>
  <c r="L26" i="31" s="1"/>
  <c r="F26" i="31"/>
  <c r="H26" i="31" s="1"/>
  <c r="O26" i="31" s="1"/>
  <c r="Q26" i="31"/>
  <c r="S26" i="31" s="1"/>
  <c r="X27" i="31"/>
  <c r="Z27" i="31" s="1"/>
  <c r="AL30" i="33"/>
  <c r="AN30" i="33" s="1"/>
  <c r="AE30" i="33"/>
  <c r="AG30" i="33" s="1"/>
  <c r="J30" i="33"/>
  <c r="L30" i="33" s="1"/>
  <c r="F30" i="33"/>
  <c r="H30" i="33" s="1"/>
  <c r="X30" i="33"/>
  <c r="Z30" i="33" s="1"/>
  <c r="Q30" i="33"/>
  <c r="S30" i="33" s="1"/>
  <c r="F16" i="28"/>
  <c r="H16" i="28" s="1"/>
  <c r="O16" i="28" s="1"/>
  <c r="X21" i="28"/>
  <c r="Z21" i="28" s="1"/>
  <c r="AL35" i="28"/>
  <c r="AN35" i="28" s="1"/>
  <c r="AE36" i="28"/>
  <c r="AG36" i="28" s="1"/>
  <c r="F19" i="29"/>
  <c r="H19" i="29" s="1"/>
  <c r="F20" i="29"/>
  <c r="H20" i="29" s="1"/>
  <c r="O20" i="29" s="1"/>
  <c r="F18" i="30"/>
  <c r="H18" i="30" s="1"/>
  <c r="O18" i="30" s="1"/>
  <c r="AL18" i="30"/>
  <c r="AN18" i="30" s="1"/>
  <c r="Z37" i="30"/>
  <c r="AE43" i="30"/>
  <c r="AG43" i="30" s="1"/>
  <c r="J43" i="30"/>
  <c r="L43" i="30" s="1"/>
  <c r="F43" i="30"/>
  <c r="H43" i="30" s="1"/>
  <c r="X43" i="30"/>
  <c r="Q43" i="30"/>
  <c r="AL43" i="30"/>
  <c r="AN43" i="30" s="1"/>
  <c r="X20" i="31"/>
  <c r="Z20" i="31" s="1"/>
  <c r="F20" i="31"/>
  <c r="H20" i="31" s="1"/>
  <c r="O20" i="31" s="1"/>
  <c r="Q20" i="31"/>
  <c r="S20" i="31" s="1"/>
  <c r="AL20" i="31"/>
  <c r="AN20" i="31" s="1"/>
  <c r="AE20" i="31"/>
  <c r="AG20" i="31" s="1"/>
  <c r="AE23" i="31"/>
  <c r="AG23" i="31" s="1"/>
  <c r="AL23" i="31"/>
  <c r="AN23" i="31" s="1"/>
  <c r="Q23" i="31"/>
  <c r="J23" i="31"/>
  <c r="L23" i="31" s="1"/>
  <c r="F23" i="31"/>
  <c r="H23" i="31" s="1"/>
  <c r="O23" i="31" s="1"/>
  <c r="Q24" i="31"/>
  <c r="S24" i="31" s="1"/>
  <c r="X25" i="31"/>
  <c r="Z25" i="31" s="1"/>
  <c r="F22" i="29"/>
  <c r="H22" i="29" s="1"/>
  <c r="O22" i="29" s="1"/>
  <c r="AE34" i="31"/>
  <c r="AG34" i="31" s="1"/>
  <c r="X34" i="31"/>
  <c r="Z34" i="31" s="1"/>
  <c r="AL34" i="31"/>
  <c r="AN34" i="31" s="1"/>
  <c r="Q34" i="31"/>
  <c r="S34" i="31" s="1"/>
  <c r="J34" i="31"/>
  <c r="L34" i="31" s="1"/>
  <c r="X35" i="31"/>
  <c r="Z35" i="31" s="1"/>
  <c r="Q18" i="32"/>
  <c r="S18" i="32" s="1"/>
  <c r="X18" i="32"/>
  <c r="Z18" i="32" s="1"/>
  <c r="F18" i="32"/>
  <c r="H18" i="32" s="1"/>
  <c r="O18" i="32" s="1"/>
  <c r="AL18" i="32"/>
  <c r="AN18" i="32" s="1"/>
  <c r="J18" i="32"/>
  <c r="L18" i="32" s="1"/>
  <c r="Q23" i="28"/>
  <c r="S23" i="28" s="1"/>
  <c r="AE23" i="28"/>
  <c r="AG23" i="28" s="1"/>
  <c r="X23" i="28"/>
  <c r="Z23" i="28" s="1"/>
  <c r="F25" i="29"/>
  <c r="H25" i="29" s="1"/>
  <c r="O25" i="29" s="1"/>
  <c r="F44" i="29"/>
  <c r="AE44" i="29"/>
  <c r="Q24" i="30"/>
  <c r="S24" i="30" s="1"/>
  <c r="J24" i="30"/>
  <c r="L24" i="30" s="1"/>
  <c r="AL24" i="30"/>
  <c r="AN24" i="30" s="1"/>
  <c r="AE24" i="30"/>
  <c r="AG24" i="30" s="1"/>
  <c r="F24" i="30"/>
  <c r="H24" i="30" s="1"/>
  <c r="O24" i="30" s="1"/>
  <c r="Z36" i="30"/>
  <c r="AQ37" i="30"/>
  <c r="AP37" i="30"/>
  <c r="X17" i="31"/>
  <c r="Z17" i="31" s="1"/>
  <c r="F17" i="31"/>
  <c r="H17" i="31" s="1"/>
  <c r="O17" i="31" s="1"/>
  <c r="J17" i="31"/>
  <c r="L17" i="31" s="1"/>
  <c r="AE17" i="31"/>
  <c r="AG17" i="31" s="1"/>
  <c r="AL17" i="31"/>
  <c r="AN17" i="31" s="1"/>
  <c r="Q17" i="31"/>
  <c r="S17" i="31" s="1"/>
  <c r="J20" i="31"/>
  <c r="L20" i="31" s="1"/>
  <c r="N21" i="31"/>
  <c r="O21" i="31" s="1"/>
  <c r="V21" i="31"/>
  <c r="AL22" i="31"/>
  <c r="AN22" i="31" s="1"/>
  <c r="J31" i="31"/>
  <c r="L31" i="31" s="1"/>
  <c r="AL31" i="31"/>
  <c r="AN31" i="31" s="1"/>
  <c r="AP31" i="31" s="1"/>
  <c r="Q31" i="31"/>
  <c r="S31" i="31" s="1"/>
  <c r="F34" i="31"/>
  <c r="H34" i="31" s="1"/>
  <c r="O34" i="31" s="1"/>
  <c r="AE34" i="30"/>
  <c r="AG34" i="30" s="1"/>
  <c r="AL46" i="30"/>
  <c r="AN46" i="30" s="1"/>
  <c r="F15" i="31"/>
  <c r="H15" i="31" s="1"/>
  <c r="Q15" i="31"/>
  <c r="S15" i="31" s="1"/>
  <c r="AL33" i="31"/>
  <c r="AN33" i="31" s="1"/>
  <c r="AP33" i="31" s="1"/>
  <c r="V37" i="32"/>
  <c r="N37" i="32"/>
  <c r="X32" i="30"/>
  <c r="Z32" i="30" s="1"/>
  <c r="Q32" i="30"/>
  <c r="S32" i="30" s="1"/>
  <c r="AE36" i="31"/>
  <c r="AG36" i="31" s="1"/>
  <c r="AL45" i="31"/>
  <c r="AN45" i="31" s="1"/>
  <c r="AP45" i="31" s="1"/>
  <c r="AE46" i="31"/>
  <c r="J46" i="31"/>
  <c r="L46" i="31" s="1"/>
  <c r="X46" i="31"/>
  <c r="Q46" i="31"/>
  <c r="AE21" i="32"/>
  <c r="AG21" i="32" s="1"/>
  <c r="L45" i="32"/>
  <c r="AN22" i="34"/>
  <c r="AL22" i="28"/>
  <c r="AN22" i="28" s="1"/>
  <c r="AL15" i="29"/>
  <c r="AN15" i="29" s="1"/>
  <c r="AL34" i="29"/>
  <c r="AN34" i="29" s="1"/>
  <c r="AE35" i="29"/>
  <c r="AG35" i="29" s="1"/>
  <c r="Q27" i="30"/>
  <c r="S27" i="30" s="1"/>
  <c r="AE32" i="30"/>
  <c r="AG32" i="30" s="1"/>
  <c r="Q34" i="30"/>
  <c r="S34" i="30" s="1"/>
  <c r="AL34" i="30"/>
  <c r="AN34" i="30" s="1"/>
  <c r="Q40" i="30"/>
  <c r="S40" i="30" s="1"/>
  <c r="AE40" i="30"/>
  <c r="AG40" i="30" s="1"/>
  <c r="X40" i="30"/>
  <c r="Z40" i="30" s="1"/>
  <c r="Q45" i="30"/>
  <c r="S45" i="30" s="1"/>
  <c r="X45" i="30"/>
  <c r="Z45" i="30" s="1"/>
  <c r="F45" i="30"/>
  <c r="H45" i="30" s="1"/>
  <c r="K46" i="30"/>
  <c r="J15" i="31"/>
  <c r="L15" i="31" s="1"/>
  <c r="AF43" i="31"/>
  <c r="AF46" i="31"/>
  <c r="AG37" i="31"/>
  <c r="AE35" i="32"/>
  <c r="AG35" i="32" s="1"/>
  <c r="F35" i="32"/>
  <c r="H35" i="32" s="1"/>
  <c r="O35" i="32" s="1"/>
  <c r="X35" i="32"/>
  <c r="Z35" i="32" s="1"/>
  <c r="Q35" i="32"/>
  <c r="S35" i="32" s="1"/>
  <c r="AC35" i="32" s="1"/>
  <c r="J35" i="32"/>
  <c r="L35" i="32" s="1"/>
  <c r="AL35" i="32"/>
  <c r="AN35" i="32" s="1"/>
  <c r="L26" i="33"/>
  <c r="F20" i="30"/>
  <c r="H20" i="30" s="1"/>
  <c r="O20" i="30" s="1"/>
  <c r="AE20" i="30"/>
  <c r="AG20" i="30" s="1"/>
  <c r="J20" i="30"/>
  <c r="L20" i="30" s="1"/>
  <c r="X23" i="30"/>
  <c r="Z23" i="30" s="1"/>
  <c r="AE23" i="30"/>
  <c r="AG23" i="30" s="1"/>
  <c r="AL30" i="30"/>
  <c r="AN30" i="30" s="1"/>
  <c r="J36" i="30"/>
  <c r="L36" i="30" s="1"/>
  <c r="AL15" i="31"/>
  <c r="AN15" i="31" s="1"/>
  <c r="AM44" i="31"/>
  <c r="AN37" i="31"/>
  <c r="AL40" i="31"/>
  <c r="AN40" i="31" s="1"/>
  <c r="Z26" i="32"/>
  <c r="AG16" i="33"/>
  <c r="V21" i="33"/>
  <c r="N21" i="33"/>
  <c r="O21" i="33" s="1"/>
  <c r="Q35" i="29"/>
  <c r="S35" i="29" s="1"/>
  <c r="F23" i="30"/>
  <c r="H23" i="30" s="1"/>
  <c r="O23" i="30" s="1"/>
  <c r="J32" i="30"/>
  <c r="L32" i="30" s="1"/>
  <c r="F36" i="30"/>
  <c r="H36" i="30" s="1"/>
  <c r="R43" i="30"/>
  <c r="J45" i="30"/>
  <c r="L45" i="30" s="1"/>
  <c r="X32" i="31"/>
  <c r="Z32" i="31" s="1"/>
  <c r="Q32" i="31"/>
  <c r="S32" i="31" s="1"/>
  <c r="AC32" i="31" s="1"/>
  <c r="H40" i="31"/>
  <c r="AE22" i="30"/>
  <c r="AG22" i="30" s="1"/>
  <c r="AL22" i="30"/>
  <c r="AN22" i="30" s="1"/>
  <c r="Q22" i="30"/>
  <c r="S22" i="30" s="1"/>
  <c r="AE36" i="30"/>
  <c r="AG36" i="30" s="1"/>
  <c r="X38" i="30"/>
  <c r="Z38" i="30" s="1"/>
  <c r="AL38" i="30"/>
  <c r="AN38" i="30" s="1"/>
  <c r="F25" i="31"/>
  <c r="H25" i="31" s="1"/>
  <c r="O25" i="31" s="1"/>
  <c r="Q25" i="31"/>
  <c r="S25" i="31" s="1"/>
  <c r="AE25" i="31"/>
  <c r="AG25" i="31" s="1"/>
  <c r="AL35" i="31"/>
  <c r="AN35" i="31" s="1"/>
  <c r="Q35" i="31"/>
  <c r="S35" i="31" s="1"/>
  <c r="AC35" i="31" s="1"/>
  <c r="L36" i="31"/>
  <c r="X38" i="31"/>
  <c r="Z38" i="31" s="1"/>
  <c r="J23" i="30"/>
  <c r="L23" i="30" s="1"/>
  <c r="R46" i="30"/>
  <c r="S46" i="30" s="1"/>
  <c r="S23" i="31"/>
  <c r="J25" i="31"/>
  <c r="L25" i="31" s="1"/>
  <c r="X28" i="31"/>
  <c r="Z28" i="31" s="1"/>
  <c r="F28" i="31"/>
  <c r="H28" i="31" s="1"/>
  <c r="O28" i="31" s="1"/>
  <c r="AE28" i="31"/>
  <c r="AG28" i="31" s="1"/>
  <c r="J32" i="31"/>
  <c r="L32" i="31" s="1"/>
  <c r="AL32" i="31"/>
  <c r="AN32" i="31" s="1"/>
  <c r="AE35" i="31"/>
  <c r="AG35" i="31" s="1"/>
  <c r="AE41" i="31"/>
  <c r="AG41" i="31" s="1"/>
  <c r="X41" i="31"/>
  <c r="Z41" i="31" s="1"/>
  <c r="AL41" i="31"/>
  <c r="AN41" i="31" s="1"/>
  <c r="Q41" i="31"/>
  <c r="S41" i="31" s="1"/>
  <c r="J41" i="31"/>
  <c r="L41" i="31" s="1"/>
  <c r="F41" i="31"/>
  <c r="H41" i="31" s="1"/>
  <c r="AL46" i="31"/>
  <c r="Q16" i="32"/>
  <c r="S16" i="32" s="1"/>
  <c r="AE16" i="32"/>
  <c r="AG16" i="32" s="1"/>
  <c r="J16" i="32"/>
  <c r="L16" i="32" s="1"/>
  <c r="X16" i="32"/>
  <c r="Z16" i="32" s="1"/>
  <c r="F16" i="32"/>
  <c r="H16" i="32" s="1"/>
  <c r="O16" i="32" s="1"/>
  <c r="X24" i="32"/>
  <c r="Z24" i="32" s="1"/>
  <c r="AL27" i="32"/>
  <c r="AN27" i="32" s="1"/>
  <c r="AP27" i="32" s="1"/>
  <c r="X27" i="30"/>
  <c r="Z27" i="30" s="1"/>
  <c r="F27" i="30"/>
  <c r="H27" i="30" s="1"/>
  <c r="O27" i="30" s="1"/>
  <c r="J34" i="30"/>
  <c r="L34" i="30" s="1"/>
  <c r="X15" i="31"/>
  <c r="Z15" i="31" s="1"/>
  <c r="AL16" i="31"/>
  <c r="AN16" i="31" s="1"/>
  <c r="X24" i="31"/>
  <c r="Z24" i="31" s="1"/>
  <c r="AL25" i="31"/>
  <c r="AN25" i="31" s="1"/>
  <c r="S40" i="31"/>
  <c r="AM46" i="31"/>
  <c r="X17" i="32"/>
  <c r="Z17" i="32" s="1"/>
  <c r="F17" i="32"/>
  <c r="H17" i="32" s="1"/>
  <c r="O17" i="32" s="1"/>
  <c r="AL17" i="32"/>
  <c r="AN17" i="32" s="1"/>
  <c r="AP17" i="32" s="1"/>
  <c r="AL23" i="32"/>
  <c r="AN23" i="32" s="1"/>
  <c r="Q23" i="32"/>
  <c r="S23" i="32" s="1"/>
  <c r="AE23" i="32"/>
  <c r="AG23" i="32" s="1"/>
  <c r="X23" i="32"/>
  <c r="Z23" i="32" s="1"/>
  <c r="J23" i="32"/>
  <c r="L23" i="32" s="1"/>
  <c r="F23" i="32"/>
  <c r="H23" i="32" s="1"/>
  <c r="O23" i="32" s="1"/>
  <c r="AN34" i="32"/>
  <c r="AL46" i="32"/>
  <c r="AN46" i="32" s="1"/>
  <c r="AL16" i="33"/>
  <c r="AN16" i="33" s="1"/>
  <c r="S19" i="33"/>
  <c r="AL27" i="34"/>
  <c r="AN27" i="34" s="1"/>
  <c r="G44" i="35"/>
  <c r="G46" i="35"/>
  <c r="AL18" i="31"/>
  <c r="AN18" i="31" s="1"/>
  <c r="X18" i="31"/>
  <c r="Z18" i="31" s="1"/>
  <c r="Z26" i="31"/>
  <c r="Q36" i="31"/>
  <c r="S36" i="31" s="1"/>
  <c r="J44" i="31"/>
  <c r="Z45" i="31"/>
  <c r="AE28" i="32"/>
  <c r="AG28" i="32" s="1"/>
  <c r="AL28" i="32"/>
  <c r="AN28" i="32" s="1"/>
  <c r="Q28" i="32"/>
  <c r="S28" i="32" s="1"/>
  <c r="J28" i="32"/>
  <c r="L28" i="32" s="1"/>
  <c r="F28" i="32"/>
  <c r="H28" i="32" s="1"/>
  <c r="O28" i="32" s="1"/>
  <c r="X30" i="32"/>
  <c r="Z30" i="32" s="1"/>
  <c r="AE30" i="32"/>
  <c r="AG30" i="32" s="1"/>
  <c r="J30" i="32"/>
  <c r="L30" i="32" s="1"/>
  <c r="L16" i="33"/>
  <c r="AE17" i="33"/>
  <c r="AG17" i="33" s="1"/>
  <c r="J17" i="33"/>
  <c r="L17" i="33" s="1"/>
  <c r="X17" i="33"/>
  <c r="Z17" i="33" s="1"/>
  <c r="F17" i="33"/>
  <c r="H17" i="33" s="1"/>
  <c r="O17" i="33" s="1"/>
  <c r="AL17" i="33"/>
  <c r="AN17" i="33" s="1"/>
  <c r="X40" i="33"/>
  <c r="Z40" i="33" s="1"/>
  <c r="AL40" i="33"/>
  <c r="AN40" i="33" s="1"/>
  <c r="Q40" i="33"/>
  <c r="S40" i="33" s="1"/>
  <c r="Q41" i="33"/>
  <c r="S41" i="33" s="1"/>
  <c r="AL41" i="33"/>
  <c r="AN41" i="33" s="1"/>
  <c r="J41" i="33"/>
  <c r="L41" i="33" s="1"/>
  <c r="F41" i="33"/>
  <c r="H41" i="33" s="1"/>
  <c r="AE41" i="33"/>
  <c r="AG41" i="33" s="1"/>
  <c r="AL38" i="35"/>
  <c r="AN38" i="35" s="1"/>
  <c r="H32" i="32"/>
  <c r="AN32" i="32"/>
  <c r="AC37" i="32"/>
  <c r="U37" i="32"/>
  <c r="X22" i="34"/>
  <c r="Z22" i="34" s="1"/>
  <c r="AL45" i="34"/>
  <c r="AN45" i="34" s="1"/>
  <c r="AE17" i="36"/>
  <c r="AG17" i="36" s="1"/>
  <c r="X17" i="36"/>
  <c r="Z17" i="36" s="1"/>
  <c r="F17" i="36"/>
  <c r="H17" i="36" s="1"/>
  <c r="O17" i="36" s="1"/>
  <c r="Q17" i="36"/>
  <c r="S17" i="36" s="1"/>
  <c r="AL17" i="36"/>
  <c r="AN17" i="36" s="1"/>
  <c r="J17" i="36"/>
  <c r="L17" i="36" s="1"/>
  <c r="F28" i="30"/>
  <c r="H28" i="30" s="1"/>
  <c r="O28" i="30" s="1"/>
  <c r="Q28" i="30"/>
  <c r="S28" i="30" s="1"/>
  <c r="AE19" i="31"/>
  <c r="AG19" i="31" s="1"/>
  <c r="X19" i="31"/>
  <c r="Z19" i="31" s="1"/>
  <c r="H27" i="31"/>
  <c r="O27" i="31" s="1"/>
  <c r="AL30" i="32"/>
  <c r="AN30" i="32" s="1"/>
  <c r="AL36" i="32"/>
  <c r="AN36" i="32" s="1"/>
  <c r="AE24" i="32"/>
  <c r="AG24" i="32" s="1"/>
  <c r="J24" i="32"/>
  <c r="L24" i="32" s="1"/>
  <c r="AL24" i="32"/>
  <c r="AN24" i="32" s="1"/>
  <c r="AG33" i="32"/>
  <c r="AB37" i="32"/>
  <c r="O21" i="34"/>
  <c r="J16" i="35"/>
  <c r="L16" i="35" s="1"/>
  <c r="X16" i="35"/>
  <c r="Z16" i="35" s="1"/>
  <c r="AL16" i="35"/>
  <c r="AN16" i="35" s="1"/>
  <c r="Q16" i="35"/>
  <c r="S16" i="35" s="1"/>
  <c r="AE16" i="35"/>
  <c r="AG16" i="35" s="1"/>
  <c r="F16" i="35"/>
  <c r="H16" i="35" s="1"/>
  <c r="O16" i="35" s="1"/>
  <c r="J18" i="31"/>
  <c r="L18" i="31" s="1"/>
  <c r="F30" i="31"/>
  <c r="H30" i="31" s="1"/>
  <c r="Q30" i="31"/>
  <c r="S30" i="31" s="1"/>
  <c r="X36" i="31"/>
  <c r="Z36" i="31" s="1"/>
  <c r="F24" i="32"/>
  <c r="H24" i="32" s="1"/>
  <c r="O24" i="32" s="1"/>
  <c r="S38" i="32"/>
  <c r="AC38" i="32" s="1"/>
  <c r="Z15" i="33"/>
  <c r="H18" i="33"/>
  <c r="O18" i="33" s="1"/>
  <c r="AC21" i="33"/>
  <c r="U21" i="33"/>
  <c r="AL24" i="33"/>
  <c r="AN24" i="33" s="1"/>
  <c r="AE24" i="33"/>
  <c r="AG24" i="33" s="1"/>
  <c r="Q24" i="33"/>
  <c r="S24" i="33" s="1"/>
  <c r="J24" i="33"/>
  <c r="L24" i="33" s="1"/>
  <c r="X24" i="33"/>
  <c r="Z24" i="33" s="1"/>
  <c r="N21" i="34"/>
  <c r="AF43" i="34"/>
  <c r="AG37" i="34"/>
  <c r="K44" i="31"/>
  <c r="K43" i="31"/>
  <c r="J20" i="32"/>
  <c r="L20" i="32" s="1"/>
  <c r="F22" i="32"/>
  <c r="H22" i="32" s="1"/>
  <c r="O22" i="32" s="1"/>
  <c r="AL22" i="32"/>
  <c r="AN22" i="32" s="1"/>
  <c r="AE22" i="32"/>
  <c r="AG22" i="32" s="1"/>
  <c r="AI37" i="32"/>
  <c r="Q17" i="33"/>
  <c r="S17" i="33" s="1"/>
  <c r="AL25" i="33"/>
  <c r="AN25" i="33" s="1"/>
  <c r="AL28" i="33"/>
  <c r="AN28" i="33" s="1"/>
  <c r="AL31" i="33"/>
  <c r="AN31" i="33" s="1"/>
  <c r="N37" i="33"/>
  <c r="X41" i="33"/>
  <c r="Z41" i="33" s="1"/>
  <c r="AE44" i="33"/>
  <c r="J44" i="33"/>
  <c r="F44" i="33"/>
  <c r="H44" i="33" s="1"/>
  <c r="Q44" i="33"/>
  <c r="AL44" i="33"/>
  <c r="AN44" i="33" s="1"/>
  <c r="X44" i="33"/>
  <c r="AN37" i="34"/>
  <c r="AM43" i="34"/>
  <c r="Q43" i="31"/>
  <c r="AE43" i="31"/>
  <c r="X43" i="31"/>
  <c r="AL31" i="32"/>
  <c r="AN31" i="32" s="1"/>
  <c r="AJ37" i="32"/>
  <c r="AL26" i="33"/>
  <c r="AN26" i="33" s="1"/>
  <c r="AC37" i="33"/>
  <c r="U37" i="33"/>
  <c r="X15" i="34"/>
  <c r="Z15" i="34" s="1"/>
  <c r="AL38" i="34"/>
  <c r="AN38" i="34" s="1"/>
  <c r="Z45" i="35"/>
  <c r="AG46" i="33"/>
  <c r="L19" i="34"/>
  <c r="Q34" i="35"/>
  <c r="S34" i="35" s="1"/>
  <c r="AE34" i="35"/>
  <c r="AG34" i="35" s="1"/>
  <c r="AL34" i="35"/>
  <c r="AN34" i="35" s="1"/>
  <c r="X34" i="35"/>
  <c r="Z34" i="35" s="1"/>
  <c r="J34" i="35"/>
  <c r="L34" i="35" s="1"/>
  <c r="Q15" i="33"/>
  <c r="S15" i="33" s="1"/>
  <c r="F25" i="33"/>
  <c r="H25" i="33" s="1"/>
  <c r="O25" i="33" s="1"/>
  <c r="H26" i="33"/>
  <c r="O26" i="33" s="1"/>
  <c r="Q32" i="33"/>
  <c r="S32" i="33" s="1"/>
  <c r="Q35" i="33"/>
  <c r="S35" i="33" s="1"/>
  <c r="AE38" i="33"/>
  <c r="AG38" i="33" s="1"/>
  <c r="AL38" i="33"/>
  <c r="AN38" i="33" s="1"/>
  <c r="Q38" i="33"/>
  <c r="S38" i="33" s="1"/>
  <c r="F38" i="33"/>
  <c r="H38" i="33" s="1"/>
  <c r="O38" i="33" s="1"/>
  <c r="Z33" i="34"/>
  <c r="F34" i="35"/>
  <c r="H34" i="35" s="1"/>
  <c r="O34" i="35" s="1"/>
  <c r="AL44" i="31"/>
  <c r="G46" i="31"/>
  <c r="Q31" i="32"/>
  <c r="S31" i="32" s="1"/>
  <c r="J38" i="32"/>
  <c r="L38" i="32" s="1"/>
  <c r="F40" i="32"/>
  <c r="H40" i="32" s="1"/>
  <c r="Q40" i="32"/>
  <c r="S40" i="32" s="1"/>
  <c r="Z16" i="33"/>
  <c r="AE23" i="33"/>
  <c r="AG23" i="33" s="1"/>
  <c r="Y44" i="33"/>
  <c r="Y43" i="33"/>
  <c r="Q27" i="34"/>
  <c r="S27" i="34" s="1"/>
  <c r="J27" i="34"/>
  <c r="L27" i="34" s="1"/>
  <c r="X27" i="34"/>
  <c r="Z27" i="34" s="1"/>
  <c r="F27" i="34"/>
  <c r="H27" i="34" s="1"/>
  <c r="O27" i="34" s="1"/>
  <c r="Q34" i="34"/>
  <c r="S34" i="34" s="1"/>
  <c r="AE34" i="34"/>
  <c r="AG34" i="34" s="1"/>
  <c r="X34" i="34"/>
  <c r="Z34" i="34" s="1"/>
  <c r="AL34" i="34"/>
  <c r="AN34" i="34" s="1"/>
  <c r="F34" i="34"/>
  <c r="H34" i="34" s="1"/>
  <c r="O34" i="34" s="1"/>
  <c r="AL19" i="35"/>
  <c r="AN19" i="35" s="1"/>
  <c r="Q19" i="35"/>
  <c r="S19" i="35" s="1"/>
  <c r="J19" i="35"/>
  <c r="L19" i="35" s="1"/>
  <c r="Y44" i="35"/>
  <c r="Y46" i="35"/>
  <c r="F44" i="31"/>
  <c r="H44" i="31" s="1"/>
  <c r="X21" i="32"/>
  <c r="Z21" i="32" s="1"/>
  <c r="F31" i="32"/>
  <c r="H31" i="32" s="1"/>
  <c r="O31" i="32" s="1"/>
  <c r="X31" i="32"/>
  <c r="Z31" i="32" s="1"/>
  <c r="F33" i="32"/>
  <c r="H33" i="32" s="1"/>
  <c r="Q33" i="32"/>
  <c r="S33" i="32" s="1"/>
  <c r="F38" i="32"/>
  <c r="H38" i="32" s="1"/>
  <c r="O38" i="32" s="1"/>
  <c r="J41" i="32"/>
  <c r="L41" i="32" s="1"/>
  <c r="X41" i="32"/>
  <c r="Z41" i="32" s="1"/>
  <c r="J15" i="33"/>
  <c r="L15" i="33" s="1"/>
  <c r="AE21" i="33"/>
  <c r="AG21" i="33" s="1"/>
  <c r="X21" i="33"/>
  <c r="Z21" i="33" s="1"/>
  <c r="AE22" i="33"/>
  <c r="AG22" i="33" s="1"/>
  <c r="F23" i="33"/>
  <c r="H23" i="33" s="1"/>
  <c r="O23" i="33" s="1"/>
  <c r="Q34" i="33"/>
  <c r="S34" i="33" s="1"/>
  <c r="AE34" i="33"/>
  <c r="AG34" i="33" s="1"/>
  <c r="J34" i="33"/>
  <c r="L34" i="33" s="1"/>
  <c r="AL34" i="33"/>
  <c r="AN34" i="33" s="1"/>
  <c r="Z37" i="33"/>
  <c r="F19" i="35"/>
  <c r="H19" i="35" s="1"/>
  <c r="AC21" i="37"/>
  <c r="U21" i="37"/>
  <c r="X32" i="32"/>
  <c r="Z32" i="32" s="1"/>
  <c r="J34" i="32"/>
  <c r="L34" i="32" s="1"/>
  <c r="X34" i="32"/>
  <c r="Z34" i="32" s="1"/>
  <c r="AE38" i="32"/>
  <c r="AG38" i="32" s="1"/>
  <c r="AE15" i="33"/>
  <c r="AG15" i="33" s="1"/>
  <c r="J18" i="33"/>
  <c r="L18" i="33" s="1"/>
  <c r="AL18" i="33"/>
  <c r="AN18" i="33" s="1"/>
  <c r="X18" i="33"/>
  <c r="Z18" i="33" s="1"/>
  <c r="AE19" i="33"/>
  <c r="AG19" i="33" s="1"/>
  <c r="X19" i="33"/>
  <c r="Z19" i="33" s="1"/>
  <c r="AE20" i="33"/>
  <c r="AG20" i="33" s="1"/>
  <c r="X20" i="33"/>
  <c r="Z20" i="33" s="1"/>
  <c r="AG36" i="33"/>
  <c r="Q46" i="33"/>
  <c r="AE46" i="33"/>
  <c r="J46" i="33"/>
  <c r="X16" i="34"/>
  <c r="Z16" i="34" s="1"/>
  <c r="AL17" i="34"/>
  <c r="AN17" i="34" s="1"/>
  <c r="Q17" i="34"/>
  <c r="S17" i="34" s="1"/>
  <c r="AE17" i="34"/>
  <c r="AG17" i="34" s="1"/>
  <c r="X17" i="34"/>
  <c r="Z17" i="34" s="1"/>
  <c r="F17" i="34"/>
  <c r="H17" i="34" s="1"/>
  <c r="O17" i="34" s="1"/>
  <c r="U21" i="34"/>
  <c r="V21" i="34" s="1"/>
  <c r="AE24" i="36"/>
  <c r="AG24" i="36" s="1"/>
  <c r="X24" i="36"/>
  <c r="Z24" i="36" s="1"/>
  <c r="Q24" i="36"/>
  <c r="S24" i="36" s="1"/>
  <c r="J24" i="36"/>
  <c r="L24" i="36" s="1"/>
  <c r="F24" i="36"/>
  <c r="H24" i="36" s="1"/>
  <c r="O24" i="36" s="1"/>
  <c r="Q25" i="33"/>
  <c r="S25" i="33" s="1"/>
  <c r="X28" i="33"/>
  <c r="Z28" i="33" s="1"/>
  <c r="F28" i="33"/>
  <c r="H28" i="33" s="1"/>
  <c r="O28" i="33" s="1"/>
  <c r="Q28" i="33"/>
  <c r="S28" i="33" s="1"/>
  <c r="K46" i="33"/>
  <c r="K44" i="33"/>
  <c r="K43" i="33"/>
  <c r="AE18" i="34"/>
  <c r="AG18" i="34" s="1"/>
  <c r="X31" i="34"/>
  <c r="Z31" i="34" s="1"/>
  <c r="J34" i="34"/>
  <c r="L34" i="34" s="1"/>
  <c r="Q38" i="34"/>
  <c r="S38" i="34" s="1"/>
  <c r="AE38" i="34"/>
  <c r="AG38" i="34" s="1"/>
  <c r="J38" i="34"/>
  <c r="L38" i="34" s="1"/>
  <c r="X38" i="34"/>
  <c r="Z38" i="34" s="1"/>
  <c r="J44" i="34"/>
  <c r="L37" i="34"/>
  <c r="K43" i="34"/>
  <c r="J18" i="35"/>
  <c r="L18" i="35" s="1"/>
  <c r="X18" i="35"/>
  <c r="Z18" i="35" s="1"/>
  <c r="AL18" i="35"/>
  <c r="AN18" i="35" s="1"/>
  <c r="Q18" i="35"/>
  <c r="S18" i="35" s="1"/>
  <c r="AE18" i="35"/>
  <c r="AG18" i="35" s="1"/>
  <c r="AE27" i="35"/>
  <c r="AG27" i="35" s="1"/>
  <c r="Q27" i="35"/>
  <c r="S27" i="35" s="1"/>
  <c r="X27" i="35"/>
  <c r="Z27" i="35" s="1"/>
  <c r="J27" i="35"/>
  <c r="L27" i="35" s="1"/>
  <c r="AL27" i="35"/>
  <c r="AN27" i="35" s="1"/>
  <c r="Z37" i="35"/>
  <c r="S22" i="36"/>
  <c r="J31" i="32"/>
  <c r="L31" i="32" s="1"/>
  <c r="AE40" i="32"/>
  <c r="AG40" i="32" s="1"/>
  <c r="Y43" i="32"/>
  <c r="X44" i="32"/>
  <c r="Z44" i="32" s="1"/>
  <c r="F45" i="32"/>
  <c r="H45" i="32" s="1"/>
  <c r="Q45" i="32"/>
  <c r="S45" i="32" s="1"/>
  <c r="X38" i="33"/>
  <c r="Z38" i="33" s="1"/>
  <c r="R46" i="33"/>
  <c r="R44" i="33"/>
  <c r="F19" i="34"/>
  <c r="H19" i="34" s="1"/>
  <c r="Q32" i="34"/>
  <c r="S32" i="34" s="1"/>
  <c r="AE32" i="34"/>
  <c r="AG32" i="34" s="1"/>
  <c r="J32" i="34"/>
  <c r="L32" i="34" s="1"/>
  <c r="AL32" i="34"/>
  <c r="AN32" i="34" s="1"/>
  <c r="F32" i="34"/>
  <c r="H32" i="34" s="1"/>
  <c r="X32" i="34"/>
  <c r="Z32" i="34" s="1"/>
  <c r="F38" i="34"/>
  <c r="H38" i="34" s="1"/>
  <c r="O38" i="34" s="1"/>
  <c r="F18" i="35"/>
  <c r="H18" i="35" s="1"/>
  <c r="O18" i="35" s="1"/>
  <c r="U21" i="35"/>
  <c r="AC21" i="35"/>
  <c r="F27" i="35"/>
  <c r="H27" i="35" s="1"/>
  <c r="O27" i="35" s="1"/>
  <c r="X15" i="32"/>
  <c r="Z15" i="32" s="1"/>
  <c r="L21" i="32"/>
  <c r="AE31" i="32"/>
  <c r="AG31" i="32" s="1"/>
  <c r="F44" i="32"/>
  <c r="J46" i="32"/>
  <c r="L46" i="32" s="1"/>
  <c r="X46" i="32"/>
  <c r="Z46" i="32" s="1"/>
  <c r="AE28" i="33"/>
  <c r="AG28" i="33" s="1"/>
  <c r="X33" i="33"/>
  <c r="Z33" i="33" s="1"/>
  <c r="Q33" i="33"/>
  <c r="S33" i="33" s="1"/>
  <c r="F33" i="33"/>
  <c r="H33" i="33" s="1"/>
  <c r="J17" i="34"/>
  <c r="L17" i="34" s="1"/>
  <c r="AE46" i="34"/>
  <c r="J46" i="34"/>
  <c r="X46" i="34"/>
  <c r="F46" i="34"/>
  <c r="Q46" i="34"/>
  <c r="AL46" i="34"/>
  <c r="Z37" i="34"/>
  <c r="Y43" i="34"/>
  <c r="X19" i="35"/>
  <c r="Z19" i="35" s="1"/>
  <c r="AG31" i="34"/>
  <c r="L40" i="34"/>
  <c r="AE41" i="34"/>
  <c r="AG41" i="34" s="1"/>
  <c r="J41" i="34"/>
  <c r="L41" i="34" s="1"/>
  <c r="X41" i="34"/>
  <c r="Z41" i="34" s="1"/>
  <c r="F41" i="34"/>
  <c r="H41" i="34" s="1"/>
  <c r="R43" i="34"/>
  <c r="S37" i="34"/>
  <c r="J17" i="35"/>
  <c r="L17" i="35" s="1"/>
  <c r="AL17" i="35"/>
  <c r="AN17" i="35" s="1"/>
  <c r="Q17" i="35"/>
  <c r="S17" i="35" s="1"/>
  <c r="AF44" i="33"/>
  <c r="Q15" i="34"/>
  <c r="S15" i="34" s="1"/>
  <c r="AG19" i="34"/>
  <c r="AL21" i="34"/>
  <c r="AN21" i="34" s="1"/>
  <c r="AE25" i="34"/>
  <c r="AG25" i="34" s="1"/>
  <c r="J25" i="34"/>
  <c r="L25" i="34" s="1"/>
  <c r="X25" i="34"/>
  <c r="Z25" i="34" s="1"/>
  <c r="F25" i="34"/>
  <c r="H25" i="34" s="1"/>
  <c r="O25" i="34" s="1"/>
  <c r="AL41" i="34"/>
  <c r="AN41" i="34" s="1"/>
  <c r="F17" i="35"/>
  <c r="H17" i="35" s="1"/>
  <c r="O17" i="35" s="1"/>
  <c r="AL41" i="35"/>
  <c r="AN41" i="35" s="1"/>
  <c r="AE27" i="33"/>
  <c r="AG27" i="33" s="1"/>
  <c r="Q25" i="34"/>
  <c r="S25" i="34" s="1"/>
  <c r="X26" i="34"/>
  <c r="Z26" i="34" s="1"/>
  <c r="F26" i="34"/>
  <c r="H26" i="34" s="1"/>
  <c r="O26" i="34" s="1"/>
  <c r="Q26" i="34"/>
  <c r="S26" i="34" s="1"/>
  <c r="X35" i="34"/>
  <c r="Z35" i="34" s="1"/>
  <c r="J25" i="35"/>
  <c r="L25" i="35" s="1"/>
  <c r="J35" i="33"/>
  <c r="L35" i="33" s="1"/>
  <c r="X35" i="33"/>
  <c r="Z35" i="33" s="1"/>
  <c r="AE15" i="34"/>
  <c r="AG15" i="34" s="1"/>
  <c r="X18" i="34"/>
  <c r="Z18" i="34" s="1"/>
  <c r="F18" i="34"/>
  <c r="H18" i="34" s="1"/>
  <c r="O18" i="34" s="1"/>
  <c r="AL18" i="34"/>
  <c r="AN18" i="34" s="1"/>
  <c r="AL28" i="34"/>
  <c r="AN28" i="34" s="1"/>
  <c r="AP28" i="34" s="1"/>
  <c r="X17" i="35"/>
  <c r="Z17" i="35" s="1"/>
  <c r="O37" i="35"/>
  <c r="N37" i="35"/>
  <c r="F35" i="33"/>
  <c r="H35" i="33" s="1"/>
  <c r="O35" i="33" s="1"/>
  <c r="AL36" i="33"/>
  <c r="AN36" i="33" s="1"/>
  <c r="AE20" i="34"/>
  <c r="J20" i="34"/>
  <c r="L20" i="34" s="1"/>
  <c r="X20" i="34"/>
  <c r="Z20" i="34" s="1"/>
  <c r="AL24" i="34"/>
  <c r="AN24" i="34" s="1"/>
  <c r="AP24" i="34" s="1"/>
  <c r="L35" i="34"/>
  <c r="AL40" i="34"/>
  <c r="AN40" i="34" s="1"/>
  <c r="AL15" i="35"/>
  <c r="AN15" i="35" s="1"/>
  <c r="Q18" i="36"/>
  <c r="S18" i="36" s="1"/>
  <c r="AL26" i="36"/>
  <c r="AN26" i="36" s="1"/>
  <c r="AL43" i="33"/>
  <c r="AN43" i="33" s="1"/>
  <c r="X45" i="33"/>
  <c r="Z45" i="33" s="1"/>
  <c r="AL45" i="33"/>
  <c r="AN45" i="33" s="1"/>
  <c r="Q45" i="33"/>
  <c r="S45" i="33" s="1"/>
  <c r="Q22" i="34"/>
  <c r="S22" i="34" s="1"/>
  <c r="AE22" i="34"/>
  <c r="AG22" i="34" s="1"/>
  <c r="J22" i="34"/>
  <c r="L22" i="34" s="1"/>
  <c r="AE30" i="34"/>
  <c r="AG30" i="34" s="1"/>
  <c r="J30" i="34"/>
  <c r="L30" i="34" s="1"/>
  <c r="X30" i="34"/>
  <c r="Z30" i="34" s="1"/>
  <c r="F30" i="34"/>
  <c r="H30" i="34" s="1"/>
  <c r="AL33" i="34"/>
  <c r="AN33" i="34" s="1"/>
  <c r="F36" i="34"/>
  <c r="H36" i="34" s="1"/>
  <c r="R43" i="35"/>
  <c r="S37" i="35"/>
  <c r="AE32" i="33"/>
  <c r="AG32" i="33" s="1"/>
  <c r="AE45" i="33"/>
  <c r="AG45" i="33" s="1"/>
  <c r="L18" i="34"/>
  <c r="F22" i="34"/>
  <c r="H22" i="34" s="1"/>
  <c r="O22" i="34" s="1"/>
  <c r="AL30" i="34"/>
  <c r="AN30" i="34" s="1"/>
  <c r="Q43" i="34"/>
  <c r="AE43" i="34"/>
  <c r="J43" i="34"/>
  <c r="V21" i="35"/>
  <c r="AL22" i="35"/>
  <c r="AN22" i="35" s="1"/>
  <c r="F22" i="35"/>
  <c r="H22" i="35" s="1"/>
  <c r="O22" i="35" s="1"/>
  <c r="Q22" i="35"/>
  <c r="S22" i="35" s="1"/>
  <c r="J22" i="35"/>
  <c r="L22" i="35" s="1"/>
  <c r="AG20" i="36"/>
  <c r="AC21" i="36"/>
  <c r="AL16" i="34"/>
  <c r="AN16" i="34" s="1"/>
  <c r="AL35" i="34"/>
  <c r="AN35" i="34" s="1"/>
  <c r="AG19" i="35"/>
  <c r="AG25" i="35"/>
  <c r="J35" i="35"/>
  <c r="L35" i="35" s="1"/>
  <c r="X35" i="35"/>
  <c r="Z35" i="35" s="1"/>
  <c r="AL35" i="35"/>
  <c r="AN35" i="35" s="1"/>
  <c r="Q35" i="35"/>
  <c r="S35" i="35" s="1"/>
  <c r="AE35" i="35"/>
  <c r="AG35" i="35" s="1"/>
  <c r="AL23" i="34"/>
  <c r="AN23" i="34" s="1"/>
  <c r="Q31" i="34"/>
  <c r="S31" i="34" s="1"/>
  <c r="F35" i="34"/>
  <c r="H35" i="34" s="1"/>
  <c r="O35" i="34" s="1"/>
  <c r="AL44" i="34"/>
  <c r="AE21" i="35"/>
  <c r="AG21" i="35" s="1"/>
  <c r="H30" i="35"/>
  <c r="F35" i="35"/>
  <c r="H35" i="35" s="1"/>
  <c r="O35" i="35" s="1"/>
  <c r="F46" i="35"/>
  <c r="AE46" i="35"/>
  <c r="X46" i="35"/>
  <c r="Q46" i="35"/>
  <c r="AL46" i="35"/>
  <c r="J46" i="35"/>
  <c r="X28" i="36"/>
  <c r="Z28" i="36" s="1"/>
  <c r="Q28" i="36"/>
  <c r="S28" i="36" s="1"/>
  <c r="AL28" i="36"/>
  <c r="AN28" i="36" s="1"/>
  <c r="F28" i="36"/>
  <c r="H28" i="36" s="1"/>
  <c r="O28" i="36" s="1"/>
  <c r="J28" i="36"/>
  <c r="L28" i="36" s="1"/>
  <c r="AE28" i="36"/>
  <c r="AG28" i="36" s="1"/>
  <c r="Z45" i="36"/>
  <c r="Q19" i="34"/>
  <c r="S19" i="34" s="1"/>
  <c r="F23" i="34"/>
  <c r="H23" i="34" s="1"/>
  <c r="O23" i="34" s="1"/>
  <c r="Q36" i="34"/>
  <c r="S36" i="34" s="1"/>
  <c r="F44" i="34"/>
  <c r="X28" i="35"/>
  <c r="Z28" i="35" s="1"/>
  <c r="AL31" i="35"/>
  <c r="AN31" i="35" s="1"/>
  <c r="AG35" i="36"/>
  <c r="Q43" i="33"/>
  <c r="S43" i="33" s="1"/>
  <c r="X23" i="34"/>
  <c r="Z23" i="34" s="1"/>
  <c r="Q24" i="34"/>
  <c r="S24" i="34" s="1"/>
  <c r="Q40" i="34"/>
  <c r="S40" i="34" s="1"/>
  <c r="X44" i="34"/>
  <c r="Q45" i="34"/>
  <c r="S45" i="34" s="1"/>
  <c r="Q36" i="35"/>
  <c r="S36" i="35" s="1"/>
  <c r="AL36" i="35"/>
  <c r="AN36" i="35" s="1"/>
  <c r="AE36" i="35"/>
  <c r="AG36" i="35" s="1"/>
  <c r="J36" i="35"/>
  <c r="L36" i="35" s="1"/>
  <c r="Y46" i="36"/>
  <c r="Y44" i="36"/>
  <c r="AL18" i="37"/>
  <c r="AN18" i="37" s="1"/>
  <c r="F18" i="37"/>
  <c r="H18" i="37" s="1"/>
  <c r="O18" i="37" s="1"/>
  <c r="X18" i="37"/>
  <c r="Z18" i="37" s="1"/>
  <c r="Q18" i="37"/>
  <c r="S18" i="37" s="1"/>
  <c r="AE18" i="37"/>
  <c r="AG18" i="37" s="1"/>
  <c r="J18" i="37"/>
  <c r="L18" i="37" s="1"/>
  <c r="AL31" i="34"/>
  <c r="AN31" i="34" s="1"/>
  <c r="Q15" i="35"/>
  <c r="S15" i="35" s="1"/>
  <c r="AM44" i="35"/>
  <c r="AN43" i="35"/>
  <c r="L23" i="36"/>
  <c r="Q27" i="36"/>
  <c r="S27" i="36" s="1"/>
  <c r="AF43" i="37"/>
  <c r="AF44" i="37"/>
  <c r="AL19" i="34"/>
  <c r="AN19" i="34" s="1"/>
  <c r="F31" i="34"/>
  <c r="H31" i="34" s="1"/>
  <c r="O31" i="34" s="1"/>
  <c r="AL36" i="34"/>
  <c r="AN36" i="34" s="1"/>
  <c r="F15" i="35"/>
  <c r="H15" i="35" s="1"/>
  <c r="X15" i="35"/>
  <c r="Z15" i="35" s="1"/>
  <c r="F23" i="35"/>
  <c r="H23" i="35" s="1"/>
  <c r="O23" i="35" s="1"/>
  <c r="Q23" i="35"/>
  <c r="S23" i="35" s="1"/>
  <c r="AE23" i="35"/>
  <c r="AG23" i="35" s="1"/>
  <c r="X23" i="35"/>
  <c r="Z23" i="35" s="1"/>
  <c r="AL23" i="35"/>
  <c r="AN23" i="35" s="1"/>
  <c r="AL32" i="35"/>
  <c r="AN32" i="35" s="1"/>
  <c r="J41" i="35"/>
  <c r="L41" i="35" s="1"/>
  <c r="AE41" i="35"/>
  <c r="AG41" i="35" s="1"/>
  <c r="F41" i="35"/>
  <c r="H41" i="35" s="1"/>
  <c r="X41" i="35"/>
  <c r="Z41" i="35" s="1"/>
  <c r="Q44" i="35"/>
  <c r="J20" i="35"/>
  <c r="L20" i="35" s="1"/>
  <c r="X20" i="35"/>
  <c r="Z20" i="35" s="1"/>
  <c r="F20" i="35"/>
  <c r="H20" i="35" s="1"/>
  <c r="O20" i="35" s="1"/>
  <c r="AE20" i="35"/>
  <c r="AG20" i="35" s="1"/>
  <c r="AL21" i="35"/>
  <c r="AN21" i="35" s="1"/>
  <c r="AM46" i="35"/>
  <c r="V21" i="36"/>
  <c r="N21" i="36"/>
  <c r="O21" i="36" s="1"/>
  <c r="AE43" i="35"/>
  <c r="F40" i="36"/>
  <c r="H40" i="36" s="1"/>
  <c r="AF43" i="35"/>
  <c r="AG37" i="35"/>
  <c r="J45" i="35"/>
  <c r="L45" i="35" s="1"/>
  <c r="AL18" i="36"/>
  <c r="AN18" i="36" s="1"/>
  <c r="Q32" i="35"/>
  <c r="S32" i="35" s="1"/>
  <c r="Q38" i="35"/>
  <c r="S38" i="35" s="1"/>
  <c r="AN22" i="36"/>
  <c r="X30" i="36"/>
  <c r="Z30" i="36" s="1"/>
  <c r="J27" i="37"/>
  <c r="L27" i="37" s="1"/>
  <c r="S15" i="39"/>
  <c r="AL25" i="35"/>
  <c r="AN25" i="35" s="1"/>
  <c r="K46" i="35"/>
  <c r="K44" i="35"/>
  <c r="Z19" i="36"/>
  <c r="AL23" i="36"/>
  <c r="AN23" i="36" s="1"/>
  <c r="AC37" i="36"/>
  <c r="AL41" i="37"/>
  <c r="AN41" i="37" s="1"/>
  <c r="F19" i="36"/>
  <c r="H19" i="36" s="1"/>
  <c r="X25" i="36"/>
  <c r="Z25" i="36" s="1"/>
  <c r="AM44" i="36"/>
  <c r="AM46" i="36"/>
  <c r="H41" i="37"/>
  <c r="AL40" i="35"/>
  <c r="AN40" i="35" s="1"/>
  <c r="AE40" i="35"/>
  <c r="AG40" i="35" s="1"/>
  <c r="X40" i="35"/>
  <c r="Z40" i="35" s="1"/>
  <c r="AL33" i="36"/>
  <c r="AN33" i="36" s="1"/>
  <c r="AP33" i="36" s="1"/>
  <c r="AN37" i="36"/>
  <c r="AP37" i="36" s="1"/>
  <c r="Y50" i="37"/>
  <c r="Z50" i="37" s="1"/>
  <c r="AF49" i="37"/>
  <c r="AG49" i="37" s="1"/>
  <c r="AM50" i="37"/>
  <c r="AN50" i="37" s="1"/>
  <c r="AF50" i="37"/>
  <c r="AG50" i="37" s="1"/>
  <c r="AM49" i="37"/>
  <c r="AN49" i="37" s="1"/>
  <c r="R50" i="37"/>
  <c r="S50" i="37" s="1"/>
  <c r="K49" i="37"/>
  <c r="L49" i="37" s="1"/>
  <c r="K50" i="37"/>
  <c r="L50" i="37" s="1"/>
  <c r="G50" i="37"/>
  <c r="H50" i="37" s="1"/>
  <c r="O50" i="37" s="1"/>
  <c r="G49" i="37"/>
  <c r="H49" i="37" s="1"/>
  <c r="Y49" i="37"/>
  <c r="Z49" i="37" s="1"/>
  <c r="R49" i="37"/>
  <c r="S49" i="37" s="1"/>
  <c r="AB46" i="37"/>
  <c r="AC46" i="37" s="1"/>
  <c r="AE32" i="35"/>
  <c r="AG32" i="35" s="1"/>
  <c r="AE38" i="35"/>
  <c r="AG38" i="35" s="1"/>
  <c r="X38" i="35"/>
  <c r="Z38" i="35" s="1"/>
  <c r="F44" i="35"/>
  <c r="AE44" i="35"/>
  <c r="X44" i="35"/>
  <c r="AE34" i="36"/>
  <c r="AG34" i="36" s="1"/>
  <c r="J34" i="36"/>
  <c r="L34" i="36" s="1"/>
  <c r="X34" i="36"/>
  <c r="Z34" i="36" s="1"/>
  <c r="F34" i="36"/>
  <c r="H34" i="36" s="1"/>
  <c r="O34" i="36" s="1"/>
  <c r="AL34" i="36"/>
  <c r="AN34" i="36" s="1"/>
  <c r="AL26" i="35"/>
  <c r="AN26" i="35" s="1"/>
  <c r="F32" i="35"/>
  <c r="H32" i="35" s="1"/>
  <c r="X32" i="35"/>
  <c r="Z32" i="35" s="1"/>
  <c r="F38" i="35"/>
  <c r="H38" i="35" s="1"/>
  <c r="O38" i="35" s="1"/>
  <c r="J18" i="36"/>
  <c r="L18" i="36" s="1"/>
  <c r="F18" i="36"/>
  <c r="H18" i="36" s="1"/>
  <c r="O18" i="36" s="1"/>
  <c r="X18" i="36"/>
  <c r="Z18" i="36" s="1"/>
  <c r="AE22" i="36"/>
  <c r="AG22" i="36" s="1"/>
  <c r="AE27" i="36"/>
  <c r="AG27" i="36" s="1"/>
  <c r="J27" i="36"/>
  <c r="L27" i="36" s="1"/>
  <c r="X27" i="36"/>
  <c r="X33" i="35"/>
  <c r="Z33" i="35" s="1"/>
  <c r="J44" i="35"/>
  <c r="Q15" i="36"/>
  <c r="S15" i="36" s="1"/>
  <c r="J15" i="36"/>
  <c r="L15" i="36" s="1"/>
  <c r="AE15" i="36"/>
  <c r="AG15" i="36" s="1"/>
  <c r="AE18" i="36"/>
  <c r="AG18" i="36" s="1"/>
  <c r="F27" i="36"/>
  <c r="H27" i="36" s="1"/>
  <c r="O27" i="36" s="1"/>
  <c r="AL36" i="36"/>
  <c r="AN36" i="36" s="1"/>
  <c r="AG45" i="37"/>
  <c r="X19" i="37"/>
  <c r="Z19" i="37" s="1"/>
  <c r="AE28" i="37"/>
  <c r="AG28" i="37" s="1"/>
  <c r="J28" i="37"/>
  <c r="L28" i="37" s="1"/>
  <c r="Q28" i="37"/>
  <c r="S28" i="37" s="1"/>
  <c r="AL28" i="37"/>
  <c r="AN28" i="37" s="1"/>
  <c r="F28" i="37"/>
  <c r="H28" i="37" s="1"/>
  <c r="O28" i="37" s="1"/>
  <c r="X30" i="37"/>
  <c r="Z30" i="37" s="1"/>
  <c r="F30" i="37"/>
  <c r="H30" i="37" s="1"/>
  <c r="Q30" i="37"/>
  <c r="S30" i="37" s="1"/>
  <c r="AE30" i="37"/>
  <c r="AG30" i="37" s="1"/>
  <c r="J30" i="37"/>
  <c r="L30" i="37" s="1"/>
  <c r="X30" i="38"/>
  <c r="Z30" i="38" s="1"/>
  <c r="AL30" i="38"/>
  <c r="AN30" i="38" s="1"/>
  <c r="Q30" i="38"/>
  <c r="S30" i="38" s="1"/>
  <c r="J30" i="38"/>
  <c r="L30" i="38" s="1"/>
  <c r="F30" i="38"/>
  <c r="H30" i="38" s="1"/>
  <c r="AE30" i="38"/>
  <c r="AG30" i="38" s="1"/>
  <c r="F20" i="36"/>
  <c r="H20" i="36" s="1"/>
  <c r="O20" i="36" s="1"/>
  <c r="L37" i="36"/>
  <c r="K43" i="36"/>
  <c r="X28" i="37"/>
  <c r="Z28" i="37" s="1"/>
  <c r="H36" i="37"/>
  <c r="X43" i="35"/>
  <c r="Z43" i="35" s="1"/>
  <c r="J16" i="36"/>
  <c r="L16" i="36" s="1"/>
  <c r="F16" i="36"/>
  <c r="H16" i="36" s="1"/>
  <c r="O16" i="36" s="1"/>
  <c r="X22" i="36"/>
  <c r="Z22" i="36" s="1"/>
  <c r="Z27" i="36"/>
  <c r="Q32" i="36"/>
  <c r="S32" i="36" s="1"/>
  <c r="AE32" i="36"/>
  <c r="AG32" i="36" s="1"/>
  <c r="J32" i="36"/>
  <c r="L32" i="36" s="1"/>
  <c r="AL45" i="36"/>
  <c r="AN45" i="36" s="1"/>
  <c r="Q45" i="36"/>
  <c r="S45" i="36" s="1"/>
  <c r="AE45" i="36"/>
  <c r="AG45" i="36" s="1"/>
  <c r="J45" i="36"/>
  <c r="L45" i="36" s="1"/>
  <c r="X16" i="37"/>
  <c r="Z16" i="37" s="1"/>
  <c r="X38" i="37"/>
  <c r="Z38" i="37" s="1"/>
  <c r="F38" i="37"/>
  <c r="H38" i="37" s="1"/>
  <c r="O38" i="37" s="1"/>
  <c r="AL38" i="37"/>
  <c r="AN38" i="37" s="1"/>
  <c r="Q38" i="37"/>
  <c r="S38" i="37" s="1"/>
  <c r="J38" i="37"/>
  <c r="L38" i="37" s="1"/>
  <c r="AE38" i="37"/>
  <c r="AG38" i="37" s="1"/>
  <c r="N21" i="37"/>
  <c r="V21" i="37"/>
  <c r="J24" i="37"/>
  <c r="L24" i="37" s="1"/>
  <c r="R46" i="36"/>
  <c r="R44" i="36"/>
  <c r="F44" i="36"/>
  <c r="H44" i="36" s="1"/>
  <c r="AL44" i="36"/>
  <c r="Q44" i="36"/>
  <c r="AE44" i="36"/>
  <c r="Q33" i="37"/>
  <c r="S33" i="37" s="1"/>
  <c r="AI47" i="37"/>
  <c r="Q36" i="38"/>
  <c r="S36" i="38" s="1"/>
  <c r="AE36" i="38"/>
  <c r="AG36" i="38" s="1"/>
  <c r="AL36" i="38"/>
  <c r="AN36" i="38" s="1"/>
  <c r="J36" i="38"/>
  <c r="L36" i="38" s="1"/>
  <c r="F36" i="38"/>
  <c r="X36" i="38"/>
  <c r="Z36" i="38" s="1"/>
  <c r="AB37" i="36"/>
  <c r="Q17" i="37"/>
  <c r="S17" i="37" s="1"/>
  <c r="AG27" i="37"/>
  <c r="AL30" i="37"/>
  <c r="AN30" i="37" s="1"/>
  <c r="AE17" i="38"/>
  <c r="AG17" i="38" s="1"/>
  <c r="AL17" i="38"/>
  <c r="AN17" i="38" s="1"/>
  <c r="Q17" i="38"/>
  <c r="S17" i="38" s="1"/>
  <c r="F17" i="38"/>
  <c r="H17" i="38" s="1"/>
  <c r="O17" i="38" s="1"/>
  <c r="X17" i="38"/>
  <c r="Z17" i="38" s="1"/>
  <c r="J43" i="35"/>
  <c r="L43" i="35" s="1"/>
  <c r="X31" i="36"/>
  <c r="Z31" i="36" s="1"/>
  <c r="AJ37" i="36"/>
  <c r="J43" i="36"/>
  <c r="AL43" i="36"/>
  <c r="AN43" i="36" s="1"/>
  <c r="Q43" i="36"/>
  <c r="S43" i="36" s="1"/>
  <c r="F46" i="36"/>
  <c r="H46" i="36" s="1"/>
  <c r="AL46" i="36"/>
  <c r="Q46" i="36"/>
  <c r="AE46" i="36"/>
  <c r="J46" i="36"/>
  <c r="AG37" i="36"/>
  <c r="AF43" i="36"/>
  <c r="AP47" i="37"/>
  <c r="AQ47" i="37" s="1"/>
  <c r="AL28" i="35"/>
  <c r="AN28" i="35" s="1"/>
  <c r="AL33" i="35"/>
  <c r="AN33" i="35" s="1"/>
  <c r="AL25" i="36"/>
  <c r="AN25" i="36" s="1"/>
  <c r="AE26" i="36"/>
  <c r="AG26" i="36" s="1"/>
  <c r="AL30" i="36"/>
  <c r="AN30" i="36" s="1"/>
  <c r="AL40" i="36"/>
  <c r="AN40" i="36" s="1"/>
  <c r="X22" i="37"/>
  <c r="Z22" i="37" s="1"/>
  <c r="X25" i="37"/>
  <c r="Z25" i="37" s="1"/>
  <c r="F25" i="37"/>
  <c r="H25" i="37" s="1"/>
  <c r="O25" i="37" s="1"/>
  <c r="Q25" i="37"/>
  <c r="S25" i="37" s="1"/>
  <c r="AE25" i="37"/>
  <c r="AG25" i="37" s="1"/>
  <c r="AL25" i="37"/>
  <c r="AN25" i="37" s="1"/>
  <c r="Q35" i="37"/>
  <c r="S35" i="37" s="1"/>
  <c r="AG46" i="37"/>
  <c r="X22" i="38"/>
  <c r="Z22" i="38" s="1"/>
  <c r="AL16" i="37"/>
  <c r="AN16" i="37" s="1"/>
  <c r="AP16" i="37" s="1"/>
  <c r="AE21" i="37"/>
  <c r="AG21" i="37" s="1"/>
  <c r="X21" i="37"/>
  <c r="Z21" i="37" s="1"/>
  <c r="AL31" i="37"/>
  <c r="AN31" i="37" s="1"/>
  <c r="G43" i="37"/>
  <c r="G44" i="37"/>
  <c r="H44" i="37" s="1"/>
  <c r="H37" i="37"/>
  <c r="AI48" i="37"/>
  <c r="AJ48" i="37" s="1"/>
  <c r="Q26" i="36"/>
  <c r="S26" i="36" s="1"/>
  <c r="H38" i="36"/>
  <c r="O38" i="36" s="1"/>
  <c r="F15" i="37"/>
  <c r="H15" i="37" s="1"/>
  <c r="AL20" i="37"/>
  <c r="AN20" i="37" s="1"/>
  <c r="L37" i="37"/>
  <c r="K44" i="37"/>
  <c r="K43" i="37"/>
  <c r="V48" i="37"/>
  <c r="N48" i="37"/>
  <c r="O48" i="37" s="1"/>
  <c r="X35" i="36"/>
  <c r="Z35" i="36" s="1"/>
  <c r="X40" i="36"/>
  <c r="Z40" i="36" s="1"/>
  <c r="AE32" i="37"/>
  <c r="AG32" i="37" s="1"/>
  <c r="F32" i="37"/>
  <c r="H32" i="37" s="1"/>
  <c r="Y43" i="37"/>
  <c r="Y44" i="37"/>
  <c r="AP46" i="37"/>
  <c r="AJ47" i="37"/>
  <c r="O21" i="38"/>
  <c r="Q36" i="36"/>
  <c r="S36" i="36" s="1"/>
  <c r="AE36" i="36"/>
  <c r="AG36" i="36" s="1"/>
  <c r="X36" i="36"/>
  <c r="Z36" i="36" s="1"/>
  <c r="F16" i="37"/>
  <c r="H16" i="37" s="1"/>
  <c r="O16" i="37" s="1"/>
  <c r="AE19" i="37"/>
  <c r="AG19" i="37" s="1"/>
  <c r="F19" i="37"/>
  <c r="H19" i="37" s="1"/>
  <c r="Q26" i="37"/>
  <c r="S26" i="37" s="1"/>
  <c r="J26" i="37"/>
  <c r="L26" i="37" s="1"/>
  <c r="X26" i="37"/>
  <c r="Z26" i="37" s="1"/>
  <c r="F26" i="37"/>
  <c r="H26" i="37" s="1"/>
  <c r="O26" i="37" s="1"/>
  <c r="L31" i="37"/>
  <c r="AL32" i="37"/>
  <c r="AN32" i="37" s="1"/>
  <c r="Z37" i="37"/>
  <c r="L46" i="37"/>
  <c r="AB47" i="37"/>
  <c r="AC47" i="37" s="1"/>
  <c r="Q31" i="38"/>
  <c r="S31" i="38" s="1"/>
  <c r="AE31" i="38"/>
  <c r="AG31" i="38" s="1"/>
  <c r="J31" i="38"/>
  <c r="L31" i="38" s="1"/>
  <c r="X31" i="38"/>
  <c r="Z31" i="38" s="1"/>
  <c r="F31" i="38"/>
  <c r="AL31" i="38"/>
  <c r="AN31" i="38" s="1"/>
  <c r="F31" i="36"/>
  <c r="H31" i="36" s="1"/>
  <c r="O31" i="36" s="1"/>
  <c r="F36" i="36"/>
  <c r="H36" i="36" s="1"/>
  <c r="F41" i="36"/>
  <c r="H41" i="36" s="1"/>
  <c r="AL26" i="37"/>
  <c r="AN26" i="37" s="1"/>
  <c r="J32" i="37"/>
  <c r="L32" i="37" s="1"/>
  <c r="J17" i="37"/>
  <c r="L17" i="37" s="1"/>
  <c r="X17" i="37"/>
  <c r="Z17" i="37" s="1"/>
  <c r="AL17" i="37"/>
  <c r="AN17" i="37" s="1"/>
  <c r="J19" i="37"/>
  <c r="L19" i="37" s="1"/>
  <c r="AL23" i="37"/>
  <c r="AN23" i="37" s="1"/>
  <c r="AL44" i="37"/>
  <c r="S45" i="37"/>
  <c r="AC48" i="37"/>
  <c r="R44" i="37"/>
  <c r="R43" i="37"/>
  <c r="S43" i="37" s="1"/>
  <c r="N21" i="38"/>
  <c r="J23" i="37"/>
  <c r="L23" i="37" s="1"/>
  <c r="AQ48" i="37"/>
  <c r="AL24" i="37"/>
  <c r="AN24" i="37" s="1"/>
  <c r="Q27" i="37"/>
  <c r="S27" i="37" s="1"/>
  <c r="J40" i="37"/>
  <c r="L40" i="37" s="1"/>
  <c r="AM44" i="37"/>
  <c r="L47" i="37"/>
  <c r="U47" i="37" s="1"/>
  <c r="AE18" i="39"/>
  <c r="AG18" i="39" s="1"/>
  <c r="J18" i="39"/>
  <c r="L18" i="39" s="1"/>
  <c r="AL18" i="39"/>
  <c r="AN18" i="39" s="1"/>
  <c r="Q18" i="39"/>
  <c r="S18" i="39" s="1"/>
  <c r="F18" i="39"/>
  <c r="H18" i="39" s="1"/>
  <c r="O18" i="39" s="1"/>
  <c r="X18" i="39"/>
  <c r="Z18" i="39" s="1"/>
  <c r="AL35" i="36"/>
  <c r="AN35" i="36" s="1"/>
  <c r="AL22" i="37"/>
  <c r="AN22" i="37" s="1"/>
  <c r="AE23" i="37"/>
  <c r="AG23" i="37" s="1"/>
  <c r="X24" i="37"/>
  <c r="Z24" i="37" s="1"/>
  <c r="X32" i="38"/>
  <c r="Z32" i="38" s="1"/>
  <c r="X35" i="38"/>
  <c r="Z35" i="38" s="1"/>
  <c r="H36" i="38"/>
  <c r="K44" i="38"/>
  <c r="K43" i="38"/>
  <c r="AL27" i="37"/>
  <c r="AN27" i="37" s="1"/>
  <c r="X33" i="37"/>
  <c r="Z33" i="37" s="1"/>
  <c r="Q44" i="37"/>
  <c r="X44" i="37"/>
  <c r="U46" i="37"/>
  <c r="Q19" i="38"/>
  <c r="S19" i="38" s="1"/>
  <c r="AE19" i="38"/>
  <c r="AG19" i="38" s="1"/>
  <c r="J19" i="38"/>
  <c r="L19" i="38" s="1"/>
  <c r="AL19" i="38"/>
  <c r="AN19" i="38" s="1"/>
  <c r="H31" i="38"/>
  <c r="O31" i="38" s="1"/>
  <c r="X34" i="38"/>
  <c r="Z34" i="38" s="1"/>
  <c r="AL44" i="39"/>
  <c r="Q23" i="37"/>
  <c r="S23" i="37" s="1"/>
  <c r="F27" i="37"/>
  <c r="H27" i="37" s="1"/>
  <c r="O27" i="37" s="1"/>
  <c r="F33" i="37"/>
  <c r="H33" i="37" s="1"/>
  <c r="O33" i="37" s="1"/>
  <c r="Q34" i="37"/>
  <c r="S34" i="37" s="1"/>
  <c r="AE40" i="37"/>
  <c r="AG40" i="37" s="1"/>
  <c r="X43" i="37"/>
  <c r="F44" i="37"/>
  <c r="J45" i="37"/>
  <c r="L45" i="37" s="1"/>
  <c r="F19" i="38"/>
  <c r="H19" i="38" s="1"/>
  <c r="U21" i="38"/>
  <c r="V21" i="38" s="1"/>
  <c r="L17" i="39"/>
  <c r="X32" i="39"/>
  <c r="Z32" i="39" s="1"/>
  <c r="AL32" i="39"/>
  <c r="AN32" i="39" s="1"/>
  <c r="AE32" i="39"/>
  <c r="AG32" i="39" s="1"/>
  <c r="J32" i="39"/>
  <c r="L32" i="39" s="1"/>
  <c r="Q32" i="39"/>
  <c r="S32" i="39" s="1"/>
  <c r="AC32" i="39" s="1"/>
  <c r="F32" i="39"/>
  <c r="H32" i="39" s="1"/>
  <c r="J33" i="37"/>
  <c r="L33" i="37" s="1"/>
  <c r="J35" i="37"/>
  <c r="L35" i="37" s="1"/>
  <c r="J20" i="38"/>
  <c r="L20" i="38" s="1"/>
  <c r="AE20" i="38"/>
  <c r="AG20" i="38" s="1"/>
  <c r="F20" i="38"/>
  <c r="H20" i="38" s="1"/>
  <c r="O20" i="38" s="1"/>
  <c r="AL20" i="38"/>
  <c r="AN20" i="38" s="1"/>
  <c r="AP20" i="38" s="1"/>
  <c r="Q20" i="38"/>
  <c r="S20" i="38" s="1"/>
  <c r="AL36" i="37"/>
  <c r="AN36" i="37" s="1"/>
  <c r="J44" i="37"/>
  <c r="AL28" i="38"/>
  <c r="AN28" i="38" s="1"/>
  <c r="Q38" i="38"/>
  <c r="S38" i="38" s="1"/>
  <c r="AE38" i="38"/>
  <c r="AG38" i="38" s="1"/>
  <c r="J38" i="38"/>
  <c r="L38" i="38" s="1"/>
  <c r="AL38" i="38"/>
  <c r="AN38" i="38" s="1"/>
  <c r="F38" i="38"/>
  <c r="H38" i="38" s="1"/>
  <c r="O38" i="38" s="1"/>
  <c r="X38" i="38"/>
  <c r="Z38" i="38" s="1"/>
  <c r="AE44" i="37"/>
  <c r="X21" i="38"/>
  <c r="Z21" i="38" s="1"/>
  <c r="AL21" i="38"/>
  <c r="AN21" i="38" s="1"/>
  <c r="AE21" i="38"/>
  <c r="AG21" i="38" s="1"/>
  <c r="AE24" i="38"/>
  <c r="AG24" i="38" s="1"/>
  <c r="AL24" i="38"/>
  <c r="AN24" i="38" s="1"/>
  <c r="J24" i="38"/>
  <c r="L24" i="38" s="1"/>
  <c r="L22" i="38"/>
  <c r="X25" i="38"/>
  <c r="Z25" i="38" s="1"/>
  <c r="Q26" i="38"/>
  <c r="S26" i="38" s="1"/>
  <c r="X26" i="38"/>
  <c r="Z26" i="38" s="1"/>
  <c r="J27" i="38"/>
  <c r="L27" i="38" s="1"/>
  <c r="F27" i="38"/>
  <c r="H27" i="38" s="1"/>
  <c r="O27" i="38" s="1"/>
  <c r="AE32" i="38"/>
  <c r="AG32" i="38" s="1"/>
  <c r="F15" i="39"/>
  <c r="H15" i="39" s="1"/>
  <c r="AE16" i="39"/>
  <c r="AG16" i="39" s="1"/>
  <c r="J16" i="39"/>
  <c r="L16" i="39" s="1"/>
  <c r="X16" i="39"/>
  <c r="Z16" i="39" s="1"/>
  <c r="L35" i="39"/>
  <c r="F25" i="38"/>
  <c r="H25" i="38" s="1"/>
  <c r="O25" i="38" s="1"/>
  <c r="F26" i="38"/>
  <c r="H26" i="38" s="1"/>
  <c r="O26" i="38" s="1"/>
  <c r="Q41" i="38"/>
  <c r="S41" i="38" s="1"/>
  <c r="AE41" i="38"/>
  <c r="AG41" i="38" s="1"/>
  <c r="X41" i="38"/>
  <c r="Z41" i="38" s="1"/>
  <c r="L15" i="39"/>
  <c r="F16" i="39"/>
  <c r="H16" i="39" s="1"/>
  <c r="O16" i="39" s="1"/>
  <c r="AM44" i="39"/>
  <c r="X18" i="38"/>
  <c r="Z18" i="38" s="1"/>
  <c r="F18" i="38"/>
  <c r="H18" i="38" s="1"/>
  <c r="O18" i="38" s="1"/>
  <c r="AF43" i="38"/>
  <c r="AL43" i="38"/>
  <c r="AN43" i="38" s="1"/>
  <c r="X38" i="39"/>
  <c r="Z38" i="39" s="1"/>
  <c r="Q38" i="39"/>
  <c r="S38" i="39" s="1"/>
  <c r="AL38" i="39"/>
  <c r="AN38" i="39" s="1"/>
  <c r="J38" i="39"/>
  <c r="L38" i="39" s="1"/>
  <c r="AE38" i="39"/>
  <c r="AG38" i="39" s="1"/>
  <c r="F38" i="39"/>
  <c r="H38" i="39" s="1"/>
  <c r="J18" i="40"/>
  <c r="L18" i="40" s="1"/>
  <c r="X18" i="40"/>
  <c r="Z18" i="40" s="1"/>
  <c r="F18" i="40"/>
  <c r="H18" i="40" s="1"/>
  <c r="O18" i="40" s="1"/>
  <c r="AL18" i="40"/>
  <c r="AN18" i="40" s="1"/>
  <c r="AE18" i="40"/>
  <c r="AG18" i="40" s="1"/>
  <c r="Q18" i="40"/>
  <c r="S18" i="40" s="1"/>
  <c r="X19" i="39"/>
  <c r="Z19" i="39" s="1"/>
  <c r="F19" i="39"/>
  <c r="H19" i="39" s="1"/>
  <c r="Q19" i="39"/>
  <c r="S19" i="39" s="1"/>
  <c r="AP50" i="41"/>
  <c r="AE20" i="40"/>
  <c r="AG20" i="40" s="1"/>
  <c r="AI37" i="40"/>
  <c r="AE15" i="38"/>
  <c r="AG15" i="38" s="1"/>
  <c r="AE18" i="38"/>
  <c r="AG18" i="38" s="1"/>
  <c r="J19" i="39"/>
  <c r="L19" i="39" s="1"/>
  <c r="AL19" i="39"/>
  <c r="AN19" i="39" s="1"/>
  <c r="AP19" i="39" s="1"/>
  <c r="N21" i="39"/>
  <c r="O21" i="39" s="1"/>
  <c r="AE23" i="39"/>
  <c r="AG23" i="39" s="1"/>
  <c r="X23" i="39"/>
  <c r="Z23" i="39" s="1"/>
  <c r="Q23" i="39"/>
  <c r="S23" i="39" s="1"/>
  <c r="J23" i="39"/>
  <c r="L23" i="39" s="1"/>
  <c r="AI47" i="40"/>
  <c r="AJ47" i="40" s="1"/>
  <c r="AQ47" i="40"/>
  <c r="AN16" i="38"/>
  <c r="AL26" i="38"/>
  <c r="AN26" i="38" s="1"/>
  <c r="Q27" i="38"/>
  <c r="S27" i="38" s="1"/>
  <c r="AL27" i="38"/>
  <c r="AN27" i="38" s="1"/>
  <c r="AE34" i="38"/>
  <c r="AG34" i="38" s="1"/>
  <c r="X40" i="38"/>
  <c r="Z40" i="38" s="1"/>
  <c r="AE44" i="38"/>
  <c r="AG44" i="38" s="1"/>
  <c r="Y44" i="38"/>
  <c r="Z44" i="38" s="1"/>
  <c r="Q25" i="39"/>
  <c r="S25" i="39" s="1"/>
  <c r="AE25" i="39"/>
  <c r="AG25" i="39" s="1"/>
  <c r="J25" i="39"/>
  <c r="L25" i="39" s="1"/>
  <c r="AL25" i="39"/>
  <c r="AN25" i="39" s="1"/>
  <c r="AP25" i="39" s="1"/>
  <c r="J26" i="39"/>
  <c r="L26" i="39" s="1"/>
  <c r="Q17" i="40"/>
  <c r="S17" i="40" s="1"/>
  <c r="AE17" i="40"/>
  <c r="AG17" i="40" s="1"/>
  <c r="X17" i="40"/>
  <c r="Z17" i="40" s="1"/>
  <c r="F17" i="40"/>
  <c r="H17" i="40" s="1"/>
  <c r="O17" i="40" s="1"/>
  <c r="J17" i="40"/>
  <c r="L17" i="40" s="1"/>
  <c r="AL17" i="40"/>
  <c r="AN17" i="40" s="1"/>
  <c r="F22" i="38"/>
  <c r="H22" i="38" s="1"/>
  <c r="O22" i="38" s="1"/>
  <c r="Q25" i="38"/>
  <c r="S25" i="38" s="1"/>
  <c r="AL33" i="38"/>
  <c r="AN33" i="38" s="1"/>
  <c r="F34" i="38"/>
  <c r="H34" i="38" s="1"/>
  <c r="O34" i="38" s="1"/>
  <c r="F25" i="39"/>
  <c r="H25" i="39" s="1"/>
  <c r="O25" i="39" s="1"/>
  <c r="J36" i="39"/>
  <c r="L36" i="39" s="1"/>
  <c r="X16" i="38"/>
  <c r="Z16" i="38" s="1"/>
  <c r="F16" i="38"/>
  <c r="H16" i="38" s="1"/>
  <c r="O16" i="38" s="1"/>
  <c r="F23" i="38"/>
  <c r="H23" i="38" s="1"/>
  <c r="O23" i="38" s="1"/>
  <c r="AL25" i="38"/>
  <c r="AN25" i="38" s="1"/>
  <c r="H27" i="39"/>
  <c r="O27" i="39" s="1"/>
  <c r="AN33" i="39"/>
  <c r="F35" i="39"/>
  <c r="H35" i="39" s="1"/>
  <c r="K43" i="39"/>
  <c r="K44" i="39"/>
  <c r="J43" i="39"/>
  <c r="X43" i="39"/>
  <c r="Z43" i="39" s="1"/>
  <c r="F43" i="39"/>
  <c r="H43" i="39" s="1"/>
  <c r="AE43" i="39"/>
  <c r="AG43" i="39" s="1"/>
  <c r="AL43" i="39"/>
  <c r="AN43" i="39" s="1"/>
  <c r="Q43" i="39"/>
  <c r="S43" i="39" s="1"/>
  <c r="X36" i="40"/>
  <c r="Z36" i="40" s="1"/>
  <c r="J32" i="38"/>
  <c r="L32" i="38" s="1"/>
  <c r="F32" i="38"/>
  <c r="H32" i="38" s="1"/>
  <c r="F45" i="38"/>
  <c r="H45" i="38" s="1"/>
  <c r="U21" i="39"/>
  <c r="V21" i="39" s="1"/>
  <c r="AC21" i="39"/>
  <c r="N48" i="40"/>
  <c r="O48" i="40" s="1"/>
  <c r="J28" i="39"/>
  <c r="L28" i="39" s="1"/>
  <c r="X28" i="39"/>
  <c r="Z28" i="39" s="1"/>
  <c r="F28" i="39"/>
  <c r="H28" i="39" s="1"/>
  <c r="O28" i="39" s="1"/>
  <c r="AL44" i="38"/>
  <c r="AN44" i="38" s="1"/>
  <c r="AL22" i="39"/>
  <c r="AN22" i="39" s="1"/>
  <c r="AP22" i="39" s="1"/>
  <c r="Z25" i="39"/>
  <c r="Q30" i="39"/>
  <c r="S30" i="39" s="1"/>
  <c r="AE30" i="39"/>
  <c r="AG30" i="39" s="1"/>
  <c r="J30" i="39"/>
  <c r="L30" i="39" s="1"/>
  <c r="X30" i="39"/>
  <c r="Z30" i="39" s="1"/>
  <c r="Q33" i="39"/>
  <c r="S33" i="39" s="1"/>
  <c r="AE33" i="39"/>
  <c r="AG33" i="39" s="1"/>
  <c r="J33" i="39"/>
  <c r="L33" i="39" s="1"/>
  <c r="O21" i="40"/>
  <c r="U49" i="40"/>
  <c r="AL21" i="39"/>
  <c r="AN21" i="39" s="1"/>
  <c r="AN23" i="39"/>
  <c r="Q27" i="39"/>
  <c r="S27" i="39" s="1"/>
  <c r="AE27" i="39"/>
  <c r="AG27" i="39" s="1"/>
  <c r="AL30" i="39"/>
  <c r="AN30" i="39" s="1"/>
  <c r="N21" i="40"/>
  <c r="J44" i="38"/>
  <c r="X45" i="38"/>
  <c r="Z45" i="38" s="1"/>
  <c r="AL46" i="38"/>
  <c r="S35" i="39"/>
  <c r="AL35" i="38"/>
  <c r="AN35" i="38" s="1"/>
  <c r="AP35" i="38" s="1"/>
  <c r="AL40" i="38"/>
  <c r="AN40" i="38" s="1"/>
  <c r="X17" i="39"/>
  <c r="Z17" i="39" s="1"/>
  <c r="F17" i="39"/>
  <c r="H17" i="39" s="1"/>
  <c r="O17" i="39" s="1"/>
  <c r="AL17" i="39"/>
  <c r="AN17" i="39" s="1"/>
  <c r="Q17" i="39"/>
  <c r="S17" i="39" s="1"/>
  <c r="Q20" i="39"/>
  <c r="S20" i="39" s="1"/>
  <c r="X24" i="39"/>
  <c r="Z24" i="39" s="1"/>
  <c r="Q28" i="39"/>
  <c r="S28" i="39" s="1"/>
  <c r="J34" i="39"/>
  <c r="L34" i="39" s="1"/>
  <c r="X34" i="39"/>
  <c r="Z34" i="39" s="1"/>
  <c r="F34" i="39"/>
  <c r="H34" i="39" s="1"/>
  <c r="O34" i="39" s="1"/>
  <c r="AL23" i="40"/>
  <c r="AN23" i="40" s="1"/>
  <c r="AL23" i="38"/>
  <c r="AN23" i="38" s="1"/>
  <c r="AP23" i="38" s="1"/>
  <c r="F35" i="38"/>
  <c r="H35" i="38" s="1"/>
  <c r="O35" i="38" s="1"/>
  <c r="F40" i="38"/>
  <c r="H40" i="38" s="1"/>
  <c r="F20" i="39"/>
  <c r="H20" i="39" s="1"/>
  <c r="O20" i="39" s="1"/>
  <c r="AL27" i="39"/>
  <c r="AN27" i="39" s="1"/>
  <c r="J31" i="39"/>
  <c r="L31" i="39" s="1"/>
  <c r="AL45" i="39"/>
  <c r="AN45" i="39" s="1"/>
  <c r="Q45" i="39"/>
  <c r="S45" i="39" s="1"/>
  <c r="J45" i="39"/>
  <c r="L45" i="39" s="1"/>
  <c r="F45" i="39"/>
  <c r="H45" i="39" s="1"/>
  <c r="AE45" i="39"/>
  <c r="AG45" i="39" s="1"/>
  <c r="AM44" i="40"/>
  <c r="AM43" i="40"/>
  <c r="AN37" i="40"/>
  <c r="AP37" i="40" s="1"/>
  <c r="AQ37" i="40" s="1"/>
  <c r="AE17" i="39"/>
  <c r="AG17" i="39" s="1"/>
  <c r="AE20" i="39"/>
  <c r="AG20" i="39" s="1"/>
  <c r="J27" i="39"/>
  <c r="L27" i="39" s="1"/>
  <c r="AL34" i="39"/>
  <c r="AN34" i="39" s="1"/>
  <c r="V50" i="40"/>
  <c r="H31" i="39"/>
  <c r="O31" i="39" s="1"/>
  <c r="S36" i="39"/>
  <c r="AG33" i="40"/>
  <c r="AG44" i="40"/>
  <c r="AI46" i="40"/>
  <c r="AJ46" i="40" s="1"/>
  <c r="H16" i="41"/>
  <c r="O16" i="41" s="1"/>
  <c r="U50" i="40"/>
  <c r="AE21" i="41"/>
  <c r="AG21" i="41" s="1"/>
  <c r="Z15" i="40"/>
  <c r="S16" i="40"/>
  <c r="AN22" i="40"/>
  <c r="X35" i="40"/>
  <c r="Z35" i="40" s="1"/>
  <c r="H41" i="40"/>
  <c r="L43" i="40"/>
  <c r="X45" i="40"/>
  <c r="Z45" i="40" s="1"/>
  <c r="U48" i="40"/>
  <c r="V48" i="40" s="1"/>
  <c r="Q24" i="39"/>
  <c r="S24" i="39" s="1"/>
  <c r="S41" i="39"/>
  <c r="Q19" i="40"/>
  <c r="S19" i="40" s="1"/>
  <c r="AE19" i="40"/>
  <c r="AG19" i="40" s="1"/>
  <c r="X19" i="40"/>
  <c r="Z19" i="40" s="1"/>
  <c r="AL19" i="40"/>
  <c r="AN19" i="40" s="1"/>
  <c r="AE24" i="40"/>
  <c r="AG24" i="40" s="1"/>
  <c r="J24" i="40"/>
  <c r="L24" i="40" s="1"/>
  <c r="F24" i="40"/>
  <c r="H24" i="40" s="1"/>
  <c r="O24" i="40" s="1"/>
  <c r="AN27" i="40"/>
  <c r="AN32" i="40"/>
  <c r="R44" i="40"/>
  <c r="S37" i="40"/>
  <c r="R43" i="40"/>
  <c r="V49" i="40"/>
  <c r="U48" i="41"/>
  <c r="AL26" i="39"/>
  <c r="AN26" i="39" s="1"/>
  <c r="AL31" i="39"/>
  <c r="AN31" i="39" s="1"/>
  <c r="F36" i="39"/>
  <c r="H36" i="39" s="1"/>
  <c r="X36" i="39"/>
  <c r="Z36" i="39" s="1"/>
  <c r="S37" i="39"/>
  <c r="H23" i="40"/>
  <c r="O23" i="40" s="1"/>
  <c r="AN31" i="40"/>
  <c r="F33" i="40"/>
  <c r="H33" i="40" s="1"/>
  <c r="AP47" i="40"/>
  <c r="AI48" i="40"/>
  <c r="U21" i="40"/>
  <c r="V21" i="40" s="1"/>
  <c r="AL25" i="40"/>
  <c r="AN25" i="40" s="1"/>
  <c r="AN30" i="40"/>
  <c r="AC46" i="40"/>
  <c r="U46" i="40"/>
  <c r="AL24" i="39"/>
  <c r="AN24" i="39" s="1"/>
  <c r="X26" i="39"/>
  <c r="Z26" i="39" s="1"/>
  <c r="X31" i="39"/>
  <c r="Z31" i="39" s="1"/>
  <c r="X41" i="39"/>
  <c r="Z41" i="39" s="1"/>
  <c r="F41" i="39"/>
  <c r="H41" i="39" s="1"/>
  <c r="Q46" i="39"/>
  <c r="Q37" i="39" s="1"/>
  <c r="AE46" i="39"/>
  <c r="Q15" i="40"/>
  <c r="S15" i="40" s="1"/>
  <c r="J19" i="40"/>
  <c r="L19" i="40" s="1"/>
  <c r="J20" i="40"/>
  <c r="L20" i="40" s="1"/>
  <c r="X20" i="40"/>
  <c r="Z20" i="40" s="1"/>
  <c r="F20" i="40"/>
  <c r="H20" i="40" s="1"/>
  <c r="O20" i="40" s="1"/>
  <c r="Q20" i="40"/>
  <c r="S20" i="40" s="1"/>
  <c r="AL20" i="40"/>
  <c r="AN20" i="40" s="1"/>
  <c r="Q24" i="40"/>
  <c r="S24" i="40" s="1"/>
  <c r="H27" i="40"/>
  <c r="O27" i="40" s="1"/>
  <c r="L33" i="40"/>
  <c r="AG38" i="40"/>
  <c r="F44" i="40"/>
  <c r="H44" i="40" s="1"/>
  <c r="AL44" i="40"/>
  <c r="Q44" i="40"/>
  <c r="X44" i="40"/>
  <c r="Z44" i="40" s="1"/>
  <c r="J44" i="40"/>
  <c r="L44" i="40" s="1"/>
  <c r="V47" i="40"/>
  <c r="AL15" i="39"/>
  <c r="AN15" i="39" s="1"/>
  <c r="F24" i="39"/>
  <c r="H24" i="39" s="1"/>
  <c r="O24" i="39" s="1"/>
  <c r="AE35" i="39"/>
  <c r="AG35" i="39" s="1"/>
  <c r="AE40" i="39"/>
  <c r="AG40" i="39" s="1"/>
  <c r="X40" i="39"/>
  <c r="Z40" i="39" s="1"/>
  <c r="F46" i="39"/>
  <c r="O47" i="40"/>
  <c r="F40" i="39"/>
  <c r="H40" i="39" s="1"/>
  <c r="J16" i="40"/>
  <c r="L16" i="40" s="1"/>
  <c r="AL21" i="40"/>
  <c r="AN21" i="40" s="1"/>
  <c r="AC21" i="40"/>
  <c r="S28" i="40"/>
  <c r="AB46" i="40"/>
  <c r="Z28" i="40"/>
  <c r="AN36" i="40"/>
  <c r="AG40" i="40"/>
  <c r="AL15" i="40"/>
  <c r="AN15" i="40" s="1"/>
  <c r="J22" i="40"/>
  <c r="L22" i="40" s="1"/>
  <c r="Q25" i="40"/>
  <c r="S25" i="40" s="1"/>
  <c r="AE34" i="40"/>
  <c r="AG34" i="40" s="1"/>
  <c r="S38" i="40"/>
  <c r="J40" i="40"/>
  <c r="L40" i="40" s="1"/>
  <c r="X40" i="40"/>
  <c r="Z40" i="40" s="1"/>
  <c r="J15" i="41"/>
  <c r="L15" i="41" s="1"/>
  <c r="AL34" i="41"/>
  <c r="AN34" i="41" s="1"/>
  <c r="F15" i="40"/>
  <c r="H15" i="40" s="1"/>
  <c r="F22" i="40"/>
  <c r="H22" i="40" s="1"/>
  <c r="O22" i="40" s="1"/>
  <c r="X22" i="40"/>
  <c r="Z22" i="40" s="1"/>
  <c r="H46" i="40"/>
  <c r="N46" i="40" s="1"/>
  <c r="AP48" i="40"/>
  <c r="AQ48" i="40" s="1"/>
  <c r="X20" i="41"/>
  <c r="Z20" i="41" s="1"/>
  <c r="AL20" i="41"/>
  <c r="AN20" i="41" s="1"/>
  <c r="Q20" i="41"/>
  <c r="S20" i="41" s="1"/>
  <c r="AE20" i="41"/>
  <c r="AG20" i="41" s="1"/>
  <c r="J20" i="41"/>
  <c r="L20" i="41" s="1"/>
  <c r="F20" i="41"/>
  <c r="H20" i="41" s="1"/>
  <c r="O20" i="41" s="1"/>
  <c r="Q31" i="40"/>
  <c r="S31" i="40" s="1"/>
  <c r="X31" i="40"/>
  <c r="Z31" i="40" s="1"/>
  <c r="J32" i="40"/>
  <c r="L32" i="40" s="1"/>
  <c r="X32" i="40"/>
  <c r="Z32" i="40" s="1"/>
  <c r="AE45" i="40"/>
  <c r="AG45" i="40" s="1"/>
  <c r="Q45" i="40"/>
  <c r="S45" i="40" s="1"/>
  <c r="V46" i="40"/>
  <c r="AL19" i="41"/>
  <c r="AN19" i="41" s="1"/>
  <c r="AE33" i="41"/>
  <c r="AG33" i="41" s="1"/>
  <c r="J15" i="40"/>
  <c r="L15" i="40" s="1"/>
  <c r="AG21" i="40"/>
  <c r="X25" i="40"/>
  <c r="Z25" i="40" s="1"/>
  <c r="F25" i="40"/>
  <c r="H25" i="40" s="1"/>
  <c r="O25" i="40" s="1"/>
  <c r="F31" i="40"/>
  <c r="H31" i="40" s="1"/>
  <c r="O31" i="40" s="1"/>
  <c r="F32" i="40"/>
  <c r="H32" i="40" s="1"/>
  <c r="J34" i="40"/>
  <c r="L34" i="40" s="1"/>
  <c r="F45" i="40"/>
  <c r="H45" i="40" s="1"/>
  <c r="Z34" i="41"/>
  <c r="U46" i="41"/>
  <c r="Q44" i="39"/>
  <c r="S44" i="39" s="1"/>
  <c r="AL16" i="40"/>
  <c r="AN16" i="40" s="1"/>
  <c r="AE22" i="40"/>
  <c r="AG22" i="40" s="1"/>
  <c r="Q26" i="40"/>
  <c r="S26" i="40" s="1"/>
  <c r="X26" i="40"/>
  <c r="Z26" i="40" s="1"/>
  <c r="J30" i="40"/>
  <c r="L30" i="40" s="1"/>
  <c r="X30" i="40"/>
  <c r="Z30" i="40" s="1"/>
  <c r="AE32" i="40"/>
  <c r="AG32" i="40" s="1"/>
  <c r="Q34" i="40"/>
  <c r="S34" i="40" s="1"/>
  <c r="AL34" i="40"/>
  <c r="AN34" i="40" s="1"/>
  <c r="X43" i="40"/>
  <c r="Z43" i="40" s="1"/>
  <c r="AL45" i="40"/>
  <c r="AN45" i="40" s="1"/>
  <c r="U47" i="40"/>
  <c r="AL38" i="41"/>
  <c r="AN38" i="41" s="1"/>
  <c r="Y50" i="40"/>
  <c r="Z50" i="40" s="1"/>
  <c r="AF49" i="40"/>
  <c r="AG49" i="40" s="1"/>
  <c r="G50" i="40"/>
  <c r="H50" i="40" s="1"/>
  <c r="G49" i="40"/>
  <c r="H49" i="40" s="1"/>
  <c r="N49" i="40" s="1"/>
  <c r="Y49" i="40"/>
  <c r="Z49" i="40" s="1"/>
  <c r="AM50" i="40"/>
  <c r="AN50" i="40" s="1"/>
  <c r="AM49" i="40"/>
  <c r="AN49" i="40" s="1"/>
  <c r="AE15" i="40"/>
  <c r="AG15" i="40" s="1"/>
  <c r="X16" i="40"/>
  <c r="Z16" i="40" s="1"/>
  <c r="J25" i="40"/>
  <c r="L25" i="40" s="1"/>
  <c r="J31" i="40"/>
  <c r="L31" i="40" s="1"/>
  <c r="Q40" i="40"/>
  <c r="S40" i="40" s="1"/>
  <c r="AL40" i="40"/>
  <c r="AN40" i="40" s="1"/>
  <c r="J45" i="40"/>
  <c r="L45" i="40" s="1"/>
  <c r="AF50" i="40"/>
  <c r="AG50" i="40" s="1"/>
  <c r="Q22" i="40"/>
  <c r="S22" i="40" s="1"/>
  <c r="AE25" i="40"/>
  <c r="AG25" i="40" s="1"/>
  <c r="AE30" i="40"/>
  <c r="AG30" i="40" s="1"/>
  <c r="AE31" i="40"/>
  <c r="AG31" i="40" s="1"/>
  <c r="Q36" i="40"/>
  <c r="S36" i="40" s="1"/>
  <c r="AE36" i="40"/>
  <c r="AG36" i="40" s="1"/>
  <c r="G43" i="40"/>
  <c r="H37" i="40"/>
  <c r="Q17" i="41"/>
  <c r="S17" i="41" s="1"/>
  <c r="AE17" i="41"/>
  <c r="AG17" i="41" s="1"/>
  <c r="J17" i="41"/>
  <c r="L17" i="41" s="1"/>
  <c r="X17" i="41"/>
  <c r="Z17" i="41" s="1"/>
  <c r="F17" i="41"/>
  <c r="H17" i="41" s="1"/>
  <c r="O17" i="41" s="1"/>
  <c r="AE45" i="41"/>
  <c r="AG45" i="41" s="1"/>
  <c r="J26" i="40"/>
  <c r="L26" i="40" s="1"/>
  <c r="F36" i="40"/>
  <c r="H36" i="40" s="1"/>
  <c r="AL41" i="40"/>
  <c r="AN41" i="40" s="1"/>
  <c r="H35" i="41"/>
  <c r="X43" i="41"/>
  <c r="AG16" i="41"/>
  <c r="AB48" i="41"/>
  <c r="AC48" i="41" s="1"/>
  <c r="AJ48" i="41"/>
  <c r="AN46" i="40"/>
  <c r="AP46" i="40" s="1"/>
  <c r="AQ46" i="40" s="1"/>
  <c r="AC47" i="40"/>
  <c r="X24" i="41"/>
  <c r="Z24" i="41" s="1"/>
  <c r="Z32" i="41"/>
  <c r="Z35" i="41"/>
  <c r="AJ35" i="41" s="1"/>
  <c r="AQ48" i="41"/>
  <c r="AI48" i="41"/>
  <c r="AL35" i="40"/>
  <c r="AN35" i="40" s="1"/>
  <c r="AL43" i="40"/>
  <c r="S19" i="41"/>
  <c r="AL21" i="41"/>
  <c r="AN21" i="41" s="1"/>
  <c r="F35" i="40"/>
  <c r="H35" i="40" s="1"/>
  <c r="O35" i="40" s="1"/>
  <c r="Z37" i="40"/>
  <c r="F43" i="40"/>
  <c r="G49" i="41"/>
  <c r="H49" i="41" s="1"/>
  <c r="AF50" i="41"/>
  <c r="AG50" i="41" s="1"/>
  <c r="AM49" i="41"/>
  <c r="AN49" i="41" s="1"/>
  <c r="K50" i="41"/>
  <c r="L50" i="41" s="1"/>
  <c r="R49" i="41"/>
  <c r="S49" i="41" s="1"/>
  <c r="G50" i="41"/>
  <c r="H50" i="41" s="1"/>
  <c r="O50" i="41" s="1"/>
  <c r="Y49" i="41"/>
  <c r="Z49" i="41" s="1"/>
  <c r="Y50" i="41"/>
  <c r="Z50" i="41" s="1"/>
  <c r="R50" i="41"/>
  <c r="S50" i="41" s="1"/>
  <c r="AF49" i="41"/>
  <c r="AG49" i="41" s="1"/>
  <c r="K49" i="41"/>
  <c r="L49" i="41" s="1"/>
  <c r="Q36" i="41"/>
  <c r="AE36" i="41"/>
  <c r="AG36" i="41" s="1"/>
  <c r="X36" i="41"/>
  <c r="J36" i="41"/>
  <c r="L36" i="41" s="1"/>
  <c r="AQ46" i="41"/>
  <c r="AL33" i="40"/>
  <c r="AN33" i="40" s="1"/>
  <c r="Z48" i="40"/>
  <c r="F36" i="41"/>
  <c r="H36" i="41" s="1"/>
  <c r="R41" i="41"/>
  <c r="R36" i="41"/>
  <c r="R43" i="41"/>
  <c r="N48" i="41"/>
  <c r="V48" i="41"/>
  <c r="N21" i="41"/>
  <c r="V21" i="41"/>
  <c r="S37" i="41"/>
  <c r="R40" i="41"/>
  <c r="R44" i="41"/>
  <c r="O46" i="41"/>
  <c r="L41" i="41"/>
  <c r="AG43" i="41"/>
  <c r="F37" i="41"/>
  <c r="H37" i="41" s="1"/>
  <c r="H48" i="41"/>
  <c r="AL28" i="41"/>
  <c r="AN28" i="41" s="1"/>
  <c r="J32" i="41"/>
  <c r="L32" i="41" s="1"/>
  <c r="Y40" i="41"/>
  <c r="Z37" i="41"/>
  <c r="Z46" i="41"/>
  <c r="AI46" i="41" s="1"/>
  <c r="AL18" i="41"/>
  <c r="AN18" i="41" s="1"/>
  <c r="J22" i="41"/>
  <c r="L22" i="41" s="1"/>
  <c r="Q31" i="41"/>
  <c r="S31" i="41" s="1"/>
  <c r="J40" i="41"/>
  <c r="L40" i="41" s="1"/>
  <c r="AF40" i="41"/>
  <c r="F18" i="41"/>
  <c r="H18" i="41" s="1"/>
  <c r="O18" i="41" s="1"/>
  <c r="X18" i="41"/>
  <c r="Z18" i="41" s="1"/>
  <c r="F22" i="41"/>
  <c r="H22" i="41" s="1"/>
  <c r="O22" i="41" s="1"/>
  <c r="X22" i="41"/>
  <c r="AL23" i="41"/>
  <c r="AN23" i="41" s="1"/>
  <c r="X25" i="41"/>
  <c r="Z25" i="41" s="1"/>
  <c r="F25" i="41"/>
  <c r="H25" i="41" s="1"/>
  <c r="O25" i="41" s="1"/>
  <c r="Q26" i="41"/>
  <c r="S26" i="41" s="1"/>
  <c r="X26" i="41"/>
  <c r="Z26" i="41" s="1"/>
  <c r="F31" i="41"/>
  <c r="H31" i="41" s="1"/>
  <c r="O31" i="41" s="1"/>
  <c r="AG37" i="41"/>
  <c r="Q44" i="41"/>
  <c r="AE44" i="41"/>
  <c r="AG44" i="41" s="1"/>
  <c r="J44" i="41"/>
  <c r="AI47" i="41"/>
  <c r="AJ47" i="41" s="1"/>
  <c r="Z22" i="41"/>
  <c r="AE24" i="41"/>
  <c r="AG24" i="41" s="1"/>
  <c r="J27" i="41"/>
  <c r="L27" i="41" s="1"/>
  <c r="AE31" i="41"/>
  <c r="AG31" i="41" s="1"/>
  <c r="J33" i="41"/>
  <c r="L33" i="41" s="1"/>
  <c r="X33" i="41"/>
  <c r="Z33" i="41" s="1"/>
  <c r="F33" i="41"/>
  <c r="H33" i="41" s="1"/>
  <c r="O33" i="41" s="1"/>
  <c r="Y41" i="41"/>
  <c r="F44" i="41"/>
  <c r="H44" i="41" s="1"/>
  <c r="L47" i="41"/>
  <c r="L37" i="41"/>
  <c r="K44" i="41"/>
  <c r="AE19" i="41"/>
  <c r="AG19" i="41" s="1"/>
  <c r="F24" i="41"/>
  <c r="H24" i="41" s="1"/>
  <c r="O24" i="41" s="1"/>
  <c r="AM40" i="41"/>
  <c r="AL44" i="41"/>
  <c r="AN44" i="41" s="1"/>
  <c r="V46" i="41"/>
  <c r="AN48" i="41"/>
  <c r="AP48" i="41" s="1"/>
  <c r="J18" i="41"/>
  <c r="L18" i="41" s="1"/>
  <c r="F19" i="41"/>
  <c r="H19" i="41" s="1"/>
  <c r="X19" i="41"/>
  <c r="Z19" i="41" s="1"/>
  <c r="AE22" i="41"/>
  <c r="AG22" i="41" s="1"/>
  <c r="J25" i="41"/>
  <c r="L25" i="41" s="1"/>
  <c r="X30" i="41"/>
  <c r="Z30" i="41" s="1"/>
  <c r="F30" i="41"/>
  <c r="H30" i="41" s="1"/>
  <c r="J31" i="41"/>
  <c r="L31" i="41" s="1"/>
  <c r="Y36" i="41"/>
  <c r="Q41" i="41"/>
  <c r="AE41" i="41"/>
  <c r="Y43" i="41"/>
  <c r="N46" i="41"/>
  <c r="S47" i="41"/>
  <c r="AB47" i="41" s="1"/>
  <c r="AL16" i="41"/>
  <c r="AN16" i="41" s="1"/>
  <c r="AP16" i="41" s="1"/>
  <c r="J24" i="41"/>
  <c r="L24" i="41" s="1"/>
  <c r="AE25" i="41"/>
  <c r="AG25" i="41" s="1"/>
  <c r="J26" i="41"/>
  <c r="L26" i="41" s="1"/>
  <c r="AE26" i="41"/>
  <c r="AG26" i="41" s="1"/>
  <c r="AL31" i="41"/>
  <c r="AN31" i="41" s="1"/>
  <c r="Q35" i="41"/>
  <c r="S35" i="41" s="1"/>
  <c r="AL35" i="41"/>
  <c r="AN35" i="41" s="1"/>
  <c r="J35" i="41"/>
  <c r="L35" i="41" s="1"/>
  <c r="F41" i="41"/>
  <c r="H41" i="41" s="1"/>
  <c r="AF41" i="41"/>
  <c r="AM43" i="41"/>
  <c r="AN37" i="41"/>
  <c r="AP37" i="41" s="1"/>
  <c r="AL27" i="41"/>
  <c r="AN27" i="41" s="1"/>
  <c r="AE28" i="41"/>
  <c r="AG28" i="41" s="1"/>
  <c r="Q43" i="41"/>
  <c r="X45" i="41"/>
  <c r="Z45" i="41" s="1"/>
  <c r="AL40" i="41"/>
  <c r="AE32" i="41"/>
  <c r="AG32" i="41" s="1"/>
  <c r="G40" i="41"/>
  <c r="X40" i="41"/>
  <c r="AL43" i="41"/>
  <c r="F43" i="41"/>
  <c r="H43" i="41" s="1"/>
  <c r="J45" i="41"/>
  <c r="L45" i="41" s="1"/>
  <c r="AP23" i="36" l="1"/>
  <c r="AP40" i="33"/>
  <c r="AP22" i="30"/>
  <c r="S42" i="16"/>
  <c r="AP34" i="14"/>
  <c r="AQ34" i="14" s="1"/>
  <c r="AP16" i="38"/>
  <c r="AP31" i="30"/>
  <c r="AP41" i="32"/>
  <c r="AQ41" i="32" s="1"/>
  <c r="AP25" i="23"/>
  <c r="AP19" i="18"/>
  <c r="Z41" i="41"/>
  <c r="AP30" i="11"/>
  <c r="AG43" i="26"/>
  <c r="S43" i="41"/>
  <c r="L43" i="33"/>
  <c r="AP45" i="36"/>
  <c r="L38" i="21"/>
  <c r="AP40" i="36"/>
  <c r="AP22" i="35"/>
  <c r="AP40" i="31"/>
  <c r="AQ40" i="31" s="1"/>
  <c r="AP34" i="29"/>
  <c r="H44" i="27"/>
  <c r="AP25" i="29"/>
  <c r="AP21" i="22"/>
  <c r="AP23" i="34"/>
  <c r="L44" i="39"/>
  <c r="Z46" i="39"/>
  <c r="AP32" i="25"/>
  <c r="AP19" i="17"/>
  <c r="AG46" i="38"/>
  <c r="AP25" i="24"/>
  <c r="AP42" i="11"/>
  <c r="AP43" i="11"/>
  <c r="AP34" i="24"/>
  <c r="AP17" i="26"/>
  <c r="AP33" i="38"/>
  <c r="AP27" i="35"/>
  <c r="AP16" i="31"/>
  <c r="AG46" i="28"/>
  <c r="AP36" i="17"/>
  <c r="AP17" i="13"/>
  <c r="AP27" i="41"/>
  <c r="AG43" i="37"/>
  <c r="AP43" i="37" s="1"/>
  <c r="AQ43" i="37" s="1"/>
  <c r="AP18" i="37"/>
  <c r="AP38" i="30"/>
  <c r="AP23" i="29"/>
  <c r="AP43" i="23"/>
  <c r="L42" i="21"/>
  <c r="H38" i="15"/>
  <c r="AP25" i="12"/>
  <c r="AG39" i="10"/>
  <c r="AP19" i="9"/>
  <c r="AP23" i="40"/>
  <c r="AP40" i="34"/>
  <c r="AP36" i="18"/>
  <c r="AQ36" i="18" s="1"/>
  <c r="AP32" i="37"/>
  <c r="AP19" i="29"/>
  <c r="S43" i="26"/>
  <c r="AB43" i="26" s="1"/>
  <c r="AC43" i="26" s="1"/>
  <c r="AG35" i="27"/>
  <c r="AP20" i="19"/>
  <c r="L39" i="22"/>
  <c r="AP35" i="40"/>
  <c r="AP22" i="29"/>
  <c r="AP26" i="10"/>
  <c r="AG42" i="9"/>
  <c r="AP25" i="40"/>
  <c r="L43" i="38"/>
  <c r="U43" i="38" s="1"/>
  <c r="V43" i="38" s="1"/>
  <c r="AP33" i="35"/>
  <c r="AP26" i="26"/>
  <c r="L44" i="29"/>
  <c r="AP39" i="22"/>
  <c r="AP21" i="23"/>
  <c r="AI31" i="11"/>
  <c r="AP44" i="32"/>
  <c r="AP45" i="27"/>
  <c r="AP26" i="33"/>
  <c r="AP36" i="32"/>
  <c r="AQ36" i="32" s="1"/>
  <c r="AP34" i="26"/>
  <c r="AP26" i="37"/>
  <c r="AP28" i="35"/>
  <c r="S44" i="36"/>
  <c r="AP17" i="24"/>
  <c r="AP27" i="17"/>
  <c r="S42" i="10"/>
  <c r="AB42" i="10" s="1"/>
  <c r="AC42" i="10" s="1"/>
  <c r="F37" i="38"/>
  <c r="H37" i="38" s="1"/>
  <c r="H46" i="38"/>
  <c r="Z43" i="33"/>
  <c r="AP43" i="24"/>
  <c r="AQ43" i="24" s="1"/>
  <c r="H34" i="24"/>
  <c r="L42" i="17"/>
  <c r="AG41" i="9"/>
  <c r="AP41" i="9" s="1"/>
  <c r="AQ41" i="9" s="1"/>
  <c r="AI35" i="39"/>
  <c r="L43" i="31"/>
  <c r="AP21" i="27"/>
  <c r="AP39" i="13"/>
  <c r="AP28" i="9"/>
  <c r="AP28" i="38"/>
  <c r="AP18" i="33"/>
  <c r="H46" i="31"/>
  <c r="N46" i="31" s="1"/>
  <c r="O46" i="31" s="1"/>
  <c r="AP34" i="32"/>
  <c r="H43" i="28"/>
  <c r="L32" i="25"/>
  <c r="N32" i="25" s="1"/>
  <c r="O32" i="25" s="1"/>
  <c r="S44" i="41"/>
  <c r="U44" i="41" s="1"/>
  <c r="V44" i="41" s="1"/>
  <c r="AP30" i="30"/>
  <c r="Z46" i="30"/>
  <c r="AI46" i="30" s="1"/>
  <c r="AJ46" i="30" s="1"/>
  <c r="S43" i="28"/>
  <c r="AB43" i="28" s="1"/>
  <c r="AC43" i="28" s="1"/>
  <c r="L46" i="26"/>
  <c r="AP43" i="20"/>
  <c r="AP26" i="22"/>
  <c r="Z34" i="18"/>
  <c r="H34" i="12"/>
  <c r="H40" i="41"/>
  <c r="N40" i="41" s="1"/>
  <c r="O40" i="41" s="1"/>
  <c r="S40" i="41"/>
  <c r="AP24" i="37"/>
  <c r="AP25" i="33"/>
  <c r="AN43" i="26"/>
  <c r="S44" i="26"/>
  <c r="L39" i="21"/>
  <c r="N39" i="21" s="1"/>
  <c r="O39" i="21" s="1"/>
  <c r="AP31" i="18"/>
  <c r="L38" i="17"/>
  <c r="U38" i="17" s="1"/>
  <c r="V38" i="17" s="1"/>
  <c r="Z39" i="18"/>
  <c r="AP32" i="12"/>
  <c r="AP23" i="13"/>
  <c r="N38" i="31"/>
  <c r="AN46" i="39"/>
  <c r="AP28" i="28"/>
  <c r="AP22" i="22"/>
  <c r="AP34" i="22"/>
  <c r="AQ34" i="22" s="1"/>
  <c r="AP36" i="24"/>
  <c r="AP25" i="38"/>
  <c r="AP22" i="36"/>
  <c r="AP17" i="35"/>
  <c r="AP27" i="34"/>
  <c r="AP21" i="29"/>
  <c r="AN39" i="21"/>
  <c r="AP39" i="21" s="1"/>
  <c r="AP28" i="20"/>
  <c r="AP45" i="40"/>
  <c r="AP17" i="40"/>
  <c r="AP35" i="31"/>
  <c r="AP36" i="27"/>
  <c r="AQ36" i="27" s="1"/>
  <c r="AP20" i="27"/>
  <c r="AP32" i="29"/>
  <c r="AP24" i="23"/>
  <c r="AP16" i="34"/>
  <c r="AP20" i="37"/>
  <c r="AP17" i="11"/>
  <c r="AP44" i="41"/>
  <c r="S43" i="40"/>
  <c r="U43" i="40" s="1"/>
  <c r="V43" i="40" s="1"/>
  <c r="AP45" i="34"/>
  <c r="AP46" i="32"/>
  <c r="AP18" i="26"/>
  <c r="S46" i="25"/>
  <c r="Z39" i="24"/>
  <c r="AP22" i="23"/>
  <c r="X37" i="38"/>
  <c r="Z37" i="38" s="1"/>
  <c r="AI37" i="38" s="1"/>
  <c r="AJ37" i="38" s="1"/>
  <c r="Z46" i="38"/>
  <c r="AI46" i="38" s="1"/>
  <c r="AJ46" i="38" s="1"/>
  <c r="AP24" i="9"/>
  <c r="AP34" i="39"/>
  <c r="Z42" i="19"/>
  <c r="AP27" i="38"/>
  <c r="S38" i="16"/>
  <c r="L43" i="39"/>
  <c r="V43" i="39" s="1"/>
  <c r="AP24" i="17"/>
  <c r="AP26" i="17"/>
  <c r="AP38" i="16"/>
  <c r="AP19" i="16"/>
  <c r="AP27" i="40"/>
  <c r="AP18" i="34"/>
  <c r="AP18" i="31"/>
  <c r="Z44" i="26"/>
  <c r="S43" i="27"/>
  <c r="AP28" i="26"/>
  <c r="AP20" i="20"/>
  <c r="AP21" i="21"/>
  <c r="L41" i="13"/>
  <c r="U41" i="13" s="1"/>
  <c r="V41" i="13" s="1"/>
  <c r="L42" i="13"/>
  <c r="N42" i="13" s="1"/>
  <c r="O42" i="13" s="1"/>
  <c r="AP20" i="10"/>
  <c r="AP23" i="41"/>
  <c r="AP24" i="39"/>
  <c r="AG43" i="38"/>
  <c r="AI43" i="38" s="1"/>
  <c r="AJ43" i="38" s="1"/>
  <c r="AP31" i="33"/>
  <c r="AP22" i="28"/>
  <c r="Z44" i="31"/>
  <c r="AP39" i="24"/>
  <c r="AQ39" i="24" s="1"/>
  <c r="Z39" i="21"/>
  <c r="AP16" i="16"/>
  <c r="AP33" i="12"/>
  <c r="AG40" i="41"/>
  <c r="AP16" i="40"/>
  <c r="AP31" i="39"/>
  <c r="H43" i="37"/>
  <c r="AP38" i="36"/>
  <c r="AP35" i="34"/>
  <c r="AP32" i="31"/>
  <c r="AP27" i="29"/>
  <c r="Z46" i="26"/>
  <c r="AB46" i="26" s="1"/>
  <c r="AC46" i="26" s="1"/>
  <c r="L43" i="25"/>
  <c r="AP27" i="25"/>
  <c r="AP31" i="22"/>
  <c r="AP22" i="21"/>
  <c r="AP16" i="21"/>
  <c r="S41" i="20"/>
  <c r="AB41" i="20" s="1"/>
  <c r="AC41" i="20" s="1"/>
  <c r="S38" i="14"/>
  <c r="AP18" i="11"/>
  <c r="AP30" i="29"/>
  <c r="AP24" i="28"/>
  <c r="AP20" i="26"/>
  <c r="Z46" i="35"/>
  <c r="N38" i="32"/>
  <c r="H46" i="28"/>
  <c r="AN44" i="28"/>
  <c r="AP36" i="23"/>
  <c r="AQ36" i="23" s="1"/>
  <c r="AP25" i="22"/>
  <c r="AP24" i="31"/>
  <c r="AP22" i="37"/>
  <c r="AP35" i="36"/>
  <c r="L44" i="41"/>
  <c r="AP27" i="37"/>
  <c r="AN44" i="36"/>
  <c r="Z43" i="30"/>
  <c r="AP40" i="27"/>
  <c r="AG43" i="27"/>
  <c r="AP17" i="21"/>
  <c r="AP17" i="14"/>
  <c r="AP28" i="22"/>
  <c r="AP31" i="36"/>
  <c r="AP33" i="37"/>
  <c r="AP31" i="41"/>
  <c r="AP24" i="38"/>
  <c r="L44" i="33"/>
  <c r="AP23" i="30"/>
  <c r="H44" i="32"/>
  <c r="N44" i="32" s="1"/>
  <c r="O44" i="32" s="1"/>
  <c r="AP28" i="27"/>
  <c r="AP36" i="25"/>
  <c r="AN34" i="21"/>
  <c r="AP34" i="21" s="1"/>
  <c r="AQ34" i="21" s="1"/>
  <c r="AP20" i="18"/>
  <c r="Z38" i="16"/>
  <c r="Q37" i="38"/>
  <c r="S37" i="38" s="1"/>
  <c r="AB37" i="38" s="1"/>
  <c r="AC37" i="38" s="1"/>
  <c r="S46" i="38"/>
  <c r="AN43" i="41"/>
  <c r="AP43" i="41" s="1"/>
  <c r="AQ43" i="41" s="1"/>
  <c r="AP18" i="32"/>
  <c r="AP45" i="25"/>
  <c r="AP33" i="26"/>
  <c r="AP38" i="32"/>
  <c r="AP31" i="34"/>
  <c r="AP21" i="40"/>
  <c r="L44" i="38"/>
  <c r="U44" i="38" s="1"/>
  <c r="V44" i="38" s="1"/>
  <c r="AP18" i="39"/>
  <c r="S46" i="33"/>
  <c r="Z44" i="33"/>
  <c r="H44" i="28"/>
  <c r="AG38" i="24"/>
  <c r="AP38" i="24" s="1"/>
  <c r="AQ38" i="24" s="1"/>
  <c r="AP24" i="25"/>
  <c r="AP25" i="32"/>
  <c r="S38" i="22"/>
  <c r="AP25" i="11"/>
  <c r="AP30" i="33"/>
  <c r="L44" i="31"/>
  <c r="AP34" i="31"/>
  <c r="Z46" i="31"/>
  <c r="AP27" i="28"/>
  <c r="AP26" i="23"/>
  <c r="S39" i="22"/>
  <c r="U39" i="22" s="1"/>
  <c r="V39" i="22" s="1"/>
  <c r="Z38" i="19"/>
  <c r="AI38" i="19" s="1"/>
  <c r="AJ38" i="19" s="1"/>
  <c r="AP34" i="11"/>
  <c r="S43" i="30"/>
  <c r="AP33" i="21"/>
  <c r="AP22" i="9"/>
  <c r="AP39" i="11"/>
  <c r="AQ39" i="11" s="1"/>
  <c r="L43" i="37"/>
  <c r="AP19" i="34"/>
  <c r="AQ19" i="34" s="1"/>
  <c r="AP21" i="34"/>
  <c r="AP35" i="33"/>
  <c r="AP35" i="28"/>
  <c r="AP31" i="26"/>
  <c r="AN44" i="29"/>
  <c r="H39" i="24"/>
  <c r="AP32" i="24"/>
  <c r="AP30" i="21"/>
  <c r="L38" i="22"/>
  <c r="N38" i="22" s="1"/>
  <c r="O38" i="22" s="1"/>
  <c r="AP18" i="22"/>
  <c r="S41" i="22"/>
  <c r="AB41" i="22" s="1"/>
  <c r="AC41" i="22" s="1"/>
  <c r="AG42" i="17"/>
  <c r="AI42" i="17" s="1"/>
  <c r="AJ42" i="17" s="1"/>
  <c r="Z41" i="19"/>
  <c r="AB41" i="19" s="1"/>
  <c r="AC41" i="19" s="1"/>
  <c r="AP36" i="14"/>
  <c r="AQ36" i="14" s="1"/>
  <c r="AN38" i="13"/>
  <c r="AP38" i="13" s="1"/>
  <c r="L34" i="12"/>
  <c r="AP40" i="29"/>
  <c r="AQ40" i="29" s="1"/>
  <c r="AP43" i="10"/>
  <c r="AP27" i="13"/>
  <c r="AP43" i="13"/>
  <c r="L39" i="12"/>
  <c r="U39" i="12" s="1"/>
  <c r="V39" i="12" s="1"/>
  <c r="Z41" i="16"/>
  <c r="AI41" i="16" s="1"/>
  <c r="AJ41" i="16" s="1"/>
  <c r="Z41" i="18"/>
  <c r="AI41" i="18" s="1"/>
  <c r="AJ41" i="18" s="1"/>
  <c r="S39" i="14"/>
  <c r="U39" i="14" s="1"/>
  <c r="V39" i="14" s="1"/>
  <c r="AP21" i="14"/>
  <c r="AP16" i="11"/>
  <c r="AP32" i="13"/>
  <c r="AP43" i="9"/>
  <c r="AP20" i="29"/>
  <c r="AP26" i="38"/>
  <c r="L44" i="35"/>
  <c r="AP31" i="29"/>
  <c r="Z44" i="37"/>
  <c r="H46" i="29"/>
  <c r="AP30" i="10"/>
  <c r="AP26" i="39"/>
  <c r="AP41" i="37"/>
  <c r="AQ41" i="37" s="1"/>
  <c r="AP35" i="35"/>
  <c r="AP17" i="33"/>
  <c r="AP17" i="30"/>
  <c r="AN46" i="28"/>
  <c r="AP46" i="28" s="1"/>
  <c r="AQ46" i="28" s="1"/>
  <c r="H43" i="29"/>
  <c r="AN44" i="25"/>
  <c r="AP22" i="26"/>
  <c r="AN38" i="23"/>
  <c r="AP38" i="23" s="1"/>
  <c r="AQ38" i="23" s="1"/>
  <c r="AP20" i="15"/>
  <c r="AP16" i="14"/>
  <c r="AP30" i="9"/>
  <c r="AP28" i="41"/>
  <c r="S46" i="39"/>
  <c r="AN44" i="39"/>
  <c r="AP44" i="39" s="1"/>
  <c r="AQ44" i="39" s="1"/>
  <c r="AP36" i="33"/>
  <c r="AQ36" i="33" s="1"/>
  <c r="AG44" i="33"/>
  <c r="AI44" i="33" s="1"/>
  <c r="AJ44" i="33" s="1"/>
  <c r="AP26" i="29"/>
  <c r="AP27" i="24"/>
  <c r="AG46" i="26"/>
  <c r="AP36" i="16"/>
  <c r="AQ36" i="16" s="1"/>
  <c r="S34" i="14"/>
  <c r="U34" i="14" s="1"/>
  <c r="V34" i="14" s="1"/>
  <c r="AP19" i="13"/>
  <c r="H39" i="12"/>
  <c r="AG43" i="29"/>
  <c r="AI43" i="29" s="1"/>
  <c r="AJ43" i="29" s="1"/>
  <c r="AN42" i="10"/>
  <c r="AP42" i="10" s="1"/>
  <c r="AG41" i="41"/>
  <c r="AP41" i="41" s="1"/>
  <c r="AP34" i="40"/>
  <c r="AI32" i="39"/>
  <c r="AP36" i="35"/>
  <c r="AP31" i="35"/>
  <c r="H43" i="32"/>
  <c r="N43" i="32" s="1"/>
  <c r="O43" i="32" s="1"/>
  <c r="AP18" i="29"/>
  <c r="AP21" i="25"/>
  <c r="AP31" i="25"/>
  <c r="AP17" i="19"/>
  <c r="AG38" i="20"/>
  <c r="AP38" i="20" s="1"/>
  <c r="AQ38" i="20" s="1"/>
  <c r="Z38" i="18"/>
  <c r="AP43" i="15"/>
  <c r="AQ43" i="15" s="1"/>
  <c r="AP28" i="33"/>
  <c r="AP21" i="24"/>
  <c r="AP20" i="32"/>
  <c r="AP40" i="39"/>
  <c r="AP22" i="32"/>
  <c r="AP25" i="34"/>
  <c r="AP41" i="31"/>
  <c r="AP40" i="28"/>
  <c r="AQ40" i="28" s="1"/>
  <c r="AP21" i="20"/>
  <c r="AP30" i="18"/>
  <c r="AP28" i="16"/>
  <c r="AG32" i="15"/>
  <c r="AQ32" i="15" s="1"/>
  <c r="AP16" i="13"/>
  <c r="AP34" i="12"/>
  <c r="AP28" i="31"/>
  <c r="AP21" i="38"/>
  <c r="AP21" i="41"/>
  <c r="AP40" i="35"/>
  <c r="AQ40" i="35" s="1"/>
  <c r="AG39" i="19"/>
  <c r="AP26" i="18"/>
  <c r="AP33" i="39"/>
  <c r="AP28" i="37"/>
  <c r="AP17" i="36"/>
  <c r="AG46" i="31"/>
  <c r="AP27" i="39"/>
  <c r="AP38" i="38"/>
  <c r="AG38" i="18"/>
  <c r="AP23" i="12"/>
  <c r="AP18" i="27"/>
  <c r="AP16" i="35"/>
  <c r="AP17" i="16"/>
  <c r="AP41" i="35"/>
  <c r="AQ41" i="35" s="1"/>
  <c r="AP17" i="34"/>
  <c r="AP44" i="33"/>
  <c r="AQ44" i="33" s="1"/>
  <c r="AP24" i="33"/>
  <c r="AP41" i="34"/>
  <c r="AP18" i="38"/>
  <c r="AP23" i="37"/>
  <c r="AP40" i="40"/>
  <c r="AP30" i="39"/>
  <c r="AP20" i="41"/>
  <c r="AP28" i="36"/>
  <c r="AP32" i="34"/>
  <c r="AP32" i="33"/>
  <c r="AP41" i="33"/>
  <c r="AQ41" i="33" s="1"/>
  <c r="AP34" i="30"/>
  <c r="AN40" i="41"/>
  <c r="AP18" i="40"/>
  <c r="AN44" i="31"/>
  <c r="AP22" i="24"/>
  <c r="AP30" i="23"/>
  <c r="AP42" i="23"/>
  <c r="AP38" i="25"/>
  <c r="AP33" i="17"/>
  <c r="AP17" i="15"/>
  <c r="AP42" i="14"/>
  <c r="AQ42" i="14" s="1"/>
  <c r="AN43" i="40"/>
  <c r="AP43" i="40" s="1"/>
  <c r="AQ43" i="40" s="1"/>
  <c r="AP23" i="39"/>
  <c r="S46" i="36"/>
  <c r="AP38" i="37"/>
  <c r="AP26" i="32"/>
  <c r="AP16" i="33"/>
  <c r="U35" i="26"/>
  <c r="AP16" i="25"/>
  <c r="AP28" i="19"/>
  <c r="AP17" i="20"/>
  <c r="AN41" i="18"/>
  <c r="AP21" i="16"/>
  <c r="AP20" i="16"/>
  <c r="AP18" i="15"/>
  <c r="AP17" i="10"/>
  <c r="AP22" i="31"/>
  <c r="AP19" i="32"/>
  <c r="S44" i="31"/>
  <c r="AB44" i="31" s="1"/>
  <c r="AC44" i="31" s="1"/>
  <c r="AP25" i="25"/>
  <c r="AP22" i="25"/>
  <c r="AP17" i="22"/>
  <c r="AP32" i="23"/>
  <c r="AP19" i="23"/>
  <c r="AQ19" i="23" s="1"/>
  <c r="AG34" i="18"/>
  <c r="AP34" i="18" s="1"/>
  <c r="AQ34" i="18" s="1"/>
  <c r="AP42" i="16"/>
  <c r="AQ42" i="16" s="1"/>
  <c r="AG41" i="20"/>
  <c r="AP41" i="20" s="1"/>
  <c r="AP32" i="18"/>
  <c r="AP26" i="15"/>
  <c r="AP39" i="18"/>
  <c r="AP24" i="15"/>
  <c r="AP27" i="16"/>
  <c r="AP22" i="11"/>
  <c r="AP24" i="10"/>
  <c r="AP31" i="14"/>
  <c r="AP25" i="14"/>
  <c r="AP26" i="31"/>
  <c r="AP27" i="9"/>
  <c r="AP26" i="21"/>
  <c r="AP21" i="36"/>
  <c r="AP19" i="10"/>
  <c r="AP32" i="38"/>
  <c r="AP19" i="26"/>
  <c r="AQ19" i="26" s="1"/>
  <c r="AP23" i="18"/>
  <c r="AP20" i="17"/>
  <c r="AP28" i="32"/>
  <c r="AN46" i="31"/>
  <c r="AP35" i="32"/>
  <c r="AP26" i="28"/>
  <c r="AP19" i="30"/>
  <c r="AQ19" i="30" s="1"/>
  <c r="H44" i="29"/>
  <c r="N44" i="29" s="1"/>
  <c r="O44" i="29" s="1"/>
  <c r="AP19" i="24"/>
  <c r="AP38" i="27"/>
  <c r="L34" i="22"/>
  <c r="AP43" i="22"/>
  <c r="AQ43" i="22" s="1"/>
  <c r="AP22" i="17"/>
  <c r="Z34" i="21"/>
  <c r="S42" i="21"/>
  <c r="H39" i="17"/>
  <c r="N39" i="17" s="1"/>
  <c r="O39" i="17" s="1"/>
  <c r="S42" i="13"/>
  <c r="AP20" i="13"/>
  <c r="AN42" i="13"/>
  <c r="AP42" i="13" s="1"/>
  <c r="AQ42" i="13" s="1"/>
  <c r="AP30" i="12"/>
  <c r="AP18" i="13"/>
  <c r="AP36" i="13"/>
  <c r="AP21" i="12"/>
  <c r="AP27" i="14"/>
  <c r="AP22" i="20"/>
  <c r="AP16" i="24"/>
  <c r="AP23" i="27"/>
  <c r="AP38" i="26"/>
  <c r="AP24" i="27"/>
  <c r="AP25" i="26"/>
  <c r="AP33" i="33"/>
  <c r="AP21" i="33"/>
  <c r="AP26" i="34"/>
  <c r="AI35" i="41"/>
  <c r="L43" i="29"/>
  <c r="AP16" i="29"/>
  <c r="AP33" i="29"/>
  <c r="AP41" i="27"/>
  <c r="AP41" i="26"/>
  <c r="AQ41" i="26" s="1"/>
  <c r="AG42" i="24"/>
  <c r="AI42" i="24" s="1"/>
  <c r="AJ42" i="24" s="1"/>
  <c r="L43" i="26"/>
  <c r="N43" i="26" s="1"/>
  <c r="O43" i="26" s="1"/>
  <c r="AP26" i="20"/>
  <c r="AP18" i="25"/>
  <c r="AP33" i="20"/>
  <c r="AN41" i="19"/>
  <c r="AP25" i="20"/>
  <c r="AP39" i="16"/>
  <c r="AP23" i="17"/>
  <c r="AP22" i="19"/>
  <c r="AP31" i="16"/>
  <c r="AP28" i="14"/>
  <c r="AN38" i="11"/>
  <c r="AP38" i="11" s="1"/>
  <c r="AQ38" i="11" s="1"/>
  <c r="AP28" i="15"/>
  <c r="AP38" i="15"/>
  <c r="AP28" i="18"/>
  <c r="AP35" i="25"/>
  <c r="AP36" i="30"/>
  <c r="AP21" i="30"/>
  <c r="AP16" i="30"/>
  <c r="AP27" i="33"/>
  <c r="AP19" i="36"/>
  <c r="AP28" i="39"/>
  <c r="AP27" i="10"/>
  <c r="Z34" i="9"/>
  <c r="AI34" i="9" s="1"/>
  <c r="Z39" i="9"/>
  <c r="AI39" i="9" s="1"/>
  <c r="AP24" i="20"/>
  <c r="Z38" i="17"/>
  <c r="AB38" i="17" s="1"/>
  <c r="AC38" i="17" s="1"/>
  <c r="AP36" i="21"/>
  <c r="AQ36" i="21" s="1"/>
  <c r="AP21" i="19"/>
  <c r="AN39" i="15"/>
  <c r="AP36" i="15"/>
  <c r="AP31" i="13"/>
  <c r="AP21" i="13"/>
  <c r="AP20" i="9"/>
  <c r="AP39" i="9"/>
  <c r="AQ39" i="9" s="1"/>
  <c r="AP36" i="11"/>
  <c r="AQ36" i="11" s="1"/>
  <c r="AG38" i="9"/>
  <c r="AI38" i="9" s="1"/>
  <c r="AJ38" i="9" s="1"/>
  <c r="AP26" i="9"/>
  <c r="Z42" i="9"/>
  <c r="AI42" i="9" s="1"/>
  <c r="AJ42" i="9" s="1"/>
  <c r="N34" i="40"/>
  <c r="V34" i="40"/>
  <c r="U30" i="39"/>
  <c r="AC30" i="39"/>
  <c r="AI31" i="38"/>
  <c r="AQ31" i="38"/>
  <c r="AC26" i="37"/>
  <c r="U26" i="37"/>
  <c r="S29" i="35"/>
  <c r="U15" i="35"/>
  <c r="V15" i="35" s="1"/>
  <c r="N22" i="35"/>
  <c r="D31" i="3"/>
  <c r="N41" i="34"/>
  <c r="O41" i="34" s="1"/>
  <c r="N18" i="35"/>
  <c r="V18" i="35"/>
  <c r="AB18" i="33"/>
  <c r="AJ18" i="33"/>
  <c r="AB30" i="32"/>
  <c r="G27" i="3" s="1"/>
  <c r="AJ30" i="32"/>
  <c r="G26" i="3"/>
  <c r="U40" i="30"/>
  <c r="V40" i="30" s="1"/>
  <c r="AJ23" i="28"/>
  <c r="AB23" i="28"/>
  <c r="N26" i="31"/>
  <c r="V26" i="31"/>
  <c r="AP38" i="29"/>
  <c r="U22" i="29"/>
  <c r="AC22" i="29"/>
  <c r="AQ17" i="28"/>
  <c r="AI17" i="28"/>
  <c r="AJ27" i="28"/>
  <c r="AB27" i="28"/>
  <c r="U19" i="30"/>
  <c r="V19" i="30" s="1"/>
  <c r="U40" i="28"/>
  <c r="V40" i="28" s="1"/>
  <c r="AC16" i="26"/>
  <c r="U16" i="26"/>
  <c r="AB36" i="26"/>
  <c r="AC36" i="26" s="1"/>
  <c r="H29" i="24"/>
  <c r="U30" i="21"/>
  <c r="AC30" i="21"/>
  <c r="AI36" i="22"/>
  <c r="AJ36" i="22" s="1"/>
  <c r="V26" i="21"/>
  <c r="N26" i="21"/>
  <c r="Z29" i="26"/>
  <c r="AB15" i="26"/>
  <c r="AC15" i="26" s="1"/>
  <c r="V20" i="20"/>
  <c r="N20" i="20"/>
  <c r="U27" i="17"/>
  <c r="AC27" i="17"/>
  <c r="U22" i="17"/>
  <c r="V22" i="17" s="1"/>
  <c r="AC22" i="17"/>
  <c r="AP41" i="23"/>
  <c r="N28" i="17"/>
  <c r="V28" i="17"/>
  <c r="U41" i="18"/>
  <c r="V41" i="18" s="1"/>
  <c r="AB34" i="15"/>
  <c r="AC34" i="15" s="1"/>
  <c r="AJ18" i="15"/>
  <c r="AB18" i="15"/>
  <c r="AB33" i="13"/>
  <c r="AJ33" i="13"/>
  <c r="N20" i="13"/>
  <c r="V20" i="13"/>
  <c r="AC16" i="12"/>
  <c r="U16" i="12"/>
  <c r="U34" i="10"/>
  <c r="V34" i="10" s="1"/>
  <c r="AC17" i="13"/>
  <c r="U17" i="13"/>
  <c r="AG29" i="40"/>
  <c r="AI15" i="40"/>
  <c r="AJ15" i="40" s="1"/>
  <c r="AQ22" i="40"/>
  <c r="AI22" i="40"/>
  <c r="AB40" i="39"/>
  <c r="AB17" i="41"/>
  <c r="AJ17" i="41"/>
  <c r="AB41" i="39"/>
  <c r="N24" i="37"/>
  <c r="V24" i="37"/>
  <c r="AP36" i="36"/>
  <c r="AQ36" i="36" s="1"/>
  <c r="AP32" i="35"/>
  <c r="U43" i="33"/>
  <c r="V43" i="33" s="1"/>
  <c r="U35" i="35"/>
  <c r="AC35" i="35"/>
  <c r="AC22" i="35"/>
  <c r="U22" i="35"/>
  <c r="V22" i="35" s="1"/>
  <c r="AQ23" i="33"/>
  <c r="AI23" i="33"/>
  <c r="AI16" i="32"/>
  <c r="AQ16" i="32"/>
  <c r="AB25" i="31"/>
  <c r="AJ25" i="31"/>
  <c r="N18" i="29"/>
  <c r="V18" i="29"/>
  <c r="N30" i="26"/>
  <c r="O30" i="26" s="1"/>
  <c r="U25" i="21"/>
  <c r="AC25" i="21"/>
  <c r="AQ23" i="21"/>
  <c r="AI23" i="21"/>
  <c r="AQ23" i="22"/>
  <c r="AI23" i="22"/>
  <c r="AJ17" i="19"/>
  <c r="AB17" i="19"/>
  <c r="AI27" i="19"/>
  <c r="AQ27" i="19"/>
  <c r="U24" i="17"/>
  <c r="AC24" i="17"/>
  <c r="N28" i="19"/>
  <c r="V28" i="19"/>
  <c r="AQ28" i="17"/>
  <c r="AI28" i="17"/>
  <c r="AJ30" i="17"/>
  <c r="AB30" i="17"/>
  <c r="AI43" i="16"/>
  <c r="AJ24" i="16"/>
  <c r="AB24" i="16"/>
  <c r="AJ20" i="12"/>
  <c r="AB20" i="12"/>
  <c r="AQ30" i="10"/>
  <c r="AI30" i="10"/>
  <c r="AJ17" i="15"/>
  <c r="AB17" i="15"/>
  <c r="AQ25" i="39"/>
  <c r="AI25" i="39"/>
  <c r="AI25" i="37"/>
  <c r="AQ25" i="37"/>
  <c r="AI45" i="33"/>
  <c r="AJ45" i="33" s="1"/>
  <c r="AC24" i="31"/>
  <c r="U24" i="31"/>
  <c r="AJ22" i="29"/>
  <c r="AB22" i="29"/>
  <c r="AJ24" i="28"/>
  <c r="AB24" i="28"/>
  <c r="AC31" i="29"/>
  <c r="U31" i="29"/>
  <c r="AB16" i="28"/>
  <c r="AJ16" i="28"/>
  <c r="AI30" i="26"/>
  <c r="AQ30" i="26"/>
  <c r="N24" i="27"/>
  <c r="V24" i="27"/>
  <c r="AB24" i="21"/>
  <c r="AJ24" i="21"/>
  <c r="AB19" i="20"/>
  <c r="AC22" i="18"/>
  <c r="U22" i="18"/>
  <c r="V22" i="18" s="1"/>
  <c r="N30" i="17"/>
  <c r="O30" i="17" s="1"/>
  <c r="U32" i="15"/>
  <c r="V32" i="15" s="1"/>
  <c r="AC32" i="15"/>
  <c r="AB36" i="16"/>
  <c r="AC36" i="16" s="1"/>
  <c r="AI37" i="37"/>
  <c r="N36" i="10"/>
  <c r="O36" i="10" s="1"/>
  <c r="AP26" i="14"/>
  <c r="N41" i="40"/>
  <c r="AI19" i="41"/>
  <c r="U44" i="39"/>
  <c r="V44" i="39" s="1"/>
  <c r="AC24" i="40"/>
  <c r="U24" i="40"/>
  <c r="AI17" i="41"/>
  <c r="AQ17" i="41"/>
  <c r="AP19" i="41"/>
  <c r="AQ19" i="41" s="1"/>
  <c r="AJ31" i="39"/>
  <c r="AB31" i="39"/>
  <c r="V16" i="36"/>
  <c r="N16" i="36"/>
  <c r="AB20" i="35"/>
  <c r="AJ20" i="35"/>
  <c r="AJ35" i="35"/>
  <c r="AB35" i="35"/>
  <c r="AI19" i="31"/>
  <c r="AJ19" i="31" s="1"/>
  <c r="N32" i="30"/>
  <c r="O32" i="30" s="1"/>
  <c r="AI32" i="30"/>
  <c r="AQ32" i="30"/>
  <c r="AQ21" i="28"/>
  <c r="AI21" i="28"/>
  <c r="AP28" i="29"/>
  <c r="AB34" i="29"/>
  <c r="AJ34" i="29"/>
  <c r="AJ31" i="30"/>
  <c r="AB31" i="30"/>
  <c r="U24" i="25"/>
  <c r="AC24" i="25"/>
  <c r="AJ26" i="25"/>
  <c r="AB26" i="25"/>
  <c r="AB22" i="24"/>
  <c r="AJ22" i="24"/>
  <c r="N23" i="21"/>
  <c r="V23" i="21"/>
  <c r="V24" i="21"/>
  <c r="N24" i="21"/>
  <c r="N18" i="22"/>
  <c r="V18" i="22"/>
  <c r="AP15" i="20"/>
  <c r="AN29" i="20"/>
  <c r="AI17" i="18"/>
  <c r="AQ17" i="18"/>
  <c r="AI30" i="17"/>
  <c r="AQ30" i="17"/>
  <c r="N35" i="14"/>
  <c r="N23" i="12"/>
  <c r="V23" i="12"/>
  <c r="V25" i="13"/>
  <c r="N25" i="13"/>
  <c r="AI38" i="10"/>
  <c r="N24" i="13"/>
  <c r="V24" i="13"/>
  <c r="AI24" i="15"/>
  <c r="AQ24" i="15"/>
  <c r="AJ33" i="16"/>
  <c r="AB33" i="16"/>
  <c r="AC30" i="18"/>
  <c r="U30" i="18"/>
  <c r="V30" i="18" s="1"/>
  <c r="AB34" i="39"/>
  <c r="AJ34" i="39"/>
  <c r="N16" i="39"/>
  <c r="V16" i="39"/>
  <c r="AC23" i="35"/>
  <c r="U23" i="35"/>
  <c r="AB27" i="35"/>
  <c r="AJ27" i="35"/>
  <c r="AB28" i="31"/>
  <c r="AJ28" i="31"/>
  <c r="AJ32" i="28"/>
  <c r="AB32" i="28"/>
  <c r="AI19" i="28"/>
  <c r="AJ19" i="28" s="1"/>
  <c r="U39" i="18"/>
  <c r="V39" i="18" s="1"/>
  <c r="AJ16" i="20"/>
  <c r="AB16" i="20"/>
  <c r="N35" i="19"/>
  <c r="O35" i="19" s="1"/>
  <c r="U35" i="19"/>
  <c r="V35" i="19" s="1"/>
  <c r="U39" i="15"/>
  <c r="V39" i="15" s="1"/>
  <c r="V18" i="11"/>
  <c r="N18" i="11"/>
  <c r="V24" i="17"/>
  <c r="N24" i="17"/>
  <c r="N18" i="19"/>
  <c r="V18" i="19"/>
  <c r="N39" i="18"/>
  <c r="O39" i="18" s="1"/>
  <c r="AJ16" i="27"/>
  <c r="AB16" i="27"/>
  <c r="AC31" i="21"/>
  <c r="U31" i="21"/>
  <c r="U33" i="26"/>
  <c r="V33" i="26" s="1"/>
  <c r="AC33" i="26"/>
  <c r="N32" i="26"/>
  <c r="N36" i="34"/>
  <c r="AI30" i="36"/>
  <c r="AQ30" i="36"/>
  <c r="AJ27" i="39"/>
  <c r="AB27" i="39"/>
  <c r="AB20" i="39"/>
  <c r="AJ20" i="39"/>
  <c r="AC27" i="40"/>
  <c r="U27" i="40"/>
  <c r="AQ18" i="41"/>
  <c r="AI18" i="41"/>
  <c r="U34" i="41"/>
  <c r="AC34" i="41"/>
  <c r="AJ38" i="38"/>
  <c r="AB38" i="38"/>
  <c r="AJ20" i="41"/>
  <c r="AB20" i="41"/>
  <c r="U45" i="36"/>
  <c r="N16" i="35"/>
  <c r="V16" i="35"/>
  <c r="AG29" i="26"/>
  <c r="AI15" i="26"/>
  <c r="AJ15" i="26" s="1"/>
  <c r="U42" i="20"/>
  <c r="V42" i="20" s="1"/>
  <c r="N38" i="19"/>
  <c r="AC16" i="15"/>
  <c r="U16" i="15"/>
  <c r="AP41" i="10"/>
  <c r="N22" i="14"/>
  <c r="AI21" i="37"/>
  <c r="AQ21" i="37"/>
  <c r="AJ35" i="33"/>
  <c r="AB35" i="33"/>
  <c r="AB38" i="34"/>
  <c r="AJ38" i="34"/>
  <c r="AB41" i="32"/>
  <c r="AC41" i="32" s="1"/>
  <c r="N35" i="27"/>
  <c r="V35" i="27"/>
  <c r="N31" i="30"/>
  <c r="V31" i="30"/>
  <c r="AQ30" i="27"/>
  <c r="AI30" i="27"/>
  <c r="L23" i="3"/>
  <c r="AB18" i="26"/>
  <c r="AJ18" i="26"/>
  <c r="U42" i="18"/>
  <c r="V42" i="18" s="1"/>
  <c r="AJ32" i="11"/>
  <c r="AB32" i="11"/>
  <c r="AC28" i="21"/>
  <c r="U28" i="21"/>
  <c r="AJ30" i="21"/>
  <c r="AB30" i="21"/>
  <c r="V25" i="26"/>
  <c r="N25" i="26"/>
  <c r="AC25" i="26"/>
  <c r="U25" i="26"/>
  <c r="AQ16" i="27"/>
  <c r="AI16" i="27"/>
  <c r="AB40" i="27"/>
  <c r="AI40" i="26"/>
  <c r="AI45" i="32"/>
  <c r="AJ45" i="32" s="1"/>
  <c r="N33" i="35"/>
  <c r="O33" i="35" s="1"/>
  <c r="AQ17" i="37"/>
  <c r="AI17" i="37"/>
  <c r="AB20" i="40"/>
  <c r="AJ20" i="40"/>
  <c r="V34" i="39"/>
  <c r="N34" i="39"/>
  <c r="N18" i="39"/>
  <c r="V18" i="39"/>
  <c r="AI36" i="36"/>
  <c r="AJ36" i="36" s="1"/>
  <c r="AI16" i="29"/>
  <c r="AQ16" i="29"/>
  <c r="U41" i="27"/>
  <c r="V41" i="27" s="1"/>
  <c r="AC16" i="27"/>
  <c r="U16" i="27"/>
  <c r="AC30" i="27"/>
  <c r="U30" i="27"/>
  <c r="U18" i="23"/>
  <c r="AC18" i="23"/>
  <c r="AQ16" i="17"/>
  <c r="AI16" i="17"/>
  <c r="AI18" i="17"/>
  <c r="AQ18" i="17"/>
  <c r="AI18" i="19"/>
  <c r="AQ18" i="19"/>
  <c r="AI25" i="15"/>
  <c r="AQ25" i="15"/>
  <c r="N16" i="15"/>
  <c r="V16" i="15"/>
  <c r="AI27" i="15"/>
  <c r="AQ27" i="15"/>
  <c r="N32" i="13"/>
  <c r="O32" i="13" s="1"/>
  <c r="V23" i="11"/>
  <c r="N23" i="11"/>
  <c r="AB30" i="14"/>
  <c r="AJ30" i="14"/>
  <c r="AQ25" i="16"/>
  <c r="AI25" i="16"/>
  <c r="U16" i="16"/>
  <c r="AC16" i="16"/>
  <c r="H29" i="18"/>
  <c r="N42" i="20"/>
  <c r="AI24" i="22"/>
  <c r="AQ24" i="22"/>
  <c r="AJ31" i="21"/>
  <c r="AB31" i="21"/>
  <c r="N24" i="23"/>
  <c r="V24" i="23"/>
  <c r="N17" i="27"/>
  <c r="V17" i="27"/>
  <c r="AB27" i="25"/>
  <c r="AJ27" i="25"/>
  <c r="AI25" i="28"/>
  <c r="AQ25" i="28"/>
  <c r="AB43" i="23"/>
  <c r="AC43" i="23" s="1"/>
  <c r="V23" i="24"/>
  <c r="N23" i="24"/>
  <c r="V38" i="30"/>
  <c r="N38" i="30"/>
  <c r="AJ18" i="30"/>
  <c r="AB18" i="30"/>
  <c r="AI20" i="28"/>
  <c r="AQ20" i="28"/>
  <c r="V24" i="31"/>
  <c r="N24" i="31"/>
  <c r="U25" i="30"/>
  <c r="AC25" i="30"/>
  <c r="AQ33" i="34"/>
  <c r="AI33" i="34"/>
  <c r="V23" i="35"/>
  <c r="N23" i="35"/>
  <c r="Z29" i="36"/>
  <c r="AB15" i="36"/>
  <c r="AC15" i="36" s="1"/>
  <c r="AB33" i="36"/>
  <c r="AJ33" i="36"/>
  <c r="AB45" i="37"/>
  <c r="AC45" i="37" s="1"/>
  <c r="AQ28" i="39"/>
  <c r="AI28" i="39"/>
  <c r="AI24" i="39"/>
  <c r="AQ24" i="39"/>
  <c r="AC33" i="41"/>
  <c r="U33" i="41"/>
  <c r="AB32" i="40"/>
  <c r="AJ32" i="40"/>
  <c r="V20" i="40"/>
  <c r="N20" i="40"/>
  <c r="AC28" i="39"/>
  <c r="U28" i="39"/>
  <c r="AB22" i="37"/>
  <c r="AJ22" i="37"/>
  <c r="U45" i="33"/>
  <c r="AQ23" i="31"/>
  <c r="AI23" i="31"/>
  <c r="N30" i="29"/>
  <c r="O30" i="29" s="1"/>
  <c r="AC32" i="27"/>
  <c r="U32" i="27"/>
  <c r="V32" i="27" s="1"/>
  <c r="AP16" i="27"/>
  <c r="AQ21" i="31"/>
  <c r="AI21" i="31"/>
  <c r="V27" i="24"/>
  <c r="N27" i="24"/>
  <c r="AN29" i="17"/>
  <c r="AP15" i="17"/>
  <c r="AQ15" i="17" s="1"/>
  <c r="U36" i="20"/>
  <c r="V36" i="20" s="1"/>
  <c r="AB30" i="18"/>
  <c r="AJ30" i="18"/>
  <c r="N18" i="21"/>
  <c r="V18" i="21"/>
  <c r="N28" i="20"/>
  <c r="V28" i="20"/>
  <c r="AC27" i="15"/>
  <c r="U27" i="15"/>
  <c r="AG29" i="15"/>
  <c r="AI15" i="15"/>
  <c r="F81" i="1"/>
  <c r="AQ20" i="14"/>
  <c r="AI20" i="14"/>
  <c r="U22" i="10"/>
  <c r="AC22" i="10"/>
  <c r="AQ25" i="10"/>
  <c r="AI25" i="10"/>
  <c r="AJ31" i="10"/>
  <c r="AB31" i="10"/>
  <c r="AQ24" i="14"/>
  <c r="AI24" i="14"/>
  <c r="L29" i="10"/>
  <c r="N15" i="10"/>
  <c r="U31" i="14"/>
  <c r="AC31" i="14"/>
  <c r="N19" i="16"/>
  <c r="V19" i="16"/>
  <c r="AC20" i="24"/>
  <c r="U20" i="24"/>
  <c r="AB30" i="40"/>
  <c r="AJ30" i="40"/>
  <c r="AJ17" i="37"/>
  <c r="AB17" i="37"/>
  <c r="AB35" i="36"/>
  <c r="AJ35" i="36"/>
  <c r="AI32" i="36"/>
  <c r="AQ32" i="36"/>
  <c r="L29" i="36"/>
  <c r="N15" i="36"/>
  <c r="O15" i="36" s="1"/>
  <c r="U45" i="34"/>
  <c r="V45" i="34" s="1"/>
  <c r="AC33" i="33"/>
  <c r="U33" i="33"/>
  <c r="U19" i="35"/>
  <c r="V19" i="35" s="1"/>
  <c r="AJ23" i="32"/>
  <c r="AB23" i="32"/>
  <c r="AI20" i="31"/>
  <c r="AQ20" i="31"/>
  <c r="AI36" i="28"/>
  <c r="AI18" i="30"/>
  <c r="AQ18" i="30"/>
  <c r="AJ34" i="26"/>
  <c r="AB34" i="26"/>
  <c r="AQ32" i="28"/>
  <c r="AI32" i="28"/>
  <c r="AJ27" i="27"/>
  <c r="AB27" i="27"/>
  <c r="AB36" i="24"/>
  <c r="AC36" i="24" s="1"/>
  <c r="N36" i="26"/>
  <c r="O36" i="26" s="1"/>
  <c r="U31" i="23"/>
  <c r="AC31" i="23"/>
  <c r="U15" i="22"/>
  <c r="V15" i="22" s="1"/>
  <c r="S29" i="22"/>
  <c r="U39" i="20"/>
  <c r="V39" i="20" s="1"/>
  <c r="AI27" i="18"/>
  <c r="AQ27" i="18"/>
  <c r="N27" i="18"/>
  <c r="V27" i="18"/>
  <c r="AJ22" i="16"/>
  <c r="AB22" i="16"/>
  <c r="V20" i="16"/>
  <c r="N20" i="16"/>
  <c r="AJ26" i="16"/>
  <c r="AB26" i="16"/>
  <c r="AP15" i="15"/>
  <c r="AQ15" i="15" s="1"/>
  <c r="AN29" i="15"/>
  <c r="G81" i="1"/>
  <c r="U18" i="14"/>
  <c r="AC18" i="14"/>
  <c r="AB36" i="11"/>
  <c r="AC36" i="11" s="1"/>
  <c r="U31" i="10"/>
  <c r="AC31" i="10"/>
  <c r="N36" i="30"/>
  <c r="AI28" i="29"/>
  <c r="AQ28" i="29"/>
  <c r="AB23" i="25"/>
  <c r="AJ23" i="25"/>
  <c r="AI27" i="20"/>
  <c r="AQ27" i="20"/>
  <c r="AI26" i="14"/>
  <c r="AQ26" i="14"/>
  <c r="AQ31" i="32"/>
  <c r="AI31" i="32"/>
  <c r="L28" i="3"/>
  <c r="AC28" i="30"/>
  <c r="U28" i="30"/>
  <c r="N45" i="25"/>
  <c r="O45" i="25" s="1"/>
  <c r="N19" i="23"/>
  <c r="O19" i="23" s="1"/>
  <c r="AB35" i="20"/>
  <c r="AI27" i="22"/>
  <c r="AQ27" i="22"/>
  <c r="N42" i="18"/>
  <c r="O42" i="18" s="1"/>
  <c r="N42" i="16"/>
  <c r="O42" i="16" s="1"/>
  <c r="U27" i="21"/>
  <c r="AC27" i="21"/>
  <c r="N22" i="20"/>
  <c r="AB30" i="22"/>
  <c r="AJ30" i="22"/>
  <c r="N18" i="28"/>
  <c r="V18" i="28"/>
  <c r="AI36" i="26"/>
  <c r="AJ36" i="26" s="1"/>
  <c r="AQ25" i="27"/>
  <c r="AI25" i="27"/>
  <c r="AB31" i="28"/>
  <c r="AJ31" i="28"/>
  <c r="U23" i="34"/>
  <c r="AC23" i="34"/>
  <c r="N41" i="36"/>
  <c r="O41" i="36" s="1"/>
  <c r="V25" i="37"/>
  <c r="N25" i="37"/>
  <c r="AG29" i="38"/>
  <c r="AI15" i="38"/>
  <c r="AJ15" i="38" s="1"/>
  <c r="AC26" i="41"/>
  <c r="U26" i="41"/>
  <c r="N32" i="40"/>
  <c r="AC27" i="39"/>
  <c r="U27" i="39"/>
  <c r="AQ20" i="40"/>
  <c r="AI20" i="40"/>
  <c r="S29" i="40"/>
  <c r="U15" i="40"/>
  <c r="AB36" i="40"/>
  <c r="N24" i="38"/>
  <c r="V24" i="38"/>
  <c r="AQ38" i="35"/>
  <c r="AI38" i="35"/>
  <c r="N25" i="34"/>
  <c r="V25" i="34"/>
  <c r="AQ20" i="33"/>
  <c r="AI20" i="33"/>
  <c r="U36" i="31"/>
  <c r="V36" i="31" s="1"/>
  <c r="AI25" i="31"/>
  <c r="AQ25" i="31"/>
  <c r="U45" i="30"/>
  <c r="V31" i="31"/>
  <c r="N31" i="31"/>
  <c r="U41" i="29"/>
  <c r="V41" i="29" s="1"/>
  <c r="AP15" i="27"/>
  <c r="AQ15" i="27" s="1"/>
  <c r="AN29" i="27"/>
  <c r="V25" i="24"/>
  <c r="N25" i="24"/>
  <c r="AN29" i="24"/>
  <c r="AP15" i="24"/>
  <c r="AQ15" i="24" s="1"/>
  <c r="AQ31" i="21"/>
  <c r="AI31" i="21"/>
  <c r="AB38" i="22"/>
  <c r="AC38" i="22" s="1"/>
  <c r="U15" i="18"/>
  <c r="V15" i="18" s="1"/>
  <c r="S29" i="18"/>
  <c r="AB36" i="17"/>
  <c r="AB25" i="18"/>
  <c r="AJ25" i="18"/>
  <c r="AQ23" i="19"/>
  <c r="AI23" i="19"/>
  <c r="AB31" i="17"/>
  <c r="AJ31" i="17"/>
  <c r="AC33" i="17"/>
  <c r="U33" i="17"/>
  <c r="N22" i="16"/>
  <c r="AB42" i="15"/>
  <c r="AC42" i="15" s="1"/>
  <c r="AJ32" i="17"/>
  <c r="AB32" i="17"/>
  <c r="AB43" i="10"/>
  <c r="AC43" i="10" s="1"/>
  <c r="AQ26" i="11"/>
  <c r="AI26" i="11"/>
  <c r="H29" i="11"/>
  <c r="U39" i="10"/>
  <c r="U28" i="12"/>
  <c r="AC28" i="12"/>
  <c r="AB36" i="38"/>
  <c r="AC36" i="38" s="1"/>
  <c r="V20" i="35"/>
  <c r="N20" i="35"/>
  <c r="AC28" i="36"/>
  <c r="U28" i="36"/>
  <c r="U40" i="32"/>
  <c r="N16" i="29"/>
  <c r="V16" i="29"/>
  <c r="AQ24" i="29"/>
  <c r="AI24" i="29"/>
  <c r="U43" i="17"/>
  <c r="V43" i="17" s="1"/>
  <c r="AB17" i="20"/>
  <c r="AJ17" i="20"/>
  <c r="AJ26" i="11"/>
  <c r="AB26" i="11"/>
  <c r="AB15" i="13"/>
  <c r="AC15" i="13" s="1"/>
  <c r="Z29" i="13"/>
  <c r="AQ26" i="13"/>
  <c r="AI26" i="13"/>
  <c r="AQ41" i="10"/>
  <c r="AI41" i="10"/>
  <c r="AJ41" i="10" s="1"/>
  <c r="AI22" i="34"/>
  <c r="AQ22" i="34"/>
  <c r="R33" i="3"/>
  <c r="N17" i="34"/>
  <c r="V17" i="34"/>
  <c r="AC28" i="33"/>
  <c r="U28" i="33"/>
  <c r="U22" i="30"/>
  <c r="V22" i="30" s="1"/>
  <c r="AC22" i="30"/>
  <c r="AC30" i="22"/>
  <c r="U30" i="22"/>
  <c r="V30" i="22" s="1"/>
  <c r="AB31" i="20"/>
  <c r="AJ31" i="20"/>
  <c r="N38" i="10"/>
  <c r="O38" i="10" s="1"/>
  <c r="AC28" i="14"/>
  <c r="U28" i="14"/>
  <c r="AC22" i="16"/>
  <c r="U22" i="16"/>
  <c r="V22" i="16" s="1"/>
  <c r="U23" i="23"/>
  <c r="AC23" i="23"/>
  <c r="AG29" i="24"/>
  <c r="AI15" i="24"/>
  <c r="AJ15" i="24" s="1"/>
  <c r="AB38" i="23"/>
  <c r="AC38" i="23" s="1"/>
  <c r="V17" i="26"/>
  <c r="N17" i="26"/>
  <c r="AI38" i="29"/>
  <c r="AQ38" i="29"/>
  <c r="N33" i="28"/>
  <c r="O33" i="28" s="1"/>
  <c r="AQ35" i="37"/>
  <c r="AI35" i="37"/>
  <c r="N16" i="34"/>
  <c r="V16" i="34"/>
  <c r="N36" i="41"/>
  <c r="O36" i="41" s="1"/>
  <c r="N17" i="40"/>
  <c r="V17" i="40"/>
  <c r="U27" i="35"/>
  <c r="AC27" i="35"/>
  <c r="AB19" i="32"/>
  <c r="AJ21" i="26"/>
  <c r="AB21" i="26"/>
  <c r="AC21" i="26" s="1"/>
  <c r="AB30" i="27"/>
  <c r="AJ30" i="27"/>
  <c r="N20" i="24"/>
  <c r="V20" i="24"/>
  <c r="AJ18" i="24"/>
  <c r="AB18" i="24"/>
  <c r="AI38" i="22"/>
  <c r="AJ38" i="22" s="1"/>
  <c r="U34" i="18"/>
  <c r="V34" i="18" s="1"/>
  <c r="AJ27" i="21"/>
  <c r="AB27" i="21"/>
  <c r="AI27" i="11"/>
  <c r="AQ27" i="11"/>
  <c r="U36" i="12"/>
  <c r="V36" i="12" s="1"/>
  <c r="N31" i="11"/>
  <c r="V31" i="11"/>
  <c r="AB30" i="15"/>
  <c r="AJ30" i="15"/>
  <c r="U20" i="19"/>
  <c r="AC20" i="19"/>
  <c r="U38" i="20"/>
  <c r="V26" i="20"/>
  <c r="N26" i="20"/>
  <c r="AI24" i="18"/>
  <c r="AQ24" i="18"/>
  <c r="H29" i="19"/>
  <c r="AB16" i="29"/>
  <c r="AJ16" i="29"/>
  <c r="N24" i="25"/>
  <c r="V24" i="25"/>
  <c r="V26" i="27"/>
  <c r="N26" i="27"/>
  <c r="AI15" i="31"/>
  <c r="AJ15" i="31" s="1"/>
  <c r="AG29" i="31"/>
  <c r="N25" i="38"/>
  <c r="V25" i="38"/>
  <c r="AB40" i="37"/>
  <c r="AC40" i="37" s="1"/>
  <c r="N22" i="39"/>
  <c r="U31" i="39"/>
  <c r="AC31" i="39"/>
  <c r="AI41" i="40"/>
  <c r="U27" i="41"/>
  <c r="AC27" i="41"/>
  <c r="AB44" i="41"/>
  <c r="AC44" i="41" s="1"/>
  <c r="U38" i="41"/>
  <c r="AC38" i="41"/>
  <c r="AQ32" i="40"/>
  <c r="AI32" i="40"/>
  <c r="AI17" i="39"/>
  <c r="AQ17" i="39"/>
  <c r="AB40" i="36"/>
  <c r="AC40" i="36" s="1"/>
  <c r="AQ38" i="34"/>
  <c r="AI38" i="34"/>
  <c r="N19" i="40"/>
  <c r="AC23" i="39"/>
  <c r="U23" i="39"/>
  <c r="V27" i="41"/>
  <c r="N27" i="41"/>
  <c r="N30" i="40"/>
  <c r="O30" i="40" s="1"/>
  <c r="AJ31" i="40"/>
  <c r="AB31" i="40"/>
  <c r="AP18" i="41"/>
  <c r="AB26" i="40"/>
  <c r="AJ26" i="40"/>
  <c r="V28" i="39"/>
  <c r="N28" i="39"/>
  <c r="U43" i="39"/>
  <c r="AI41" i="38"/>
  <c r="AJ41" i="38" s="1"/>
  <c r="AJ24" i="37"/>
  <c r="AB24" i="37"/>
  <c r="AB26" i="37"/>
  <c r="AJ26" i="37"/>
  <c r="U30" i="38"/>
  <c r="AC30" i="38"/>
  <c r="U40" i="34"/>
  <c r="V40" i="34" s="1"/>
  <c r="AP30" i="34"/>
  <c r="I32" i="3" s="1"/>
  <c r="I31" i="3"/>
  <c r="AB40" i="30"/>
  <c r="AC40" i="30" s="1"/>
  <c r="AC26" i="31"/>
  <c r="U26" i="31"/>
  <c r="U20" i="29"/>
  <c r="AC20" i="29"/>
  <c r="AQ38" i="31"/>
  <c r="AI38" i="31"/>
  <c r="V24" i="29"/>
  <c r="N24" i="29"/>
  <c r="AB41" i="28"/>
  <c r="AC41" i="28" s="1"/>
  <c r="AC33" i="30"/>
  <c r="U33" i="30"/>
  <c r="V33" i="30" s="1"/>
  <c r="N23" i="26"/>
  <c r="V23" i="26"/>
  <c r="AP36" i="26"/>
  <c r="AQ36" i="26" s="1"/>
  <c r="N30" i="25"/>
  <c r="O30" i="25" s="1"/>
  <c r="AQ24" i="24"/>
  <c r="AI24" i="24"/>
  <c r="N40" i="25"/>
  <c r="AI24" i="23"/>
  <c r="AQ24" i="23"/>
  <c r="AC23" i="20"/>
  <c r="U23" i="20"/>
  <c r="AB16" i="18"/>
  <c r="AJ16" i="18"/>
  <c r="V23" i="16"/>
  <c r="N23" i="16"/>
  <c r="AP43" i="16"/>
  <c r="AQ43" i="16" s="1"/>
  <c r="AI42" i="15"/>
  <c r="AJ42" i="15" s="1"/>
  <c r="AC17" i="16"/>
  <c r="U17" i="16"/>
  <c r="L29" i="15"/>
  <c r="N15" i="15"/>
  <c r="O15" i="15" s="1"/>
  <c r="C81" i="1"/>
  <c r="U16" i="11"/>
  <c r="AC16" i="11"/>
  <c r="S29" i="11"/>
  <c r="AI18" i="13"/>
  <c r="AQ18" i="13"/>
  <c r="AC22" i="41"/>
  <c r="U22" i="41"/>
  <c r="V22" i="41" s="1"/>
  <c r="N24" i="41"/>
  <c r="V24" i="41"/>
  <c r="AI31" i="40"/>
  <c r="AQ31" i="40"/>
  <c r="AJ16" i="40"/>
  <c r="AB16" i="40"/>
  <c r="N22" i="40"/>
  <c r="AQ30" i="39"/>
  <c r="AI30" i="39"/>
  <c r="AP43" i="39"/>
  <c r="AQ43" i="39" s="1"/>
  <c r="V18" i="40"/>
  <c r="N18" i="40"/>
  <c r="U41" i="38"/>
  <c r="V41" i="38" s="1"/>
  <c r="AQ23" i="37"/>
  <c r="AI23" i="37"/>
  <c r="AJ38" i="37"/>
  <c r="AB38" i="37"/>
  <c r="AQ32" i="35"/>
  <c r="AI32" i="35"/>
  <c r="AI19" i="33"/>
  <c r="AQ20" i="30"/>
  <c r="AI20" i="30"/>
  <c r="AI40" i="30"/>
  <c r="AJ40" i="30" s="1"/>
  <c r="N19" i="32"/>
  <c r="O19" i="32" s="1"/>
  <c r="AI36" i="29"/>
  <c r="AQ35" i="30"/>
  <c r="AI35" i="30"/>
  <c r="N32" i="27"/>
  <c r="O32" i="27" s="1"/>
  <c r="AC30" i="28"/>
  <c r="U30" i="28"/>
  <c r="V30" i="28" s="1"/>
  <c r="AC18" i="27"/>
  <c r="U18" i="27"/>
  <c r="N24" i="24"/>
  <c r="V24" i="24"/>
  <c r="N15" i="25"/>
  <c r="O15" i="25" s="1"/>
  <c r="L29" i="25"/>
  <c r="AB26" i="21"/>
  <c r="AJ26" i="21"/>
  <c r="AC25" i="22"/>
  <c r="U25" i="22"/>
  <c r="N22" i="19"/>
  <c r="N43" i="20"/>
  <c r="O43" i="20" s="1"/>
  <c r="AB39" i="17"/>
  <c r="AC39" i="17" s="1"/>
  <c r="N23" i="17"/>
  <c r="V23" i="17"/>
  <c r="AB31" i="19"/>
  <c r="AJ31" i="19"/>
  <c r="AQ16" i="20"/>
  <c r="AI16" i="20"/>
  <c r="AI25" i="20"/>
  <c r="AQ25" i="20"/>
  <c r="N18" i="20"/>
  <c r="V18" i="20"/>
  <c r="U36" i="16"/>
  <c r="V36" i="16" s="1"/>
  <c r="U42" i="15"/>
  <c r="V42" i="15" s="1"/>
  <c r="V24" i="16"/>
  <c r="N24" i="16"/>
  <c r="AC18" i="15"/>
  <c r="U18" i="15"/>
  <c r="U15" i="15"/>
  <c r="V15" i="15" s="1"/>
  <c r="S29" i="15"/>
  <c r="D81" i="1"/>
  <c r="U33" i="12"/>
  <c r="AC33" i="12"/>
  <c r="U27" i="13"/>
  <c r="AC27" i="13"/>
  <c r="N32" i="11"/>
  <c r="AB16" i="13"/>
  <c r="AJ16" i="13"/>
  <c r="N45" i="41"/>
  <c r="O45" i="41" s="1"/>
  <c r="AB49" i="40"/>
  <c r="AC49" i="40" s="1"/>
  <c r="U40" i="40"/>
  <c r="V40" i="40" s="1"/>
  <c r="AB34" i="38"/>
  <c r="AJ34" i="38"/>
  <c r="AP32" i="36"/>
  <c r="U17" i="34"/>
  <c r="AC17" i="34"/>
  <c r="AB41" i="33"/>
  <c r="AC41" i="33" s="1"/>
  <c r="U45" i="32"/>
  <c r="AB33" i="28"/>
  <c r="AJ33" i="28"/>
  <c r="AJ24" i="26"/>
  <c r="AB24" i="26"/>
  <c r="AI43" i="27"/>
  <c r="AJ43" i="27" s="1"/>
  <c r="N15" i="23"/>
  <c r="O15" i="23" s="1"/>
  <c r="L29" i="23"/>
  <c r="N42" i="23"/>
  <c r="O42" i="23" s="1"/>
  <c r="AI23" i="20"/>
  <c r="AQ23" i="20"/>
  <c r="V17" i="18"/>
  <c r="N17" i="18"/>
  <c r="O42" i="20"/>
  <c r="N24" i="14"/>
  <c r="V24" i="14"/>
  <c r="N30" i="11"/>
  <c r="O30" i="11" s="1"/>
  <c r="U26" i="15"/>
  <c r="AC26" i="15"/>
  <c r="AC32" i="26"/>
  <c r="U32" i="26"/>
  <c r="V32" i="26" s="1"/>
  <c r="AJ28" i="41"/>
  <c r="AB28" i="41"/>
  <c r="N36" i="39"/>
  <c r="O36" i="39" s="1"/>
  <c r="AC31" i="38"/>
  <c r="U31" i="38"/>
  <c r="AC33" i="32"/>
  <c r="U33" i="32"/>
  <c r="V33" i="32" s="1"/>
  <c r="AP25" i="31"/>
  <c r="U16" i="30"/>
  <c r="AC16" i="30"/>
  <c r="AQ25" i="30"/>
  <c r="AI25" i="30"/>
  <c r="V28" i="27"/>
  <c r="N28" i="27"/>
  <c r="U19" i="31"/>
  <c r="V19" i="31" s="1"/>
  <c r="N43" i="27"/>
  <c r="O43" i="27" s="1"/>
  <c r="AI34" i="25"/>
  <c r="AQ34" i="25"/>
  <c r="AP15" i="25"/>
  <c r="AQ15" i="25" s="1"/>
  <c r="AN29" i="25"/>
  <c r="AC22" i="26"/>
  <c r="U22" i="26"/>
  <c r="AB36" i="22"/>
  <c r="AC36" i="22" s="1"/>
  <c r="AP38" i="22"/>
  <c r="AQ38" i="22" s="1"/>
  <c r="AP16" i="23"/>
  <c r="N16" i="20"/>
  <c r="V16" i="20"/>
  <c r="N47" i="18"/>
  <c r="O47" i="18" s="1"/>
  <c r="N39" i="16"/>
  <c r="O39" i="16" s="1"/>
  <c r="AB32" i="16"/>
  <c r="AJ32" i="16"/>
  <c r="AP22" i="12"/>
  <c r="L29" i="11"/>
  <c r="N15" i="11"/>
  <c r="O15" i="11" s="1"/>
  <c r="U15" i="11"/>
  <c r="V15" i="11" s="1"/>
  <c r="AI31" i="10"/>
  <c r="AQ31" i="10"/>
  <c r="AN29" i="9"/>
  <c r="AP15" i="9"/>
  <c r="AJ27" i="17"/>
  <c r="AB27" i="17"/>
  <c r="V23" i="20"/>
  <c r="N23" i="20"/>
  <c r="N32" i="35"/>
  <c r="AN29" i="36"/>
  <c r="AP15" i="36"/>
  <c r="N30" i="36"/>
  <c r="V26" i="41"/>
  <c r="N26" i="41"/>
  <c r="V31" i="41"/>
  <c r="N31" i="41"/>
  <c r="V33" i="41"/>
  <c r="N33" i="41"/>
  <c r="AQ44" i="41"/>
  <c r="AI44" i="41"/>
  <c r="AJ44" i="41" s="1"/>
  <c r="AC50" i="41"/>
  <c r="U50" i="41"/>
  <c r="AB31" i="41"/>
  <c r="AJ31" i="41"/>
  <c r="AB27" i="40"/>
  <c r="AJ27" i="40"/>
  <c r="AB18" i="41"/>
  <c r="AJ18" i="41"/>
  <c r="AP15" i="40"/>
  <c r="AQ15" i="40" s="1"/>
  <c r="AN29" i="40"/>
  <c r="U28" i="40"/>
  <c r="AC28" i="40"/>
  <c r="AC37" i="40"/>
  <c r="U37" i="40"/>
  <c r="V37" i="40" s="1"/>
  <c r="AQ31" i="39"/>
  <c r="AI31" i="39"/>
  <c r="U45" i="39"/>
  <c r="V45" i="39" s="1"/>
  <c r="N30" i="39"/>
  <c r="V30" i="39"/>
  <c r="AB28" i="39"/>
  <c r="AJ28" i="39"/>
  <c r="AP40" i="38"/>
  <c r="AQ40" i="38" s="1"/>
  <c r="N43" i="39"/>
  <c r="O43" i="39" s="1"/>
  <c r="N22" i="38"/>
  <c r="U19" i="38"/>
  <c r="V19" i="38" s="1"/>
  <c r="V33" i="37"/>
  <c r="N33" i="37"/>
  <c r="AJ17" i="38"/>
  <c r="AB17" i="38"/>
  <c r="AB35" i="38"/>
  <c r="AJ35" i="38"/>
  <c r="AI18" i="38"/>
  <c r="AQ18" i="38"/>
  <c r="N31" i="37"/>
  <c r="V31" i="37"/>
  <c r="H29" i="37"/>
  <c r="AP17" i="37"/>
  <c r="AB21" i="37"/>
  <c r="AJ21" i="37"/>
  <c r="AI17" i="38"/>
  <c r="AQ17" i="38"/>
  <c r="AP34" i="36"/>
  <c r="AC30" i="37"/>
  <c r="U30" i="37"/>
  <c r="V30" i="37" s="1"/>
  <c r="V16" i="37"/>
  <c r="N16" i="37"/>
  <c r="AI41" i="35"/>
  <c r="AJ41" i="35" s="1"/>
  <c r="AQ50" i="37"/>
  <c r="AI50" i="37"/>
  <c r="L46" i="35"/>
  <c r="U19" i="36"/>
  <c r="V19" i="36" s="1"/>
  <c r="AQ20" i="35"/>
  <c r="AI20" i="35"/>
  <c r="AB24" i="35"/>
  <c r="AJ24" i="35"/>
  <c r="AI31" i="35"/>
  <c r="AQ31" i="35"/>
  <c r="AQ35" i="35"/>
  <c r="AI35" i="35"/>
  <c r="V24" i="35"/>
  <c r="N24" i="35"/>
  <c r="AG29" i="35"/>
  <c r="AI15" i="35"/>
  <c r="AJ15" i="35" s="1"/>
  <c r="AC22" i="34"/>
  <c r="U22" i="34"/>
  <c r="V22" i="34" s="1"/>
  <c r="AP15" i="35"/>
  <c r="AQ15" i="35" s="1"/>
  <c r="AN29" i="35"/>
  <c r="V25" i="35"/>
  <c r="N25" i="35"/>
  <c r="U28" i="34"/>
  <c r="AC28" i="34"/>
  <c r="AI31" i="34"/>
  <c r="AQ31" i="34"/>
  <c r="L33" i="3"/>
  <c r="AB27" i="34"/>
  <c r="AJ27" i="34"/>
  <c r="AI40" i="32"/>
  <c r="AJ40" i="32" s="1"/>
  <c r="AJ37" i="35"/>
  <c r="AB37" i="35"/>
  <c r="K44" i="34"/>
  <c r="L44" i="34" s="1"/>
  <c r="K46" i="34"/>
  <c r="L46" i="34" s="1"/>
  <c r="L43" i="34"/>
  <c r="AI18" i="34"/>
  <c r="AQ18" i="34"/>
  <c r="N24" i="34"/>
  <c r="V24" i="34"/>
  <c r="AQ21" i="33"/>
  <c r="AI21" i="33"/>
  <c r="AQ24" i="37"/>
  <c r="AI24" i="37"/>
  <c r="AI34" i="34"/>
  <c r="AQ34" i="34"/>
  <c r="AP38" i="33"/>
  <c r="S29" i="33"/>
  <c r="U15" i="33"/>
  <c r="V15" i="33" s="1"/>
  <c r="V17" i="35"/>
  <c r="N17" i="35"/>
  <c r="N40" i="33"/>
  <c r="AB15" i="33"/>
  <c r="AC15" i="33" s="1"/>
  <c r="Z29" i="33"/>
  <c r="U30" i="31"/>
  <c r="V30" i="31" s="1"/>
  <c r="AC30" i="31"/>
  <c r="AB19" i="31"/>
  <c r="AC19" i="31" s="1"/>
  <c r="AC32" i="34"/>
  <c r="U32" i="34"/>
  <c r="AP43" i="32"/>
  <c r="AQ43" i="32" s="1"/>
  <c r="AC32" i="33"/>
  <c r="U32" i="33"/>
  <c r="AQ35" i="32"/>
  <c r="AI35" i="32"/>
  <c r="AB17" i="32"/>
  <c r="AJ17" i="32"/>
  <c r="N34" i="30"/>
  <c r="O34" i="30" s="1"/>
  <c r="AC16" i="32"/>
  <c r="U16" i="32"/>
  <c r="N32" i="31"/>
  <c r="O32" i="31" s="1"/>
  <c r="V20" i="30"/>
  <c r="N20" i="30"/>
  <c r="AC38" i="34"/>
  <c r="U38" i="34"/>
  <c r="U18" i="33"/>
  <c r="AC18" i="33"/>
  <c r="AQ34" i="30"/>
  <c r="AI34" i="30"/>
  <c r="N34" i="31"/>
  <c r="V34" i="31"/>
  <c r="AB19" i="29"/>
  <c r="AC19" i="29" s="1"/>
  <c r="N30" i="33"/>
  <c r="O30" i="33" s="1"/>
  <c r="AB25" i="30"/>
  <c r="AJ25" i="30"/>
  <c r="L29" i="30"/>
  <c r="N15" i="30"/>
  <c r="U15" i="31"/>
  <c r="V15" i="31" s="1"/>
  <c r="S29" i="31"/>
  <c r="AC23" i="29"/>
  <c r="U23" i="29"/>
  <c r="AP40" i="26"/>
  <c r="AQ40" i="26" s="1"/>
  <c r="U33" i="31"/>
  <c r="V33" i="31" s="1"/>
  <c r="AC33" i="31"/>
  <c r="N41" i="29"/>
  <c r="O41" i="29" s="1"/>
  <c r="AP18" i="30"/>
  <c r="AJ24" i="29"/>
  <c r="AB24" i="29"/>
  <c r="V38" i="28"/>
  <c r="N38" i="28"/>
  <c r="N36" i="29"/>
  <c r="N28" i="29"/>
  <c r="V28" i="29"/>
  <c r="U24" i="28"/>
  <c r="AC24" i="28"/>
  <c r="AC33" i="27"/>
  <c r="U33" i="27"/>
  <c r="V33" i="27" s="1"/>
  <c r="AI22" i="26"/>
  <c r="AQ22" i="26"/>
  <c r="AC18" i="28"/>
  <c r="U18" i="28"/>
  <c r="AP43" i="28"/>
  <c r="AQ43" i="28" s="1"/>
  <c r="AJ34" i="28"/>
  <c r="AB34" i="28"/>
  <c r="U27" i="28"/>
  <c r="AC27" i="28"/>
  <c r="U45" i="28"/>
  <c r="V45" i="28" s="1"/>
  <c r="AI22" i="27"/>
  <c r="AQ22" i="27"/>
  <c r="AI26" i="29"/>
  <c r="AQ26" i="29"/>
  <c r="AJ18" i="27"/>
  <c r="AB18" i="27"/>
  <c r="N15" i="26"/>
  <c r="O15" i="26" s="1"/>
  <c r="L29" i="26"/>
  <c r="H29" i="26"/>
  <c r="AN43" i="25"/>
  <c r="L46" i="28"/>
  <c r="U46" i="28" s="1"/>
  <c r="AI41" i="25"/>
  <c r="AJ41" i="25" s="1"/>
  <c r="AC24" i="26"/>
  <c r="U24" i="26"/>
  <c r="N42" i="24"/>
  <c r="O42" i="24" s="1"/>
  <c r="AC34" i="25"/>
  <c r="U34" i="25"/>
  <c r="V34" i="25" s="1"/>
  <c r="AC31" i="24"/>
  <c r="U31" i="24"/>
  <c r="Z29" i="27"/>
  <c r="AB15" i="27"/>
  <c r="AC15" i="27" s="1"/>
  <c r="U22" i="22"/>
  <c r="V22" i="22" s="1"/>
  <c r="AC22" i="22"/>
  <c r="AQ36" i="25"/>
  <c r="AI36" i="25"/>
  <c r="AJ36" i="25" s="1"/>
  <c r="AP26" i="24"/>
  <c r="V35" i="25"/>
  <c r="N35" i="25"/>
  <c r="U33" i="24"/>
  <c r="AC33" i="24"/>
  <c r="AI31" i="23"/>
  <c r="AQ31" i="23"/>
  <c r="AC26" i="25"/>
  <c r="U26" i="25"/>
  <c r="AC26" i="24"/>
  <c r="U26" i="24"/>
  <c r="U15" i="29"/>
  <c r="V15" i="29" s="1"/>
  <c r="S29" i="29"/>
  <c r="AP40" i="25"/>
  <c r="AQ40" i="25" s="1"/>
  <c r="U38" i="24"/>
  <c r="V38" i="24" s="1"/>
  <c r="AG33" i="27"/>
  <c r="AP33" i="27" s="1"/>
  <c r="N36" i="22"/>
  <c r="U17" i="22"/>
  <c r="AC17" i="22"/>
  <c r="U26" i="23"/>
  <c r="AC26" i="23"/>
  <c r="AI42" i="22"/>
  <c r="AJ42" i="22" s="1"/>
  <c r="U19" i="23"/>
  <c r="V19" i="23" s="1"/>
  <c r="O47" i="22"/>
  <c r="AP48" i="21"/>
  <c r="AJ28" i="26"/>
  <c r="AB28" i="26"/>
  <c r="AJ48" i="23"/>
  <c r="AB48" i="23"/>
  <c r="AC48" i="23" s="1"/>
  <c r="AI44" i="21"/>
  <c r="AJ44" i="21" s="1"/>
  <c r="AJ16" i="24"/>
  <c r="AB16" i="24"/>
  <c r="AJ26" i="23"/>
  <c r="AB26" i="23"/>
  <c r="AQ17" i="21"/>
  <c r="AI17" i="21"/>
  <c r="U25" i="20"/>
  <c r="AC25" i="20"/>
  <c r="V18" i="23"/>
  <c r="N18" i="23"/>
  <c r="U35" i="23"/>
  <c r="V35" i="23" s="1"/>
  <c r="AB35" i="23"/>
  <c r="AC35" i="23" s="1"/>
  <c r="AB21" i="21"/>
  <c r="AJ21" i="21"/>
  <c r="AI36" i="20"/>
  <c r="AJ36" i="20" s="1"/>
  <c r="AC32" i="23"/>
  <c r="U32" i="23"/>
  <c r="AG34" i="20"/>
  <c r="AP34" i="20" s="1"/>
  <c r="AB43" i="20"/>
  <c r="AC43" i="20" s="1"/>
  <c r="AI43" i="19"/>
  <c r="AJ43" i="19" s="1"/>
  <c r="V31" i="22"/>
  <c r="N31" i="22"/>
  <c r="N48" i="20"/>
  <c r="O48" i="20" s="1"/>
  <c r="U17" i="20"/>
  <c r="AC17" i="20"/>
  <c r="AB48" i="19"/>
  <c r="N41" i="24"/>
  <c r="O41" i="24" s="1"/>
  <c r="AI17" i="24"/>
  <c r="AQ17" i="24"/>
  <c r="AG32" i="20"/>
  <c r="AP32" i="20" s="1"/>
  <c r="N39" i="20"/>
  <c r="O39" i="20" s="1"/>
  <c r="V45" i="18"/>
  <c r="N45" i="18"/>
  <c r="O45" i="18" s="1"/>
  <c r="N43" i="17"/>
  <c r="AQ30" i="23"/>
  <c r="AI30" i="23"/>
  <c r="V26" i="17"/>
  <c r="N26" i="17"/>
  <c r="AB47" i="16"/>
  <c r="AI19" i="19"/>
  <c r="AJ19" i="19" s="1"/>
  <c r="AC28" i="18"/>
  <c r="U28" i="18"/>
  <c r="N38" i="17"/>
  <c r="O38" i="17" s="1"/>
  <c r="AI36" i="19"/>
  <c r="AB18" i="18"/>
  <c r="AJ18" i="18"/>
  <c r="AQ25" i="21"/>
  <c r="AI25" i="21"/>
  <c r="AC28" i="19"/>
  <c r="U28" i="19"/>
  <c r="Z42" i="18"/>
  <c r="AI20" i="18"/>
  <c r="AQ20" i="18"/>
  <c r="AI26" i="16"/>
  <c r="AQ26" i="16"/>
  <c r="N16" i="17"/>
  <c r="V16" i="17"/>
  <c r="U33" i="15"/>
  <c r="AC33" i="15"/>
  <c r="AQ21" i="16"/>
  <c r="AI21" i="16"/>
  <c r="AQ48" i="15"/>
  <c r="AI48" i="15"/>
  <c r="AP41" i="14"/>
  <c r="AQ41" i="14" s="1"/>
  <c r="AN34" i="15"/>
  <c r="AP34" i="15" s="1"/>
  <c r="AI17" i="16"/>
  <c r="AQ17" i="16"/>
  <c r="U26" i="14"/>
  <c r="AC26" i="14"/>
  <c r="N15" i="16"/>
  <c r="O15" i="16" s="1"/>
  <c r="L29" i="16"/>
  <c r="U22" i="13"/>
  <c r="AC22" i="13"/>
  <c r="AP33" i="15"/>
  <c r="V33" i="16"/>
  <c r="N33" i="16"/>
  <c r="AI23" i="14"/>
  <c r="AQ23" i="14"/>
  <c r="AJ32" i="13"/>
  <c r="AB32" i="13"/>
  <c r="AB48" i="13"/>
  <c r="AC48" i="13" s="1"/>
  <c r="AJ21" i="15"/>
  <c r="AB21" i="15"/>
  <c r="AB47" i="12"/>
  <c r="AC47" i="12" s="1"/>
  <c r="N32" i="10"/>
  <c r="O32" i="10" s="1"/>
  <c r="N24" i="11"/>
  <c r="V24" i="11"/>
  <c r="L34" i="9"/>
  <c r="U41" i="15"/>
  <c r="V41" i="15" s="1"/>
  <c r="N44" i="11"/>
  <c r="O44" i="11" s="1"/>
  <c r="AN29" i="16"/>
  <c r="AP15" i="16"/>
  <c r="AQ15" i="16" s="1"/>
  <c r="U47" i="11"/>
  <c r="AJ19" i="10"/>
  <c r="AB19" i="10"/>
  <c r="AC20" i="12"/>
  <c r="U20" i="12"/>
  <c r="U30" i="9"/>
  <c r="V30" i="9" s="1"/>
  <c r="AC30" i="9"/>
  <c r="AP47" i="11"/>
  <c r="AQ47" i="11" s="1"/>
  <c r="N39" i="10"/>
  <c r="O39" i="10" s="1"/>
  <c r="V39" i="10"/>
  <c r="AP21" i="10"/>
  <c r="AB15" i="9"/>
  <c r="Z29" i="9"/>
  <c r="AB35" i="13"/>
  <c r="AC33" i="10"/>
  <c r="U33" i="10"/>
  <c r="AI43" i="12"/>
  <c r="AJ19" i="11"/>
  <c r="AB19" i="11"/>
  <c r="AB27" i="9"/>
  <c r="AJ27" i="9"/>
  <c r="AJ25" i="12"/>
  <c r="AB25" i="12"/>
  <c r="N28" i="12"/>
  <c r="V28" i="12"/>
  <c r="AQ22" i="11"/>
  <c r="AI22" i="11"/>
  <c r="AI41" i="12"/>
  <c r="V26" i="16"/>
  <c r="N26" i="16"/>
  <c r="AI17" i="15"/>
  <c r="AQ17" i="15"/>
  <c r="AP26" i="11"/>
  <c r="AJ32" i="12"/>
  <c r="AB32" i="12"/>
  <c r="U28" i="16"/>
  <c r="AC28" i="16"/>
  <c r="AQ20" i="15"/>
  <c r="AI20" i="15"/>
  <c r="N34" i="14"/>
  <c r="AJ21" i="20"/>
  <c r="AB21" i="20"/>
  <c r="AB20" i="18"/>
  <c r="AJ20" i="18"/>
  <c r="AC18" i="18"/>
  <c r="U18" i="18"/>
  <c r="V23" i="19"/>
  <c r="N23" i="19"/>
  <c r="AI15" i="21"/>
  <c r="AJ15" i="21" s="1"/>
  <c r="AG29" i="21"/>
  <c r="AP25" i="19"/>
  <c r="AB23" i="19"/>
  <c r="AJ23" i="19"/>
  <c r="AC26" i="21"/>
  <c r="U26" i="21"/>
  <c r="AB32" i="25"/>
  <c r="AJ32" i="25"/>
  <c r="U42" i="24"/>
  <c r="V42" i="24" s="1"/>
  <c r="AB19" i="24"/>
  <c r="AC19" i="24" s="1"/>
  <c r="U39" i="24"/>
  <c r="V39" i="24" s="1"/>
  <c r="AQ31" i="22"/>
  <c r="AI31" i="22"/>
  <c r="U45" i="25"/>
  <c r="V45" i="25" s="1"/>
  <c r="AP24" i="24"/>
  <c r="U33" i="23"/>
  <c r="AC33" i="23"/>
  <c r="N34" i="24"/>
  <c r="O34" i="24" s="1"/>
  <c r="AJ17" i="25"/>
  <c r="AB17" i="25"/>
  <c r="U17" i="26"/>
  <c r="AC17" i="26"/>
  <c r="AP23" i="26"/>
  <c r="AI25" i="29"/>
  <c r="AQ25" i="29"/>
  <c r="AP25" i="27"/>
  <c r="U36" i="27"/>
  <c r="AI35" i="28"/>
  <c r="AQ35" i="28"/>
  <c r="AJ16" i="30"/>
  <c r="AB16" i="30"/>
  <c r="AP34" i="28"/>
  <c r="Z29" i="28"/>
  <c r="AB15" i="28"/>
  <c r="AC15" i="28" s="1"/>
  <c r="N34" i="29"/>
  <c r="AI40" i="29"/>
  <c r="AJ40" i="29" s="1"/>
  <c r="AP40" i="32"/>
  <c r="AQ40" i="32" s="1"/>
  <c r="N31" i="33"/>
  <c r="V31" i="33"/>
  <c r="AQ22" i="35"/>
  <c r="AI22" i="35"/>
  <c r="V31" i="34"/>
  <c r="N31" i="34"/>
  <c r="AC38" i="36"/>
  <c r="U38" i="36"/>
  <c r="N30" i="35"/>
  <c r="O30" i="35" s="1"/>
  <c r="AP19" i="37"/>
  <c r="AQ19" i="37" s="1"/>
  <c r="AI33" i="36"/>
  <c r="AQ33" i="36"/>
  <c r="N36" i="37"/>
  <c r="U16" i="38"/>
  <c r="AC16" i="38"/>
  <c r="AC34" i="38"/>
  <c r="U34" i="38"/>
  <c r="V35" i="38"/>
  <c r="N35" i="38"/>
  <c r="V38" i="41"/>
  <c r="N38" i="41"/>
  <c r="AQ20" i="10"/>
  <c r="AI20" i="10"/>
  <c r="AP32" i="11"/>
  <c r="U30" i="10"/>
  <c r="AC30" i="10"/>
  <c r="AP16" i="12"/>
  <c r="AB24" i="41"/>
  <c r="AJ24" i="41"/>
  <c r="N40" i="40"/>
  <c r="AC32" i="40"/>
  <c r="U32" i="40"/>
  <c r="V32" i="40" s="1"/>
  <c r="AQ26" i="39"/>
  <c r="AI26" i="39"/>
  <c r="N32" i="37"/>
  <c r="L43" i="36"/>
  <c r="K46" i="36"/>
  <c r="L46" i="36" s="1"/>
  <c r="K44" i="36"/>
  <c r="L44" i="36" s="1"/>
  <c r="U44" i="36" s="1"/>
  <c r="U49" i="37"/>
  <c r="AI24" i="36"/>
  <c r="AQ24" i="36"/>
  <c r="AP33" i="34"/>
  <c r="AQ17" i="31"/>
  <c r="AI17" i="31"/>
  <c r="V23" i="34"/>
  <c r="N23" i="34"/>
  <c r="N19" i="30"/>
  <c r="O19" i="30" s="1"/>
  <c r="N45" i="28"/>
  <c r="AP45" i="28"/>
  <c r="AJ33" i="27"/>
  <c r="AB33" i="27"/>
  <c r="U37" i="26"/>
  <c r="AC37" i="26"/>
  <c r="N47" i="23"/>
  <c r="O47" i="23" s="1"/>
  <c r="AI18" i="25"/>
  <c r="AQ18" i="25"/>
  <c r="N27" i="22"/>
  <c r="V27" i="22"/>
  <c r="AJ20" i="24"/>
  <c r="AB20" i="24"/>
  <c r="H29" i="23"/>
  <c r="AJ27" i="22"/>
  <c r="AB27" i="22"/>
  <c r="AC16" i="22"/>
  <c r="U16" i="22"/>
  <c r="AC16" i="21"/>
  <c r="U16" i="21"/>
  <c r="AB33" i="18"/>
  <c r="AJ33" i="18"/>
  <c r="AJ22" i="12"/>
  <c r="AB22" i="12"/>
  <c r="U31" i="11"/>
  <c r="AC31" i="11"/>
  <c r="U32" i="12"/>
  <c r="AC32" i="12"/>
  <c r="AB20" i="19"/>
  <c r="AJ20" i="19"/>
  <c r="N20" i="19"/>
  <c r="V20" i="19"/>
  <c r="AB15" i="24"/>
  <c r="AC15" i="24" s="1"/>
  <c r="Z29" i="24"/>
  <c r="AP38" i="31"/>
  <c r="N32" i="29"/>
  <c r="U32" i="29"/>
  <c r="V32" i="29" s="1"/>
  <c r="AC32" i="29"/>
  <c r="AB25" i="33"/>
  <c r="AJ25" i="33"/>
  <c r="AP20" i="33"/>
  <c r="AI16" i="34"/>
  <c r="AQ16" i="34"/>
  <c r="V16" i="41"/>
  <c r="N16" i="41"/>
  <c r="V28" i="40"/>
  <c r="N28" i="40"/>
  <c r="U43" i="41"/>
  <c r="U17" i="38"/>
  <c r="AC17" i="38"/>
  <c r="AI30" i="37"/>
  <c r="AQ30" i="37"/>
  <c r="AP30" i="36"/>
  <c r="AP43" i="33"/>
  <c r="AQ43" i="33" s="1"/>
  <c r="AI18" i="35"/>
  <c r="AQ18" i="35"/>
  <c r="AP15" i="32"/>
  <c r="AQ15" i="32" s="1"/>
  <c r="AN29" i="32"/>
  <c r="AJ22" i="31"/>
  <c r="AB22" i="31"/>
  <c r="V16" i="31"/>
  <c r="N16" i="31"/>
  <c r="U26" i="29"/>
  <c r="AC26" i="29"/>
  <c r="N27" i="27"/>
  <c r="V27" i="27"/>
  <c r="U37" i="27"/>
  <c r="AC37" i="27"/>
  <c r="N16" i="27"/>
  <c r="V16" i="27"/>
  <c r="AG46" i="27"/>
  <c r="AP46" i="27" s="1"/>
  <c r="AI18" i="24"/>
  <c r="AQ18" i="24"/>
  <c r="V28" i="25"/>
  <c r="N28" i="25"/>
  <c r="Z29" i="20"/>
  <c r="AB15" i="20"/>
  <c r="AC15" i="20" s="1"/>
  <c r="N41" i="18"/>
  <c r="O41" i="18" s="1"/>
  <c r="AI47" i="15"/>
  <c r="AB36" i="15"/>
  <c r="AC36" i="15" s="1"/>
  <c r="AB25" i="10"/>
  <c r="AJ25" i="10"/>
  <c r="AI42" i="12"/>
  <c r="V25" i="11"/>
  <c r="N25" i="11"/>
  <c r="AB43" i="14"/>
  <c r="AQ20" i="20"/>
  <c r="AI20" i="20"/>
  <c r="AC25" i="24"/>
  <c r="U25" i="24"/>
  <c r="AB45" i="26"/>
  <c r="AC45" i="26" s="1"/>
  <c r="AI45" i="29"/>
  <c r="U46" i="32"/>
  <c r="V46" i="32" s="1"/>
  <c r="AI36" i="37"/>
  <c r="AJ36" i="37" s="1"/>
  <c r="AB24" i="9"/>
  <c r="AJ24" i="9"/>
  <c r="AI28" i="41"/>
  <c r="AQ28" i="41"/>
  <c r="AI25" i="41"/>
  <c r="AQ25" i="41"/>
  <c r="AI31" i="41"/>
  <c r="AQ31" i="41"/>
  <c r="AB33" i="41"/>
  <c r="AJ33" i="41"/>
  <c r="N41" i="41"/>
  <c r="O41" i="41" s="1"/>
  <c r="AB50" i="41"/>
  <c r="AJ50" i="41"/>
  <c r="N28" i="41"/>
  <c r="V28" i="41"/>
  <c r="AQ25" i="40"/>
  <c r="AI25" i="40"/>
  <c r="L29" i="41"/>
  <c r="N15" i="41"/>
  <c r="O15" i="41" s="1"/>
  <c r="AN29" i="39"/>
  <c r="AP15" i="39"/>
  <c r="AQ15" i="39" s="1"/>
  <c r="AC20" i="40"/>
  <c r="U20" i="40"/>
  <c r="AB36" i="39"/>
  <c r="AC36" i="39" s="1"/>
  <c r="S44" i="40"/>
  <c r="N33" i="39"/>
  <c r="AB32" i="38"/>
  <c r="AJ32" i="38"/>
  <c r="U28" i="38"/>
  <c r="AC28" i="38"/>
  <c r="V26" i="39"/>
  <c r="N26" i="39"/>
  <c r="AC27" i="38"/>
  <c r="U27" i="38"/>
  <c r="AB23" i="39"/>
  <c r="AJ23" i="39"/>
  <c r="L29" i="39"/>
  <c r="N15" i="39"/>
  <c r="O15" i="39" s="1"/>
  <c r="AQ16" i="39"/>
  <c r="AI16" i="39"/>
  <c r="AI40" i="37"/>
  <c r="AJ40" i="37" s="1"/>
  <c r="U36" i="36"/>
  <c r="V36" i="36" s="1"/>
  <c r="AP30" i="37"/>
  <c r="U38" i="37"/>
  <c r="AC38" i="37"/>
  <c r="N32" i="36"/>
  <c r="O32" i="36" s="1"/>
  <c r="U33" i="38"/>
  <c r="V33" i="38" s="1"/>
  <c r="AC33" i="38"/>
  <c r="AB24" i="36"/>
  <c r="AJ24" i="36"/>
  <c r="AP50" i="37"/>
  <c r="AP23" i="35"/>
  <c r="Z44" i="36"/>
  <c r="AP30" i="35"/>
  <c r="AP20" i="35"/>
  <c r="U17" i="35"/>
  <c r="AC17" i="35"/>
  <c r="AB19" i="35"/>
  <c r="AC19" i="35" s="1"/>
  <c r="AJ24" i="34"/>
  <c r="AB24" i="34"/>
  <c r="N37" i="34"/>
  <c r="V37" i="34"/>
  <c r="N43" i="33"/>
  <c r="N24" i="36"/>
  <c r="V24" i="36"/>
  <c r="AJ32" i="32"/>
  <c r="AB32" i="32"/>
  <c r="N22" i="34"/>
  <c r="N15" i="33"/>
  <c r="O15" i="33" s="1"/>
  <c r="L29" i="33"/>
  <c r="N19" i="34"/>
  <c r="N30" i="34"/>
  <c r="E32" i="3" s="1"/>
  <c r="E31" i="3"/>
  <c r="U19" i="32"/>
  <c r="V19" i="32" s="1"/>
  <c r="AC19" i="32"/>
  <c r="AQ32" i="34"/>
  <c r="AI32" i="34"/>
  <c r="N33" i="3"/>
  <c r="N35" i="3" s="1"/>
  <c r="AN29" i="34"/>
  <c r="AP15" i="34"/>
  <c r="AQ15" i="34" s="1"/>
  <c r="AB22" i="34"/>
  <c r="AJ22" i="34"/>
  <c r="AP38" i="35"/>
  <c r="N30" i="32"/>
  <c r="E27" i="3" s="1"/>
  <c r="E26" i="3"/>
  <c r="AJ26" i="31"/>
  <c r="AB26" i="31"/>
  <c r="AC32" i="30"/>
  <c r="U32" i="30"/>
  <c r="V32" i="30" s="1"/>
  <c r="AB31" i="31"/>
  <c r="AJ31" i="31"/>
  <c r="AI22" i="30"/>
  <c r="AQ22" i="30"/>
  <c r="N33" i="31"/>
  <c r="O33" i="31" s="1"/>
  <c r="U35" i="29"/>
  <c r="AC35" i="29"/>
  <c r="AI37" i="31"/>
  <c r="AQ37" i="31"/>
  <c r="AP22" i="34"/>
  <c r="N27" i="30"/>
  <c r="V27" i="30"/>
  <c r="V20" i="31"/>
  <c r="N20" i="31"/>
  <c r="AP24" i="30"/>
  <c r="AC34" i="31"/>
  <c r="U34" i="31"/>
  <c r="V25" i="32"/>
  <c r="N25" i="32"/>
  <c r="U20" i="31"/>
  <c r="AC20" i="31"/>
  <c r="AB37" i="30"/>
  <c r="AJ37" i="30"/>
  <c r="AI37" i="30"/>
  <c r="AQ30" i="33"/>
  <c r="AI30" i="33"/>
  <c r="U44" i="30"/>
  <c r="V44" i="30" s="1"/>
  <c r="U22" i="31"/>
  <c r="AC22" i="31"/>
  <c r="AQ31" i="28"/>
  <c r="AI31" i="28"/>
  <c r="N17" i="30"/>
  <c r="V17" i="30"/>
  <c r="N33" i="30"/>
  <c r="O33" i="30" s="1"/>
  <c r="AP25" i="30"/>
  <c r="AP35" i="30"/>
  <c r="V17" i="29"/>
  <c r="N17" i="29"/>
  <c r="AJ22" i="28"/>
  <c r="AB22" i="28"/>
  <c r="AB22" i="30"/>
  <c r="AJ22" i="30"/>
  <c r="AJ23" i="29"/>
  <c r="AB23" i="29"/>
  <c r="AJ37" i="26"/>
  <c r="AB37" i="26"/>
  <c r="U43" i="29"/>
  <c r="V43" i="29" s="1"/>
  <c r="U19" i="26"/>
  <c r="V19" i="26" s="1"/>
  <c r="AG19" i="27"/>
  <c r="AG29" i="27" s="1"/>
  <c r="AB43" i="29"/>
  <c r="AC43" i="29" s="1"/>
  <c r="N20" i="26"/>
  <c r="V20" i="26"/>
  <c r="AJ34" i="27"/>
  <c r="AB34" i="27"/>
  <c r="AP43" i="27"/>
  <c r="AQ43" i="27" s="1"/>
  <c r="V26" i="29"/>
  <c r="N26" i="29"/>
  <c r="AJ26" i="26"/>
  <c r="AB26" i="26"/>
  <c r="G44" i="25"/>
  <c r="H44" i="25" s="1"/>
  <c r="AF44" i="25"/>
  <c r="AG44" i="25" s="1"/>
  <c r="AP44" i="25" s="1"/>
  <c r="N35" i="26"/>
  <c r="V35" i="26"/>
  <c r="N41" i="25"/>
  <c r="O41" i="25" s="1"/>
  <c r="AI22" i="25"/>
  <c r="AQ22" i="25"/>
  <c r="AP17" i="27"/>
  <c r="V24" i="26"/>
  <c r="N24" i="26"/>
  <c r="AI15" i="23"/>
  <c r="AJ15" i="23" s="1"/>
  <c r="AG29" i="23"/>
  <c r="AI34" i="26"/>
  <c r="AQ34" i="26"/>
  <c r="AP19" i="22"/>
  <c r="AQ19" i="22" s="1"/>
  <c r="AJ34" i="25"/>
  <c r="AB34" i="25"/>
  <c r="AI40" i="28"/>
  <c r="AJ40" i="28" s="1"/>
  <c r="AB32" i="24"/>
  <c r="AJ32" i="24"/>
  <c r="AB20" i="25"/>
  <c r="AJ20" i="25"/>
  <c r="AQ47" i="24"/>
  <c r="AI47" i="24"/>
  <c r="AP20" i="24"/>
  <c r="N22" i="23"/>
  <c r="AP28" i="24"/>
  <c r="AB39" i="22"/>
  <c r="AC39" i="22" s="1"/>
  <c r="N47" i="22"/>
  <c r="V47" i="22"/>
  <c r="U47" i="21"/>
  <c r="V47" i="21" s="1"/>
  <c r="AQ22" i="23"/>
  <c r="AI22" i="23"/>
  <c r="AQ21" i="22"/>
  <c r="AI21" i="22"/>
  <c r="U36" i="24"/>
  <c r="AB22" i="23"/>
  <c r="AJ22" i="23"/>
  <c r="AQ25" i="23"/>
  <c r="AI25" i="23"/>
  <c r="AB35" i="22"/>
  <c r="AJ35" i="22"/>
  <c r="V17" i="19"/>
  <c r="N17" i="19"/>
  <c r="V23" i="23"/>
  <c r="N23" i="23"/>
  <c r="N16" i="21"/>
  <c r="V16" i="21"/>
  <c r="AB33" i="19"/>
  <c r="AJ33" i="19"/>
  <c r="N33" i="19"/>
  <c r="V33" i="19"/>
  <c r="AB17" i="23"/>
  <c r="AJ17" i="23"/>
  <c r="AN34" i="19"/>
  <c r="AP34" i="19" s="1"/>
  <c r="AQ34" i="19" s="1"/>
  <c r="AB37" i="27"/>
  <c r="Z29" i="23"/>
  <c r="AB15" i="23"/>
  <c r="AC15" i="23" s="1"/>
  <c r="U19" i="21"/>
  <c r="V19" i="21" s="1"/>
  <c r="AJ30" i="19"/>
  <c r="AB30" i="19"/>
  <c r="AB25" i="22"/>
  <c r="AJ25" i="22"/>
  <c r="AB43" i="21"/>
  <c r="AC43" i="21" s="1"/>
  <c r="U47" i="19"/>
  <c r="V47" i="19" s="1"/>
  <c r="AP41" i="24"/>
  <c r="AQ41" i="24" s="1"/>
  <c r="AP43" i="17"/>
  <c r="U16" i="23"/>
  <c r="AC16" i="23"/>
  <c r="AB43" i="19"/>
  <c r="AC43" i="19" s="1"/>
  <c r="N33" i="20"/>
  <c r="V33" i="20"/>
  <c r="AQ33" i="17"/>
  <c r="AI33" i="17"/>
  <c r="AP47" i="18"/>
  <c r="AJ22" i="18"/>
  <c r="AB22" i="18"/>
  <c r="U48" i="16"/>
  <c r="V48" i="16" s="1"/>
  <c r="AB48" i="16"/>
  <c r="AC48" i="16" s="1"/>
  <c r="N35" i="18"/>
  <c r="O35" i="18" s="1"/>
  <c r="U35" i="18"/>
  <c r="V35" i="18" s="1"/>
  <c r="AP21" i="18"/>
  <c r="L41" i="17"/>
  <c r="U41" i="17" s="1"/>
  <c r="AP30" i="20"/>
  <c r="AB35" i="18"/>
  <c r="AC35" i="18" s="1"/>
  <c r="AJ35" i="18"/>
  <c r="AJ21" i="18"/>
  <c r="AB21" i="18"/>
  <c r="U42" i="19"/>
  <c r="V42" i="19" s="1"/>
  <c r="AC31" i="17"/>
  <c r="U31" i="17"/>
  <c r="AQ44" i="15"/>
  <c r="AI44" i="15"/>
  <c r="AJ44" i="15" s="1"/>
  <c r="AP44" i="15"/>
  <c r="N25" i="17"/>
  <c r="V25" i="17"/>
  <c r="AP15" i="18"/>
  <c r="AQ15" i="18" s="1"/>
  <c r="AN29" i="18"/>
  <c r="AJ16" i="15"/>
  <c r="AB16" i="15"/>
  <c r="N36" i="16"/>
  <c r="O36" i="16" s="1"/>
  <c r="U19" i="15"/>
  <c r="AC19" i="15"/>
  <c r="U47" i="17"/>
  <c r="AB36" i="18"/>
  <c r="U47" i="15"/>
  <c r="AP39" i="15"/>
  <c r="AQ39" i="15" s="1"/>
  <c r="AI42" i="14"/>
  <c r="S29" i="16"/>
  <c r="U15" i="16"/>
  <c r="V15" i="16" s="1"/>
  <c r="AI43" i="15"/>
  <c r="U38" i="14"/>
  <c r="V38" i="14" s="1"/>
  <c r="U36" i="15"/>
  <c r="V36" i="15" s="1"/>
  <c r="AQ28" i="14"/>
  <c r="AI28" i="14"/>
  <c r="AB23" i="15"/>
  <c r="AJ23" i="15"/>
  <c r="N25" i="14"/>
  <c r="V25" i="14"/>
  <c r="U17" i="15"/>
  <c r="AC17" i="15"/>
  <c r="V31" i="15"/>
  <c r="N31" i="15"/>
  <c r="AC27" i="16"/>
  <c r="U27" i="16"/>
  <c r="AJ28" i="14"/>
  <c r="AB28" i="14"/>
  <c r="AB28" i="13"/>
  <c r="AJ28" i="13"/>
  <c r="AB36" i="12"/>
  <c r="AC36" i="12" s="1"/>
  <c r="N48" i="13"/>
  <c r="O48" i="13" s="1"/>
  <c r="U48" i="13"/>
  <c r="V48" i="13" s="1"/>
  <c r="AB15" i="11"/>
  <c r="AC15" i="11" s="1"/>
  <c r="Z29" i="11"/>
  <c r="U26" i="10"/>
  <c r="AC26" i="10"/>
  <c r="U47" i="13"/>
  <c r="H29" i="14"/>
  <c r="N27" i="11"/>
  <c r="V27" i="11"/>
  <c r="AQ48" i="12"/>
  <c r="AI48" i="12"/>
  <c r="AB33" i="15"/>
  <c r="AJ33" i="15"/>
  <c r="AQ48" i="14"/>
  <c r="AI48" i="14"/>
  <c r="AJ48" i="14" s="1"/>
  <c r="AJ23" i="13"/>
  <c r="AB23" i="13"/>
  <c r="AP26" i="12"/>
  <c r="AJ27" i="13"/>
  <c r="AB27" i="13"/>
  <c r="AI19" i="13"/>
  <c r="AQ19" i="13"/>
  <c r="AQ31" i="12"/>
  <c r="AI31" i="12"/>
  <c r="AQ27" i="9"/>
  <c r="AI27" i="9"/>
  <c r="AP15" i="13"/>
  <c r="AQ15" i="13" s="1"/>
  <c r="AN29" i="13"/>
  <c r="AI16" i="10"/>
  <c r="AQ16" i="10"/>
  <c r="AC25" i="13"/>
  <c r="U25" i="13"/>
  <c r="AB22" i="10"/>
  <c r="AJ22" i="10"/>
  <c r="V18" i="13"/>
  <c r="N18" i="13"/>
  <c r="AP48" i="11"/>
  <c r="V17" i="10"/>
  <c r="N17" i="10"/>
  <c r="U34" i="13"/>
  <c r="V34" i="13" s="1"/>
  <c r="AB35" i="12"/>
  <c r="AC35" i="12" s="1"/>
  <c r="AB28" i="11"/>
  <c r="AJ28" i="11"/>
  <c r="V28" i="10"/>
  <c r="N28" i="10"/>
  <c r="AP15" i="11"/>
  <c r="AN29" i="11"/>
  <c r="AQ27" i="12"/>
  <c r="AI27" i="12"/>
  <c r="AI22" i="15"/>
  <c r="AQ22" i="15"/>
  <c r="AP24" i="11"/>
  <c r="AJ33" i="12"/>
  <c r="AB33" i="12"/>
  <c r="AQ31" i="13"/>
  <c r="AI31" i="13"/>
  <c r="U30" i="11"/>
  <c r="V30" i="11" s="1"/>
  <c r="AC30" i="11"/>
  <c r="AP26" i="13"/>
  <c r="AB31" i="13"/>
  <c r="AJ31" i="13"/>
  <c r="AB28" i="12"/>
  <c r="AJ28" i="12"/>
  <c r="AB25" i="16"/>
  <c r="AJ25" i="16"/>
  <c r="AI31" i="16"/>
  <c r="AQ31" i="16"/>
  <c r="N42" i="15"/>
  <c r="O42" i="15" s="1"/>
  <c r="V17" i="15"/>
  <c r="N17" i="15"/>
  <c r="AI36" i="14"/>
  <c r="AJ36" i="14" s="1"/>
  <c r="L29" i="17"/>
  <c r="N15" i="17"/>
  <c r="O15" i="17" s="1"/>
  <c r="AG29" i="17"/>
  <c r="AI15" i="17"/>
  <c r="AP36" i="19"/>
  <c r="AQ36" i="19" s="1"/>
  <c r="AQ26" i="22"/>
  <c r="AI26" i="22"/>
  <c r="U36" i="25"/>
  <c r="V36" i="25" s="1"/>
  <c r="U17" i="21"/>
  <c r="AC17" i="21"/>
  <c r="U24" i="21"/>
  <c r="AC24" i="21"/>
  <c r="AI24" i="20"/>
  <c r="AQ24" i="20"/>
  <c r="N41" i="20"/>
  <c r="O41" i="20" s="1"/>
  <c r="N15" i="27"/>
  <c r="O15" i="27" s="1"/>
  <c r="L29" i="27"/>
  <c r="AP26" i="25"/>
  <c r="U38" i="23"/>
  <c r="V38" i="23" s="1"/>
  <c r="V16" i="23"/>
  <c r="N16" i="23"/>
  <c r="AI39" i="24"/>
  <c r="AJ39" i="24" s="1"/>
  <c r="U38" i="29"/>
  <c r="AC38" i="29"/>
  <c r="AI17" i="26"/>
  <c r="AQ17" i="26"/>
  <c r="U26" i="27"/>
  <c r="AC26" i="27"/>
  <c r="N34" i="27"/>
  <c r="O34" i="27" s="1"/>
  <c r="N31" i="27"/>
  <c r="V31" i="27"/>
  <c r="U20" i="28"/>
  <c r="AC20" i="28"/>
  <c r="AB46" i="28"/>
  <c r="AC46" i="28" s="1"/>
  <c r="AC23" i="30"/>
  <c r="U23" i="30"/>
  <c r="AP41" i="29"/>
  <c r="AQ41" i="29" s="1"/>
  <c r="H29" i="33"/>
  <c r="AB38" i="28"/>
  <c r="AJ38" i="28"/>
  <c r="AI34" i="29"/>
  <c r="AQ34" i="29"/>
  <c r="U27" i="29"/>
  <c r="AC27" i="29"/>
  <c r="N45" i="29"/>
  <c r="O45" i="29" s="1"/>
  <c r="AQ35" i="33"/>
  <c r="AI35" i="33"/>
  <c r="AB21" i="30"/>
  <c r="AC21" i="30" s="1"/>
  <c r="AJ21" i="30"/>
  <c r="U33" i="34"/>
  <c r="V33" i="34" s="1"/>
  <c r="AC33" i="34"/>
  <c r="AB45" i="32"/>
  <c r="AC45" i="32" s="1"/>
  <c r="U25" i="32"/>
  <c r="AC25" i="32"/>
  <c r="AP33" i="32"/>
  <c r="AQ27" i="32"/>
  <c r="AI27" i="32"/>
  <c r="AB25" i="35"/>
  <c r="AJ25" i="35"/>
  <c r="V25" i="30"/>
  <c r="N25" i="30"/>
  <c r="V26" i="35"/>
  <c r="N26" i="35"/>
  <c r="AB19" i="34"/>
  <c r="AI24" i="34"/>
  <c r="AQ24" i="34"/>
  <c r="AI26" i="35"/>
  <c r="AQ26" i="35"/>
  <c r="U23" i="36"/>
  <c r="AC23" i="36"/>
  <c r="U28" i="35"/>
  <c r="AC28" i="35"/>
  <c r="U32" i="37"/>
  <c r="V32" i="37" s="1"/>
  <c r="AC32" i="37"/>
  <c r="N38" i="36"/>
  <c r="V38" i="36"/>
  <c r="AQ38" i="36"/>
  <c r="AI38" i="36"/>
  <c r="AB20" i="38"/>
  <c r="AJ20" i="38"/>
  <c r="AJ34" i="37"/>
  <c r="AB34" i="37"/>
  <c r="AP34" i="38"/>
  <c r="AI35" i="38"/>
  <c r="AQ35" i="38"/>
  <c r="AB37" i="39"/>
  <c r="AC37" i="39" s="1"/>
  <c r="N19" i="41"/>
  <c r="O19" i="41" s="1"/>
  <c r="AC25" i="41"/>
  <c r="U25" i="41"/>
  <c r="U45" i="41"/>
  <c r="V45" i="41" s="1"/>
  <c r="AJ16" i="41"/>
  <c r="AB16" i="41"/>
  <c r="AP45" i="41"/>
  <c r="AB34" i="12"/>
  <c r="AC34" i="12" s="1"/>
  <c r="AJ17" i="12"/>
  <c r="AB17" i="12"/>
  <c r="U25" i="11"/>
  <c r="AC25" i="11"/>
  <c r="AQ33" i="10"/>
  <c r="AI33" i="10"/>
  <c r="AP34" i="9"/>
  <c r="AQ34" i="9" s="1"/>
  <c r="AP25" i="13"/>
  <c r="AQ21" i="9"/>
  <c r="AI21" i="9"/>
  <c r="AI20" i="39"/>
  <c r="AQ20" i="39"/>
  <c r="AI31" i="37"/>
  <c r="AQ31" i="37"/>
  <c r="V35" i="34"/>
  <c r="N35" i="34"/>
  <c r="N21" i="32"/>
  <c r="O21" i="32" s="1"/>
  <c r="U21" i="32"/>
  <c r="V21" i="32" s="1"/>
  <c r="U26" i="36"/>
  <c r="AC26" i="36"/>
  <c r="V17" i="31"/>
  <c r="N17" i="31"/>
  <c r="N46" i="32"/>
  <c r="V23" i="30"/>
  <c r="N23" i="30"/>
  <c r="AJ33" i="30"/>
  <c r="AB33" i="30"/>
  <c r="AQ45" i="28"/>
  <c r="AI45" i="28"/>
  <c r="AJ45" i="28" s="1"/>
  <c r="U20" i="25"/>
  <c r="AC20" i="25"/>
  <c r="N16" i="22"/>
  <c r="V16" i="22"/>
  <c r="U32" i="20"/>
  <c r="AC32" i="20"/>
  <c r="AB48" i="18"/>
  <c r="AC48" i="18" s="1"/>
  <c r="AI26" i="19"/>
  <c r="AQ26" i="19"/>
  <c r="U34" i="15"/>
  <c r="N38" i="15"/>
  <c r="AQ19" i="12"/>
  <c r="AI19" i="12"/>
  <c r="AQ19" i="11"/>
  <c r="AI19" i="11"/>
  <c r="AQ26" i="17"/>
  <c r="AI26" i="17"/>
  <c r="AQ36" i="24"/>
  <c r="AI36" i="24"/>
  <c r="AJ36" i="24" s="1"/>
  <c r="N33" i="25"/>
  <c r="O33" i="25" s="1"/>
  <c r="AP45" i="32"/>
  <c r="AQ45" i="32" s="1"/>
  <c r="AB46" i="41"/>
  <c r="AC46" i="41" s="1"/>
  <c r="AJ46" i="41"/>
  <c r="O46" i="40"/>
  <c r="N34" i="35"/>
  <c r="V34" i="35"/>
  <c r="AI37" i="34"/>
  <c r="AQ37" i="34"/>
  <c r="O43" i="33"/>
  <c r="U44" i="32"/>
  <c r="V44" i="32" s="1"/>
  <c r="AB17" i="30"/>
  <c r="AJ17" i="30"/>
  <c r="AB44" i="26"/>
  <c r="AC44" i="26" s="1"/>
  <c r="U36" i="26"/>
  <c r="V36" i="26" s="1"/>
  <c r="N19" i="28"/>
  <c r="O19" i="28" s="1"/>
  <c r="AI33" i="23"/>
  <c r="AQ33" i="23"/>
  <c r="AC23" i="22"/>
  <c r="U23" i="22"/>
  <c r="AN29" i="22"/>
  <c r="AP15" i="22"/>
  <c r="AQ15" i="22" s="1"/>
  <c r="AQ18" i="20"/>
  <c r="AI18" i="20"/>
  <c r="U27" i="19"/>
  <c r="AC27" i="19"/>
  <c r="U23" i="19"/>
  <c r="AC23" i="19"/>
  <c r="AJ30" i="41"/>
  <c r="AB30" i="41"/>
  <c r="AC31" i="41"/>
  <c r="U31" i="41"/>
  <c r="AB49" i="41"/>
  <c r="AB26" i="41"/>
  <c r="AJ26" i="41"/>
  <c r="AB32" i="41"/>
  <c r="AJ32" i="41"/>
  <c r="AB17" i="39"/>
  <c r="AJ17" i="39"/>
  <c r="AI19" i="40"/>
  <c r="AJ19" i="40" s="1"/>
  <c r="AI19" i="38"/>
  <c r="AJ19" i="38" s="1"/>
  <c r="AQ23" i="39"/>
  <c r="AI23" i="39"/>
  <c r="AI41" i="39"/>
  <c r="AJ41" i="39" s="1"/>
  <c r="AJ23" i="40"/>
  <c r="AB23" i="40"/>
  <c r="AQ27" i="37"/>
  <c r="AI27" i="37"/>
  <c r="V38" i="37"/>
  <c r="N38" i="37"/>
  <c r="AI26" i="38"/>
  <c r="AQ26" i="38"/>
  <c r="U40" i="36"/>
  <c r="V40" i="36" s="1"/>
  <c r="AI34" i="35"/>
  <c r="AQ34" i="35"/>
  <c r="S29" i="37"/>
  <c r="U15" i="37"/>
  <c r="V15" i="37" s="1"/>
  <c r="AB23" i="35"/>
  <c r="AJ23" i="35"/>
  <c r="AJ28" i="35"/>
  <c r="AB28" i="35"/>
  <c r="AC27" i="36"/>
  <c r="U27" i="36"/>
  <c r="AJ16" i="35"/>
  <c r="AB16" i="35"/>
  <c r="AB25" i="34"/>
  <c r="AJ25" i="34"/>
  <c r="Y44" i="34"/>
  <c r="Z44" i="34" s="1"/>
  <c r="Y46" i="34"/>
  <c r="Z46" i="34" s="1"/>
  <c r="Z43" i="34"/>
  <c r="N34" i="34"/>
  <c r="V34" i="34"/>
  <c r="AB40" i="33"/>
  <c r="AC40" i="33" s="1"/>
  <c r="N44" i="33"/>
  <c r="O44" i="33" s="1"/>
  <c r="U24" i="36"/>
  <c r="AC24" i="36"/>
  <c r="AP45" i="33"/>
  <c r="AQ45" i="33" s="1"/>
  <c r="AJ27" i="32"/>
  <c r="AB27" i="32"/>
  <c r="AI46" i="33"/>
  <c r="AJ46" i="33" s="1"/>
  <c r="N23" i="33"/>
  <c r="V23" i="33"/>
  <c r="AB38" i="31"/>
  <c r="AJ38" i="31"/>
  <c r="AB40" i="32"/>
  <c r="AC40" i="32" s="1"/>
  <c r="AC31" i="30"/>
  <c r="U31" i="30"/>
  <c r="AB36" i="34"/>
  <c r="AC36" i="34" s="1"/>
  <c r="AB33" i="33"/>
  <c r="AJ33" i="33"/>
  <c r="AI30" i="32"/>
  <c r="H27" i="3" s="1"/>
  <c r="AQ30" i="32"/>
  <c r="H26" i="3"/>
  <c r="U19" i="33"/>
  <c r="V19" i="33" s="1"/>
  <c r="AI28" i="31"/>
  <c r="AQ28" i="31"/>
  <c r="AC16" i="34"/>
  <c r="U16" i="34"/>
  <c r="AB18" i="31"/>
  <c r="AJ18" i="31"/>
  <c r="V45" i="32"/>
  <c r="N45" i="32"/>
  <c r="N19" i="33"/>
  <c r="O19" i="33" s="1"/>
  <c r="AC17" i="31"/>
  <c r="U17" i="31"/>
  <c r="V24" i="30"/>
  <c r="N24" i="30"/>
  <c r="N41" i="31"/>
  <c r="O41" i="31" s="1"/>
  <c r="AC35" i="30"/>
  <c r="U35" i="30"/>
  <c r="U41" i="28"/>
  <c r="V41" i="28" s="1"/>
  <c r="AC28" i="29"/>
  <c r="U28" i="29"/>
  <c r="U17" i="30"/>
  <c r="AC17" i="30"/>
  <c r="AQ33" i="30"/>
  <c r="AI33" i="30"/>
  <c r="AI17" i="30"/>
  <c r="AQ17" i="30"/>
  <c r="AC18" i="29"/>
  <c r="U18" i="29"/>
  <c r="AJ26" i="28"/>
  <c r="AB26" i="28"/>
  <c r="AB33" i="29"/>
  <c r="AJ33" i="29"/>
  <c r="AC22" i="27"/>
  <c r="U22" i="27"/>
  <c r="AP16" i="32"/>
  <c r="V16" i="28"/>
  <c r="N16" i="28"/>
  <c r="AP30" i="28"/>
  <c r="U38" i="26"/>
  <c r="AC38" i="26"/>
  <c r="AB32" i="26"/>
  <c r="AJ32" i="26"/>
  <c r="Z44" i="29"/>
  <c r="AJ35" i="29"/>
  <c r="AB35" i="29"/>
  <c r="AJ30" i="28"/>
  <c r="AB30" i="28"/>
  <c r="AB41" i="27"/>
  <c r="AC41" i="27" s="1"/>
  <c r="AB26" i="29"/>
  <c r="AJ26" i="29"/>
  <c r="AQ38" i="28"/>
  <c r="AI38" i="28"/>
  <c r="AQ40" i="27"/>
  <c r="AI40" i="27"/>
  <c r="AJ40" i="27" s="1"/>
  <c r="N17" i="28"/>
  <c r="V17" i="28"/>
  <c r="Z37" i="25"/>
  <c r="Y43" i="25"/>
  <c r="Z43" i="25" s="1"/>
  <c r="AQ35" i="26"/>
  <c r="AI35" i="26"/>
  <c r="AQ24" i="25"/>
  <c r="AI24" i="25"/>
  <c r="AI15" i="28"/>
  <c r="AJ15" i="28" s="1"/>
  <c r="AG29" i="28"/>
  <c r="AI23" i="27"/>
  <c r="AQ23" i="27"/>
  <c r="AI19" i="26"/>
  <c r="AJ19" i="26" s="1"/>
  <c r="V37" i="27"/>
  <c r="N37" i="27"/>
  <c r="AI19" i="25"/>
  <c r="AJ19" i="25" s="1"/>
  <c r="AQ30" i="25"/>
  <c r="AI30" i="25"/>
  <c r="AC17" i="27"/>
  <c r="U17" i="27"/>
  <c r="AI20" i="26"/>
  <c r="AQ20" i="26"/>
  <c r="O36" i="22"/>
  <c r="O32" i="26"/>
  <c r="V38" i="25"/>
  <c r="N38" i="25"/>
  <c r="U17" i="25"/>
  <c r="AC17" i="25"/>
  <c r="V26" i="25"/>
  <c r="N26" i="25"/>
  <c r="AI26" i="23"/>
  <c r="AQ26" i="23"/>
  <c r="U22" i="24"/>
  <c r="V22" i="24" s="1"/>
  <c r="AC22" i="24"/>
  <c r="AB19" i="28"/>
  <c r="AC19" i="28" s="1"/>
  <c r="AI40" i="25"/>
  <c r="AC28" i="24"/>
  <c r="U28" i="24"/>
  <c r="AF46" i="25"/>
  <c r="AG46" i="25" s="1"/>
  <c r="AJ48" i="24"/>
  <c r="AB48" i="24"/>
  <c r="S29" i="23"/>
  <c r="U15" i="23"/>
  <c r="V15" i="23" s="1"/>
  <c r="AB33" i="22"/>
  <c r="AJ33" i="22"/>
  <c r="U42" i="23"/>
  <c r="V42" i="23" s="1"/>
  <c r="V24" i="22"/>
  <c r="N24" i="22"/>
  <c r="AJ25" i="21"/>
  <c r="AB25" i="21"/>
  <c r="AQ26" i="24"/>
  <c r="AI26" i="24"/>
  <c r="N48" i="21"/>
  <c r="O48" i="21" s="1"/>
  <c r="U40" i="25"/>
  <c r="V40" i="25" s="1"/>
  <c r="AB19" i="22"/>
  <c r="AC19" i="22" s="1"/>
  <c r="N30" i="24"/>
  <c r="N34" i="22"/>
  <c r="O34" i="22" s="1"/>
  <c r="AC28" i="22"/>
  <c r="U28" i="22"/>
  <c r="AP27" i="20"/>
  <c r="AQ33" i="22"/>
  <c r="AI33" i="22"/>
  <c r="AP24" i="22"/>
  <c r="F55" i="41"/>
  <c r="F61" i="37"/>
  <c r="J55" i="37"/>
  <c r="AI43" i="17"/>
  <c r="AJ43" i="17" s="1"/>
  <c r="AQ43" i="17"/>
  <c r="AB22" i="19"/>
  <c r="AJ22" i="19"/>
  <c r="AI44" i="22"/>
  <c r="AJ44" i="22" s="1"/>
  <c r="AQ44" i="22"/>
  <c r="AP44" i="22"/>
  <c r="U34" i="19"/>
  <c r="N17" i="25"/>
  <c r="V17" i="25"/>
  <c r="N19" i="21"/>
  <c r="O19" i="21" s="1"/>
  <c r="AB38" i="20"/>
  <c r="AC38" i="20" s="1"/>
  <c r="AI30" i="19"/>
  <c r="AQ30" i="19"/>
  <c r="U41" i="22"/>
  <c r="V41" i="22" s="1"/>
  <c r="AJ24" i="22"/>
  <c r="AB24" i="22"/>
  <c r="AI43" i="21"/>
  <c r="AJ43" i="21" s="1"/>
  <c r="AQ43" i="21"/>
  <c r="N48" i="19"/>
  <c r="AC32" i="21"/>
  <c r="U32" i="21"/>
  <c r="AI19" i="20"/>
  <c r="AJ19" i="20" s="1"/>
  <c r="AB19" i="19"/>
  <c r="AC47" i="20"/>
  <c r="U47" i="20"/>
  <c r="V47" i="20" s="1"/>
  <c r="N43" i="19"/>
  <c r="O43" i="19" s="1"/>
  <c r="AP32" i="17"/>
  <c r="U48" i="18"/>
  <c r="AQ21" i="17"/>
  <c r="AI21" i="17"/>
  <c r="AP18" i="20"/>
  <c r="N32" i="19"/>
  <c r="O32" i="19" s="1"/>
  <c r="AI22" i="18"/>
  <c r="AQ22" i="18"/>
  <c r="AJ18" i="19"/>
  <c r="AB18" i="19"/>
  <c r="AB42" i="17"/>
  <c r="AC42" i="17" s="1"/>
  <c r="AB21" i="17"/>
  <c r="AJ21" i="17"/>
  <c r="V26" i="22"/>
  <c r="N26" i="22"/>
  <c r="AQ32" i="19"/>
  <c r="AI32" i="19"/>
  <c r="H29" i="22"/>
  <c r="AG29" i="19"/>
  <c r="AI15" i="19"/>
  <c r="AJ15" i="19" s="1"/>
  <c r="N20" i="18"/>
  <c r="V20" i="18"/>
  <c r="AQ31" i="19"/>
  <c r="AI31" i="19"/>
  <c r="N15" i="18"/>
  <c r="O15" i="18" s="1"/>
  <c r="L29" i="18"/>
  <c r="AB38" i="18"/>
  <c r="AC38" i="18" s="1"/>
  <c r="AC20" i="18"/>
  <c r="U20" i="18"/>
  <c r="U36" i="19"/>
  <c r="V36" i="19" s="1"/>
  <c r="V27" i="17"/>
  <c r="N27" i="17"/>
  <c r="S39" i="16"/>
  <c r="AP30" i="17"/>
  <c r="AQ32" i="16"/>
  <c r="AI32" i="16"/>
  <c r="AQ30" i="15"/>
  <c r="AI30" i="15"/>
  <c r="L8" i="3"/>
  <c r="N48" i="17"/>
  <c r="O48" i="17" s="1"/>
  <c r="AJ16" i="16"/>
  <c r="AB16" i="16"/>
  <c r="AP47" i="15"/>
  <c r="AQ47" i="15" s="1"/>
  <c r="AI26" i="20"/>
  <c r="AQ26" i="20"/>
  <c r="AB20" i="16"/>
  <c r="AJ20" i="16"/>
  <c r="AI36" i="15"/>
  <c r="AJ36" i="15" s="1"/>
  <c r="AQ36" i="15"/>
  <c r="V23" i="13"/>
  <c r="N23" i="13"/>
  <c r="AC27" i="14"/>
  <c r="U27" i="14"/>
  <c r="AQ19" i="15"/>
  <c r="AI19" i="15"/>
  <c r="U25" i="16"/>
  <c r="AC25" i="16"/>
  <c r="H29" i="15"/>
  <c r="B81" i="1"/>
  <c r="AI18" i="16"/>
  <c r="AQ18" i="16"/>
  <c r="AI26" i="12"/>
  <c r="AQ26" i="12"/>
  <c r="AP27" i="15"/>
  <c r="Z29" i="14"/>
  <c r="AB15" i="14"/>
  <c r="AI21" i="13"/>
  <c r="AQ21" i="13"/>
  <c r="AI39" i="10"/>
  <c r="AJ39" i="10" s="1"/>
  <c r="AJ20" i="13"/>
  <c r="AB20" i="13"/>
  <c r="AC31" i="12"/>
  <c r="U31" i="12"/>
  <c r="AP41" i="11"/>
  <c r="N22" i="9"/>
  <c r="AP41" i="12"/>
  <c r="AQ41" i="12" s="1"/>
  <c r="U43" i="10"/>
  <c r="V43" i="10" s="1"/>
  <c r="AC16" i="10"/>
  <c r="U16" i="10"/>
  <c r="AQ18" i="10"/>
  <c r="AI18" i="10"/>
  <c r="V27" i="9"/>
  <c r="N27" i="9"/>
  <c r="AQ25" i="11"/>
  <c r="AI25" i="11"/>
  <c r="N35" i="10"/>
  <c r="O35" i="10" s="1"/>
  <c r="U32" i="13"/>
  <c r="V32" i="13" s="1"/>
  <c r="AC32" i="13"/>
  <c r="AP31" i="12"/>
  <c r="AJ26" i="10"/>
  <c r="AB26" i="10"/>
  <c r="AJ23" i="10"/>
  <c r="AB23" i="10"/>
  <c r="U20" i="9"/>
  <c r="AC20" i="9"/>
  <c r="AJ22" i="13"/>
  <c r="AB22" i="13"/>
  <c r="AP32" i="10"/>
  <c r="AJ19" i="13"/>
  <c r="AB19" i="13"/>
  <c r="N26" i="11"/>
  <c r="V26" i="11"/>
  <c r="AI36" i="12"/>
  <c r="AJ36" i="12" s="1"/>
  <c r="AI32" i="13"/>
  <c r="AQ32" i="13"/>
  <c r="AB34" i="11"/>
  <c r="AC34" i="11" s="1"/>
  <c r="AB38" i="13"/>
  <c r="AQ24" i="10"/>
  <c r="AI24" i="10"/>
  <c r="N32" i="16"/>
  <c r="O32" i="16" s="1"/>
  <c r="N42" i="14"/>
  <c r="O42" i="14" s="1"/>
  <c r="AI34" i="14"/>
  <c r="U24" i="15"/>
  <c r="AC24" i="15"/>
  <c r="N30" i="15"/>
  <c r="O30" i="15" s="1"/>
  <c r="AB16" i="17"/>
  <c r="AJ16" i="17"/>
  <c r="AB28" i="24"/>
  <c r="AJ28" i="24"/>
  <c r="U39" i="17"/>
  <c r="V39" i="17" s="1"/>
  <c r="AI36" i="18"/>
  <c r="AJ36" i="18" s="1"/>
  <c r="AC33" i="19"/>
  <c r="U33" i="19"/>
  <c r="AP27" i="22"/>
  <c r="AP33" i="19"/>
  <c r="AP27" i="21"/>
  <c r="AP36" i="20"/>
  <c r="AQ36" i="20" s="1"/>
  <c r="U22" i="21"/>
  <c r="AC22" i="21"/>
  <c r="AI21" i="23"/>
  <c r="AQ21" i="23"/>
  <c r="N43" i="24"/>
  <c r="O43" i="24" s="1"/>
  <c r="U43" i="23"/>
  <c r="V43" i="23" s="1"/>
  <c r="N36" i="25"/>
  <c r="O36" i="25" s="1"/>
  <c r="AP34" i="25"/>
  <c r="AJ28" i="23"/>
  <c r="AB28" i="23"/>
  <c r="AQ26" i="26"/>
  <c r="AI26" i="26"/>
  <c r="AQ45" i="27"/>
  <c r="AI45" i="27"/>
  <c r="AJ45" i="27" s="1"/>
  <c r="AQ22" i="29"/>
  <c r="AI22" i="29"/>
  <c r="AI24" i="31"/>
  <c r="AQ24" i="31"/>
  <c r="AN29" i="30"/>
  <c r="AP15" i="30"/>
  <c r="U16" i="28"/>
  <c r="AC16" i="28"/>
  <c r="N36" i="28"/>
  <c r="O36" i="28" s="1"/>
  <c r="N15" i="29"/>
  <c r="O15" i="29" s="1"/>
  <c r="L29" i="29"/>
  <c r="AB38" i="29"/>
  <c r="AJ38" i="29"/>
  <c r="N35" i="29"/>
  <c r="V35" i="29"/>
  <c r="AC20" i="30"/>
  <c r="U20" i="30"/>
  <c r="U30" i="30"/>
  <c r="V30" i="30" s="1"/>
  <c r="AC30" i="30"/>
  <c r="AP28" i="30"/>
  <c r="AC20" i="34"/>
  <c r="W31" i="3" s="1"/>
  <c r="U20" i="34"/>
  <c r="AB28" i="30"/>
  <c r="AJ28" i="30"/>
  <c r="AI36" i="32"/>
  <c r="AJ36" i="32" s="1"/>
  <c r="AP19" i="33"/>
  <c r="AQ19" i="33" s="1"/>
  <c r="N33" i="33"/>
  <c r="O33" i="33" s="1"/>
  <c r="V33" i="33"/>
  <c r="AC34" i="32"/>
  <c r="U34" i="32"/>
  <c r="AJ33" i="32"/>
  <c r="AB33" i="32"/>
  <c r="N15" i="34"/>
  <c r="O15" i="34" s="1"/>
  <c r="L29" i="34"/>
  <c r="N30" i="30"/>
  <c r="O30" i="30" s="1"/>
  <c r="AI40" i="34"/>
  <c r="AJ40" i="34" s="1"/>
  <c r="AQ40" i="34"/>
  <c r="U30" i="35"/>
  <c r="V30" i="35" s="1"/>
  <c r="AC30" i="35"/>
  <c r="U33" i="36"/>
  <c r="V33" i="36" s="1"/>
  <c r="AC33" i="36"/>
  <c r="N31" i="35"/>
  <c r="V31" i="35"/>
  <c r="AQ26" i="37"/>
  <c r="AI26" i="37"/>
  <c r="AQ33" i="37"/>
  <c r="AI33" i="37"/>
  <c r="N41" i="37"/>
  <c r="O41" i="37" s="1"/>
  <c r="V20" i="39"/>
  <c r="N20" i="39"/>
  <c r="U35" i="38"/>
  <c r="AC35" i="38"/>
  <c r="L46" i="39"/>
  <c r="J37" i="39"/>
  <c r="L37" i="39" s="1"/>
  <c r="AP22" i="41"/>
  <c r="AC30" i="41"/>
  <c r="U30" i="41"/>
  <c r="AB30" i="12"/>
  <c r="AJ30" i="12"/>
  <c r="Z29" i="10"/>
  <c r="AB15" i="10"/>
  <c r="AC15" i="10" s="1"/>
  <c r="N22" i="11"/>
  <c r="U28" i="13"/>
  <c r="AC28" i="13"/>
  <c r="AQ24" i="13"/>
  <c r="AI24" i="13"/>
  <c r="AP36" i="10"/>
  <c r="AQ36" i="10" s="1"/>
  <c r="AB22" i="41"/>
  <c r="AJ22" i="41"/>
  <c r="AJ38" i="41"/>
  <c r="AB38" i="41"/>
  <c r="N45" i="40"/>
  <c r="O45" i="40" s="1"/>
  <c r="AC25" i="37"/>
  <c r="U25" i="37"/>
  <c r="AG29" i="36"/>
  <c r="AQ15" i="36"/>
  <c r="AI15" i="36"/>
  <c r="AJ15" i="36" s="1"/>
  <c r="U38" i="38"/>
  <c r="AC38" i="38"/>
  <c r="V18" i="34"/>
  <c r="N18" i="34"/>
  <c r="AI38" i="33"/>
  <c r="AQ38" i="33"/>
  <c r="V35" i="33"/>
  <c r="N35" i="33"/>
  <c r="AQ27" i="30"/>
  <c r="AI27" i="30"/>
  <c r="N28" i="28"/>
  <c r="V28" i="28"/>
  <c r="N27" i="29"/>
  <c r="V27" i="29"/>
  <c r="N43" i="29"/>
  <c r="O43" i="29" s="1"/>
  <c r="V34" i="32"/>
  <c r="N34" i="32"/>
  <c r="U28" i="26"/>
  <c r="AC28" i="26"/>
  <c r="U46" i="22"/>
  <c r="V46" i="22" s="1"/>
  <c r="AQ16" i="22"/>
  <c r="AI16" i="22"/>
  <c r="AP24" i="18"/>
  <c r="U35" i="13"/>
  <c r="V35" i="13" s="1"/>
  <c r="AC35" i="13"/>
  <c r="AI18" i="12"/>
  <c r="AQ18" i="12"/>
  <c r="AJ22" i="9"/>
  <c r="AB22" i="9"/>
  <c r="AJ23" i="11"/>
  <c r="AB23" i="11"/>
  <c r="AI28" i="13"/>
  <c r="AQ28" i="13"/>
  <c r="AJ21" i="10"/>
  <c r="AB21" i="10"/>
  <c r="N30" i="13"/>
  <c r="O30" i="13" s="1"/>
  <c r="AQ16" i="23"/>
  <c r="AI16" i="23"/>
  <c r="N27" i="31"/>
  <c r="V27" i="31"/>
  <c r="AI18" i="31"/>
  <c r="AQ18" i="31"/>
  <c r="AI28" i="35"/>
  <c r="AQ28" i="35"/>
  <c r="V20" i="37"/>
  <c r="N20" i="37"/>
  <c r="AC16" i="39"/>
  <c r="U16" i="39"/>
  <c r="U40" i="41"/>
  <c r="V40" i="41" s="1"/>
  <c r="O49" i="40"/>
  <c r="AC34" i="39"/>
  <c r="U34" i="39"/>
  <c r="AB49" i="37"/>
  <c r="AC49" i="37" s="1"/>
  <c r="N45" i="35"/>
  <c r="O45" i="35" s="1"/>
  <c r="AQ25" i="35"/>
  <c r="AI25" i="35"/>
  <c r="V34" i="33"/>
  <c r="N34" i="33"/>
  <c r="N24" i="33"/>
  <c r="V24" i="33"/>
  <c r="N28" i="32"/>
  <c r="V28" i="32"/>
  <c r="AI41" i="36"/>
  <c r="AC27" i="31"/>
  <c r="U27" i="31"/>
  <c r="V20" i="33"/>
  <c r="N20" i="33"/>
  <c r="AI35" i="29"/>
  <c r="AQ35" i="29"/>
  <c r="AC26" i="28"/>
  <c r="U26" i="28"/>
  <c r="L46" i="29"/>
  <c r="U46" i="29" s="1"/>
  <c r="AB20" i="30"/>
  <c r="AJ20" i="30"/>
  <c r="N33" i="29"/>
  <c r="O33" i="29" s="1"/>
  <c r="AJ17" i="26"/>
  <c r="AB17" i="26"/>
  <c r="AP16" i="22"/>
  <c r="S29" i="26"/>
  <c r="U15" i="26"/>
  <c r="V15" i="26" s="1"/>
  <c r="AI20" i="24"/>
  <c r="AQ20" i="24"/>
  <c r="H29" i="20"/>
  <c r="N25" i="18"/>
  <c r="V25" i="18"/>
  <c r="AQ28" i="22"/>
  <c r="AI28" i="22"/>
  <c r="V16" i="19"/>
  <c r="N16" i="19"/>
  <c r="N34" i="18"/>
  <c r="O34" i="18" s="1"/>
  <c r="N33" i="17"/>
  <c r="V33" i="17"/>
  <c r="N41" i="19"/>
  <c r="AJ25" i="19"/>
  <c r="AB25" i="19"/>
  <c r="AB39" i="10"/>
  <c r="AC39" i="10" s="1"/>
  <c r="AP28" i="13"/>
  <c r="N24" i="40"/>
  <c r="V24" i="40"/>
  <c r="AP49" i="40"/>
  <c r="AI43" i="40"/>
  <c r="AJ43" i="40" s="1"/>
  <c r="U45" i="40"/>
  <c r="V45" i="40" s="1"/>
  <c r="AB40" i="40"/>
  <c r="AC40" i="40" s="1"/>
  <c r="AQ40" i="40"/>
  <c r="AI40" i="40"/>
  <c r="AJ40" i="40" s="1"/>
  <c r="V25" i="40"/>
  <c r="N25" i="40"/>
  <c r="V35" i="40"/>
  <c r="N35" i="40"/>
  <c r="AB43" i="39"/>
  <c r="AC43" i="39" s="1"/>
  <c r="AQ27" i="40"/>
  <c r="AI27" i="40"/>
  <c r="N27" i="39"/>
  <c r="V27" i="39"/>
  <c r="AJ26" i="39"/>
  <c r="AB26" i="39"/>
  <c r="U25" i="38"/>
  <c r="AC25" i="38"/>
  <c r="U19" i="39"/>
  <c r="V19" i="39" s="1"/>
  <c r="H29" i="39"/>
  <c r="AB41" i="38"/>
  <c r="AC41" i="38" s="1"/>
  <c r="AB35" i="37"/>
  <c r="AJ35" i="37"/>
  <c r="U35" i="37"/>
  <c r="AC35" i="37"/>
  <c r="AI44" i="38"/>
  <c r="AJ44" i="38" s="1"/>
  <c r="AJ30" i="37"/>
  <c r="AB30" i="37"/>
  <c r="N33" i="36"/>
  <c r="O33" i="36" s="1"/>
  <c r="U36" i="35"/>
  <c r="V36" i="35" s="1"/>
  <c r="AI49" i="37"/>
  <c r="AJ49" i="37" s="1"/>
  <c r="V18" i="37"/>
  <c r="N18" i="37"/>
  <c r="U15" i="39"/>
  <c r="V15" i="39" s="1"/>
  <c r="S29" i="39"/>
  <c r="AQ37" i="35"/>
  <c r="AP37" i="35"/>
  <c r="AI37" i="35"/>
  <c r="AB43" i="36"/>
  <c r="AC43" i="36" s="1"/>
  <c r="AI23" i="35"/>
  <c r="AQ23" i="35"/>
  <c r="AI36" i="34"/>
  <c r="AJ36" i="34" s="1"/>
  <c r="AJ17" i="34"/>
  <c r="AB17" i="34"/>
  <c r="AI21" i="41"/>
  <c r="AQ21" i="41"/>
  <c r="V25" i="41"/>
  <c r="N25" i="41"/>
  <c r="AQ24" i="41"/>
  <c r="AI24" i="41"/>
  <c r="N22" i="41"/>
  <c r="AC17" i="41"/>
  <c r="U17" i="41"/>
  <c r="AC22" i="40"/>
  <c r="U22" i="40"/>
  <c r="V22" i="40" s="1"/>
  <c r="AP50" i="40"/>
  <c r="O32" i="40"/>
  <c r="AI45" i="40"/>
  <c r="AJ45" i="40" s="1"/>
  <c r="AQ45" i="40"/>
  <c r="H29" i="41"/>
  <c r="AP36" i="40"/>
  <c r="N44" i="40"/>
  <c r="O44" i="40" s="1"/>
  <c r="AP32" i="40"/>
  <c r="AC41" i="39"/>
  <c r="U41" i="39"/>
  <c r="V41" i="39" s="1"/>
  <c r="AI44" i="40"/>
  <c r="AJ44" i="40" s="1"/>
  <c r="AC33" i="39"/>
  <c r="U33" i="39"/>
  <c r="V33" i="39" s="1"/>
  <c r="AB25" i="39"/>
  <c r="AJ25" i="39"/>
  <c r="N32" i="38"/>
  <c r="O32" i="38" s="1"/>
  <c r="N25" i="39"/>
  <c r="V25" i="39"/>
  <c r="N26" i="38"/>
  <c r="V26" i="38"/>
  <c r="AJ24" i="38"/>
  <c r="AB24" i="38"/>
  <c r="AB43" i="38"/>
  <c r="AC43" i="38" s="1"/>
  <c r="AI34" i="37"/>
  <c r="AQ34" i="37"/>
  <c r="V31" i="38"/>
  <c r="N31" i="38"/>
  <c r="V26" i="37"/>
  <c r="N26" i="37"/>
  <c r="AC22" i="38"/>
  <c r="U22" i="38"/>
  <c r="V22" i="38" s="1"/>
  <c r="N45" i="36"/>
  <c r="V45" i="36"/>
  <c r="AJ25" i="37"/>
  <c r="AB25" i="37"/>
  <c r="AP40" i="37"/>
  <c r="AQ40" i="37" s="1"/>
  <c r="AC33" i="37"/>
  <c r="U33" i="37"/>
  <c r="U40" i="37"/>
  <c r="V40" i="37" s="1"/>
  <c r="AC32" i="36"/>
  <c r="U32" i="36"/>
  <c r="V32" i="36" s="1"/>
  <c r="AQ18" i="36"/>
  <c r="AI18" i="36"/>
  <c r="AB32" i="35"/>
  <c r="AJ32" i="35"/>
  <c r="N34" i="36"/>
  <c r="V34" i="36"/>
  <c r="AN46" i="36"/>
  <c r="U32" i="35"/>
  <c r="V32" i="35" s="1"/>
  <c r="AC32" i="35"/>
  <c r="AF46" i="35"/>
  <c r="AG46" i="35" s="1"/>
  <c r="AF44" i="35"/>
  <c r="AG44" i="35" s="1"/>
  <c r="AG43" i="35"/>
  <c r="N27" i="36"/>
  <c r="V27" i="36"/>
  <c r="Z46" i="36"/>
  <c r="AP25" i="35"/>
  <c r="AJ28" i="36"/>
  <c r="AB28" i="36"/>
  <c r="O36" i="34"/>
  <c r="U41" i="35"/>
  <c r="V41" i="35" s="1"/>
  <c r="AB18" i="34"/>
  <c r="AJ18" i="34"/>
  <c r="AB35" i="34"/>
  <c r="AJ35" i="34"/>
  <c r="AJ37" i="34"/>
  <c r="AB37" i="34"/>
  <c r="AJ38" i="33"/>
  <c r="AB38" i="33"/>
  <c r="AB40" i="35"/>
  <c r="AC40" i="35" s="1"/>
  <c r="N43" i="31"/>
  <c r="O43" i="31" s="1"/>
  <c r="V18" i="31"/>
  <c r="N18" i="31"/>
  <c r="AI32" i="33"/>
  <c r="AQ32" i="33"/>
  <c r="U40" i="31"/>
  <c r="V40" i="31" s="1"/>
  <c r="AC30" i="33"/>
  <c r="U30" i="33"/>
  <c r="V30" i="33" s="1"/>
  <c r="AB32" i="31"/>
  <c r="AJ32" i="31"/>
  <c r="AN29" i="31"/>
  <c r="AP15" i="31"/>
  <c r="AQ15" i="31" s="1"/>
  <c r="N26" i="33"/>
  <c r="V26" i="33"/>
  <c r="AG43" i="31"/>
  <c r="AI38" i="32"/>
  <c r="AQ38" i="32"/>
  <c r="AI36" i="31"/>
  <c r="AJ36" i="31" s="1"/>
  <c r="AC24" i="30"/>
  <c r="U24" i="30"/>
  <c r="U23" i="28"/>
  <c r="AC23" i="28"/>
  <c r="AJ34" i="31"/>
  <c r="AB34" i="31"/>
  <c r="AJ20" i="31"/>
  <c r="AB20" i="31"/>
  <c r="AJ27" i="31"/>
  <c r="AB27" i="31"/>
  <c r="H29" i="28"/>
  <c r="AQ28" i="30"/>
  <c r="AI28" i="30"/>
  <c r="N44" i="30"/>
  <c r="O44" i="30" s="1"/>
  <c r="AC28" i="28"/>
  <c r="U28" i="28"/>
  <c r="V25" i="28"/>
  <c r="N25" i="28"/>
  <c r="AP33" i="30"/>
  <c r="AQ16" i="30"/>
  <c r="AI16" i="30"/>
  <c r="U45" i="27"/>
  <c r="V45" i="27" s="1"/>
  <c r="AQ20" i="29"/>
  <c r="AI20" i="29"/>
  <c r="AJ35" i="30"/>
  <c r="AB35" i="30"/>
  <c r="AC23" i="33"/>
  <c r="U23" i="33"/>
  <c r="AB45" i="28"/>
  <c r="AC45" i="28" s="1"/>
  <c r="AQ19" i="29"/>
  <c r="AI19" i="29"/>
  <c r="AJ19" i="29" s="1"/>
  <c r="AQ31" i="31"/>
  <c r="AI31" i="31"/>
  <c r="AC32" i="28"/>
  <c r="U32" i="28"/>
  <c r="V32" i="28" s="1"/>
  <c r="AQ32" i="26"/>
  <c r="AI32" i="26"/>
  <c r="AB46" i="29"/>
  <c r="AC46" i="29" s="1"/>
  <c r="AI38" i="26"/>
  <c r="AQ38" i="26"/>
  <c r="AQ33" i="26"/>
  <c r="AI33" i="26"/>
  <c r="AJ38" i="26"/>
  <c r="AB38" i="26"/>
  <c r="AP41" i="25"/>
  <c r="AQ41" i="25" s="1"/>
  <c r="AP36" i="28"/>
  <c r="AQ36" i="28" s="1"/>
  <c r="AB38" i="27"/>
  <c r="AJ38" i="27"/>
  <c r="N41" i="26"/>
  <c r="O41" i="26" s="1"/>
  <c r="AI35" i="25"/>
  <c r="AQ35" i="25"/>
  <c r="G43" i="25"/>
  <c r="H43" i="25" s="1"/>
  <c r="L46" i="27"/>
  <c r="AP19" i="25"/>
  <c r="AQ19" i="25" s="1"/>
  <c r="O45" i="28"/>
  <c r="U16" i="24"/>
  <c r="AC16" i="24"/>
  <c r="AG44" i="26"/>
  <c r="AB27" i="24"/>
  <c r="AJ27" i="24"/>
  <c r="AQ30" i="22"/>
  <c r="AI30" i="22"/>
  <c r="U34" i="27"/>
  <c r="V34" i="27" s="1"/>
  <c r="AC34" i="27"/>
  <c r="AI22" i="24"/>
  <c r="AQ22" i="24"/>
  <c r="AB31" i="26"/>
  <c r="AJ31" i="26"/>
  <c r="N25" i="25"/>
  <c r="V25" i="25"/>
  <c r="N22" i="22"/>
  <c r="N34" i="25"/>
  <c r="O34" i="25" s="1"/>
  <c r="AC38" i="25"/>
  <c r="U38" i="25"/>
  <c r="AC23" i="27"/>
  <c r="U23" i="27"/>
  <c r="AJ17" i="22"/>
  <c r="AB17" i="22"/>
  <c r="U41" i="23"/>
  <c r="V41" i="23" s="1"/>
  <c r="AP23" i="23"/>
  <c r="N43" i="23"/>
  <c r="O43" i="23" s="1"/>
  <c r="AP47" i="21"/>
  <c r="V18" i="25"/>
  <c r="N18" i="25"/>
  <c r="AB20" i="23"/>
  <c r="AJ20" i="23"/>
  <c r="U23" i="24"/>
  <c r="AC23" i="24"/>
  <c r="N39" i="22"/>
  <c r="O39" i="22" s="1"/>
  <c r="AB23" i="22"/>
  <c r="AJ23" i="22"/>
  <c r="AQ39" i="21"/>
  <c r="AI39" i="21"/>
  <c r="AJ39" i="21" s="1"/>
  <c r="Q59" i="23"/>
  <c r="X53" i="23"/>
  <c r="AC27" i="25"/>
  <c r="U27" i="25"/>
  <c r="AJ17" i="21"/>
  <c r="AB17" i="21"/>
  <c r="AP41" i="19"/>
  <c r="AQ41" i="19" s="1"/>
  <c r="L38" i="18"/>
  <c r="U38" i="18" s="1"/>
  <c r="AB18" i="22"/>
  <c r="AJ18" i="22"/>
  <c r="AB36" i="21"/>
  <c r="AC36" i="21" s="1"/>
  <c r="N30" i="19"/>
  <c r="AC17" i="23"/>
  <c r="U17" i="23"/>
  <c r="AB22" i="21"/>
  <c r="AJ22" i="21"/>
  <c r="AJ20" i="20"/>
  <c r="AB20" i="20"/>
  <c r="AB16" i="21"/>
  <c r="AJ16" i="21"/>
  <c r="AI19" i="21"/>
  <c r="AJ19" i="21" s="1"/>
  <c r="V27" i="19"/>
  <c r="N27" i="19"/>
  <c r="AC35" i="22"/>
  <c r="U35" i="22"/>
  <c r="U43" i="21"/>
  <c r="V43" i="21" s="1"/>
  <c r="AB36" i="20"/>
  <c r="AC36" i="20" s="1"/>
  <c r="N45" i="19"/>
  <c r="O45" i="19" s="1"/>
  <c r="N42" i="19"/>
  <c r="O42" i="19" s="1"/>
  <c r="AJ45" i="16"/>
  <c r="AB45" i="16"/>
  <c r="AC45" i="16" s="1"/>
  <c r="O38" i="19"/>
  <c r="AJ19" i="17"/>
  <c r="AB19" i="17"/>
  <c r="AC18" i="20"/>
  <c r="U18" i="20"/>
  <c r="N20" i="17"/>
  <c r="V20" i="17"/>
  <c r="AB28" i="18"/>
  <c r="AJ28" i="18"/>
  <c r="AQ21" i="20"/>
  <c r="AI21" i="20"/>
  <c r="R18" i="3"/>
  <c r="AQ33" i="18"/>
  <c r="AI33" i="18"/>
  <c r="AQ36" i="17"/>
  <c r="AI36" i="17"/>
  <c r="AJ36" i="17" s="1"/>
  <c r="U19" i="18"/>
  <c r="AC19" i="18"/>
  <c r="AP19" i="21"/>
  <c r="AQ19" i="21" s="1"/>
  <c r="AQ17" i="19"/>
  <c r="AI17" i="19"/>
  <c r="O35" i="17"/>
  <c r="AP23" i="21"/>
  <c r="AC27" i="18"/>
  <c r="U27" i="18"/>
  <c r="AC26" i="17"/>
  <c r="U26" i="17"/>
  <c r="U43" i="16"/>
  <c r="U42" i="16"/>
  <c r="V42" i="16" s="1"/>
  <c r="AI34" i="16"/>
  <c r="AJ34" i="16" s="1"/>
  <c r="AB23" i="17"/>
  <c r="AJ23" i="17"/>
  <c r="AI27" i="16"/>
  <c r="AQ27" i="16"/>
  <c r="V20" i="15"/>
  <c r="N20" i="15"/>
  <c r="AP47" i="17"/>
  <c r="O47" i="15"/>
  <c r="U34" i="16"/>
  <c r="V34" i="16" s="1"/>
  <c r="Z39" i="15"/>
  <c r="N43" i="15"/>
  <c r="O43" i="15" s="1"/>
  <c r="N39" i="15"/>
  <c r="O39" i="15" s="1"/>
  <c r="AB34" i="16"/>
  <c r="AC34" i="16" s="1"/>
  <c r="AJ28" i="15"/>
  <c r="AB28" i="15"/>
  <c r="AQ22" i="16"/>
  <c r="AI22" i="16"/>
  <c r="S29" i="12"/>
  <c r="U15" i="12"/>
  <c r="U38" i="12"/>
  <c r="V38" i="12" s="1"/>
  <c r="AP22" i="13"/>
  <c r="N36" i="12"/>
  <c r="O36" i="12" s="1"/>
  <c r="U22" i="12"/>
  <c r="V22" i="12" s="1"/>
  <c r="AC22" i="12"/>
  <c r="AC18" i="11"/>
  <c r="U18" i="11"/>
  <c r="AB38" i="12"/>
  <c r="AC38" i="12" s="1"/>
  <c r="AP23" i="14"/>
  <c r="N47" i="14"/>
  <c r="O47" i="14" s="1"/>
  <c r="AI20" i="13"/>
  <c r="AQ20" i="13"/>
  <c r="AG29" i="13"/>
  <c r="AI15" i="13"/>
  <c r="AJ15" i="13" s="1"/>
  <c r="N20" i="12"/>
  <c r="V20" i="12"/>
  <c r="AI24" i="11"/>
  <c r="AQ24" i="11"/>
  <c r="V24" i="9"/>
  <c r="N24" i="9"/>
  <c r="AQ35" i="13"/>
  <c r="AI35" i="13"/>
  <c r="AJ35" i="13" s="1"/>
  <c r="AP36" i="12"/>
  <c r="AQ36" i="12" s="1"/>
  <c r="AB24" i="11"/>
  <c r="AJ24" i="11"/>
  <c r="AB47" i="11"/>
  <c r="AC47" i="11" s="1"/>
  <c r="N34" i="10"/>
  <c r="O34" i="10" s="1"/>
  <c r="AP32" i="16"/>
  <c r="AC26" i="12"/>
  <c r="U26" i="12"/>
  <c r="N20" i="10"/>
  <c r="V20" i="10"/>
  <c r="AQ38" i="13"/>
  <c r="AI38" i="13"/>
  <c r="AJ38" i="13" s="1"/>
  <c r="AC23" i="12"/>
  <c r="U23" i="12"/>
  <c r="N22" i="10"/>
  <c r="V22" i="10"/>
  <c r="AB19" i="9"/>
  <c r="AJ19" i="9"/>
  <c r="N34" i="13"/>
  <c r="O34" i="13" s="1"/>
  <c r="AB27" i="12"/>
  <c r="AJ27" i="12"/>
  <c r="L29" i="14"/>
  <c r="N15" i="14"/>
  <c r="O15" i="14" s="1"/>
  <c r="AJ19" i="15"/>
  <c r="AB19" i="15"/>
  <c r="U33" i="16"/>
  <c r="AC33" i="16"/>
  <c r="U31" i="15"/>
  <c r="AC31" i="15"/>
  <c r="V16" i="16"/>
  <c r="N16" i="16"/>
  <c r="AI41" i="14"/>
  <c r="AJ41" i="14" s="1"/>
  <c r="V26" i="14"/>
  <c r="N26" i="14"/>
  <c r="AB25" i="15"/>
  <c r="AJ25" i="15"/>
  <c r="N25" i="15"/>
  <c r="V25" i="15"/>
  <c r="N36" i="19"/>
  <c r="O36" i="19" s="1"/>
  <c r="N22" i="18"/>
  <c r="N32" i="17"/>
  <c r="O32" i="17" s="1"/>
  <c r="AP25" i="17"/>
  <c r="U31" i="20"/>
  <c r="AC31" i="20"/>
  <c r="U27" i="24"/>
  <c r="AC27" i="24"/>
  <c r="N15" i="20"/>
  <c r="O15" i="20" s="1"/>
  <c r="L29" i="20"/>
  <c r="AC25" i="25"/>
  <c r="U25" i="25"/>
  <c r="AJ24" i="25"/>
  <c r="AB24" i="25"/>
  <c r="AI41" i="22"/>
  <c r="V26" i="26"/>
  <c r="N26" i="26"/>
  <c r="AQ18" i="26"/>
  <c r="AI18" i="26"/>
  <c r="AB36" i="27"/>
  <c r="AC36" i="27" s="1"/>
  <c r="AC35" i="25"/>
  <c r="U35" i="25"/>
  <c r="AC32" i="25"/>
  <c r="U32" i="25"/>
  <c r="V32" i="25" s="1"/>
  <c r="U31" i="26"/>
  <c r="AC31" i="26"/>
  <c r="V22" i="29"/>
  <c r="N22" i="29"/>
  <c r="AI36" i="27"/>
  <c r="AJ36" i="27" s="1"/>
  <c r="S29" i="28"/>
  <c r="U15" i="28"/>
  <c r="V15" i="28" s="1"/>
  <c r="O36" i="29"/>
  <c r="V17" i="32"/>
  <c r="N17" i="32"/>
  <c r="AC38" i="28"/>
  <c r="U38" i="28"/>
  <c r="V28" i="33"/>
  <c r="N28" i="33"/>
  <c r="AI27" i="29"/>
  <c r="AQ27" i="29"/>
  <c r="AC38" i="30"/>
  <c r="U38" i="30"/>
  <c r="AP22" i="33"/>
  <c r="AB34" i="33"/>
  <c r="AJ34" i="33"/>
  <c r="AQ46" i="32"/>
  <c r="AI46" i="32"/>
  <c r="AJ46" i="32" s="1"/>
  <c r="U27" i="32"/>
  <c r="AC27" i="32"/>
  <c r="AI43" i="33"/>
  <c r="AJ43" i="33" s="1"/>
  <c r="AI45" i="34"/>
  <c r="AJ45" i="34" s="1"/>
  <c r="AQ45" i="34"/>
  <c r="O30" i="36"/>
  <c r="AC16" i="36"/>
  <c r="U16" i="36"/>
  <c r="AP45" i="37"/>
  <c r="AQ45" i="37" s="1"/>
  <c r="V34" i="37"/>
  <c r="N34" i="37"/>
  <c r="J37" i="38"/>
  <c r="L37" i="38" s="1"/>
  <c r="U37" i="38" s="1"/>
  <c r="L46" i="38"/>
  <c r="U46" i="38" s="1"/>
  <c r="AP26" i="40"/>
  <c r="N23" i="40"/>
  <c r="V23" i="40"/>
  <c r="AP26" i="41"/>
  <c r="AP25" i="41"/>
  <c r="AQ34" i="41"/>
  <c r="AI34" i="41"/>
  <c r="AB44" i="13"/>
  <c r="AC44" i="13" s="1"/>
  <c r="AJ44" i="13"/>
  <c r="U27" i="12"/>
  <c r="AC27" i="12"/>
  <c r="U19" i="40"/>
  <c r="V19" i="40" s="1"/>
  <c r="U22" i="39"/>
  <c r="V22" i="39" s="1"/>
  <c r="AC22" i="39"/>
  <c r="AJ16" i="38"/>
  <c r="AB16" i="38"/>
  <c r="AC20" i="38"/>
  <c r="U20" i="38"/>
  <c r="N23" i="37"/>
  <c r="V23" i="37"/>
  <c r="AQ30" i="38"/>
  <c r="AI30" i="38"/>
  <c r="U23" i="37"/>
  <c r="AC23" i="37"/>
  <c r="V27" i="37"/>
  <c r="N27" i="37"/>
  <c r="V23" i="36"/>
  <c r="N23" i="36"/>
  <c r="AQ25" i="36"/>
  <c r="AI25" i="36"/>
  <c r="AB45" i="33"/>
  <c r="AC45" i="33" s="1"/>
  <c r="AC34" i="34"/>
  <c r="U34" i="34"/>
  <c r="AB31" i="35"/>
  <c r="AJ31" i="35"/>
  <c r="U41" i="31"/>
  <c r="V41" i="31" s="1"/>
  <c r="N23" i="31"/>
  <c r="V23" i="31"/>
  <c r="U31" i="31"/>
  <c r="AC31" i="31"/>
  <c r="U26" i="32"/>
  <c r="AC26" i="32"/>
  <c r="U15" i="32"/>
  <c r="V15" i="32" s="1"/>
  <c r="S29" i="32"/>
  <c r="AP17" i="31"/>
  <c r="AG29" i="29"/>
  <c r="AI15" i="29"/>
  <c r="AJ15" i="29" s="1"/>
  <c r="U41" i="26"/>
  <c r="V41" i="26" s="1"/>
  <c r="AB43" i="27"/>
  <c r="AB25" i="26"/>
  <c r="AJ25" i="26"/>
  <c r="U40" i="26"/>
  <c r="V40" i="26" s="1"/>
  <c r="AQ37" i="26"/>
  <c r="AI37" i="26"/>
  <c r="AP19" i="28"/>
  <c r="AQ19" i="28" s="1"/>
  <c r="U43" i="25"/>
  <c r="V43" i="25" s="1"/>
  <c r="AJ25" i="24"/>
  <c r="AB25" i="24"/>
  <c r="N35" i="22"/>
  <c r="O35" i="22" s="1"/>
  <c r="V35" i="22"/>
  <c r="N22" i="25"/>
  <c r="AI15" i="20"/>
  <c r="AJ15" i="20" s="1"/>
  <c r="AG29" i="20"/>
  <c r="AQ15" i="20"/>
  <c r="U19" i="20"/>
  <c r="V19" i="20" s="1"/>
  <c r="AC19" i="20"/>
  <c r="U17" i="17"/>
  <c r="AC17" i="17"/>
  <c r="AB28" i="16"/>
  <c r="AJ28" i="16"/>
  <c r="U24" i="22"/>
  <c r="AC24" i="22"/>
  <c r="AG29" i="25"/>
  <c r="AI15" i="25"/>
  <c r="AJ15" i="25" s="1"/>
  <c r="N48" i="23"/>
  <c r="O48" i="23" s="1"/>
  <c r="AI31" i="25"/>
  <c r="AQ31" i="25"/>
  <c r="N47" i="24"/>
  <c r="V47" i="24"/>
  <c r="AC24" i="23"/>
  <c r="U24" i="23"/>
  <c r="AI43" i="22"/>
  <c r="U36" i="21"/>
  <c r="V36" i="21" s="1"/>
  <c r="AQ45" i="25"/>
  <c r="AI45" i="25"/>
  <c r="AJ45" i="25" s="1"/>
  <c r="N33" i="21"/>
  <c r="V33" i="21"/>
  <c r="AC18" i="24"/>
  <c r="U18" i="24"/>
  <c r="AQ20" i="23"/>
  <c r="AI20" i="23"/>
  <c r="AJ33" i="23"/>
  <c r="AB33" i="23"/>
  <c r="AB34" i="23"/>
  <c r="AC34" i="23" s="1"/>
  <c r="AI16" i="24"/>
  <c r="AQ16" i="24"/>
  <c r="AB46" i="22"/>
  <c r="AC46" i="22" s="1"/>
  <c r="AI43" i="23"/>
  <c r="AJ43" i="23" s="1"/>
  <c r="AQ43" i="23"/>
  <c r="U36" i="22"/>
  <c r="V36" i="22" s="1"/>
  <c r="V18" i="24"/>
  <c r="N18" i="24"/>
  <c r="AJ32" i="22"/>
  <c r="AB32" i="22"/>
  <c r="U43" i="19"/>
  <c r="V43" i="19" s="1"/>
  <c r="AP30" i="25"/>
  <c r="O21" i="19"/>
  <c r="U24" i="18"/>
  <c r="AC24" i="18"/>
  <c r="U46" i="26"/>
  <c r="V46" i="26" s="1"/>
  <c r="AC18" i="21"/>
  <c r="U18" i="21"/>
  <c r="V26" i="19"/>
  <c r="N26" i="19"/>
  <c r="AG39" i="20"/>
  <c r="N36" i="24"/>
  <c r="O36" i="24" s="1"/>
  <c r="V36" i="24"/>
  <c r="AB35" i="21"/>
  <c r="AI35" i="21"/>
  <c r="AJ35" i="21" s="1"/>
  <c r="AJ28" i="19"/>
  <c r="AB28" i="19"/>
  <c r="AJ27" i="18"/>
  <c r="AB27" i="18"/>
  <c r="AP33" i="22"/>
  <c r="U41" i="20"/>
  <c r="V41" i="20" s="1"/>
  <c r="U15" i="20"/>
  <c r="V15" i="20" s="1"/>
  <c r="S29" i="20"/>
  <c r="AI38" i="18"/>
  <c r="AJ38" i="18" s="1"/>
  <c r="AQ25" i="19"/>
  <c r="AI25" i="19"/>
  <c r="U34" i="23"/>
  <c r="V34" i="23" s="1"/>
  <c r="AQ47" i="18"/>
  <c r="AI47" i="18"/>
  <c r="Z39" i="16"/>
  <c r="V31" i="18"/>
  <c r="N31" i="18"/>
  <c r="AP30" i="19"/>
  <c r="AC16" i="19"/>
  <c r="U16" i="19"/>
  <c r="U47" i="16"/>
  <c r="V47" i="16" s="1"/>
  <c r="AC47" i="16"/>
  <c r="AC16" i="18"/>
  <c r="U16" i="18"/>
  <c r="U32" i="17"/>
  <c r="V32" i="17" s="1"/>
  <c r="AC32" i="17"/>
  <c r="U27" i="20"/>
  <c r="AC27" i="20"/>
  <c r="U17" i="18"/>
  <c r="AC17" i="18"/>
  <c r="AQ35" i="20"/>
  <c r="AI35" i="20"/>
  <c r="AJ35" i="20" s="1"/>
  <c r="H42" i="17"/>
  <c r="N42" i="17" s="1"/>
  <c r="AB42" i="19"/>
  <c r="AC42" i="19" s="1"/>
  <c r="AB26" i="17"/>
  <c r="AJ26" i="17"/>
  <c r="AP43" i="18"/>
  <c r="AQ43" i="18" s="1"/>
  <c r="AI30" i="20"/>
  <c r="AQ30" i="20"/>
  <c r="L18" i="3"/>
  <c r="AJ17" i="18"/>
  <c r="AB17" i="18"/>
  <c r="U31" i="18"/>
  <c r="AC31" i="18"/>
  <c r="AB19" i="16"/>
  <c r="AJ19" i="16"/>
  <c r="AJ47" i="17"/>
  <c r="AB47" i="17"/>
  <c r="AC47" i="17" s="1"/>
  <c r="N38" i="16"/>
  <c r="O38" i="16" s="1"/>
  <c r="AB18" i="17"/>
  <c r="AJ18" i="17"/>
  <c r="AQ30" i="16"/>
  <c r="AI30" i="16"/>
  <c r="AJ48" i="15"/>
  <c r="AB48" i="15"/>
  <c r="AC48" i="15" s="1"/>
  <c r="U41" i="16"/>
  <c r="V41" i="16" s="1"/>
  <c r="U18" i="16"/>
  <c r="AC18" i="16"/>
  <c r="V34" i="15"/>
  <c r="N34" i="15"/>
  <c r="O34" i="15" s="1"/>
  <c r="AB33" i="14"/>
  <c r="AJ33" i="14"/>
  <c r="H35" i="15"/>
  <c r="V18" i="15"/>
  <c r="N18" i="15"/>
  <c r="AC28" i="15"/>
  <c r="U28" i="15"/>
  <c r="AN29" i="14"/>
  <c r="AP15" i="14"/>
  <c r="AQ15" i="14" s="1"/>
  <c r="AJ24" i="13"/>
  <c r="AB24" i="13"/>
  <c r="AI28" i="11"/>
  <c r="AQ28" i="11"/>
  <c r="AJ19" i="14"/>
  <c r="AB19" i="14"/>
  <c r="U32" i="11"/>
  <c r="V32" i="11" s="1"/>
  <c r="AC32" i="11"/>
  <c r="O15" i="10"/>
  <c r="H29" i="10"/>
  <c r="N44" i="13"/>
  <c r="O44" i="13" s="1"/>
  <c r="AQ28" i="12"/>
  <c r="AI28" i="12"/>
  <c r="AC27" i="10"/>
  <c r="U27" i="10"/>
  <c r="AI41" i="11"/>
  <c r="AJ41" i="11" s="1"/>
  <c r="AQ41" i="11"/>
  <c r="AC35" i="14"/>
  <c r="U35" i="14"/>
  <c r="V35" i="14" s="1"/>
  <c r="U25" i="12"/>
  <c r="AC25" i="12"/>
  <c r="V47" i="13"/>
  <c r="N47" i="13"/>
  <c r="V19" i="11"/>
  <c r="N19" i="11"/>
  <c r="AJ18" i="14"/>
  <c r="AB18" i="14"/>
  <c r="AI38" i="12"/>
  <c r="AJ38" i="12" s="1"/>
  <c r="U47" i="14"/>
  <c r="V47" i="14" s="1"/>
  <c r="H29" i="13"/>
  <c r="AP27" i="11"/>
  <c r="AQ16" i="12"/>
  <c r="AI16" i="12"/>
  <c r="V31" i="12"/>
  <c r="N31" i="12"/>
  <c r="AC23" i="10"/>
  <c r="U23" i="10"/>
  <c r="N33" i="12"/>
  <c r="V33" i="12"/>
  <c r="AI23" i="11"/>
  <c r="AQ23" i="11"/>
  <c r="AJ18" i="10"/>
  <c r="AB18" i="10"/>
  <c r="AP24" i="14"/>
  <c r="AC17" i="11"/>
  <c r="U17" i="11"/>
  <c r="V19" i="13"/>
  <c r="N19" i="13"/>
  <c r="AP39" i="10"/>
  <c r="AQ39" i="10" s="1"/>
  <c r="U36" i="10"/>
  <c r="V36" i="10" s="1"/>
  <c r="AQ33" i="13"/>
  <c r="AI33" i="13"/>
  <c r="AJ31" i="11"/>
  <c r="AB31" i="11"/>
  <c r="AP41" i="13"/>
  <c r="AQ41" i="13" s="1"/>
  <c r="U34" i="11"/>
  <c r="V34" i="11" s="1"/>
  <c r="AC30" i="13"/>
  <c r="U30" i="13"/>
  <c r="V30" i="13" s="1"/>
  <c r="AB24" i="12"/>
  <c r="AJ24" i="12"/>
  <c r="AC24" i="16"/>
  <c r="U24" i="16"/>
  <c r="U39" i="13"/>
  <c r="V39" i="13" s="1"/>
  <c r="AC30" i="16"/>
  <c r="U30" i="16"/>
  <c r="V30" i="16" s="1"/>
  <c r="N32" i="15"/>
  <c r="O32" i="15" s="1"/>
  <c r="AP34" i="16"/>
  <c r="AQ34" i="16" s="1"/>
  <c r="AC28" i="17"/>
  <c r="U28" i="17"/>
  <c r="AC23" i="17"/>
  <c r="U23" i="17"/>
  <c r="AB33" i="17"/>
  <c r="AJ33" i="17"/>
  <c r="AB27" i="20"/>
  <c r="AJ27" i="20"/>
  <c r="V26" i="24"/>
  <c r="N26" i="24"/>
  <c r="AQ20" i="19"/>
  <c r="AI20" i="19"/>
  <c r="AJ31" i="18"/>
  <c r="AB31" i="18"/>
  <c r="N27" i="20"/>
  <c r="V27" i="20"/>
  <c r="AQ33" i="20"/>
  <c r="AI33" i="20"/>
  <c r="U19" i="28"/>
  <c r="V19" i="28" s="1"/>
  <c r="AB20" i="21"/>
  <c r="AJ20" i="21"/>
  <c r="AI39" i="22"/>
  <c r="AJ39" i="22" s="1"/>
  <c r="AQ39" i="22"/>
  <c r="U25" i="23"/>
  <c r="AC25" i="23"/>
  <c r="AC30" i="25"/>
  <c r="U30" i="25"/>
  <c r="V30" i="25" s="1"/>
  <c r="AQ19" i="24"/>
  <c r="AI19" i="24"/>
  <c r="AJ19" i="24" s="1"/>
  <c r="AP32" i="28"/>
  <c r="V27" i="25"/>
  <c r="N27" i="25"/>
  <c r="AJ26" i="27"/>
  <c r="AB26" i="27"/>
  <c r="AP24" i="26"/>
  <c r="U26" i="26"/>
  <c r="AC26" i="26"/>
  <c r="V20" i="28"/>
  <c r="N20" i="28"/>
  <c r="AP46" i="33"/>
  <c r="AQ46" i="33" s="1"/>
  <c r="AQ26" i="27"/>
  <c r="AI26" i="27"/>
  <c r="AP33" i="28"/>
  <c r="AI22" i="28"/>
  <c r="AQ22" i="28"/>
  <c r="AG31" i="27"/>
  <c r="N22" i="3"/>
  <c r="AP38" i="28"/>
  <c r="AJ23" i="31"/>
  <c r="AB23" i="31"/>
  <c r="AQ21" i="30"/>
  <c r="AI21" i="30"/>
  <c r="AQ32" i="31"/>
  <c r="AI32" i="31"/>
  <c r="AP27" i="31"/>
  <c r="AI33" i="33"/>
  <c r="AQ33" i="33"/>
  <c r="H29" i="32"/>
  <c r="AQ26" i="33"/>
  <c r="AI26" i="33"/>
  <c r="AC30" i="34"/>
  <c r="U30" i="34"/>
  <c r="F32" i="3" s="1"/>
  <c r="F31" i="3"/>
  <c r="N38" i="35"/>
  <c r="V38" i="35"/>
  <c r="U26" i="35"/>
  <c r="AC26" i="35"/>
  <c r="U16" i="37"/>
  <c r="AC16" i="37"/>
  <c r="U25" i="35"/>
  <c r="AC25" i="35"/>
  <c r="U24" i="38"/>
  <c r="AC24" i="38"/>
  <c r="AP16" i="36"/>
  <c r="N19" i="36"/>
  <c r="V25" i="36"/>
  <c r="N25" i="36"/>
  <c r="U31" i="36"/>
  <c r="AC31" i="36"/>
  <c r="AP41" i="36"/>
  <c r="AQ41" i="36" s="1"/>
  <c r="N33" i="38"/>
  <c r="O33" i="38" s="1"/>
  <c r="U45" i="38"/>
  <c r="V45" i="38" s="1"/>
  <c r="AP41" i="39"/>
  <c r="AQ41" i="39" s="1"/>
  <c r="AQ16" i="40"/>
  <c r="AI16" i="40"/>
  <c r="U35" i="40"/>
  <c r="AC35" i="40"/>
  <c r="AJ41" i="40"/>
  <c r="AB41" i="40"/>
  <c r="AC41" i="40" s="1"/>
  <c r="AP33" i="41"/>
  <c r="AN29" i="41"/>
  <c r="AP15" i="41"/>
  <c r="AB19" i="12"/>
  <c r="AJ19" i="12"/>
  <c r="AB34" i="10"/>
  <c r="AC34" i="10" s="1"/>
  <c r="AB33" i="9"/>
  <c r="AJ33" i="9"/>
  <c r="U22" i="9"/>
  <c r="V22" i="9" s="1"/>
  <c r="AC22" i="9"/>
  <c r="AP23" i="11"/>
  <c r="U49" i="41"/>
  <c r="AC49" i="41"/>
  <c r="V43" i="41"/>
  <c r="N43" i="41"/>
  <c r="O43" i="41" s="1"/>
  <c r="U41" i="40"/>
  <c r="V41" i="40" s="1"/>
  <c r="AJ21" i="40"/>
  <c r="AB21" i="40"/>
  <c r="H29" i="40"/>
  <c r="O32" i="35"/>
  <c r="N35" i="35"/>
  <c r="V35" i="35"/>
  <c r="AQ34" i="33"/>
  <c r="AI34" i="33"/>
  <c r="V27" i="34"/>
  <c r="N27" i="34"/>
  <c r="AJ24" i="33"/>
  <c r="AB24" i="33"/>
  <c r="AJ20" i="33"/>
  <c r="AB20" i="33"/>
  <c r="N18" i="30"/>
  <c r="V18" i="30"/>
  <c r="S44" i="27"/>
  <c r="AB44" i="27" s="1"/>
  <c r="N44" i="27"/>
  <c r="O44" i="27" s="1"/>
  <c r="U33" i="25"/>
  <c r="V33" i="25" s="1"/>
  <c r="AC33" i="25"/>
  <c r="AI21" i="24"/>
  <c r="AQ21" i="24"/>
  <c r="AI47" i="22"/>
  <c r="AJ47" i="22" s="1"/>
  <c r="N31" i="21"/>
  <c r="V31" i="21"/>
  <c r="AB22" i="26"/>
  <c r="AJ22" i="26"/>
  <c r="O35" i="20"/>
  <c r="N35" i="20"/>
  <c r="AP16" i="20"/>
  <c r="AC18" i="19"/>
  <c r="U18" i="19"/>
  <c r="AI48" i="17"/>
  <c r="AJ48" i="17" s="1"/>
  <c r="AI26" i="15"/>
  <c r="AQ26" i="15"/>
  <c r="AJ17" i="13"/>
  <c r="AB17" i="13"/>
  <c r="AB28" i="10"/>
  <c r="AJ28" i="10"/>
  <c r="AC18" i="10"/>
  <c r="U18" i="10"/>
  <c r="U48" i="11"/>
  <c r="AC48" i="11"/>
  <c r="AI34" i="13"/>
  <c r="AJ34" i="13" s="1"/>
  <c r="AC30" i="14"/>
  <c r="U30" i="14"/>
  <c r="V30" i="14" s="1"/>
  <c r="AP28" i="17"/>
  <c r="AI39" i="14"/>
  <c r="AJ39" i="14" s="1"/>
  <c r="AP23" i="20"/>
  <c r="N19" i="31"/>
  <c r="O19" i="31" s="1"/>
  <c r="V26" i="34"/>
  <c r="N26" i="34"/>
  <c r="V16" i="38"/>
  <c r="N16" i="38"/>
  <c r="U25" i="36"/>
  <c r="AC25" i="36"/>
  <c r="H29" i="38"/>
  <c r="AI22" i="12"/>
  <c r="AQ22" i="12"/>
  <c r="N16" i="9"/>
  <c r="V16" i="9"/>
  <c r="L29" i="9"/>
  <c r="AQ22" i="41"/>
  <c r="AI22" i="41"/>
  <c r="AN46" i="38"/>
  <c r="AP46" i="38" s="1"/>
  <c r="AQ46" i="38" s="1"/>
  <c r="AL37" i="38"/>
  <c r="AN37" i="38" s="1"/>
  <c r="AP37" i="38" s="1"/>
  <c r="AQ37" i="38" s="1"/>
  <c r="AJ28" i="37"/>
  <c r="AB28" i="37"/>
  <c r="AB31" i="38"/>
  <c r="AJ31" i="38"/>
  <c r="AB34" i="36"/>
  <c r="AJ34" i="36"/>
  <c r="U36" i="34"/>
  <c r="V36" i="34" s="1"/>
  <c r="R46" i="34"/>
  <c r="S46" i="34" s="1"/>
  <c r="S43" i="34"/>
  <c r="R44" i="34"/>
  <c r="S44" i="34" s="1"/>
  <c r="N38" i="34"/>
  <c r="V38" i="34"/>
  <c r="N19" i="35"/>
  <c r="O19" i="35" s="1"/>
  <c r="AP32" i="30"/>
  <c r="AI27" i="33"/>
  <c r="AQ27" i="33"/>
  <c r="AQ30" i="31"/>
  <c r="AI30" i="31"/>
  <c r="N41" i="27"/>
  <c r="O41" i="27" s="1"/>
  <c r="V16" i="26"/>
  <c r="N16" i="26"/>
  <c r="N24" i="28"/>
  <c r="V24" i="28"/>
  <c r="U48" i="23"/>
  <c r="V48" i="23" s="1"/>
  <c r="AP18" i="23"/>
  <c r="N32" i="22"/>
  <c r="O32" i="22" s="1"/>
  <c r="AC30" i="20"/>
  <c r="U30" i="20"/>
  <c r="V30" i="20" s="1"/>
  <c r="AJ32" i="18"/>
  <c r="AB32" i="18"/>
  <c r="AB41" i="16"/>
  <c r="AC41" i="16" s="1"/>
  <c r="AJ15" i="17"/>
  <c r="AB15" i="17"/>
  <c r="AC15" i="17" s="1"/>
  <c r="Z29" i="17"/>
  <c r="AQ33" i="15"/>
  <c r="AI33" i="15"/>
  <c r="AB35" i="15"/>
  <c r="U22" i="11"/>
  <c r="V22" i="11" s="1"/>
  <c r="AC22" i="11"/>
  <c r="AQ18" i="11"/>
  <c r="AI18" i="11"/>
  <c r="U19" i="13"/>
  <c r="AC19" i="13"/>
  <c r="AQ33" i="16"/>
  <c r="AI33" i="16"/>
  <c r="AI28" i="23"/>
  <c r="AQ28" i="23"/>
  <c r="V16" i="24"/>
  <c r="N16" i="24"/>
  <c r="AB19" i="26"/>
  <c r="AC19" i="26" s="1"/>
  <c r="AI44" i="31"/>
  <c r="AJ44" i="31" s="1"/>
  <c r="AI16" i="28"/>
  <c r="AQ16" i="28"/>
  <c r="AP21" i="31"/>
  <c r="AI41" i="30"/>
  <c r="AJ41" i="30" s="1"/>
  <c r="D26" i="3"/>
  <c r="N22" i="31"/>
  <c r="V22" i="31"/>
  <c r="AI25" i="38"/>
  <c r="AQ25" i="38"/>
  <c r="Z29" i="38"/>
  <c r="AB15" i="38"/>
  <c r="AC15" i="38" s="1"/>
  <c r="N15" i="13"/>
  <c r="O15" i="13" s="1"/>
  <c r="L29" i="13"/>
  <c r="AI48" i="11"/>
  <c r="AQ48" i="11"/>
  <c r="U37" i="41"/>
  <c r="AP49" i="41"/>
  <c r="N37" i="40"/>
  <c r="O37" i="40" s="1"/>
  <c r="AB25" i="40"/>
  <c r="AJ25" i="40"/>
  <c r="AP30" i="40"/>
  <c r="AP44" i="38"/>
  <c r="AQ44" i="38" s="1"/>
  <c r="AB44" i="38"/>
  <c r="AC44" i="38" s="1"/>
  <c r="AB27" i="38"/>
  <c r="AJ27" i="38"/>
  <c r="AC24" i="37"/>
  <c r="U24" i="37"/>
  <c r="AJ31" i="36"/>
  <c r="AB31" i="36"/>
  <c r="AP25" i="36"/>
  <c r="AB30" i="34"/>
  <c r="G32" i="3" s="1"/>
  <c r="AJ30" i="34"/>
  <c r="G31" i="3"/>
  <c r="AI26" i="34"/>
  <c r="AQ26" i="34"/>
  <c r="O45" i="32"/>
  <c r="AB16" i="34"/>
  <c r="AJ16" i="34"/>
  <c r="AB46" i="32"/>
  <c r="AC46" i="32" s="1"/>
  <c r="AC24" i="33"/>
  <c r="U24" i="33"/>
  <c r="V40" i="32"/>
  <c r="N40" i="32"/>
  <c r="O40" i="32" s="1"/>
  <c r="AB24" i="32"/>
  <c r="AJ24" i="32"/>
  <c r="U36" i="32"/>
  <c r="V36" i="32" s="1"/>
  <c r="AI45" i="30"/>
  <c r="AJ45" i="30" s="1"/>
  <c r="AB26" i="32"/>
  <c r="AJ26" i="32"/>
  <c r="AB41" i="30"/>
  <c r="AC41" i="30" s="1"/>
  <c r="U25" i="28"/>
  <c r="AC25" i="28"/>
  <c r="AP17" i="28"/>
  <c r="U44" i="29"/>
  <c r="V44" i="29" s="1"/>
  <c r="AC16" i="29"/>
  <c r="U16" i="29"/>
  <c r="AI27" i="26"/>
  <c r="AQ27" i="26"/>
  <c r="U43" i="27"/>
  <c r="V43" i="27" s="1"/>
  <c r="AC43" i="27"/>
  <c r="AB28" i="29"/>
  <c r="AJ28" i="29"/>
  <c r="AI44" i="27"/>
  <c r="AJ44" i="27" s="1"/>
  <c r="AI45" i="26"/>
  <c r="AJ45" i="26" s="1"/>
  <c r="N45" i="26"/>
  <c r="O45" i="26" s="1"/>
  <c r="AC31" i="28"/>
  <c r="U31" i="28"/>
  <c r="AI16" i="25"/>
  <c r="AQ16" i="25"/>
  <c r="AP46" i="26"/>
  <c r="AQ46" i="26" s="1"/>
  <c r="Z43" i="41"/>
  <c r="AI43" i="41" s="1"/>
  <c r="N47" i="41"/>
  <c r="O47" i="41" s="1"/>
  <c r="Z40" i="41"/>
  <c r="S41" i="41"/>
  <c r="AB41" i="41" s="1"/>
  <c r="AQ50" i="41"/>
  <c r="AI50" i="41"/>
  <c r="AP36" i="41"/>
  <c r="AQ36" i="41" s="1"/>
  <c r="H43" i="40"/>
  <c r="N43" i="40" s="1"/>
  <c r="AQ49" i="40"/>
  <c r="AI49" i="40"/>
  <c r="AJ49" i="40" s="1"/>
  <c r="AC34" i="40"/>
  <c r="U34" i="40"/>
  <c r="AI21" i="40"/>
  <c r="AQ21" i="40"/>
  <c r="AC31" i="40"/>
  <c r="U31" i="40"/>
  <c r="AP31" i="40"/>
  <c r="AI24" i="40"/>
  <c r="AQ24" i="40"/>
  <c r="Z29" i="40"/>
  <c r="AB15" i="40"/>
  <c r="AC15" i="40" s="1"/>
  <c r="AN44" i="40"/>
  <c r="AP44" i="40" s="1"/>
  <c r="AQ44" i="40" s="1"/>
  <c r="U26" i="39"/>
  <c r="AC26" i="39"/>
  <c r="AP21" i="39"/>
  <c r="AQ34" i="39"/>
  <c r="AI34" i="39"/>
  <c r="AI38" i="38"/>
  <c r="AQ38" i="38"/>
  <c r="AQ20" i="38"/>
  <c r="AI20" i="38"/>
  <c r="V17" i="39"/>
  <c r="N17" i="39"/>
  <c r="AP22" i="38"/>
  <c r="AN44" i="37"/>
  <c r="N19" i="37"/>
  <c r="O19" i="37" s="1"/>
  <c r="N36" i="38"/>
  <c r="O36" i="38" s="1"/>
  <c r="AJ18" i="36"/>
  <c r="AB18" i="36"/>
  <c r="AI28" i="37"/>
  <c r="AQ28" i="37"/>
  <c r="AQ22" i="36"/>
  <c r="AI22" i="36"/>
  <c r="N17" i="38"/>
  <c r="V17" i="38"/>
  <c r="AB19" i="36"/>
  <c r="AC19" i="36" s="1"/>
  <c r="N40" i="36"/>
  <c r="O40" i="36" s="1"/>
  <c r="AG29" i="37"/>
  <c r="AI15" i="37"/>
  <c r="AN46" i="35"/>
  <c r="Z29" i="35"/>
  <c r="AB15" i="35"/>
  <c r="AC15" i="35" s="1"/>
  <c r="U19" i="34"/>
  <c r="V19" i="34" s="1"/>
  <c r="AC19" i="34"/>
  <c r="U31" i="34"/>
  <c r="AC31" i="34"/>
  <c r="AP26" i="36"/>
  <c r="AJ26" i="34"/>
  <c r="AB26" i="34"/>
  <c r="AI19" i="34"/>
  <c r="AJ19" i="34" s="1"/>
  <c r="AB41" i="34"/>
  <c r="AI28" i="33"/>
  <c r="AQ28" i="33"/>
  <c r="V35" i="36"/>
  <c r="N35" i="36"/>
  <c r="AB28" i="33"/>
  <c r="AJ28" i="33"/>
  <c r="AB40" i="34"/>
  <c r="AC40" i="34" s="1"/>
  <c r="L29" i="35"/>
  <c r="N15" i="35"/>
  <c r="O15" i="35" s="1"/>
  <c r="AB31" i="32"/>
  <c r="AJ31" i="32"/>
  <c r="AJ38" i="32"/>
  <c r="AB38" i="32"/>
  <c r="N45" i="34"/>
  <c r="O45" i="34" s="1"/>
  <c r="AI24" i="33"/>
  <c r="AQ24" i="33"/>
  <c r="U23" i="32"/>
  <c r="AC23" i="32"/>
  <c r="AP30" i="32"/>
  <c r="I27" i="3" s="1"/>
  <c r="I28" i="3" s="1"/>
  <c r="I26" i="3"/>
  <c r="AB17" i="33"/>
  <c r="AJ17" i="33"/>
  <c r="H46" i="35"/>
  <c r="AQ22" i="31"/>
  <c r="AI22" i="31"/>
  <c r="AI18" i="32"/>
  <c r="AQ18" i="32"/>
  <c r="AC23" i="31"/>
  <c r="U23" i="31"/>
  <c r="AP31" i="32"/>
  <c r="AB38" i="30"/>
  <c r="AJ38" i="30"/>
  <c r="N45" i="30"/>
  <c r="O45" i="30" s="1"/>
  <c r="V45" i="30"/>
  <c r="AB30" i="30"/>
  <c r="AJ30" i="30"/>
  <c r="N35" i="32"/>
  <c r="AC27" i="30"/>
  <c r="U27" i="30"/>
  <c r="AB17" i="31"/>
  <c r="AJ17" i="31"/>
  <c r="V16" i="30"/>
  <c r="N16" i="30"/>
  <c r="H46" i="34"/>
  <c r="AP20" i="28"/>
  <c r="N27" i="32"/>
  <c r="V27" i="32"/>
  <c r="V28" i="30"/>
  <c r="N28" i="30"/>
  <c r="U17" i="28"/>
  <c r="AC17" i="28"/>
  <c r="AC26" i="30"/>
  <c r="U26" i="30"/>
  <c r="V25" i="27"/>
  <c r="N25" i="27"/>
  <c r="S46" i="31"/>
  <c r="AI27" i="28"/>
  <c r="AQ27" i="28"/>
  <c r="AQ38" i="27"/>
  <c r="AI38" i="27"/>
  <c r="N22" i="28"/>
  <c r="N23" i="28"/>
  <c r="V23" i="28"/>
  <c r="V38" i="27"/>
  <c r="N38" i="27"/>
  <c r="AN44" i="26"/>
  <c r="AQ37" i="29"/>
  <c r="AI37" i="29"/>
  <c r="AP21" i="26"/>
  <c r="AP18" i="28"/>
  <c r="AI41" i="26"/>
  <c r="AJ41" i="26" s="1"/>
  <c r="N41" i="28"/>
  <c r="O41" i="28" s="1"/>
  <c r="N33" i="26"/>
  <c r="O33" i="26" s="1"/>
  <c r="N20" i="25"/>
  <c r="V20" i="25"/>
  <c r="U31" i="27"/>
  <c r="AC31" i="27"/>
  <c r="AP37" i="29"/>
  <c r="AP30" i="27"/>
  <c r="O47" i="24"/>
  <c r="Z38" i="24"/>
  <c r="AP35" i="27"/>
  <c r="AI39" i="23"/>
  <c r="AJ39" i="23" s="1"/>
  <c r="AC16" i="25"/>
  <c r="U16" i="25"/>
  <c r="N44" i="28"/>
  <c r="O44" i="28" s="1"/>
  <c r="AI48" i="23"/>
  <c r="AQ48" i="23"/>
  <c r="AI22" i="22"/>
  <c r="AQ22" i="22"/>
  <c r="U47" i="23"/>
  <c r="V47" i="23" s="1"/>
  <c r="AP30" i="22"/>
  <c r="AC31" i="25"/>
  <c r="U31" i="25"/>
  <c r="AP42" i="22"/>
  <c r="AQ42" i="22" s="1"/>
  <c r="AB20" i="22"/>
  <c r="AJ20" i="22"/>
  <c r="AI34" i="21"/>
  <c r="AJ34" i="21" s="1"/>
  <c r="U28" i="25"/>
  <c r="AC28" i="25"/>
  <c r="AB32" i="23"/>
  <c r="AJ32" i="23"/>
  <c r="N17" i="24"/>
  <c r="V17" i="24"/>
  <c r="AB47" i="21"/>
  <c r="AC47" i="21" s="1"/>
  <c r="AP31" i="23"/>
  <c r="N48" i="22"/>
  <c r="O48" i="22" s="1"/>
  <c r="AB18" i="25"/>
  <c r="AJ18" i="25"/>
  <c r="AJ18" i="23"/>
  <c r="AB18" i="23"/>
  <c r="AN42" i="21"/>
  <c r="AP42" i="21" s="1"/>
  <c r="AQ42" i="21" s="1"/>
  <c r="N42" i="22"/>
  <c r="O42" i="22" s="1"/>
  <c r="V28" i="21"/>
  <c r="N28" i="21"/>
  <c r="AQ42" i="23"/>
  <c r="AI42" i="23"/>
  <c r="AJ42" i="23" s="1"/>
  <c r="AI34" i="22"/>
  <c r="AJ34" i="22" s="1"/>
  <c r="N48" i="24"/>
  <c r="O48" i="24" s="1"/>
  <c r="N47" i="21"/>
  <c r="O47" i="21" s="1"/>
  <c r="AB22" i="20"/>
  <c r="AJ22" i="20"/>
  <c r="O47" i="19"/>
  <c r="Z34" i="17"/>
  <c r="AI32" i="22"/>
  <c r="AQ32" i="22"/>
  <c r="U39" i="19"/>
  <c r="V39" i="19" s="1"/>
  <c r="AJ23" i="24"/>
  <c r="AB23" i="24"/>
  <c r="V38" i="20"/>
  <c r="N38" i="20"/>
  <c r="O38" i="20" s="1"/>
  <c r="AB33" i="21"/>
  <c r="AJ33" i="21"/>
  <c r="AB23" i="18"/>
  <c r="AJ23" i="18"/>
  <c r="AC27" i="22"/>
  <c r="U27" i="22"/>
  <c r="N19" i="19"/>
  <c r="AB16" i="22"/>
  <c r="AJ16" i="22"/>
  <c r="AG42" i="20"/>
  <c r="N25" i="20"/>
  <c r="V25" i="20"/>
  <c r="AC24" i="24"/>
  <c r="U24" i="24"/>
  <c r="S42" i="22"/>
  <c r="AB42" i="22" s="1"/>
  <c r="Z41" i="21"/>
  <c r="S39" i="21"/>
  <c r="N22" i="17"/>
  <c r="AQ25" i="18"/>
  <c r="AI25" i="18"/>
  <c r="AP21" i="17"/>
  <c r="N48" i="18"/>
  <c r="O48" i="18" s="1"/>
  <c r="V48" i="18"/>
  <c r="Z42" i="16"/>
  <c r="AI42" i="16" s="1"/>
  <c r="AB15" i="19"/>
  <c r="AC15" i="19" s="1"/>
  <c r="Z29" i="19"/>
  <c r="AG34" i="17"/>
  <c r="AP34" i="17" s="1"/>
  <c r="AB28" i="17"/>
  <c r="AJ28" i="17"/>
  <c r="AB30" i="20"/>
  <c r="AJ30" i="20"/>
  <c r="AI21" i="19"/>
  <c r="AQ21" i="19"/>
  <c r="U41" i="19"/>
  <c r="V41" i="19" s="1"/>
  <c r="V33" i="18"/>
  <c r="N33" i="18"/>
  <c r="AP17" i="18"/>
  <c r="AP38" i="18"/>
  <c r="AQ38" i="18" s="1"/>
  <c r="AQ46" i="17"/>
  <c r="AI46" i="17"/>
  <c r="AJ46" i="17" s="1"/>
  <c r="AB35" i="19"/>
  <c r="AC35" i="19" s="1"/>
  <c r="AJ35" i="19"/>
  <c r="AC31" i="19"/>
  <c r="U31" i="19"/>
  <c r="AQ24" i="17"/>
  <c r="AI24" i="17"/>
  <c r="U28" i="20"/>
  <c r="AC28" i="20"/>
  <c r="AQ16" i="15"/>
  <c r="AI16" i="15"/>
  <c r="U32" i="16"/>
  <c r="V32" i="16" s="1"/>
  <c r="AC32" i="16"/>
  <c r="AC30" i="17"/>
  <c r="U30" i="17"/>
  <c r="V30" i="17" s="1"/>
  <c r="N43" i="16"/>
  <c r="O43" i="16" s="1"/>
  <c r="V43" i="16"/>
  <c r="AB45" i="15"/>
  <c r="AC45" i="15" s="1"/>
  <c r="AG35" i="15"/>
  <c r="AB17" i="16"/>
  <c r="AJ17" i="16"/>
  <c r="V33" i="14"/>
  <c r="N33" i="14"/>
  <c r="AI28" i="16"/>
  <c r="AQ28" i="16"/>
  <c r="AC30" i="15"/>
  <c r="U30" i="15"/>
  <c r="V30" i="15" s="1"/>
  <c r="AJ27" i="15"/>
  <c r="AB27" i="15"/>
  <c r="AI19" i="14"/>
  <c r="AQ19" i="14"/>
  <c r="AP31" i="17"/>
  <c r="AP30" i="13"/>
  <c r="V27" i="14"/>
  <c r="N27" i="14"/>
  <c r="AI35" i="10"/>
  <c r="AJ35" i="10" s="1"/>
  <c r="AP35" i="10"/>
  <c r="AQ35" i="10" s="1"/>
  <c r="AI16" i="13"/>
  <c r="AQ16" i="13"/>
  <c r="N27" i="10"/>
  <c r="V27" i="10"/>
  <c r="AQ27" i="13"/>
  <c r="AI27" i="13"/>
  <c r="AJ17" i="14"/>
  <c r="AB17" i="14"/>
  <c r="AP15" i="12"/>
  <c r="AQ15" i="12" s="1"/>
  <c r="AN29" i="12"/>
  <c r="N48" i="14"/>
  <c r="AI48" i="13"/>
  <c r="AJ48" i="13" s="1"/>
  <c r="AJ27" i="11"/>
  <c r="AB27" i="11"/>
  <c r="N22" i="12"/>
  <c r="AP18" i="10"/>
  <c r="AC24" i="12"/>
  <c r="U24" i="12"/>
  <c r="AJ20" i="11"/>
  <c r="AB20" i="11"/>
  <c r="AC32" i="9"/>
  <c r="U32" i="9"/>
  <c r="V32" i="9" s="1"/>
  <c r="AB32" i="9"/>
  <c r="N43" i="13"/>
  <c r="O43" i="13" s="1"/>
  <c r="AQ15" i="11"/>
  <c r="AG29" i="11"/>
  <c r="AI15" i="11"/>
  <c r="AJ15" i="11" s="1"/>
  <c r="AC24" i="14"/>
  <c r="U24" i="14"/>
  <c r="U24" i="13"/>
  <c r="AC24" i="13"/>
  <c r="AJ16" i="11"/>
  <c r="AB16" i="11"/>
  <c r="AI32" i="9"/>
  <c r="AQ32" i="9"/>
  <c r="N38" i="12"/>
  <c r="O38" i="12" s="1"/>
  <c r="AC32" i="10"/>
  <c r="U32" i="10"/>
  <c r="V32" i="10" s="1"/>
  <c r="AB44" i="9"/>
  <c r="AC44" i="9" s="1"/>
  <c r="AJ44" i="9"/>
  <c r="AI44" i="9"/>
  <c r="N42" i="10"/>
  <c r="O42" i="10" s="1"/>
  <c r="N38" i="13"/>
  <c r="O38" i="13" s="1"/>
  <c r="AI39" i="11"/>
  <c r="AJ39" i="11" s="1"/>
  <c r="N19" i="14"/>
  <c r="V19" i="14"/>
  <c r="AJ18" i="11"/>
  <c r="AB18" i="11"/>
  <c r="AB39" i="11"/>
  <c r="AC39" i="11" s="1"/>
  <c r="AJ30" i="11"/>
  <c r="AB30" i="11"/>
  <c r="AP16" i="15"/>
  <c r="V31" i="16"/>
  <c r="N31" i="16"/>
  <c r="AP30" i="14"/>
  <c r="AC20" i="16"/>
  <c r="U20" i="16"/>
  <c r="AC25" i="15"/>
  <c r="U25" i="15"/>
  <c r="AQ23" i="16"/>
  <c r="AI23" i="16"/>
  <c r="U38" i="15"/>
  <c r="V38" i="15" s="1"/>
  <c r="U34" i="17"/>
  <c r="V34" i="17" s="1"/>
  <c r="N36" i="18"/>
  <c r="O36" i="18" s="1"/>
  <c r="N30" i="20"/>
  <c r="U24" i="20"/>
  <c r="AC24" i="20"/>
  <c r="H29" i="25"/>
  <c r="AJ31" i="23"/>
  <c r="AB31" i="23"/>
  <c r="N19" i="22"/>
  <c r="O19" i="22" s="1"/>
  <c r="AI22" i="21"/>
  <c r="AQ22" i="21"/>
  <c r="AJ21" i="23"/>
  <c r="AB21" i="23"/>
  <c r="N33" i="24"/>
  <c r="V33" i="24"/>
  <c r="U30" i="23"/>
  <c r="V30" i="23" s="1"/>
  <c r="AC30" i="23"/>
  <c r="AJ33" i="25"/>
  <c r="AB33" i="25"/>
  <c r="AJ24" i="24"/>
  <c r="AB24" i="24"/>
  <c r="AJ26" i="22"/>
  <c r="AB26" i="22"/>
  <c r="AP15" i="28"/>
  <c r="AQ15" i="28" s="1"/>
  <c r="AN29" i="28"/>
  <c r="AB24" i="27"/>
  <c r="AJ24" i="27"/>
  <c r="V20" i="29"/>
  <c r="N20" i="29"/>
  <c r="U27" i="26"/>
  <c r="AC27" i="26"/>
  <c r="U36" i="28"/>
  <c r="V36" i="28" s="1"/>
  <c r="AQ26" i="31"/>
  <c r="AI26" i="31"/>
  <c r="AI33" i="31"/>
  <c r="AQ33" i="31"/>
  <c r="AI16" i="31"/>
  <c r="AQ16" i="31"/>
  <c r="AQ30" i="30"/>
  <c r="AI30" i="30"/>
  <c r="AP36" i="31"/>
  <c r="AQ36" i="31" s="1"/>
  <c r="O40" i="33"/>
  <c r="AC30" i="32"/>
  <c r="U30" i="32"/>
  <c r="F27" i="3" s="1"/>
  <c r="F28" i="3" s="1"/>
  <c r="F26" i="3"/>
  <c r="U41" i="32"/>
  <c r="V41" i="32" s="1"/>
  <c r="AJ22" i="33"/>
  <c r="AB22" i="33"/>
  <c r="AB27" i="33"/>
  <c r="AJ27" i="33"/>
  <c r="U27" i="33"/>
  <c r="AC27" i="33"/>
  <c r="AQ33" i="35"/>
  <c r="AI33" i="35"/>
  <c r="AI21" i="36"/>
  <c r="AQ21" i="36"/>
  <c r="AB23" i="36"/>
  <c r="AJ23" i="36"/>
  <c r="AP20" i="36"/>
  <c r="AI19" i="36"/>
  <c r="AJ19" i="36" s="1"/>
  <c r="AQ19" i="36"/>
  <c r="AJ21" i="36"/>
  <c r="AB21" i="36"/>
  <c r="AI31" i="36"/>
  <c r="AQ31" i="36"/>
  <c r="AI16" i="37"/>
  <c r="AQ16" i="37"/>
  <c r="AI19" i="39"/>
  <c r="AJ19" i="39" s="1"/>
  <c r="AQ19" i="39"/>
  <c r="AI28" i="38"/>
  <c r="AQ28" i="38"/>
  <c r="AB36" i="37"/>
  <c r="AC36" i="37" s="1"/>
  <c r="AI33" i="38"/>
  <c r="AQ33" i="38"/>
  <c r="AJ33" i="38"/>
  <c r="AB33" i="38"/>
  <c r="AB45" i="39"/>
  <c r="AC45" i="39" s="1"/>
  <c r="AP45" i="38"/>
  <c r="AP24" i="40"/>
  <c r="AC30" i="40"/>
  <c r="U30" i="40"/>
  <c r="V30" i="40" s="1"/>
  <c r="V38" i="40"/>
  <c r="N38" i="40"/>
  <c r="AP38" i="40"/>
  <c r="V34" i="41"/>
  <c r="N34" i="41"/>
  <c r="Z29" i="41"/>
  <c r="AB15" i="41"/>
  <c r="AB43" i="12"/>
  <c r="AC43" i="12" s="1"/>
  <c r="AJ43" i="12"/>
  <c r="AJ33" i="11"/>
  <c r="AB33" i="11"/>
  <c r="V33" i="10"/>
  <c r="N33" i="10"/>
  <c r="AI47" i="10"/>
  <c r="AJ47" i="10" s="1"/>
  <c r="AQ47" i="10"/>
  <c r="AB21" i="9"/>
  <c r="AJ21" i="9"/>
  <c r="AP21" i="11"/>
  <c r="AC26" i="40"/>
  <c r="U26" i="40"/>
  <c r="AB19" i="39"/>
  <c r="AC19" i="39" s="1"/>
  <c r="AB33" i="37"/>
  <c r="AJ33" i="37"/>
  <c r="AB34" i="32"/>
  <c r="AJ34" i="32"/>
  <c r="N32" i="28"/>
  <c r="O32" i="28" s="1"/>
  <c r="AQ16" i="26"/>
  <c r="AI16" i="26"/>
  <c r="AJ17" i="28"/>
  <c r="AB17" i="28"/>
  <c r="O35" i="24"/>
  <c r="N35" i="24"/>
  <c r="AI19" i="22"/>
  <c r="AJ19" i="22" s="1"/>
  <c r="AQ47" i="20"/>
  <c r="AI47" i="20"/>
  <c r="AJ47" i="20" s="1"/>
  <c r="AP47" i="20"/>
  <c r="AP41" i="22"/>
  <c r="AQ41" i="22" s="1"/>
  <c r="AI45" i="20"/>
  <c r="AJ45" i="20" s="1"/>
  <c r="AB38" i="16"/>
  <c r="AC38" i="16" s="1"/>
  <c r="H34" i="17"/>
  <c r="N34" i="17" s="1"/>
  <c r="AJ24" i="19"/>
  <c r="AB24" i="19"/>
  <c r="AJ25" i="17"/>
  <c r="AB25" i="17"/>
  <c r="U43" i="14"/>
  <c r="V43" i="14" s="1"/>
  <c r="AC43" i="14"/>
  <c r="AJ15" i="15"/>
  <c r="Z29" i="15"/>
  <c r="AB15" i="15"/>
  <c r="AC15" i="15" s="1"/>
  <c r="W11" i="3" s="1"/>
  <c r="E81" i="1"/>
  <c r="V20" i="14"/>
  <c r="N20" i="14"/>
  <c r="U16" i="14"/>
  <c r="AC16" i="14"/>
  <c r="AI25" i="12"/>
  <c r="AQ25" i="12"/>
  <c r="AP20" i="14"/>
  <c r="U17" i="12"/>
  <c r="AC17" i="12"/>
  <c r="AC20" i="11"/>
  <c r="U20" i="11"/>
  <c r="AB32" i="10"/>
  <c r="AJ32" i="10"/>
  <c r="AI16" i="9"/>
  <c r="AQ16" i="9"/>
  <c r="AB43" i="11"/>
  <c r="AC43" i="11" s="1"/>
  <c r="AI39" i="12"/>
  <c r="AJ39" i="12" s="1"/>
  <c r="V19" i="15"/>
  <c r="N19" i="15"/>
  <c r="N30" i="21"/>
  <c r="V30" i="21"/>
  <c r="AQ23" i="25"/>
  <c r="AI23" i="25"/>
  <c r="AJ30" i="31"/>
  <c r="AB30" i="31"/>
  <c r="U18" i="31"/>
  <c r="AC18" i="31"/>
  <c r="AC20" i="33"/>
  <c r="U20" i="33"/>
  <c r="AC18" i="34"/>
  <c r="U18" i="34"/>
  <c r="AQ30" i="35"/>
  <c r="AI30" i="35"/>
  <c r="AP35" i="37"/>
  <c r="V23" i="38"/>
  <c r="N23" i="38"/>
  <c r="U18" i="41"/>
  <c r="AC18" i="41"/>
  <c r="N26" i="12"/>
  <c r="V26" i="12"/>
  <c r="N44" i="41"/>
  <c r="O44" i="41" s="1"/>
  <c r="N50" i="41"/>
  <c r="V50" i="41"/>
  <c r="AP20" i="40"/>
  <c r="AI23" i="40"/>
  <c r="AQ23" i="40"/>
  <c r="AC25" i="39"/>
  <c r="U25" i="39"/>
  <c r="AI15" i="34"/>
  <c r="AJ15" i="34" s="1"/>
  <c r="U24" i="34"/>
  <c r="AC24" i="34"/>
  <c r="AC20" i="35"/>
  <c r="U20" i="35"/>
  <c r="AC27" i="34"/>
  <c r="U27" i="34"/>
  <c r="AC34" i="33"/>
  <c r="U34" i="33"/>
  <c r="N17" i="36"/>
  <c r="V17" i="36"/>
  <c r="AQ16" i="33"/>
  <c r="AI16" i="33"/>
  <c r="V28" i="31"/>
  <c r="N28" i="31"/>
  <c r="V31" i="28"/>
  <c r="N31" i="28"/>
  <c r="AB24" i="30"/>
  <c r="AJ24" i="30"/>
  <c r="AP23" i="28"/>
  <c r="N40" i="28"/>
  <c r="O40" i="28" s="1"/>
  <c r="AJ27" i="26"/>
  <c r="AB27" i="26"/>
  <c r="N30" i="22"/>
  <c r="N43" i="21"/>
  <c r="O43" i="21" s="1"/>
  <c r="AB48" i="22"/>
  <c r="AC48" i="22" s="1"/>
  <c r="AJ48" i="22"/>
  <c r="AI38" i="23"/>
  <c r="AJ38" i="23" s="1"/>
  <c r="AI36" i="21"/>
  <c r="AJ36" i="21" s="1"/>
  <c r="AQ38" i="25"/>
  <c r="AI38" i="25"/>
  <c r="V36" i="27"/>
  <c r="N36" i="27"/>
  <c r="O36" i="27" s="1"/>
  <c r="AC35" i="20"/>
  <c r="U35" i="20"/>
  <c r="V35" i="20" s="1"/>
  <c r="AC26" i="19"/>
  <c r="U26" i="19"/>
  <c r="AC32" i="19"/>
  <c r="U32" i="19"/>
  <c r="V32" i="19" s="1"/>
  <c r="AC23" i="16"/>
  <c r="U23" i="16"/>
  <c r="AQ34" i="15"/>
  <c r="AI34" i="15"/>
  <c r="AJ34" i="15" s="1"/>
  <c r="AJ31" i="16"/>
  <c r="AB31" i="16"/>
  <c r="N36" i="15"/>
  <c r="O36" i="15" s="1"/>
  <c r="AI22" i="10"/>
  <c r="AQ22" i="10"/>
  <c r="AB36" i="10"/>
  <c r="AC36" i="10" s="1"/>
  <c r="AC33" i="14"/>
  <c r="U33" i="14"/>
  <c r="AJ22" i="14"/>
  <c r="AB22" i="14"/>
  <c r="AJ42" i="12"/>
  <c r="AB42" i="12"/>
  <c r="AC42" i="12" s="1"/>
  <c r="U42" i="12"/>
  <c r="V42" i="12" s="1"/>
  <c r="O34" i="14"/>
  <c r="AG31" i="15"/>
  <c r="AP31" i="15" s="1"/>
  <c r="N7" i="3"/>
  <c r="V19" i="18"/>
  <c r="N19" i="18"/>
  <c r="AI32" i="17"/>
  <c r="AQ32" i="17"/>
  <c r="AJ26" i="18"/>
  <c r="AB26" i="18"/>
  <c r="AJ40" i="26"/>
  <c r="AB40" i="26"/>
  <c r="AC40" i="26" s="1"/>
  <c r="U35" i="28"/>
  <c r="N22" i="30"/>
  <c r="AJ23" i="33"/>
  <c r="AB23" i="33"/>
  <c r="N40" i="31"/>
  <c r="O40" i="31" s="1"/>
  <c r="N33" i="32"/>
  <c r="O33" i="32" s="1"/>
  <c r="AP15" i="37"/>
  <c r="AQ15" i="37" s="1"/>
  <c r="AN29" i="37"/>
  <c r="AI40" i="38"/>
  <c r="AJ40" i="38" s="1"/>
  <c r="AQ28" i="40"/>
  <c r="AI28" i="40"/>
  <c r="U26" i="11"/>
  <c r="AC26" i="11"/>
  <c r="AJ30" i="9"/>
  <c r="AB30" i="9"/>
  <c r="V37" i="41"/>
  <c r="N37" i="41"/>
  <c r="S36" i="41"/>
  <c r="AP41" i="40"/>
  <c r="AQ41" i="40" s="1"/>
  <c r="AI27" i="39"/>
  <c r="AQ27" i="39"/>
  <c r="AB21" i="39"/>
  <c r="AJ21" i="39"/>
  <c r="AI33" i="39"/>
  <c r="AQ33" i="39"/>
  <c r="AB32" i="39"/>
  <c r="AJ32" i="39"/>
  <c r="N38" i="38"/>
  <c r="V38" i="38"/>
  <c r="N45" i="37"/>
  <c r="O45" i="37" s="1"/>
  <c r="N47" i="37"/>
  <c r="O47" i="37" s="1"/>
  <c r="V47" i="37"/>
  <c r="S29" i="38"/>
  <c r="U15" i="38"/>
  <c r="AQ27" i="36"/>
  <c r="AI27" i="36"/>
  <c r="AP18" i="35"/>
  <c r="AI19" i="35"/>
  <c r="AJ19" i="35" s="1"/>
  <c r="AJ33" i="35"/>
  <c r="AB33" i="35"/>
  <c r="Z29" i="32"/>
  <c r="AB15" i="32"/>
  <c r="AC15" i="32" s="1"/>
  <c r="AP19" i="35"/>
  <c r="AQ19" i="35" s="1"/>
  <c r="AI24" i="30"/>
  <c r="AQ24" i="30"/>
  <c r="U16" i="33"/>
  <c r="AC16" i="33"/>
  <c r="N22" i="33"/>
  <c r="AB24" i="31"/>
  <c r="AJ24" i="31"/>
  <c r="AB41" i="31"/>
  <c r="AC41" i="31" s="1"/>
  <c r="AB36" i="32"/>
  <c r="AC36" i="32" s="1"/>
  <c r="V23" i="29"/>
  <c r="N23" i="29"/>
  <c r="AJ25" i="28"/>
  <c r="AB25" i="28"/>
  <c r="AI31" i="30"/>
  <c r="AQ31" i="30"/>
  <c r="AP43" i="30"/>
  <c r="AQ43" i="30" s="1"/>
  <c r="AB23" i="26"/>
  <c r="AJ23" i="26"/>
  <c r="AG32" i="27"/>
  <c r="AP32" i="27" s="1"/>
  <c r="O22" i="3"/>
  <c r="AI17" i="29"/>
  <c r="AQ17" i="29"/>
  <c r="AN29" i="29"/>
  <c r="AP15" i="29"/>
  <c r="AQ15" i="29" s="1"/>
  <c r="AI37" i="25"/>
  <c r="AQ37" i="25"/>
  <c r="N33" i="27"/>
  <c r="O33" i="27" s="1"/>
  <c r="V16" i="25"/>
  <c r="N16" i="25"/>
  <c r="AI46" i="26"/>
  <c r="AJ46" i="26" s="1"/>
  <c r="V18" i="41"/>
  <c r="N18" i="41"/>
  <c r="AC24" i="41"/>
  <c r="U24" i="41"/>
  <c r="AB50" i="40"/>
  <c r="AC50" i="40" s="1"/>
  <c r="N15" i="40"/>
  <c r="O15" i="40" s="1"/>
  <c r="L29" i="40"/>
  <c r="V15" i="40"/>
  <c r="AI34" i="40"/>
  <c r="AQ34" i="40"/>
  <c r="AQ35" i="40"/>
  <c r="AI35" i="40"/>
  <c r="F37" i="39"/>
  <c r="H37" i="39" s="1"/>
  <c r="H46" i="39"/>
  <c r="AI38" i="40"/>
  <c r="AQ38" i="40"/>
  <c r="AB46" i="39"/>
  <c r="AC46" i="39" s="1"/>
  <c r="AB17" i="40"/>
  <c r="AJ17" i="40"/>
  <c r="AB24" i="39"/>
  <c r="AJ24" i="39"/>
  <c r="AP20" i="39"/>
  <c r="AJ33" i="39"/>
  <c r="AB33" i="39"/>
  <c r="AI36" i="38"/>
  <c r="AJ36" i="38" s="1"/>
  <c r="AQ18" i="40"/>
  <c r="AI18" i="40"/>
  <c r="V27" i="38"/>
  <c r="N27" i="38"/>
  <c r="AI24" i="38"/>
  <c r="AQ24" i="38"/>
  <c r="N20" i="38"/>
  <c r="V20" i="38"/>
  <c r="N34" i="38"/>
  <c r="V34" i="38"/>
  <c r="AP19" i="38"/>
  <c r="AQ19" i="38" s="1"/>
  <c r="N40" i="37"/>
  <c r="O40" i="37" s="1"/>
  <c r="V46" i="37"/>
  <c r="N46" i="37"/>
  <c r="O46" i="37" s="1"/>
  <c r="Z43" i="37"/>
  <c r="L44" i="37"/>
  <c r="AP31" i="37"/>
  <c r="AQ46" i="37"/>
  <c r="AI46" i="37"/>
  <c r="AJ46" i="37" s="1"/>
  <c r="AP36" i="38"/>
  <c r="AQ36" i="38" s="1"/>
  <c r="U19" i="37"/>
  <c r="V19" i="37" s="1"/>
  <c r="AI45" i="36"/>
  <c r="AJ45" i="36" s="1"/>
  <c r="AQ45" i="36"/>
  <c r="AJ16" i="36"/>
  <c r="AB16" i="36"/>
  <c r="AJ30" i="38"/>
  <c r="AB30" i="38"/>
  <c r="AB19" i="37"/>
  <c r="AC19" i="37" s="1"/>
  <c r="AN29" i="38"/>
  <c r="AP15" i="38"/>
  <c r="AQ15" i="38" s="1"/>
  <c r="V50" i="37"/>
  <c r="N50" i="37"/>
  <c r="V20" i="36"/>
  <c r="N20" i="36"/>
  <c r="AC18" i="36"/>
  <c r="U18" i="36"/>
  <c r="U35" i="36"/>
  <c r="AC35" i="36"/>
  <c r="AC34" i="36"/>
  <c r="U34" i="36"/>
  <c r="AB41" i="35"/>
  <c r="AC41" i="35" s="1"/>
  <c r="H29" i="35"/>
  <c r="AN44" i="35"/>
  <c r="AP44" i="35" s="1"/>
  <c r="AI18" i="37"/>
  <c r="AQ18" i="37"/>
  <c r="N36" i="35"/>
  <c r="O36" i="35" s="1"/>
  <c r="AB45" i="36"/>
  <c r="AC45" i="36" s="1"/>
  <c r="AQ28" i="36"/>
  <c r="AI28" i="36"/>
  <c r="AC25" i="34"/>
  <c r="U25" i="34"/>
  <c r="V17" i="33"/>
  <c r="N17" i="33"/>
  <c r="Z43" i="32"/>
  <c r="U18" i="35"/>
  <c r="AC18" i="35"/>
  <c r="U26" i="33"/>
  <c r="AC26" i="33"/>
  <c r="AP38" i="34"/>
  <c r="AB45" i="34"/>
  <c r="AC45" i="34" s="1"/>
  <c r="H29" i="34"/>
  <c r="AJ31" i="33"/>
  <c r="AB31" i="33"/>
  <c r="AJ26" i="35"/>
  <c r="AB26" i="35"/>
  <c r="AB25" i="32"/>
  <c r="AJ25" i="32"/>
  <c r="AQ27" i="34"/>
  <c r="AI27" i="34"/>
  <c r="AP21" i="32"/>
  <c r="AQ33" i="32"/>
  <c r="AI33" i="32"/>
  <c r="O28" i="3"/>
  <c r="AJ20" i="32"/>
  <c r="AB20" i="32"/>
  <c r="N41" i="33"/>
  <c r="O41" i="33" s="1"/>
  <c r="AQ28" i="32"/>
  <c r="AI28" i="32"/>
  <c r="AP23" i="32"/>
  <c r="AI36" i="30"/>
  <c r="AJ36" i="30" s="1"/>
  <c r="AQ36" i="30"/>
  <c r="AC20" i="32"/>
  <c r="W26" i="3" s="1"/>
  <c r="U20" i="32"/>
  <c r="U43" i="30"/>
  <c r="V43" i="30" s="1"/>
  <c r="L29" i="31"/>
  <c r="N15" i="31"/>
  <c r="O15" i="31" s="1"/>
  <c r="H29" i="31"/>
  <c r="N40" i="29"/>
  <c r="O40" i="29" s="1"/>
  <c r="AB45" i="30"/>
  <c r="AC45" i="30" s="1"/>
  <c r="Z44" i="30"/>
  <c r="AI44" i="30" s="1"/>
  <c r="AQ15" i="30"/>
  <c r="AG29" i="30"/>
  <c r="AI15" i="30"/>
  <c r="AJ15" i="30" s="1"/>
  <c r="AQ19" i="32"/>
  <c r="AI19" i="32"/>
  <c r="AJ19" i="32" s="1"/>
  <c r="H44" i="34"/>
  <c r="AB19" i="30"/>
  <c r="AC19" i="30" s="1"/>
  <c r="AG44" i="28"/>
  <c r="AP44" i="27"/>
  <c r="AQ44" i="27" s="1"/>
  <c r="U34" i="26"/>
  <c r="V34" i="26" s="1"/>
  <c r="AC34" i="26"/>
  <c r="N31" i="29"/>
  <c r="V31" i="29"/>
  <c r="AC38" i="27"/>
  <c r="U38" i="27"/>
  <c r="O32" i="29"/>
  <c r="AI34" i="27"/>
  <c r="AQ34" i="27"/>
  <c r="M23" i="3"/>
  <c r="AI21" i="26"/>
  <c r="AQ21" i="26"/>
  <c r="AP43" i="26"/>
  <c r="AQ43" i="26" s="1"/>
  <c r="AG44" i="29"/>
  <c r="AC20" i="26"/>
  <c r="U20" i="26"/>
  <c r="U15" i="27"/>
  <c r="V15" i="27" s="1"/>
  <c r="S29" i="27"/>
  <c r="AP26" i="30"/>
  <c r="V38" i="26"/>
  <c r="N38" i="26"/>
  <c r="V37" i="28"/>
  <c r="N37" i="28"/>
  <c r="AC24" i="27"/>
  <c r="U24" i="27"/>
  <c r="U19" i="25"/>
  <c r="V19" i="25" s="1"/>
  <c r="G46" i="25"/>
  <c r="H46" i="25" s="1"/>
  <c r="AP22" i="27"/>
  <c r="AP32" i="26"/>
  <c r="AP33" i="24"/>
  <c r="N30" i="27"/>
  <c r="O30" i="27" s="1"/>
  <c r="V30" i="27"/>
  <c r="Y46" i="25"/>
  <c r="Z46" i="25" s="1"/>
  <c r="U45" i="26"/>
  <c r="V45" i="26" s="1"/>
  <c r="N44" i="24"/>
  <c r="O44" i="24" s="1"/>
  <c r="Z41" i="24"/>
  <c r="AI41" i="24" s="1"/>
  <c r="AB20" i="27"/>
  <c r="AJ20" i="27"/>
  <c r="N46" i="26"/>
  <c r="O46" i="26" s="1"/>
  <c r="AP47" i="23"/>
  <c r="AQ47" i="23" s="1"/>
  <c r="N22" i="26"/>
  <c r="V22" i="26"/>
  <c r="AP17" i="25"/>
  <c r="AC20" i="23"/>
  <c r="U20" i="23"/>
  <c r="AI20" i="22"/>
  <c r="AQ20" i="22"/>
  <c r="N32" i="23"/>
  <c r="O32" i="23" s="1"/>
  <c r="V32" i="23"/>
  <c r="V28" i="22"/>
  <c r="N28" i="22"/>
  <c r="AP32" i="21"/>
  <c r="V23" i="25"/>
  <c r="N23" i="25"/>
  <c r="U19" i="24"/>
  <c r="V19" i="24" s="1"/>
  <c r="AP27" i="23"/>
  <c r="AJ22" i="22"/>
  <c r="AB22" i="22"/>
  <c r="O46" i="21"/>
  <c r="AB44" i="23"/>
  <c r="AC44" i="23" s="1"/>
  <c r="AJ44" i="23"/>
  <c r="AI44" i="23"/>
  <c r="AQ18" i="22"/>
  <c r="AI18" i="22"/>
  <c r="N36" i="23"/>
  <c r="O36" i="23" s="1"/>
  <c r="AI27" i="21"/>
  <c r="AQ27" i="21"/>
  <c r="U43" i="22"/>
  <c r="Z29" i="21"/>
  <c r="AB15" i="21"/>
  <c r="AC15" i="21" s="1"/>
  <c r="S34" i="21"/>
  <c r="AB34" i="21" s="1"/>
  <c r="AJ46" i="20"/>
  <c r="AB46" i="20"/>
  <c r="AC46" i="20" s="1"/>
  <c r="V24" i="19"/>
  <c r="N24" i="19"/>
  <c r="AC32" i="22"/>
  <c r="U32" i="22"/>
  <c r="V32" i="22" s="1"/>
  <c r="V27" i="21"/>
  <c r="N27" i="21"/>
  <c r="AB36" i="19"/>
  <c r="AC36" i="19" s="1"/>
  <c r="AJ36" i="19"/>
  <c r="U45" i="19"/>
  <c r="V45" i="19" s="1"/>
  <c r="O44" i="18"/>
  <c r="AQ33" i="21"/>
  <c r="AI33" i="21"/>
  <c r="N34" i="20"/>
  <c r="O34" i="20" s="1"/>
  <c r="Z41" i="17"/>
  <c r="AI41" i="17" s="1"/>
  <c r="AI22" i="17"/>
  <c r="AQ22" i="17"/>
  <c r="AJ24" i="20"/>
  <c r="AB24" i="20"/>
  <c r="Z34" i="20"/>
  <c r="AJ17" i="24"/>
  <c r="AB17" i="24"/>
  <c r="AI46" i="20"/>
  <c r="AQ46" i="20"/>
  <c r="AQ19" i="17"/>
  <c r="AI19" i="17"/>
  <c r="AB42" i="23"/>
  <c r="AC42" i="23" s="1"/>
  <c r="AP18" i="21"/>
  <c r="N19" i="20"/>
  <c r="O19" i="20" s="1"/>
  <c r="AP27" i="18"/>
  <c r="AP18" i="17"/>
  <c r="AQ48" i="18"/>
  <c r="AI48" i="18"/>
  <c r="AJ48" i="18" s="1"/>
  <c r="AQ26" i="18"/>
  <c r="AI26" i="18"/>
  <c r="AJ27" i="19"/>
  <c r="AB27" i="19"/>
  <c r="AG39" i="17"/>
  <c r="O48" i="16"/>
  <c r="AP23" i="19"/>
  <c r="AC32" i="18"/>
  <c r="U32" i="18"/>
  <c r="V32" i="18" s="1"/>
  <c r="AP42" i="18"/>
  <c r="AQ42" i="18" s="1"/>
  <c r="AJ24" i="17"/>
  <c r="AB24" i="17"/>
  <c r="N46" i="17"/>
  <c r="O46" i="17" s="1"/>
  <c r="AQ23" i="17"/>
  <c r="AI23" i="17"/>
  <c r="AI32" i="18"/>
  <c r="AQ32" i="18"/>
  <c r="N18" i="17"/>
  <c r="V18" i="17"/>
  <c r="AB21" i="19"/>
  <c r="AJ21" i="19"/>
  <c r="AI27" i="17"/>
  <c r="AQ27" i="17"/>
  <c r="AJ43" i="16"/>
  <c r="AB43" i="16"/>
  <c r="AC43" i="16" s="1"/>
  <c r="AC19" i="16"/>
  <c r="U19" i="16"/>
  <c r="AI43" i="14"/>
  <c r="AJ43" i="14" s="1"/>
  <c r="AI47" i="17"/>
  <c r="AQ47" i="17"/>
  <c r="AJ26" i="15"/>
  <c r="AB26" i="15"/>
  <c r="N43" i="14"/>
  <c r="O43" i="14" s="1"/>
  <c r="U26" i="16"/>
  <c r="AC26" i="16"/>
  <c r="AC23" i="15"/>
  <c r="U23" i="15"/>
  <c r="N27" i="15"/>
  <c r="V27" i="15"/>
  <c r="AP24" i="16"/>
  <c r="Q37" i="37"/>
  <c r="S37" i="37" s="1"/>
  <c r="S35" i="15"/>
  <c r="AP38" i="14"/>
  <c r="AQ38" i="14" s="1"/>
  <c r="V48" i="15"/>
  <c r="N48" i="15"/>
  <c r="O48" i="15" s="1"/>
  <c r="H29" i="16"/>
  <c r="AC22" i="15"/>
  <c r="U22" i="15"/>
  <c r="V22" i="15" s="1"/>
  <c r="U27" i="11"/>
  <c r="AC27" i="11"/>
  <c r="AI23" i="12"/>
  <c r="AQ23" i="12"/>
  <c r="AI17" i="11"/>
  <c r="AQ17" i="11"/>
  <c r="AJ26" i="14"/>
  <c r="AB26" i="14"/>
  <c r="U19" i="14"/>
  <c r="AC19" i="14"/>
  <c r="U43" i="11"/>
  <c r="V43" i="11" s="1"/>
  <c r="AC24" i="10"/>
  <c r="U24" i="10"/>
  <c r="V27" i="13"/>
  <c r="N27" i="13"/>
  <c r="AC17" i="14"/>
  <c r="U17" i="14"/>
  <c r="Z29" i="12"/>
  <c r="AB15" i="12"/>
  <c r="AC15" i="12" s="1"/>
  <c r="AB47" i="14"/>
  <c r="AC47" i="14" s="1"/>
  <c r="AJ47" i="14"/>
  <c r="AI47" i="12"/>
  <c r="AJ47" i="12" s="1"/>
  <c r="AB41" i="12"/>
  <c r="AC41" i="12" s="1"/>
  <c r="AJ41" i="12"/>
  <c r="AP18" i="12"/>
  <c r="V18" i="10"/>
  <c r="N18" i="10"/>
  <c r="AC19" i="11"/>
  <c r="U19" i="11"/>
  <c r="AB33" i="10"/>
  <c r="AJ33" i="10"/>
  <c r="AI43" i="13"/>
  <c r="AJ43" i="13" s="1"/>
  <c r="AQ43" i="13"/>
  <c r="V47" i="11"/>
  <c r="N47" i="11"/>
  <c r="O47" i="11" s="1"/>
  <c r="AC31" i="9"/>
  <c r="U31" i="9"/>
  <c r="N34" i="12"/>
  <c r="O34" i="12" s="1"/>
  <c r="U38" i="11"/>
  <c r="V38" i="11" s="1"/>
  <c r="N42" i="12"/>
  <c r="O42" i="12" s="1"/>
  <c r="AJ23" i="14"/>
  <c r="AB23" i="14"/>
  <c r="U34" i="12"/>
  <c r="V34" i="12" s="1"/>
  <c r="V17" i="12"/>
  <c r="N17" i="12"/>
  <c r="O32" i="11"/>
  <c r="N32" i="9"/>
  <c r="O32" i="9" s="1"/>
  <c r="N48" i="10"/>
  <c r="V48" i="10"/>
  <c r="AI20" i="9"/>
  <c r="AQ20" i="9"/>
  <c r="AB21" i="11"/>
  <c r="AJ21" i="11"/>
  <c r="AI28" i="9"/>
  <c r="AQ28" i="9"/>
  <c r="AI23" i="9"/>
  <c r="AQ23" i="9"/>
  <c r="AP23" i="9"/>
  <c r="AQ38" i="41"/>
  <c r="AI38" i="41"/>
  <c r="AB44" i="40"/>
  <c r="AQ22" i="38"/>
  <c r="AI22" i="38"/>
  <c r="U25" i="33"/>
  <c r="AC25" i="33"/>
  <c r="AP34" i="33"/>
  <c r="AB16" i="33"/>
  <c r="AJ16" i="33"/>
  <c r="AC17" i="33"/>
  <c r="U17" i="33"/>
  <c r="AP23" i="33"/>
  <c r="AJ26" i="33"/>
  <c r="AB26" i="33"/>
  <c r="AI34" i="31"/>
  <c r="AQ34" i="31"/>
  <c r="O46" i="32"/>
  <c r="AP21" i="28"/>
  <c r="AQ17" i="25"/>
  <c r="AI17" i="25"/>
  <c r="AB45" i="27"/>
  <c r="AC45" i="27" s="1"/>
  <c r="N22" i="24"/>
  <c r="AC48" i="21"/>
  <c r="U48" i="21"/>
  <c r="V48" i="21" s="1"/>
  <c r="AJ23" i="23"/>
  <c r="AB23" i="23"/>
  <c r="AQ48" i="21"/>
  <c r="AI48" i="21"/>
  <c r="U40" i="27"/>
  <c r="V40" i="27" s="1"/>
  <c r="AC40" i="27"/>
  <c r="AQ33" i="19"/>
  <c r="AI33" i="19"/>
  <c r="N36" i="21"/>
  <c r="O36" i="21" s="1"/>
  <c r="AJ31" i="27"/>
  <c r="AB31" i="27"/>
  <c r="U25" i="19"/>
  <c r="AC25" i="19"/>
  <c r="U31" i="22"/>
  <c r="AC31" i="22"/>
  <c r="AC24" i="35"/>
  <c r="U24" i="35"/>
  <c r="U35" i="10"/>
  <c r="V35" i="10" s="1"/>
  <c r="AC35" i="10"/>
  <c r="AB35" i="10"/>
  <c r="V48" i="12"/>
  <c r="N48" i="12"/>
  <c r="U43" i="13"/>
  <c r="V43" i="13" s="1"/>
  <c r="AB26" i="12"/>
  <c r="AJ26" i="12"/>
  <c r="AP15" i="10"/>
  <c r="AN29" i="10"/>
  <c r="U25" i="14"/>
  <c r="AC25" i="14"/>
  <c r="AQ21" i="15"/>
  <c r="AI21" i="15"/>
  <c r="R8" i="3"/>
  <c r="AQ28" i="20"/>
  <c r="AI28" i="20"/>
  <c r="AI23" i="23"/>
  <c r="AQ23" i="23"/>
  <c r="N34" i="26"/>
  <c r="AB36" i="28"/>
  <c r="AC36" i="28" s="1"/>
  <c r="AJ36" i="28"/>
  <c r="AB17" i="29"/>
  <c r="AJ17" i="29"/>
  <c r="AQ25" i="33"/>
  <c r="AI25" i="33"/>
  <c r="AB26" i="36"/>
  <c r="AJ26" i="36"/>
  <c r="AJ21" i="34"/>
  <c r="AB21" i="34"/>
  <c r="U45" i="35"/>
  <c r="V45" i="35" s="1"/>
  <c r="AI20" i="37"/>
  <c r="AQ20" i="37"/>
  <c r="O30" i="39"/>
  <c r="N41" i="9"/>
  <c r="AB24" i="10"/>
  <c r="AJ24" i="10"/>
  <c r="U15" i="9"/>
  <c r="V15" i="9" s="1"/>
  <c r="S29" i="9"/>
  <c r="AC15" i="9"/>
  <c r="N19" i="12"/>
  <c r="V19" i="12"/>
  <c r="AQ33" i="41"/>
  <c r="AI33" i="41"/>
  <c r="U16" i="40"/>
  <c r="AC16" i="40"/>
  <c r="N50" i="40"/>
  <c r="O50" i="40" s="1"/>
  <c r="O40" i="40"/>
  <c r="N19" i="39"/>
  <c r="O19" i="39" s="1"/>
  <c r="AJ18" i="38"/>
  <c r="AB18" i="38"/>
  <c r="AB22" i="38"/>
  <c r="AJ22" i="38"/>
  <c r="AF46" i="36"/>
  <c r="AG46" i="36" s="1"/>
  <c r="AF44" i="36"/>
  <c r="AG44" i="36" s="1"/>
  <c r="AG43" i="36"/>
  <c r="N28" i="37"/>
  <c r="V28" i="37"/>
  <c r="AB25" i="36"/>
  <c r="AJ25" i="36"/>
  <c r="S29" i="36"/>
  <c r="U15" i="36"/>
  <c r="V15" i="36" s="1"/>
  <c r="AB38" i="35"/>
  <c r="AJ38" i="35"/>
  <c r="AI16" i="35"/>
  <c r="AQ16" i="35"/>
  <c r="U17" i="37"/>
  <c r="AC17" i="37"/>
  <c r="N32" i="34"/>
  <c r="O32" i="34" s="1"/>
  <c r="V32" i="34"/>
  <c r="AQ27" i="35"/>
  <c r="AI27" i="35"/>
  <c r="AC35" i="33"/>
  <c r="U35" i="33"/>
  <c r="AB45" i="35"/>
  <c r="AC45" i="35" s="1"/>
  <c r="AG43" i="34"/>
  <c r="AF46" i="34"/>
  <c r="AG46" i="34" s="1"/>
  <c r="AF44" i="34"/>
  <c r="AG44" i="34" s="1"/>
  <c r="AQ23" i="32"/>
  <c r="AI23" i="32"/>
  <c r="V25" i="31"/>
  <c r="N25" i="31"/>
  <c r="AQ21" i="32"/>
  <c r="AI21" i="32"/>
  <c r="V18" i="32"/>
  <c r="N18" i="32"/>
  <c r="AC37" i="28"/>
  <c r="U37" i="28"/>
  <c r="AB37" i="28"/>
  <c r="AI33" i="29"/>
  <c r="AQ33" i="29"/>
  <c r="AC33" i="29"/>
  <c r="U33" i="29"/>
  <c r="V33" i="29" s="1"/>
  <c r="AI41" i="27"/>
  <c r="AJ41" i="27" s="1"/>
  <c r="AQ41" i="27"/>
  <c r="AB47" i="23"/>
  <c r="AC47" i="23" s="1"/>
  <c r="U40" i="29"/>
  <c r="V40" i="29" s="1"/>
  <c r="AI32" i="41"/>
  <c r="AJ23" i="41"/>
  <c r="AB23" i="41"/>
  <c r="U23" i="41"/>
  <c r="AC23" i="41"/>
  <c r="U16" i="41"/>
  <c r="AC16" i="41"/>
  <c r="V26" i="40"/>
  <c r="N26" i="40"/>
  <c r="U36" i="40"/>
  <c r="AC36" i="40"/>
  <c r="AP38" i="41"/>
  <c r="AP17" i="41"/>
  <c r="AC25" i="40"/>
  <c r="U25" i="40"/>
  <c r="U33" i="40"/>
  <c r="V33" i="40" s="1"/>
  <c r="AC33" i="40"/>
  <c r="N33" i="40"/>
  <c r="O33" i="40" s="1"/>
  <c r="AB19" i="40"/>
  <c r="AC19" i="40" s="1"/>
  <c r="V16" i="40"/>
  <c r="N16" i="40"/>
  <c r="AI43" i="39"/>
  <c r="AJ43" i="39" s="1"/>
  <c r="AI45" i="39"/>
  <c r="AJ45" i="39" s="1"/>
  <c r="AC20" i="39"/>
  <c r="U20" i="39"/>
  <c r="AC40" i="39"/>
  <c r="U40" i="39"/>
  <c r="V40" i="39" s="1"/>
  <c r="O33" i="39"/>
  <c r="AB30" i="39"/>
  <c r="AJ30" i="39"/>
  <c r="AJ26" i="38"/>
  <c r="AB26" i="38"/>
  <c r="U18" i="38"/>
  <c r="AC18" i="38"/>
  <c r="N19" i="38"/>
  <c r="O19" i="38" s="1"/>
  <c r="AJ18" i="39"/>
  <c r="AB18" i="39"/>
  <c r="S44" i="37"/>
  <c r="AI41" i="37"/>
  <c r="AJ41" i="37" s="1"/>
  <c r="AI19" i="37"/>
  <c r="AJ19" i="37" s="1"/>
  <c r="O32" i="37"/>
  <c r="N37" i="37"/>
  <c r="O37" i="37" s="1"/>
  <c r="AB19" i="38"/>
  <c r="AC19" i="38" s="1"/>
  <c r="V49" i="37"/>
  <c r="N49" i="37"/>
  <c r="O49" i="37" s="1"/>
  <c r="AI40" i="35"/>
  <c r="AJ40" i="35" s="1"/>
  <c r="O19" i="36"/>
  <c r="AQ16" i="36"/>
  <c r="AI16" i="36"/>
  <c r="AB30" i="36"/>
  <c r="AJ30" i="36"/>
  <c r="AP27" i="36"/>
  <c r="AP36" i="34"/>
  <c r="AQ36" i="34" s="1"/>
  <c r="U18" i="37"/>
  <c r="AC18" i="37"/>
  <c r="U37" i="35"/>
  <c r="AC37" i="35"/>
  <c r="AP34" i="35"/>
  <c r="N20" i="34"/>
  <c r="V20" i="34"/>
  <c r="AC20" i="36"/>
  <c r="U20" i="36"/>
  <c r="AI21" i="34"/>
  <c r="AQ21" i="34"/>
  <c r="AQ41" i="34"/>
  <c r="AI41" i="34"/>
  <c r="AJ41" i="34" s="1"/>
  <c r="O19" i="34"/>
  <c r="V28" i="34"/>
  <c r="N28" i="34"/>
  <c r="AB21" i="32"/>
  <c r="AJ21" i="32"/>
  <c r="U34" i="35"/>
  <c r="AC34" i="35"/>
  <c r="AQ35" i="34"/>
  <c r="AI35" i="34"/>
  <c r="N36" i="32"/>
  <c r="O36" i="32" s="1"/>
  <c r="AJ21" i="35"/>
  <c r="AB21" i="35"/>
  <c r="AQ22" i="32"/>
  <c r="AI22" i="32"/>
  <c r="R28" i="3"/>
  <c r="AI20" i="32"/>
  <c r="AQ20" i="32"/>
  <c r="AP24" i="32"/>
  <c r="AB17" i="36"/>
  <c r="AJ17" i="36"/>
  <c r="AI17" i="33"/>
  <c r="AQ17" i="33"/>
  <c r="U22" i="32"/>
  <c r="V22" i="32" s="1"/>
  <c r="AC22" i="32"/>
  <c r="H44" i="35"/>
  <c r="N44" i="35" s="1"/>
  <c r="AJ28" i="34"/>
  <c r="AB28" i="34"/>
  <c r="AB15" i="31"/>
  <c r="AC15" i="31" s="1"/>
  <c r="Z29" i="31"/>
  <c r="AJ16" i="32"/>
  <c r="AB16" i="32"/>
  <c r="N36" i="31"/>
  <c r="O36" i="31" s="1"/>
  <c r="N41" i="30"/>
  <c r="O41" i="30" s="1"/>
  <c r="AP27" i="30"/>
  <c r="AB35" i="32"/>
  <c r="AJ35" i="32"/>
  <c r="L46" i="30"/>
  <c r="AJ32" i="30"/>
  <c r="AB32" i="30"/>
  <c r="AP46" i="30"/>
  <c r="AQ46" i="30" s="1"/>
  <c r="AJ18" i="32"/>
  <c r="AB18" i="32"/>
  <c r="AP23" i="31"/>
  <c r="AB46" i="30"/>
  <c r="AC46" i="30" s="1"/>
  <c r="S29" i="30"/>
  <c r="U15" i="30"/>
  <c r="V15" i="30" s="1"/>
  <c r="N19" i="29"/>
  <c r="O19" i="29" s="1"/>
  <c r="AI41" i="33"/>
  <c r="AJ41" i="33" s="1"/>
  <c r="AB45" i="29"/>
  <c r="AC45" i="29" s="1"/>
  <c r="AJ45" i="29"/>
  <c r="AP16" i="28"/>
  <c r="AJ37" i="31"/>
  <c r="AB37" i="31"/>
  <c r="AI46" i="28"/>
  <c r="AJ46" i="28" s="1"/>
  <c r="AP41" i="30"/>
  <c r="AQ41" i="30" s="1"/>
  <c r="AI41" i="28"/>
  <c r="AJ41" i="28" s="1"/>
  <c r="U19" i="29"/>
  <c r="V19" i="29" s="1"/>
  <c r="U36" i="29"/>
  <c r="V36" i="29" s="1"/>
  <c r="AC37" i="31"/>
  <c r="U37" i="31"/>
  <c r="S43" i="31"/>
  <c r="AI30" i="29"/>
  <c r="AQ30" i="29"/>
  <c r="AC28" i="27"/>
  <c r="U28" i="27"/>
  <c r="AB31" i="29"/>
  <c r="AJ31" i="29"/>
  <c r="AJ33" i="26"/>
  <c r="AB33" i="26"/>
  <c r="AP37" i="26"/>
  <c r="AQ34" i="28"/>
  <c r="AI34" i="28"/>
  <c r="U18" i="26"/>
  <c r="AC18" i="26"/>
  <c r="AI28" i="28"/>
  <c r="AQ28" i="28"/>
  <c r="N28" i="26"/>
  <c r="V28" i="26"/>
  <c r="AF43" i="25"/>
  <c r="AG43" i="25" s="1"/>
  <c r="N23" i="32"/>
  <c r="V23" i="32"/>
  <c r="V31" i="26"/>
  <c r="N31" i="26"/>
  <c r="AN43" i="29"/>
  <c r="AI35" i="24"/>
  <c r="AJ35" i="24" s="1"/>
  <c r="AQ35" i="24"/>
  <c r="AP35" i="24"/>
  <c r="Z34" i="24"/>
  <c r="AI34" i="24" s="1"/>
  <c r="U19" i="27"/>
  <c r="V19" i="27" s="1"/>
  <c r="V37" i="26"/>
  <c r="N37" i="26"/>
  <c r="AI34" i="23"/>
  <c r="AJ34" i="23" s="1"/>
  <c r="AI35" i="27"/>
  <c r="AQ35" i="27"/>
  <c r="P23" i="3"/>
  <c r="P25" i="3" s="1"/>
  <c r="AB16" i="25"/>
  <c r="AJ16" i="25"/>
  <c r="AB25" i="23"/>
  <c r="AJ25" i="23"/>
  <c r="U43" i="24"/>
  <c r="V43" i="24" s="1"/>
  <c r="N39" i="24"/>
  <c r="O39" i="24" s="1"/>
  <c r="AP41" i="21"/>
  <c r="AQ41" i="21" s="1"/>
  <c r="AJ31" i="25"/>
  <c r="AB31" i="25"/>
  <c r="AB36" i="23"/>
  <c r="AC20" i="22"/>
  <c r="U20" i="22"/>
  <c r="AQ34" i="24"/>
  <c r="AQ32" i="23"/>
  <c r="AI32" i="23"/>
  <c r="AI21" i="25"/>
  <c r="AQ21" i="25"/>
  <c r="AI28" i="26"/>
  <c r="AQ28" i="26"/>
  <c r="AB27" i="23"/>
  <c r="AJ27" i="23"/>
  <c r="N17" i="23"/>
  <c r="V17" i="23"/>
  <c r="AJ45" i="21"/>
  <c r="AB45" i="21"/>
  <c r="AC45" i="21" s="1"/>
  <c r="U39" i="23"/>
  <c r="V39" i="23" s="1"/>
  <c r="V17" i="22"/>
  <c r="N17" i="22"/>
  <c r="AJ25" i="25"/>
  <c r="AB25" i="25"/>
  <c r="AN34" i="23"/>
  <c r="AP34" i="23" s="1"/>
  <c r="AQ34" i="23" s="1"/>
  <c r="N35" i="23"/>
  <c r="O35" i="23" s="1"/>
  <c r="AB30" i="23"/>
  <c r="AJ30" i="23"/>
  <c r="H29" i="21"/>
  <c r="V32" i="21"/>
  <c r="N32" i="21"/>
  <c r="O32" i="21" s="1"/>
  <c r="AP45" i="20"/>
  <c r="AQ45" i="20" s="1"/>
  <c r="AC44" i="19"/>
  <c r="U44" i="19"/>
  <c r="V44" i="19" s="1"/>
  <c r="AP41" i="18"/>
  <c r="AQ41" i="18" s="1"/>
  <c r="AC33" i="21"/>
  <c r="U33" i="21"/>
  <c r="AB33" i="20"/>
  <c r="AJ33" i="20"/>
  <c r="U48" i="22"/>
  <c r="V48" i="22" s="1"/>
  <c r="U48" i="20"/>
  <c r="V48" i="20" s="1"/>
  <c r="N19" i="24"/>
  <c r="O19" i="24" s="1"/>
  <c r="N20" i="22"/>
  <c r="V20" i="22"/>
  <c r="AB47" i="20"/>
  <c r="AP19" i="20"/>
  <c r="AQ19" i="20" s="1"/>
  <c r="Z39" i="20"/>
  <c r="AJ47" i="19"/>
  <c r="AB47" i="19"/>
  <c r="AC47" i="19" s="1"/>
  <c r="U35" i="21"/>
  <c r="V35" i="21" s="1"/>
  <c r="AC35" i="21"/>
  <c r="V24" i="18"/>
  <c r="N24" i="18"/>
  <c r="AP16" i="17"/>
  <c r="U47" i="18"/>
  <c r="V47" i="18" s="1"/>
  <c r="AC47" i="18"/>
  <c r="AC23" i="21"/>
  <c r="U23" i="21"/>
  <c r="U36" i="18"/>
  <c r="V36" i="18" s="1"/>
  <c r="AC36" i="18"/>
  <c r="O43" i="17"/>
  <c r="U38" i="19"/>
  <c r="V38" i="19" s="1"/>
  <c r="N25" i="19"/>
  <c r="V25" i="19"/>
  <c r="N44" i="18"/>
  <c r="AP47" i="16"/>
  <c r="AQ47" i="16" s="1"/>
  <c r="N39" i="19"/>
  <c r="O39" i="19" s="1"/>
  <c r="AP16" i="19"/>
  <c r="AI22" i="19"/>
  <c r="AQ22" i="19"/>
  <c r="N16" i="18"/>
  <c r="V16" i="18"/>
  <c r="AI20" i="17"/>
  <c r="AQ20" i="17"/>
  <c r="V17" i="20"/>
  <c r="N17" i="20"/>
  <c r="Z39" i="19"/>
  <c r="AI39" i="19" s="1"/>
  <c r="AI39" i="18"/>
  <c r="AQ39" i="18"/>
  <c r="AQ16" i="18"/>
  <c r="AI16" i="18"/>
  <c r="AQ24" i="19"/>
  <c r="AI24" i="19"/>
  <c r="AQ31" i="18"/>
  <c r="AI31" i="18"/>
  <c r="V17" i="17"/>
  <c r="N17" i="17"/>
  <c r="AI38" i="14"/>
  <c r="AJ38" i="14" s="1"/>
  <c r="AB48" i="17"/>
  <c r="AP17" i="17"/>
  <c r="N28" i="15"/>
  <c r="V28" i="15"/>
  <c r="AP21" i="15"/>
  <c r="Z29" i="16"/>
  <c r="AB15" i="16"/>
  <c r="AC15" i="16" s="1"/>
  <c r="N23" i="15"/>
  <c r="V23" i="15"/>
  <c r="N30" i="14"/>
  <c r="O30" i="14" s="1"/>
  <c r="V28" i="14"/>
  <c r="N28" i="14"/>
  <c r="U44" i="14"/>
  <c r="V44" i="14" s="1"/>
  <c r="AC44" i="14"/>
  <c r="AB44" i="14"/>
  <c r="AB34" i="13"/>
  <c r="AC34" i="13" s="1"/>
  <c r="V25" i="16"/>
  <c r="N25" i="16"/>
  <c r="AI41" i="13"/>
  <c r="AJ41" i="13" s="1"/>
  <c r="AI36" i="13"/>
  <c r="AJ36" i="13" s="1"/>
  <c r="AQ36" i="13"/>
  <c r="V28" i="16"/>
  <c r="N28" i="16"/>
  <c r="U22" i="14"/>
  <c r="V22" i="14" s="1"/>
  <c r="AC22" i="14"/>
  <c r="AQ32" i="11"/>
  <c r="AI32" i="11"/>
  <c r="AQ17" i="14"/>
  <c r="AI17" i="14"/>
  <c r="AP47" i="12"/>
  <c r="AQ47" i="12" s="1"/>
  <c r="AQ25" i="13"/>
  <c r="AI25" i="13"/>
  <c r="S41" i="10"/>
  <c r="AB41" i="10" s="1"/>
  <c r="AI16" i="14"/>
  <c r="AQ16" i="14"/>
  <c r="U48" i="14"/>
  <c r="V48" i="14" s="1"/>
  <c r="AP42" i="12"/>
  <c r="AQ42" i="12" s="1"/>
  <c r="AJ47" i="13"/>
  <c r="AB47" i="13"/>
  <c r="AC47" i="13" s="1"/>
  <c r="AP38" i="12"/>
  <c r="AQ38" i="12" s="1"/>
  <c r="AQ17" i="12"/>
  <c r="AI17" i="12"/>
  <c r="AC17" i="10"/>
  <c r="U17" i="10"/>
  <c r="AJ27" i="10"/>
  <c r="AB27" i="10"/>
  <c r="AP42" i="9"/>
  <c r="AQ42" i="9" s="1"/>
  <c r="N43" i="11"/>
  <c r="O43" i="11" s="1"/>
  <c r="N26" i="9"/>
  <c r="V26" i="9"/>
  <c r="AJ30" i="10"/>
  <c r="AB30" i="10"/>
  <c r="AC24" i="11"/>
  <c r="U24" i="11"/>
  <c r="AI39" i="13"/>
  <c r="AQ39" i="13"/>
  <c r="AI27" i="14"/>
  <c r="AQ27" i="14"/>
  <c r="V26" i="13"/>
  <c r="N26" i="13"/>
  <c r="AG29" i="10"/>
  <c r="AQ15" i="10"/>
  <c r="AI15" i="10"/>
  <c r="AJ15" i="10" s="1"/>
  <c r="U31" i="13"/>
  <c r="AC31" i="13"/>
  <c r="AB39" i="13"/>
  <c r="AC39" i="13" s="1"/>
  <c r="AJ39" i="13"/>
  <c r="U23" i="11"/>
  <c r="AC23" i="11"/>
  <c r="U20" i="13"/>
  <c r="AC20" i="13"/>
  <c r="AB21" i="12"/>
  <c r="AJ21" i="12"/>
  <c r="AC20" i="15"/>
  <c r="U20" i="15"/>
  <c r="AB38" i="14"/>
  <c r="AC38" i="14" s="1"/>
  <c r="AJ21" i="16"/>
  <c r="AB21" i="16"/>
  <c r="U19" i="17"/>
  <c r="AC19" i="17"/>
  <c r="N26" i="15"/>
  <c r="V26" i="15"/>
  <c r="AI22" i="20"/>
  <c r="AQ22" i="20"/>
  <c r="AB43" i="18"/>
  <c r="AC43" i="18" s="1"/>
  <c r="AB42" i="20"/>
  <c r="AC42" i="20" s="1"/>
  <c r="U17" i="19"/>
  <c r="AC17" i="19"/>
  <c r="AJ16" i="19"/>
  <c r="AB16" i="19"/>
  <c r="U20" i="21"/>
  <c r="AC20" i="21"/>
  <c r="AP20" i="22"/>
  <c r="AQ26" i="21"/>
  <c r="AI26" i="21"/>
  <c r="N24" i="20"/>
  <c r="V24" i="20"/>
  <c r="AI32" i="24"/>
  <c r="AQ32" i="24"/>
  <c r="AI27" i="24"/>
  <c r="AQ27" i="24"/>
  <c r="N22" i="21"/>
  <c r="V22" i="21"/>
  <c r="AC23" i="26"/>
  <c r="U23" i="26"/>
  <c r="AB30" i="26"/>
  <c r="AJ30" i="26"/>
  <c r="AB21" i="22"/>
  <c r="AJ21" i="22"/>
  <c r="AJ41" i="22"/>
  <c r="N28" i="24"/>
  <c r="V28" i="24"/>
  <c r="AQ28" i="25"/>
  <c r="AI28" i="25"/>
  <c r="N20" i="27"/>
  <c r="V20" i="27"/>
  <c r="H29" i="29"/>
  <c r="AB40" i="31"/>
  <c r="AC40" i="31" s="1"/>
  <c r="AQ18" i="33"/>
  <c r="AI18" i="33"/>
  <c r="AJ25" i="29"/>
  <c r="AB25" i="29"/>
  <c r="AI40" i="33"/>
  <c r="AJ40" i="33" s="1"/>
  <c r="AQ40" i="33"/>
  <c r="AC28" i="31"/>
  <c r="U28" i="31"/>
  <c r="U24" i="32"/>
  <c r="AC24" i="32"/>
  <c r="AJ22" i="32"/>
  <c r="AB22" i="32"/>
  <c r="AP45" i="30"/>
  <c r="AQ45" i="30" s="1"/>
  <c r="AQ34" i="32"/>
  <c r="AI34" i="32"/>
  <c r="Q28" i="3"/>
  <c r="N15" i="32"/>
  <c r="O15" i="32" s="1"/>
  <c r="L29" i="32"/>
  <c r="N38" i="33"/>
  <c r="V38" i="33"/>
  <c r="N45" i="33"/>
  <c r="O45" i="33" s="1"/>
  <c r="V45" i="33"/>
  <c r="AQ23" i="34"/>
  <c r="AI23" i="34"/>
  <c r="U40" i="35"/>
  <c r="V40" i="35" s="1"/>
  <c r="AC30" i="36"/>
  <c r="U30" i="36"/>
  <c r="V30" i="36" s="1"/>
  <c r="N22" i="36"/>
  <c r="AI45" i="35"/>
  <c r="AJ45" i="35" s="1"/>
  <c r="AQ45" i="35"/>
  <c r="N28" i="35"/>
  <c r="V28" i="35"/>
  <c r="AI23" i="36"/>
  <c r="AQ23" i="36"/>
  <c r="N26" i="36"/>
  <c r="V26" i="36"/>
  <c r="AQ40" i="36"/>
  <c r="AI40" i="36"/>
  <c r="AJ40" i="36" s="1"/>
  <c r="AB41" i="37"/>
  <c r="AC41" i="37" s="1"/>
  <c r="AJ41" i="36"/>
  <c r="AB41" i="36"/>
  <c r="AC41" i="36" s="1"/>
  <c r="U22" i="37"/>
  <c r="V22" i="37" s="1"/>
  <c r="AC22" i="37"/>
  <c r="N22" i="37"/>
  <c r="N15" i="38"/>
  <c r="O15" i="38" s="1"/>
  <c r="V15" i="38"/>
  <c r="L29" i="38"/>
  <c r="N41" i="39"/>
  <c r="O41" i="39" s="1"/>
  <c r="AQ45" i="38"/>
  <c r="AI45" i="38"/>
  <c r="AJ45" i="38" s="1"/>
  <c r="AQ26" i="40"/>
  <c r="AI26" i="40"/>
  <c r="AI22" i="39"/>
  <c r="AQ22" i="39"/>
  <c r="N36" i="40"/>
  <c r="O36" i="40" s="1"/>
  <c r="V36" i="40"/>
  <c r="AP24" i="41"/>
  <c r="AP30" i="41"/>
  <c r="AJ38" i="40"/>
  <c r="AB38" i="40"/>
  <c r="AP19" i="14"/>
  <c r="N31" i="9"/>
  <c r="V31" i="9"/>
  <c r="AB38" i="11"/>
  <c r="AC38" i="11" s="1"/>
  <c r="N19" i="10"/>
  <c r="V19" i="10"/>
  <c r="U47" i="10"/>
  <c r="AP24" i="12"/>
  <c r="AQ21" i="11"/>
  <c r="AI21" i="11"/>
  <c r="AC27" i="9"/>
  <c r="U27" i="9"/>
  <c r="AB17" i="9"/>
  <c r="AJ17" i="9"/>
  <c r="AI17" i="9"/>
  <c r="AI33" i="40"/>
  <c r="AQ33" i="40"/>
  <c r="AB27" i="36"/>
  <c r="AJ27" i="36"/>
  <c r="AJ26" i="30"/>
  <c r="AB26" i="30"/>
  <c r="AQ26" i="28"/>
  <c r="AI26" i="28"/>
  <c r="N30" i="28"/>
  <c r="O30" i="28" s="1"/>
  <c r="AB41" i="25"/>
  <c r="AC41" i="25" s="1"/>
  <c r="AJ21" i="25"/>
  <c r="AB21" i="25"/>
  <c r="AC21" i="25" s="1"/>
  <c r="U21" i="25"/>
  <c r="N23" i="22"/>
  <c r="V23" i="22"/>
  <c r="N30" i="18"/>
  <c r="O30" i="18" s="1"/>
  <c r="AJ18" i="20"/>
  <c r="AB18" i="20"/>
  <c r="AI16" i="19"/>
  <c r="AQ16" i="19"/>
  <c r="AB32" i="19"/>
  <c r="AJ32" i="19"/>
  <c r="AI17" i="17"/>
  <c r="AQ17" i="17"/>
  <c r="AJ24" i="18"/>
  <c r="AB24" i="18"/>
  <c r="U38" i="16"/>
  <c r="V38" i="16" s="1"/>
  <c r="AI36" i="16"/>
  <c r="AJ36" i="16" s="1"/>
  <c r="Z41" i="15"/>
  <c r="AI41" i="15" s="1"/>
  <c r="N30" i="16"/>
  <c r="O30" i="16" s="1"/>
  <c r="V30" i="10"/>
  <c r="N30" i="10"/>
  <c r="O30" i="10" s="1"/>
  <c r="O48" i="14"/>
  <c r="AI30" i="12"/>
  <c r="AQ30" i="12"/>
  <c r="N43" i="10"/>
  <c r="O43" i="10" s="1"/>
  <c r="AP38" i="10"/>
  <c r="AQ38" i="10" s="1"/>
  <c r="AQ28" i="21"/>
  <c r="AI28" i="21"/>
  <c r="N27" i="26"/>
  <c r="V27" i="26"/>
  <c r="AQ17" i="35"/>
  <c r="AI17" i="35"/>
  <c r="AJ22" i="40"/>
  <c r="AB22" i="40"/>
  <c r="V23" i="41"/>
  <c r="N23" i="41"/>
  <c r="V28" i="38"/>
  <c r="N28" i="38"/>
  <c r="U34" i="30"/>
  <c r="V34" i="30" s="1"/>
  <c r="AC34" i="30"/>
  <c r="AC18" i="30"/>
  <c r="U18" i="30"/>
  <c r="AC34" i="28"/>
  <c r="U34" i="28"/>
  <c r="V34" i="28" s="1"/>
  <c r="AB16" i="26"/>
  <c r="AJ16" i="26"/>
  <c r="AI30" i="28"/>
  <c r="AQ30" i="28"/>
  <c r="AQ18" i="29"/>
  <c r="AI18" i="29"/>
  <c r="AI43" i="26"/>
  <c r="AJ43" i="26" s="1"/>
  <c r="AJ21" i="24"/>
  <c r="AB21" i="24"/>
  <c r="N38" i="23"/>
  <c r="O38" i="23" s="1"/>
  <c r="AQ20" i="25"/>
  <c r="AI20" i="25"/>
  <c r="O48" i="19"/>
  <c r="AC22" i="23"/>
  <c r="U22" i="23"/>
  <c r="V22" i="23" s="1"/>
  <c r="AJ28" i="20"/>
  <c r="AB28" i="20"/>
  <c r="U43" i="20"/>
  <c r="V43" i="20" s="1"/>
  <c r="AJ20" i="15"/>
  <c r="AB20" i="15"/>
  <c r="O35" i="12"/>
  <c r="AQ22" i="13"/>
  <c r="AI22" i="13"/>
  <c r="V16" i="12"/>
  <c r="N16" i="12"/>
  <c r="AI36" i="9"/>
  <c r="AJ36" i="9" s="1"/>
  <c r="U18" i="12"/>
  <c r="AC18" i="12"/>
  <c r="AJ23" i="16"/>
  <c r="AB23" i="16"/>
  <c r="AP25" i="15"/>
  <c r="N40" i="26"/>
  <c r="O40" i="26" s="1"/>
  <c r="AP20" i="30"/>
  <c r="AJ19" i="41"/>
  <c r="AB19" i="41"/>
  <c r="AC19" i="41" s="1"/>
  <c r="AB37" i="41"/>
  <c r="AC37" i="41" s="1"/>
  <c r="U19" i="41"/>
  <c r="V19" i="41" s="1"/>
  <c r="AI36" i="40"/>
  <c r="AJ36" i="40" s="1"/>
  <c r="AQ36" i="40"/>
  <c r="AB45" i="38"/>
  <c r="AC45" i="38" s="1"/>
  <c r="N23" i="39"/>
  <c r="V23" i="39"/>
  <c r="AJ16" i="37"/>
  <c r="AB16" i="37"/>
  <c r="Z36" i="41"/>
  <c r="O48" i="41"/>
  <c r="AB48" i="40"/>
  <c r="AC48" i="40" s="1"/>
  <c r="AJ48" i="40"/>
  <c r="V49" i="41"/>
  <c r="N49" i="41"/>
  <c r="O49" i="41" s="1"/>
  <c r="AB37" i="40"/>
  <c r="AJ37" i="40"/>
  <c r="AI45" i="41"/>
  <c r="AJ45" i="41" s="1"/>
  <c r="AQ45" i="41"/>
  <c r="AJ34" i="41"/>
  <c r="AB34" i="41"/>
  <c r="AI20" i="41"/>
  <c r="AQ20" i="41"/>
  <c r="U23" i="40"/>
  <c r="AC23" i="40"/>
  <c r="N31" i="40"/>
  <c r="V31" i="40"/>
  <c r="AQ40" i="39"/>
  <c r="AI40" i="39"/>
  <c r="AJ40" i="39" s="1"/>
  <c r="O41" i="40"/>
  <c r="U36" i="39"/>
  <c r="V36" i="39" s="1"/>
  <c r="AI44" i="39"/>
  <c r="AC17" i="40"/>
  <c r="U17" i="40"/>
  <c r="AB40" i="38"/>
  <c r="AC40" i="38" s="1"/>
  <c r="Z29" i="39"/>
  <c r="AB15" i="39"/>
  <c r="AC15" i="39" s="1"/>
  <c r="AJ22" i="39"/>
  <c r="AB22" i="39"/>
  <c r="AP17" i="39"/>
  <c r="AC26" i="38"/>
  <c r="U26" i="38"/>
  <c r="U34" i="37"/>
  <c r="AC34" i="37"/>
  <c r="AJ37" i="37"/>
  <c r="AB37" i="37"/>
  <c r="AQ32" i="37"/>
  <c r="AI32" i="37"/>
  <c r="AQ22" i="37"/>
  <c r="AI22" i="37"/>
  <c r="U27" i="37"/>
  <c r="AC27" i="37"/>
  <c r="U36" i="38"/>
  <c r="V36" i="38" s="1"/>
  <c r="U41" i="36"/>
  <c r="V41" i="36" s="1"/>
  <c r="AJ44" i="39"/>
  <c r="AB44" i="39"/>
  <c r="AC44" i="39" s="1"/>
  <c r="N30" i="37"/>
  <c r="O30" i="37" s="1"/>
  <c r="AI45" i="37"/>
  <c r="AJ45" i="37" s="1"/>
  <c r="V18" i="36"/>
  <c r="N18" i="36"/>
  <c r="AP21" i="37"/>
  <c r="AC50" i="37"/>
  <c r="U50" i="37"/>
  <c r="V30" i="38"/>
  <c r="N30" i="38"/>
  <c r="O30" i="38" s="1"/>
  <c r="AQ26" i="36"/>
  <c r="AI26" i="36"/>
  <c r="AB18" i="37"/>
  <c r="AJ18" i="37"/>
  <c r="AQ35" i="36"/>
  <c r="AI35" i="36"/>
  <c r="AI20" i="36"/>
  <c r="AQ20" i="36"/>
  <c r="S43" i="35"/>
  <c r="R46" i="35"/>
  <c r="S46" i="35" s="1"/>
  <c r="R44" i="35"/>
  <c r="S44" i="35" s="1"/>
  <c r="AG20" i="34"/>
  <c r="AB20" i="34"/>
  <c r="AJ20" i="34"/>
  <c r="AB32" i="34"/>
  <c r="AJ32" i="34"/>
  <c r="N40" i="34"/>
  <c r="O40" i="34" s="1"/>
  <c r="U15" i="34"/>
  <c r="V15" i="34" s="1"/>
  <c r="S29" i="34"/>
  <c r="V31" i="32"/>
  <c r="N31" i="32"/>
  <c r="AJ31" i="34"/>
  <c r="AB31" i="34"/>
  <c r="U38" i="33"/>
  <c r="AC38" i="33"/>
  <c r="AQ22" i="33"/>
  <c r="AI22" i="33"/>
  <c r="AP34" i="34"/>
  <c r="AB43" i="33"/>
  <c r="AC43" i="33" s="1"/>
  <c r="AC31" i="32"/>
  <c r="U31" i="32"/>
  <c r="AJ33" i="34"/>
  <c r="AB33" i="34"/>
  <c r="Z29" i="34"/>
  <c r="AB15" i="34"/>
  <c r="AC15" i="34" s="1"/>
  <c r="AG29" i="32"/>
  <c r="AI15" i="32"/>
  <c r="AJ15" i="32" s="1"/>
  <c r="N24" i="32"/>
  <c r="V24" i="32"/>
  <c r="AI17" i="36"/>
  <c r="AQ17" i="36"/>
  <c r="U41" i="33"/>
  <c r="V41" i="33" s="1"/>
  <c r="N16" i="33"/>
  <c r="V16" i="33"/>
  <c r="AB45" i="31"/>
  <c r="AC45" i="31" s="1"/>
  <c r="V16" i="32"/>
  <c r="N16" i="32"/>
  <c r="AQ35" i="31"/>
  <c r="AI35" i="31"/>
  <c r="U45" i="31"/>
  <c r="V45" i="31" s="1"/>
  <c r="O36" i="30"/>
  <c r="AP37" i="31"/>
  <c r="AB36" i="30"/>
  <c r="AC36" i="30" s="1"/>
  <c r="AJ21" i="29"/>
  <c r="AB21" i="29"/>
  <c r="AC21" i="29" s="1"/>
  <c r="AC18" i="32"/>
  <c r="U18" i="32"/>
  <c r="AB30" i="33"/>
  <c r="AJ30" i="33"/>
  <c r="H29" i="30"/>
  <c r="O15" i="30"/>
  <c r="AB41" i="29"/>
  <c r="AC41" i="29" s="1"/>
  <c r="AP45" i="29"/>
  <c r="AQ45" i="29" s="1"/>
  <c r="Z43" i="31"/>
  <c r="AI43" i="28"/>
  <c r="AJ43" i="28" s="1"/>
  <c r="AP40" i="30"/>
  <c r="AQ40" i="30" s="1"/>
  <c r="AC24" i="29"/>
  <c r="U24" i="29"/>
  <c r="U30" i="29"/>
  <c r="V30" i="29" s="1"/>
  <c r="AC30" i="29"/>
  <c r="AJ18" i="29"/>
  <c r="AB18" i="29"/>
  <c r="AP36" i="29"/>
  <c r="AQ36" i="29" s="1"/>
  <c r="N26" i="28"/>
  <c r="V26" i="28"/>
  <c r="AI24" i="27"/>
  <c r="AQ24" i="27"/>
  <c r="AI31" i="29"/>
  <c r="AQ31" i="29"/>
  <c r="AI21" i="27"/>
  <c r="AQ21" i="27"/>
  <c r="R23" i="3"/>
  <c r="AI28" i="27"/>
  <c r="AQ28" i="27"/>
  <c r="AJ23" i="30"/>
  <c r="AB23" i="30"/>
  <c r="AJ28" i="27"/>
  <c r="AB28" i="27"/>
  <c r="N26" i="30"/>
  <c r="V26" i="30"/>
  <c r="N23" i="27"/>
  <c r="V23" i="27"/>
  <c r="AQ25" i="26"/>
  <c r="AI25" i="26"/>
  <c r="AI15" i="27"/>
  <c r="AJ15" i="27" s="1"/>
  <c r="AI24" i="26"/>
  <c r="AQ24" i="26"/>
  <c r="Y44" i="25"/>
  <c r="Z44" i="25" s="1"/>
  <c r="V27" i="28"/>
  <c r="N27" i="28"/>
  <c r="AC30" i="26"/>
  <c r="U30" i="26"/>
  <c r="V30" i="26" s="1"/>
  <c r="AN46" i="29"/>
  <c r="AJ35" i="25"/>
  <c r="AB35" i="25"/>
  <c r="AI33" i="24"/>
  <c r="AQ33" i="24"/>
  <c r="AB39" i="24"/>
  <c r="AC39" i="24" s="1"/>
  <c r="U41" i="25"/>
  <c r="V41" i="25" s="1"/>
  <c r="N39" i="23"/>
  <c r="O39" i="23" s="1"/>
  <c r="AB40" i="29"/>
  <c r="AC40" i="29" s="1"/>
  <c r="AB38" i="25"/>
  <c r="AJ38" i="25"/>
  <c r="N26" i="23"/>
  <c r="V26" i="23"/>
  <c r="O40" i="25"/>
  <c r="AB21" i="28"/>
  <c r="AC21" i="28" s="1"/>
  <c r="AJ21" i="28"/>
  <c r="AJ47" i="24"/>
  <c r="AB47" i="24"/>
  <c r="AC47" i="24" s="1"/>
  <c r="AC22" i="25"/>
  <c r="U22" i="25"/>
  <c r="V22" i="25" s="1"/>
  <c r="AJ32" i="21"/>
  <c r="AB32" i="21"/>
  <c r="AP47" i="24"/>
  <c r="AB39" i="23"/>
  <c r="AC39" i="23" s="1"/>
  <c r="S29" i="21"/>
  <c r="U15" i="21"/>
  <c r="V15" i="21" s="1"/>
  <c r="AB19" i="23"/>
  <c r="AC19" i="23" s="1"/>
  <c r="AP47" i="22"/>
  <c r="AQ47" i="22" s="1"/>
  <c r="AB45" i="22"/>
  <c r="AC45" i="22" s="1"/>
  <c r="AJ45" i="22"/>
  <c r="AP44" i="21"/>
  <c r="AQ44" i="21" s="1"/>
  <c r="AL53" i="24"/>
  <c r="AE59" i="24"/>
  <c r="V25" i="23"/>
  <c r="N25" i="23"/>
  <c r="AC33" i="22"/>
  <c r="U33" i="22"/>
  <c r="N38" i="21"/>
  <c r="O38" i="21" s="1"/>
  <c r="AN39" i="23"/>
  <c r="AP39" i="23" s="1"/>
  <c r="AQ39" i="23" s="1"/>
  <c r="U19" i="22"/>
  <c r="V19" i="22" s="1"/>
  <c r="AQ24" i="21"/>
  <c r="AI24" i="21"/>
  <c r="V28" i="23"/>
  <c r="N28" i="23"/>
  <c r="AI17" i="20"/>
  <c r="AQ17" i="20"/>
  <c r="AP19" i="19"/>
  <c r="AQ19" i="19" s="1"/>
  <c r="N31" i="19"/>
  <c r="V31" i="19"/>
  <c r="H29" i="17"/>
  <c r="AP23" i="22"/>
  <c r="N31" i="20"/>
  <c r="V31" i="20"/>
  <c r="AP27" i="19"/>
  <c r="N41" i="23"/>
  <c r="O41" i="23" s="1"/>
  <c r="AP43" i="19"/>
  <c r="AQ43" i="19" s="1"/>
  <c r="AP16" i="26"/>
  <c r="AP28" i="21"/>
  <c r="N30" i="23"/>
  <c r="AB15" i="22"/>
  <c r="AC15" i="22" s="1"/>
  <c r="Z29" i="22"/>
  <c r="S29" i="19"/>
  <c r="U15" i="19"/>
  <c r="V15" i="19" s="1"/>
  <c r="AC30" i="24"/>
  <c r="U30" i="24"/>
  <c r="V30" i="24" s="1"/>
  <c r="N41" i="22"/>
  <c r="O41" i="22" s="1"/>
  <c r="Z42" i="21"/>
  <c r="AI42" i="21" s="1"/>
  <c r="U48" i="19"/>
  <c r="V48" i="19" s="1"/>
  <c r="AC48" i="19"/>
  <c r="AC17" i="24"/>
  <c r="U17" i="24"/>
  <c r="S38" i="21"/>
  <c r="AC23" i="18"/>
  <c r="U23" i="18"/>
  <c r="AJ18" i="21"/>
  <c r="AB18" i="21"/>
  <c r="AG29" i="18"/>
  <c r="AI15" i="18"/>
  <c r="AJ15" i="18" s="1"/>
  <c r="AJ19" i="18"/>
  <c r="AB19" i="18"/>
  <c r="N36" i="17"/>
  <c r="O36" i="17" s="1"/>
  <c r="AP38" i="19"/>
  <c r="AQ38" i="19" s="1"/>
  <c r="AQ23" i="18"/>
  <c r="AI23" i="18"/>
  <c r="U43" i="18"/>
  <c r="V43" i="18" s="1"/>
  <c r="AI35" i="17"/>
  <c r="AJ35" i="17" s="1"/>
  <c r="AQ35" i="17"/>
  <c r="AI48" i="16"/>
  <c r="AJ48" i="16" s="1"/>
  <c r="AQ48" i="16"/>
  <c r="AI35" i="19"/>
  <c r="AQ35" i="19"/>
  <c r="AP15" i="19"/>
  <c r="AQ15" i="19" s="1"/>
  <c r="AN29" i="19"/>
  <c r="AP18" i="19"/>
  <c r="U26" i="18"/>
  <c r="AC26" i="18"/>
  <c r="AI25" i="17"/>
  <c r="AQ25" i="17"/>
  <c r="AP39" i="19"/>
  <c r="AP33" i="18"/>
  <c r="AJ20" i="17"/>
  <c r="AB20" i="17"/>
  <c r="N41" i="16"/>
  <c r="O41" i="16" s="1"/>
  <c r="AB34" i="18"/>
  <c r="AC34" i="18" s="1"/>
  <c r="AQ28" i="18"/>
  <c r="AI28" i="18"/>
  <c r="AP16" i="18"/>
  <c r="U15" i="17"/>
  <c r="V15" i="17" s="1"/>
  <c r="S29" i="17"/>
  <c r="U31" i="16"/>
  <c r="AC31" i="16"/>
  <c r="AB43" i="15"/>
  <c r="AC43" i="15" s="1"/>
  <c r="AJ43" i="15"/>
  <c r="AQ24" i="16"/>
  <c r="AI24" i="16"/>
  <c r="N38" i="14"/>
  <c r="O38" i="14" s="1"/>
  <c r="AB36" i="14"/>
  <c r="AC36" i="14" s="1"/>
  <c r="AN41" i="15"/>
  <c r="AP37" i="37"/>
  <c r="AQ37" i="37" s="1"/>
  <c r="U43" i="15"/>
  <c r="V43" i="15" s="1"/>
  <c r="AB25" i="14"/>
  <c r="AJ25" i="14"/>
  <c r="AI15" i="16"/>
  <c r="AJ15" i="16" s="1"/>
  <c r="AG29" i="16"/>
  <c r="AB22" i="15"/>
  <c r="AJ22" i="15"/>
  <c r="AB22" i="11"/>
  <c r="AJ22" i="11"/>
  <c r="AI45" i="15"/>
  <c r="AJ45" i="15" s="1"/>
  <c r="AI22" i="14"/>
  <c r="AQ22" i="14"/>
  <c r="N17" i="14"/>
  <c r="V17" i="14"/>
  <c r="U39" i="11"/>
  <c r="V39" i="11" s="1"/>
  <c r="H29" i="12"/>
  <c r="U44" i="13"/>
  <c r="V44" i="13" s="1"/>
  <c r="AQ47" i="14"/>
  <c r="AI47" i="14"/>
  <c r="AQ35" i="12"/>
  <c r="AI35" i="12"/>
  <c r="AJ35" i="12" s="1"/>
  <c r="N17" i="11"/>
  <c r="V17" i="11"/>
  <c r="AP25" i="10"/>
  <c r="AB41" i="13"/>
  <c r="AC41" i="13" s="1"/>
  <c r="AP28" i="12"/>
  <c r="AB36" i="9"/>
  <c r="AC36" i="9" s="1"/>
  <c r="AJ48" i="11"/>
  <c r="AB48" i="11"/>
  <c r="N44" i="10"/>
  <c r="O44" i="10" s="1"/>
  <c r="V44" i="10"/>
  <c r="U44" i="10"/>
  <c r="N19" i="9"/>
  <c r="V19" i="9"/>
  <c r="U25" i="9"/>
  <c r="AC25" i="9"/>
  <c r="N35" i="12"/>
  <c r="U35" i="12"/>
  <c r="V35" i="12" s="1"/>
  <c r="AQ43" i="11"/>
  <c r="AI43" i="11"/>
  <c r="AJ43" i="11" s="1"/>
  <c r="AP32" i="14"/>
  <c r="V24" i="10"/>
  <c r="N24" i="10"/>
  <c r="AB26" i="9"/>
  <c r="AJ26" i="9"/>
  <c r="AQ23" i="13"/>
  <c r="AI23" i="13"/>
  <c r="AQ17" i="10"/>
  <c r="AI17" i="10"/>
  <c r="AQ48" i="10"/>
  <c r="AI48" i="10"/>
  <c r="AP48" i="10"/>
  <c r="AI16" i="11"/>
  <c r="AQ16" i="11"/>
  <c r="V17" i="9"/>
  <c r="N17" i="9"/>
  <c r="AJ28" i="9"/>
  <c r="AB28" i="9"/>
  <c r="AB25" i="41"/>
  <c r="AJ25" i="41"/>
  <c r="AI50" i="40"/>
  <c r="AJ50" i="40" s="1"/>
  <c r="AQ50" i="40"/>
  <c r="AJ28" i="40"/>
  <c r="AB28" i="40"/>
  <c r="N31" i="39"/>
  <c r="V31" i="39"/>
  <c r="AQ34" i="36"/>
  <c r="AI34" i="36"/>
  <c r="AI21" i="35"/>
  <c r="AQ21" i="35"/>
  <c r="AB32" i="33"/>
  <c r="AJ32" i="33"/>
  <c r="AB46" i="33"/>
  <c r="AC46" i="33" s="1"/>
  <c r="AQ23" i="28"/>
  <c r="AI23" i="28"/>
  <c r="AB24" i="23"/>
  <c r="AJ24" i="23"/>
  <c r="AQ18" i="23"/>
  <c r="AI18" i="23"/>
  <c r="AP38" i="21"/>
  <c r="AQ38" i="21" s="1"/>
  <c r="AI17" i="23"/>
  <c r="AQ17" i="23"/>
  <c r="AC36" i="17"/>
  <c r="U36" i="17"/>
  <c r="V36" i="17" s="1"/>
  <c r="AC30" i="19"/>
  <c r="U30" i="19"/>
  <c r="V30" i="19" s="1"/>
  <c r="AJ26" i="19"/>
  <c r="AB26" i="19"/>
  <c r="AC33" i="18"/>
  <c r="U33" i="18"/>
  <c r="AQ18" i="18"/>
  <c r="AI18" i="18"/>
  <c r="AI45" i="12"/>
  <c r="AJ45" i="12" s="1"/>
  <c r="AQ45" i="12"/>
  <c r="U15" i="14"/>
  <c r="V15" i="14" s="1"/>
  <c r="S29" i="14"/>
  <c r="AC15" i="14"/>
  <c r="U33" i="13"/>
  <c r="AC33" i="13"/>
  <c r="AQ30" i="14"/>
  <c r="AI30" i="14"/>
  <c r="AI43" i="18"/>
  <c r="AJ43" i="18" s="1"/>
  <c r="U26" i="22"/>
  <c r="AC26" i="22"/>
  <c r="AB31" i="24"/>
  <c r="AJ31" i="24"/>
  <c r="U23" i="25"/>
  <c r="AC23" i="25"/>
  <c r="V35" i="28"/>
  <c r="N35" i="28"/>
  <c r="AQ33" i="28"/>
  <c r="AI33" i="28"/>
  <c r="N30" i="31"/>
  <c r="O30" i="31" s="1"/>
  <c r="AQ32" i="32"/>
  <c r="AI32" i="32"/>
  <c r="N28" i="3"/>
  <c r="N30" i="3" s="1"/>
  <c r="U23" i="38"/>
  <c r="AC23" i="38"/>
  <c r="U31" i="37"/>
  <c r="AC31" i="37"/>
  <c r="AI36" i="39"/>
  <c r="AJ36" i="39" s="1"/>
  <c r="AB27" i="41"/>
  <c r="AJ27" i="41"/>
  <c r="U47" i="41"/>
  <c r="V47" i="41" s="1"/>
  <c r="AC47" i="41"/>
  <c r="N17" i="41"/>
  <c r="V17" i="41"/>
  <c r="N20" i="41"/>
  <c r="V20" i="41"/>
  <c r="U38" i="40"/>
  <c r="AC38" i="40"/>
  <c r="AJ18" i="40"/>
  <c r="AB18" i="40"/>
  <c r="AP22" i="40"/>
  <c r="AB34" i="35"/>
  <c r="AJ34" i="35"/>
  <c r="U43" i="32"/>
  <c r="V43" i="32" s="1"/>
  <c r="U36" i="33"/>
  <c r="V36" i="33" s="1"/>
  <c r="AB44" i="32"/>
  <c r="AC44" i="32" s="1"/>
  <c r="U22" i="28"/>
  <c r="V22" i="28" s="1"/>
  <c r="AC22" i="28"/>
  <c r="AP35" i="29"/>
  <c r="L37" i="25"/>
  <c r="K44" i="25"/>
  <c r="L44" i="25" s="1"/>
  <c r="AB19" i="25"/>
  <c r="AC19" i="25" s="1"/>
  <c r="Z29" i="25"/>
  <c r="AB15" i="25"/>
  <c r="AC15" i="25" s="1"/>
  <c r="AI36" i="23"/>
  <c r="AJ36" i="23" s="1"/>
  <c r="U33" i="20"/>
  <c r="AC33" i="20"/>
  <c r="L29" i="19"/>
  <c r="N15" i="19"/>
  <c r="O15" i="19" s="1"/>
  <c r="U20" i="17"/>
  <c r="AC20" i="17"/>
  <c r="V25" i="10"/>
  <c r="N25" i="10"/>
  <c r="AJ22" i="17"/>
  <c r="AB22" i="17"/>
  <c r="N40" i="30"/>
  <c r="O40" i="30" s="1"/>
  <c r="V18" i="38"/>
  <c r="N18" i="38"/>
  <c r="AB45" i="41"/>
  <c r="AC45" i="41" s="1"/>
  <c r="AQ26" i="41"/>
  <c r="AI26" i="41"/>
  <c r="AQ37" i="41"/>
  <c r="AI37" i="41"/>
  <c r="AJ37" i="41" s="1"/>
  <c r="O37" i="41"/>
  <c r="AP33" i="40"/>
  <c r="AI49" i="41"/>
  <c r="AJ49" i="41" s="1"/>
  <c r="AQ49" i="41"/>
  <c r="AB21" i="41"/>
  <c r="AJ21" i="41"/>
  <c r="AI16" i="41"/>
  <c r="AQ16" i="41"/>
  <c r="AQ30" i="40"/>
  <c r="AI30" i="40"/>
  <c r="AQ15" i="41"/>
  <c r="AG29" i="41"/>
  <c r="AI15" i="41"/>
  <c r="AJ15" i="41" s="1"/>
  <c r="U15" i="41"/>
  <c r="V15" i="41" s="1"/>
  <c r="AC15" i="41"/>
  <c r="S29" i="41"/>
  <c r="U20" i="41"/>
  <c r="AC20" i="41"/>
  <c r="AB45" i="40"/>
  <c r="AC45" i="40" s="1"/>
  <c r="O19" i="40"/>
  <c r="AP19" i="40"/>
  <c r="AQ19" i="40" s="1"/>
  <c r="AJ35" i="40"/>
  <c r="AB35" i="40"/>
  <c r="N40" i="39"/>
  <c r="O40" i="39" s="1"/>
  <c r="N45" i="39"/>
  <c r="O45" i="39" s="1"/>
  <c r="AB24" i="40"/>
  <c r="AJ24" i="40"/>
  <c r="U17" i="39"/>
  <c r="AC17" i="39"/>
  <c r="AP36" i="39"/>
  <c r="AQ36" i="39" s="1"/>
  <c r="N44" i="39"/>
  <c r="O44" i="39" s="1"/>
  <c r="AP30" i="38"/>
  <c r="AQ34" i="38"/>
  <c r="AI34" i="38"/>
  <c r="AP41" i="38"/>
  <c r="AQ41" i="38" s="1"/>
  <c r="AQ21" i="39"/>
  <c r="AI21" i="39"/>
  <c r="AJ16" i="39"/>
  <c r="AB16" i="39"/>
  <c r="AJ25" i="38"/>
  <c r="AB25" i="38"/>
  <c r="AJ21" i="38"/>
  <c r="AB21" i="38"/>
  <c r="AP36" i="37"/>
  <c r="AQ36" i="37" s="1"/>
  <c r="V35" i="37"/>
  <c r="N35" i="37"/>
  <c r="U36" i="37"/>
  <c r="V36" i="37" s="1"/>
  <c r="AC18" i="39"/>
  <c r="U18" i="39"/>
  <c r="U45" i="37"/>
  <c r="V45" i="37" s="1"/>
  <c r="V17" i="37"/>
  <c r="N17" i="37"/>
  <c r="AJ23" i="37"/>
  <c r="AB23" i="37"/>
  <c r="AP25" i="37"/>
  <c r="AP17" i="38"/>
  <c r="AI38" i="37"/>
  <c r="AQ38" i="37"/>
  <c r="O36" i="37"/>
  <c r="AQ27" i="38"/>
  <c r="AI27" i="38"/>
  <c r="AI21" i="38"/>
  <c r="AQ21" i="38"/>
  <c r="AP49" i="37"/>
  <c r="AQ49" i="37" s="1"/>
  <c r="N43" i="35"/>
  <c r="O43" i="35" s="1"/>
  <c r="AP24" i="36"/>
  <c r="AP18" i="36"/>
  <c r="AP21" i="35"/>
  <c r="N41" i="35"/>
  <c r="O41" i="35" s="1"/>
  <c r="AI36" i="35"/>
  <c r="AJ36" i="35" s="1"/>
  <c r="AQ36" i="35"/>
  <c r="N28" i="36"/>
  <c r="V28" i="36"/>
  <c r="U33" i="35"/>
  <c r="V33" i="35" s="1"/>
  <c r="AC33" i="35"/>
  <c r="AB36" i="35"/>
  <c r="AC36" i="35" s="1"/>
  <c r="AJ17" i="35"/>
  <c r="AB17" i="35"/>
  <c r="AC35" i="34"/>
  <c r="U35" i="34"/>
  <c r="S44" i="33"/>
  <c r="AC22" i="36"/>
  <c r="U22" i="36"/>
  <c r="V22" i="36" s="1"/>
  <c r="AB23" i="34"/>
  <c r="AJ23" i="34"/>
  <c r="AI15" i="33"/>
  <c r="AJ15" i="33" s="1"/>
  <c r="AG29" i="33"/>
  <c r="AI36" i="33"/>
  <c r="AJ36" i="33" s="1"/>
  <c r="AJ21" i="33"/>
  <c r="AB21" i="33"/>
  <c r="AJ34" i="34"/>
  <c r="AB34" i="34"/>
  <c r="AI26" i="32"/>
  <c r="AQ26" i="32"/>
  <c r="AC22" i="33"/>
  <c r="U22" i="33"/>
  <c r="V22" i="33" s="1"/>
  <c r="AJ18" i="35"/>
  <c r="AB18" i="35"/>
  <c r="AM44" i="34"/>
  <c r="AN44" i="34" s="1"/>
  <c r="AM46" i="34"/>
  <c r="AN46" i="34" s="1"/>
  <c r="AN43" i="34"/>
  <c r="AB36" i="31"/>
  <c r="AC36" i="31" s="1"/>
  <c r="AQ24" i="32"/>
  <c r="AI24" i="32"/>
  <c r="AP20" i="31"/>
  <c r="AP32" i="32"/>
  <c r="U40" i="33"/>
  <c r="V40" i="33" s="1"/>
  <c r="AQ44" i="32"/>
  <c r="AI44" i="32"/>
  <c r="AJ44" i="32" s="1"/>
  <c r="V18" i="33"/>
  <c r="N18" i="33"/>
  <c r="AJ34" i="30"/>
  <c r="AB34" i="30"/>
  <c r="AI23" i="30"/>
  <c r="AQ23" i="30"/>
  <c r="AQ41" i="31"/>
  <c r="AI41" i="31"/>
  <c r="AJ41" i="31" s="1"/>
  <c r="AP44" i="31"/>
  <c r="AQ44" i="31" s="1"/>
  <c r="AB40" i="28"/>
  <c r="AC40" i="28" s="1"/>
  <c r="AJ35" i="31"/>
  <c r="AB35" i="31"/>
  <c r="AI41" i="29"/>
  <c r="AJ41" i="29" s="1"/>
  <c r="N43" i="30"/>
  <c r="O43" i="30" s="1"/>
  <c r="V35" i="30"/>
  <c r="N35" i="30"/>
  <c r="Z29" i="30"/>
  <c r="AB15" i="30"/>
  <c r="AC15" i="30" s="1"/>
  <c r="AB16" i="31"/>
  <c r="AJ16" i="31"/>
  <c r="U25" i="29"/>
  <c r="AC25" i="29"/>
  <c r="AP45" i="26"/>
  <c r="AQ45" i="26" s="1"/>
  <c r="AI19" i="30"/>
  <c r="AJ19" i="30" s="1"/>
  <c r="AP24" i="29"/>
  <c r="AQ27" i="31"/>
  <c r="AI27" i="31"/>
  <c r="AJ36" i="29"/>
  <c r="AB36" i="29"/>
  <c r="AC36" i="29" s="1"/>
  <c r="AJ30" i="29"/>
  <c r="AB30" i="29"/>
  <c r="AQ24" i="28"/>
  <c r="AI24" i="28"/>
  <c r="AQ23" i="26"/>
  <c r="AI23" i="26"/>
  <c r="AI18" i="28"/>
  <c r="AQ18" i="28"/>
  <c r="N27" i="33"/>
  <c r="V27" i="33"/>
  <c r="AI17" i="27"/>
  <c r="AQ17" i="27"/>
  <c r="AB25" i="27"/>
  <c r="AJ25" i="27"/>
  <c r="AJ22" i="27"/>
  <c r="AB22" i="27"/>
  <c r="AB19" i="27"/>
  <c r="AC19" i="27" s="1"/>
  <c r="W21" i="3" s="1"/>
  <c r="AI27" i="27"/>
  <c r="AQ27" i="27"/>
  <c r="V18" i="26"/>
  <c r="N18" i="26"/>
  <c r="AQ26" i="30"/>
  <c r="AI26" i="30"/>
  <c r="AB23" i="27"/>
  <c r="AJ23" i="27"/>
  <c r="AP25" i="28"/>
  <c r="K46" i="25"/>
  <c r="L46" i="25" s="1"/>
  <c r="L43" i="28"/>
  <c r="U43" i="28" s="1"/>
  <c r="AP35" i="26"/>
  <c r="AP27" i="26"/>
  <c r="AQ18" i="27"/>
  <c r="AI18" i="27"/>
  <c r="AI31" i="24"/>
  <c r="AQ31" i="24"/>
  <c r="AP28" i="23"/>
  <c r="AJ40" i="25"/>
  <c r="AB40" i="25"/>
  <c r="AC40" i="25" s="1"/>
  <c r="AP36" i="22"/>
  <c r="AQ36" i="22" s="1"/>
  <c r="AB36" i="25"/>
  <c r="AC36" i="25" s="1"/>
  <c r="AI28" i="24"/>
  <c r="AQ28" i="24"/>
  <c r="AP37" i="25"/>
  <c r="N34" i="23"/>
  <c r="O34" i="23" s="1"/>
  <c r="AI26" i="25"/>
  <c r="AQ26" i="25"/>
  <c r="AP31" i="21"/>
  <c r="AC48" i="24"/>
  <c r="U48" i="24"/>
  <c r="V48" i="24" s="1"/>
  <c r="AC36" i="23"/>
  <c r="U36" i="23"/>
  <c r="V36" i="23" s="1"/>
  <c r="V20" i="23"/>
  <c r="N20" i="23"/>
  <c r="AI17" i="22"/>
  <c r="AQ17" i="22"/>
  <c r="N27" i="23"/>
  <c r="V27" i="23"/>
  <c r="N25" i="22"/>
  <c r="V25" i="22"/>
  <c r="AI30" i="21"/>
  <c r="AQ30" i="21"/>
  <c r="AB42" i="24"/>
  <c r="AC42" i="24" s="1"/>
  <c r="AB43" i="22"/>
  <c r="AC43" i="22" s="1"/>
  <c r="AJ43" i="22"/>
  <c r="AI47" i="23"/>
  <c r="AJ47" i="23" s="1"/>
  <c r="AI19" i="23"/>
  <c r="AJ19" i="23" s="1"/>
  <c r="AQ48" i="22"/>
  <c r="AI48" i="22"/>
  <c r="N15" i="24"/>
  <c r="O15" i="24" s="1"/>
  <c r="L29" i="24"/>
  <c r="AQ27" i="23"/>
  <c r="AI27" i="23"/>
  <c r="AB28" i="22"/>
  <c r="AJ28" i="22"/>
  <c r="N42" i="21"/>
  <c r="O42" i="21" s="1"/>
  <c r="L41" i="21"/>
  <c r="AQ25" i="25"/>
  <c r="AI25" i="25"/>
  <c r="AG29" i="22"/>
  <c r="AI15" i="22"/>
  <c r="AJ15" i="22" s="1"/>
  <c r="AC27" i="23"/>
  <c r="U27" i="23"/>
  <c r="V43" i="22"/>
  <c r="N43" i="22"/>
  <c r="O43" i="22" s="1"/>
  <c r="AB22" i="25"/>
  <c r="AJ22" i="25"/>
  <c r="V17" i="21"/>
  <c r="N17" i="21"/>
  <c r="AB41" i="23"/>
  <c r="AC41" i="23" s="1"/>
  <c r="AP26" i="19"/>
  <c r="V20" i="21"/>
  <c r="N20" i="21"/>
  <c r="AP20" i="23"/>
  <c r="N34" i="21"/>
  <c r="O34" i="21" s="1"/>
  <c r="AP17" i="23"/>
  <c r="N32" i="18"/>
  <c r="O32" i="18" s="1"/>
  <c r="AB46" i="27"/>
  <c r="AC46" i="27" s="1"/>
  <c r="AJ30" i="24"/>
  <c r="AB30" i="24"/>
  <c r="AI32" i="21"/>
  <c r="AQ32" i="21"/>
  <c r="AC20" i="20"/>
  <c r="U20" i="20"/>
  <c r="AI47" i="19"/>
  <c r="AQ47" i="19"/>
  <c r="AI43" i="24"/>
  <c r="AJ43" i="24" s="1"/>
  <c r="AQ21" i="18"/>
  <c r="AI21" i="18"/>
  <c r="AP41" i="16"/>
  <c r="AQ41" i="16" s="1"/>
  <c r="V33" i="23"/>
  <c r="N33" i="23"/>
  <c r="AI18" i="21"/>
  <c r="AQ18" i="21"/>
  <c r="N18" i="18"/>
  <c r="V18" i="18"/>
  <c r="AB26" i="20"/>
  <c r="AJ26" i="20"/>
  <c r="AP22" i="18"/>
  <c r="AQ31" i="17"/>
  <c r="AI31" i="17"/>
  <c r="AG38" i="17"/>
  <c r="O47" i="16"/>
  <c r="AP32" i="19"/>
  <c r="AC25" i="18"/>
  <c r="U25" i="18"/>
  <c r="AC25" i="17"/>
  <c r="U25" i="17"/>
  <c r="AI48" i="19"/>
  <c r="AJ48" i="19" s="1"/>
  <c r="V34" i="19"/>
  <c r="N34" i="19"/>
  <c r="O34" i="19" s="1"/>
  <c r="V26" i="18"/>
  <c r="N26" i="18"/>
  <c r="AQ39" i="16"/>
  <c r="AI39" i="16"/>
  <c r="AJ39" i="18"/>
  <c r="AB39" i="18"/>
  <c r="AC39" i="18" s="1"/>
  <c r="V23" i="18"/>
  <c r="N23" i="18"/>
  <c r="U42" i="17"/>
  <c r="V42" i="17" s="1"/>
  <c r="V19" i="17"/>
  <c r="N19" i="17"/>
  <c r="O38" i="15"/>
  <c r="AI38" i="16"/>
  <c r="AJ38" i="16" s="1"/>
  <c r="AQ38" i="16"/>
  <c r="AI47" i="16"/>
  <c r="AJ47" i="16" s="1"/>
  <c r="AP30" i="16"/>
  <c r="AC35" i="16"/>
  <c r="U35" i="16"/>
  <c r="V35" i="16" s="1"/>
  <c r="V47" i="17"/>
  <c r="N47" i="17"/>
  <c r="O47" i="17" s="1"/>
  <c r="AJ17" i="17"/>
  <c r="AB17" i="17"/>
  <c r="AP33" i="16"/>
  <c r="AI32" i="14"/>
  <c r="AQ32" i="14"/>
  <c r="AN42" i="15"/>
  <c r="AP42" i="15" s="1"/>
  <c r="AQ42" i="15" s="1"/>
  <c r="AJ32" i="14"/>
  <c r="AB32" i="14"/>
  <c r="AJ18" i="16"/>
  <c r="AB18" i="16"/>
  <c r="AP34" i="13"/>
  <c r="AQ34" i="13" s="1"/>
  <c r="V47" i="15"/>
  <c r="N47" i="15"/>
  <c r="N22" i="15"/>
  <c r="AB30" i="16"/>
  <c r="AJ30" i="16"/>
  <c r="AP39" i="14"/>
  <c r="AQ39" i="14" s="1"/>
  <c r="N47" i="12"/>
  <c r="O47" i="12" s="1"/>
  <c r="V47" i="12"/>
  <c r="AB36" i="13"/>
  <c r="AC36" i="13" s="1"/>
  <c r="AG29" i="14"/>
  <c r="AI15" i="14"/>
  <c r="AJ15" i="14" s="1"/>
  <c r="N16" i="14"/>
  <c r="V16" i="14"/>
  <c r="AB39" i="12"/>
  <c r="AC39" i="12" s="1"/>
  <c r="AI19" i="16"/>
  <c r="AQ19" i="16"/>
  <c r="AB18" i="13"/>
  <c r="AJ18" i="13"/>
  <c r="N36" i="13"/>
  <c r="O36" i="13" s="1"/>
  <c r="AC33" i="11"/>
  <c r="U33" i="11"/>
  <c r="AB48" i="14"/>
  <c r="AC48" i="14" s="1"/>
  <c r="AQ42" i="10"/>
  <c r="AI42" i="10"/>
  <c r="AJ42" i="10" s="1"/>
  <c r="AB30" i="13"/>
  <c r="AJ30" i="13"/>
  <c r="AB25" i="13"/>
  <c r="AJ25" i="13"/>
  <c r="AQ34" i="12"/>
  <c r="AI34" i="12"/>
  <c r="AJ34" i="12" s="1"/>
  <c r="AI32" i="10"/>
  <c r="AQ32" i="10"/>
  <c r="S29" i="10"/>
  <c r="U15" i="10"/>
  <c r="V15" i="10" s="1"/>
  <c r="N15" i="12"/>
  <c r="O15" i="12" s="1"/>
  <c r="V15" i="12"/>
  <c r="L29" i="12"/>
  <c r="AC20" i="10"/>
  <c r="U20" i="10"/>
  <c r="U44" i="11"/>
  <c r="V44" i="11" s="1"/>
  <c r="AQ38" i="15"/>
  <c r="AI47" i="11"/>
  <c r="AJ47" i="11" s="1"/>
  <c r="AQ21" i="10"/>
  <c r="AI21" i="10"/>
  <c r="U16" i="9"/>
  <c r="AC16" i="9"/>
  <c r="AP28" i="11"/>
  <c r="H29" i="9"/>
  <c r="N15" i="9"/>
  <c r="O15" i="9" s="1"/>
  <c r="V20" i="11"/>
  <c r="N20" i="11"/>
  <c r="AQ34" i="11"/>
  <c r="AI34" i="11"/>
  <c r="AJ34" i="11" s="1"/>
  <c r="AQ21" i="14"/>
  <c r="AI21" i="14"/>
  <c r="AQ24" i="12"/>
  <c r="AI24" i="12"/>
  <c r="V32" i="12"/>
  <c r="N32" i="12"/>
  <c r="O32" i="12" s="1"/>
  <c r="AQ30" i="13"/>
  <c r="AI30" i="13"/>
  <c r="AP39" i="12"/>
  <c r="AQ39" i="12" s="1"/>
  <c r="AB25" i="11"/>
  <c r="AJ25" i="11"/>
  <c r="U23" i="13"/>
  <c r="AC23" i="13"/>
  <c r="N41" i="10"/>
  <c r="O41" i="10" s="1"/>
  <c r="N27" i="12"/>
  <c r="V27" i="12"/>
  <c r="AP32" i="15"/>
  <c r="AB27" i="16"/>
  <c r="AJ27" i="16"/>
  <c r="AP19" i="15"/>
  <c r="AQ33" i="14"/>
  <c r="AI33" i="14"/>
  <c r="N36" i="14"/>
  <c r="O36" i="14" s="1"/>
  <c r="AB19" i="21"/>
  <c r="AC19" i="21" s="1"/>
  <c r="AB43" i="17"/>
  <c r="AC43" i="17" s="1"/>
  <c r="AI19" i="18"/>
  <c r="AQ19" i="18"/>
  <c r="L29" i="22"/>
  <c r="N15" i="22"/>
  <c r="O15" i="22" s="1"/>
  <c r="AB23" i="20"/>
  <c r="AJ23" i="20"/>
  <c r="N17" i="3"/>
  <c r="N19" i="3" s="1"/>
  <c r="S19" i="3" s="1"/>
  <c r="AG31" i="20"/>
  <c r="AP31" i="20" s="1"/>
  <c r="L29" i="21"/>
  <c r="N15" i="21"/>
  <c r="O15" i="21" s="1"/>
  <c r="AI20" i="21"/>
  <c r="AQ20" i="21"/>
  <c r="V31" i="25"/>
  <c r="N31" i="25"/>
  <c r="AB23" i="21"/>
  <c r="AJ23" i="21"/>
  <c r="AQ23" i="24"/>
  <c r="AI23" i="24"/>
  <c r="U28" i="23"/>
  <c r="AC28" i="23"/>
  <c r="AP30" i="26"/>
  <c r="AB33" i="24"/>
  <c r="AJ33" i="24"/>
  <c r="AB43" i="24"/>
  <c r="AC43" i="24" s="1"/>
  <c r="N38" i="24"/>
  <c r="O38" i="24" s="1"/>
  <c r="U34" i="24"/>
  <c r="V34" i="24" s="1"/>
  <c r="N19" i="26"/>
  <c r="AJ18" i="28"/>
  <c r="AB18" i="28"/>
  <c r="AC25" i="27"/>
  <c r="U25" i="27"/>
  <c r="U35" i="27"/>
  <c r="U34" i="29"/>
  <c r="V34" i="29" s="1"/>
  <c r="AC34" i="29"/>
  <c r="V25" i="29"/>
  <c r="N25" i="29"/>
  <c r="AB21" i="31"/>
  <c r="AJ21" i="31"/>
  <c r="AJ32" i="29"/>
  <c r="AB32" i="29"/>
  <c r="AB20" i="28"/>
  <c r="AJ20" i="28"/>
  <c r="AI32" i="29"/>
  <c r="AQ32" i="29"/>
  <c r="L29" i="28"/>
  <c r="N15" i="28"/>
  <c r="O15" i="28" s="1"/>
  <c r="N45" i="27"/>
  <c r="O45" i="27" s="1"/>
  <c r="N25" i="33"/>
  <c r="V25" i="33"/>
  <c r="AJ33" i="31"/>
  <c r="AB33" i="31"/>
  <c r="AP30" i="31"/>
  <c r="U16" i="31"/>
  <c r="AC16" i="31"/>
  <c r="AQ45" i="31"/>
  <c r="AI45" i="31"/>
  <c r="AJ45" i="31" s="1"/>
  <c r="U31" i="33"/>
  <c r="AC31" i="33"/>
  <c r="N32" i="32"/>
  <c r="O32" i="32" s="1"/>
  <c r="H29" i="36"/>
  <c r="N33" i="34"/>
  <c r="O33" i="34" s="1"/>
  <c r="N36" i="36"/>
  <c r="O36" i="36" s="1"/>
  <c r="AB30" i="35"/>
  <c r="AJ30" i="35"/>
  <c r="Z29" i="37"/>
  <c r="AB15" i="37"/>
  <c r="AC15" i="37" s="1"/>
  <c r="AJ15" i="37"/>
  <c r="AB31" i="37"/>
  <c r="AJ31" i="37"/>
  <c r="AQ23" i="38"/>
  <c r="AI23" i="38"/>
  <c r="AJ23" i="38"/>
  <c r="AB23" i="38"/>
  <c r="N40" i="38"/>
  <c r="O40" i="38" s="1"/>
  <c r="AI30" i="41"/>
  <c r="AQ30" i="41"/>
  <c r="AP28" i="40"/>
  <c r="V30" i="41"/>
  <c r="N30" i="41"/>
  <c r="O30" i="41" s="1"/>
  <c r="AP48" i="13"/>
  <c r="AQ48" i="13" s="1"/>
  <c r="AI17" i="13"/>
  <c r="AQ17" i="13"/>
  <c r="AP17" i="12"/>
  <c r="AI25" i="9"/>
  <c r="AQ25" i="9"/>
  <c r="U48" i="12"/>
  <c r="N36" i="11"/>
  <c r="O36" i="11" s="1"/>
  <c r="AI36" i="10"/>
  <c r="AJ36" i="10" s="1"/>
  <c r="N42" i="9"/>
  <c r="O42" i="9" s="1"/>
  <c r="AB43" i="13"/>
  <c r="AC43" i="13" s="1"/>
  <c r="AP16" i="10"/>
  <c r="AJ16" i="9"/>
  <c r="AB16" i="9"/>
  <c r="AP19" i="12"/>
  <c r="N33" i="11"/>
  <c r="V33" i="11"/>
  <c r="AQ24" i="9"/>
  <c r="AI24" i="9"/>
  <c r="AB17" i="10"/>
  <c r="AJ17" i="10"/>
  <c r="AC33" i="9"/>
  <c r="U33" i="9"/>
  <c r="AI47" i="3"/>
  <c r="S47" i="3"/>
  <c r="AI33" i="9"/>
  <c r="AQ33" i="9"/>
  <c r="S42" i="9"/>
  <c r="AI20" i="11"/>
  <c r="AQ20" i="11"/>
  <c r="N47" i="10"/>
  <c r="O47" i="10" s="1"/>
  <c r="V47" i="10"/>
  <c r="N41" i="14"/>
  <c r="O41" i="14" s="1"/>
  <c r="AI41" i="9"/>
  <c r="AJ41" i="9" s="1"/>
  <c r="N41" i="11"/>
  <c r="O41" i="11" s="1"/>
  <c r="N16" i="10"/>
  <c r="V16" i="10"/>
  <c r="AQ15" i="9"/>
  <c r="AG29" i="9"/>
  <c r="AI15" i="9"/>
  <c r="AJ15" i="9" s="1"/>
  <c r="N43" i="12"/>
  <c r="O43" i="12" s="1"/>
  <c r="AI33" i="11"/>
  <c r="AQ33" i="11"/>
  <c r="AC23" i="9"/>
  <c r="U23" i="9"/>
  <c r="AC20" i="14"/>
  <c r="U20" i="14"/>
  <c r="N30" i="9"/>
  <c r="O30" i="9" s="1"/>
  <c r="U35" i="9"/>
  <c r="AC35" i="9"/>
  <c r="AI30" i="9"/>
  <c r="AQ30" i="9"/>
  <c r="AB20" i="14"/>
  <c r="AJ20" i="14"/>
  <c r="V25" i="9"/>
  <c r="N25" i="9"/>
  <c r="AQ18" i="14"/>
  <c r="AI18" i="14"/>
  <c r="AP16" i="9"/>
  <c r="V35" i="9"/>
  <c r="N35" i="9"/>
  <c r="O35" i="9" s="1"/>
  <c r="AJ23" i="9"/>
  <c r="AB23" i="9"/>
  <c r="S38" i="9"/>
  <c r="AB38" i="9" s="1"/>
  <c r="AB16" i="12"/>
  <c r="AJ16" i="12"/>
  <c r="AP20" i="12"/>
  <c r="AP28" i="10"/>
  <c r="AJ18" i="12"/>
  <c r="AB18" i="12"/>
  <c r="AI30" i="11"/>
  <c r="AQ30" i="11"/>
  <c r="AC24" i="9"/>
  <c r="U24" i="9"/>
  <c r="N31" i="10"/>
  <c r="V31" i="10"/>
  <c r="AQ19" i="9"/>
  <c r="AI19" i="9"/>
  <c r="AI31" i="9"/>
  <c r="AQ31" i="9"/>
  <c r="N23" i="9"/>
  <c r="V23" i="9"/>
  <c r="AB23" i="12"/>
  <c r="AJ23" i="12"/>
  <c r="AP48" i="17"/>
  <c r="AQ48" i="17" s="1"/>
  <c r="N17" i="16"/>
  <c r="V17" i="16"/>
  <c r="S42" i="14"/>
  <c r="AQ23" i="15"/>
  <c r="AI23" i="15"/>
  <c r="N18" i="16"/>
  <c r="V18" i="16"/>
  <c r="AP43" i="14"/>
  <c r="AQ43" i="14" s="1"/>
  <c r="AP18" i="16"/>
  <c r="AJ27" i="14"/>
  <c r="AB27" i="14"/>
  <c r="AJ26" i="13"/>
  <c r="AB26" i="13"/>
  <c r="N33" i="13"/>
  <c r="V33" i="13"/>
  <c r="U16" i="13"/>
  <c r="AC16" i="13"/>
  <c r="AI15" i="12"/>
  <c r="AJ15" i="12" s="1"/>
  <c r="AG29" i="12"/>
  <c r="U36" i="14"/>
  <c r="V36" i="14" s="1"/>
  <c r="AQ31" i="14"/>
  <c r="AI31" i="14"/>
  <c r="Z42" i="13"/>
  <c r="AI42" i="13" s="1"/>
  <c r="AJ21" i="13"/>
  <c r="AB21" i="13"/>
  <c r="AG34" i="10"/>
  <c r="AP34" i="10" s="1"/>
  <c r="AP47" i="14"/>
  <c r="AI33" i="12"/>
  <c r="AQ33" i="12"/>
  <c r="AB31" i="12"/>
  <c r="AJ31" i="12"/>
  <c r="AP31" i="10"/>
  <c r="AI36" i="11"/>
  <c r="AJ36" i="11" s="1"/>
  <c r="AC26" i="13"/>
  <c r="U26" i="13"/>
  <c r="AQ20" i="12"/>
  <c r="AI20" i="12"/>
  <c r="AI26" i="10"/>
  <c r="AQ26" i="10"/>
  <c r="AC28" i="10"/>
  <c r="U28" i="10"/>
  <c r="N33" i="9"/>
  <c r="V33" i="9"/>
  <c r="N28" i="11"/>
  <c r="V28" i="11"/>
  <c r="L41" i="12"/>
  <c r="U41" i="12" s="1"/>
  <c r="N39" i="13"/>
  <c r="O39" i="13" s="1"/>
  <c r="AP22" i="14"/>
  <c r="AQ21" i="12"/>
  <c r="AI21" i="12"/>
  <c r="AQ25" i="14"/>
  <c r="AI25" i="14"/>
  <c r="AP19" i="11"/>
  <c r="AQ42" i="11"/>
  <c r="AI42" i="11"/>
  <c r="AJ42" i="11" s="1"/>
  <c r="AQ18" i="15"/>
  <c r="AI18" i="15"/>
  <c r="AQ28" i="15"/>
  <c r="AI28" i="15"/>
  <c r="AP23" i="16"/>
  <c r="AP30" i="15"/>
  <c r="AQ20" i="16"/>
  <c r="AI20" i="16"/>
  <c r="N34" i="16"/>
  <c r="O34" i="16" s="1"/>
  <c r="AB42" i="14"/>
  <c r="AJ42" i="14"/>
  <c r="AP25" i="16"/>
  <c r="U22" i="19"/>
  <c r="V22" i="19" s="1"/>
  <c r="AC22" i="19"/>
  <c r="AQ28" i="19"/>
  <c r="AI28" i="19"/>
  <c r="N32" i="20"/>
  <c r="O32" i="20" s="1"/>
  <c r="V32" i="20"/>
  <c r="N43" i="18"/>
  <c r="O43" i="18" s="1"/>
  <c r="AB32" i="20"/>
  <c r="AJ32" i="20"/>
  <c r="AQ43" i="20"/>
  <c r="AI43" i="20"/>
  <c r="AJ43" i="20" s="1"/>
  <c r="AB26" i="24"/>
  <c r="AJ26" i="24"/>
  <c r="AB45" i="25"/>
  <c r="AC45" i="25" s="1"/>
  <c r="N31" i="23"/>
  <c r="V31" i="23"/>
  <c r="AJ28" i="25"/>
  <c r="AB28" i="25"/>
  <c r="AI25" i="24"/>
  <c r="AQ25" i="24"/>
  <c r="AJ31" i="22"/>
  <c r="AB31" i="22"/>
  <c r="N19" i="25"/>
  <c r="O19" i="25" s="1"/>
  <c r="H29" i="27"/>
  <c r="N19" i="27"/>
  <c r="O19" i="27" s="1"/>
  <c r="AQ23" i="29"/>
  <c r="AI23" i="29"/>
  <c r="AQ31" i="26"/>
  <c r="AI31" i="26"/>
  <c r="AC17" i="29"/>
  <c r="U17" i="29"/>
  <c r="AC33" i="28"/>
  <c r="U33" i="28"/>
  <c r="V33" i="28" s="1"/>
  <c r="N34" i="28"/>
  <c r="O34" i="28" s="1"/>
  <c r="U45" i="29"/>
  <c r="V45" i="29" s="1"/>
  <c r="O34" i="29"/>
  <c r="U36" i="30"/>
  <c r="V36" i="30" s="1"/>
  <c r="AC17" i="32"/>
  <c r="U17" i="32"/>
  <c r="U41" i="30"/>
  <c r="V41" i="30" s="1"/>
  <c r="AI38" i="30"/>
  <c r="AQ38" i="30"/>
  <c r="AN29" i="33"/>
  <c r="AP15" i="33"/>
  <c r="AQ15" i="33" s="1"/>
  <c r="N45" i="31"/>
  <c r="O45" i="31" s="1"/>
  <c r="AI31" i="33"/>
  <c r="AQ31" i="33"/>
  <c r="N36" i="33"/>
  <c r="O36" i="33" s="1"/>
  <c r="AI41" i="32"/>
  <c r="AJ41" i="32" s="1"/>
  <c r="N32" i="33"/>
  <c r="O32" i="33" s="1"/>
  <c r="V32" i="33"/>
  <c r="AB36" i="33"/>
  <c r="AC36" i="33" s="1"/>
  <c r="U31" i="35"/>
  <c r="AC31" i="35"/>
  <c r="N40" i="35"/>
  <c r="O40" i="35" s="1"/>
  <c r="V31" i="36"/>
  <c r="N31" i="36"/>
  <c r="AP34" i="37"/>
  <c r="U20" i="37"/>
  <c r="AC20" i="37"/>
  <c r="AJ27" i="37"/>
  <c r="AB27" i="37"/>
  <c r="N45" i="38"/>
  <c r="O45" i="38" s="1"/>
  <c r="AB20" i="37"/>
  <c r="AJ20" i="37"/>
  <c r="U40" i="38"/>
  <c r="V40" i="38" s="1"/>
  <c r="N41" i="38"/>
  <c r="O41" i="38" s="1"/>
  <c r="V24" i="39"/>
  <c r="N24" i="39"/>
  <c r="AQ23" i="41"/>
  <c r="AI23" i="41"/>
  <c r="AJ33" i="40"/>
  <c r="AB33" i="40"/>
  <c r="AQ27" i="41"/>
  <c r="AI27" i="41"/>
  <c r="U44" i="12"/>
  <c r="V44" i="12" s="1"/>
  <c r="AC44" i="12"/>
  <c r="AI38" i="11"/>
  <c r="AJ38" i="11" s="1"/>
  <c r="U36" i="9"/>
  <c r="V36" i="9" s="1"/>
  <c r="AI32" i="12"/>
  <c r="AQ32" i="12"/>
  <c r="AQ28" i="10"/>
  <c r="AI28" i="10"/>
  <c r="AQ22" i="9"/>
  <c r="AI22" i="9"/>
  <c r="N18" i="9"/>
  <c r="V18" i="9"/>
  <c r="AJ25" i="9"/>
  <c r="AB25" i="9"/>
  <c r="N17" i="13"/>
  <c r="V17" i="13"/>
  <c r="AP47" i="10"/>
  <c r="AP21" i="9"/>
  <c r="AC23" i="14"/>
  <c r="U23" i="14"/>
  <c r="AC17" i="9"/>
  <c r="U17" i="9"/>
  <c r="AI17" i="3"/>
  <c r="AB43" i="9"/>
  <c r="AC43" i="9" s="1"/>
  <c r="AP33" i="13"/>
  <c r="AP34" i="41"/>
  <c r="U18" i="40"/>
  <c r="AC18" i="40"/>
  <c r="AG46" i="39"/>
  <c r="AE37" i="39"/>
  <c r="AG37" i="39" s="1"/>
  <c r="U24" i="39"/>
  <c r="AC24" i="39"/>
  <c r="AP45" i="39"/>
  <c r="AQ45" i="39" s="1"/>
  <c r="AI17" i="40"/>
  <c r="AQ17" i="40"/>
  <c r="N32" i="39"/>
  <c r="AQ32" i="38"/>
  <c r="AI32" i="38"/>
  <c r="AJ28" i="38"/>
  <c r="AB28" i="38"/>
  <c r="AQ18" i="39"/>
  <c r="AI18" i="39"/>
  <c r="U41" i="37"/>
  <c r="V41" i="37" s="1"/>
  <c r="AP31" i="38"/>
  <c r="AB36" i="36"/>
  <c r="AC36" i="36" s="1"/>
  <c r="AI37" i="36"/>
  <c r="AQ37" i="36"/>
  <c r="AB22" i="36"/>
  <c r="AJ22" i="36"/>
  <c r="V37" i="36"/>
  <c r="N37" i="36"/>
  <c r="AC28" i="37"/>
  <c r="U28" i="37"/>
  <c r="AP26" i="35"/>
  <c r="AJ50" i="37"/>
  <c r="AB50" i="37"/>
  <c r="U37" i="36"/>
  <c r="U38" i="35"/>
  <c r="AC38" i="35"/>
  <c r="AG44" i="37"/>
  <c r="AQ30" i="34"/>
  <c r="AI30" i="34"/>
  <c r="H32" i="3" s="1"/>
  <c r="H31" i="3"/>
  <c r="AC26" i="34"/>
  <c r="U26" i="34"/>
  <c r="AQ25" i="34"/>
  <c r="AI25" i="34"/>
  <c r="AC37" i="34"/>
  <c r="U37" i="34"/>
  <c r="AC28" i="32"/>
  <c r="U28" i="32"/>
  <c r="N27" i="35"/>
  <c r="V27" i="35"/>
  <c r="L46" i="33"/>
  <c r="AQ17" i="34"/>
  <c r="AI17" i="34"/>
  <c r="AJ19" i="33"/>
  <c r="AB19" i="33"/>
  <c r="AC19" i="33" s="1"/>
  <c r="AJ37" i="33"/>
  <c r="AI37" i="33"/>
  <c r="AB37" i="33"/>
  <c r="N41" i="32"/>
  <c r="O41" i="32" s="1"/>
  <c r="Z44" i="35"/>
  <c r="AP37" i="34"/>
  <c r="N20" i="32"/>
  <c r="V20" i="32"/>
  <c r="U16" i="35"/>
  <c r="AC16" i="35"/>
  <c r="U17" i="36"/>
  <c r="AC17" i="36"/>
  <c r="AB27" i="30"/>
  <c r="AJ27" i="30"/>
  <c r="AC25" i="31"/>
  <c r="U25" i="31"/>
  <c r="AP44" i="30"/>
  <c r="AQ44" i="30" s="1"/>
  <c r="AJ20" i="29"/>
  <c r="AB20" i="29"/>
  <c r="AP41" i="28"/>
  <c r="AQ41" i="28" s="1"/>
  <c r="S44" i="28"/>
  <c r="AB44" i="28" s="1"/>
  <c r="Z29" i="29"/>
  <c r="AB15" i="29"/>
  <c r="AC15" i="29" s="1"/>
  <c r="AQ17" i="32"/>
  <c r="AI17" i="32"/>
  <c r="O34" i="26"/>
  <c r="AQ21" i="29"/>
  <c r="AI21" i="29"/>
  <c r="AC20" i="27"/>
  <c r="U20" i="27"/>
  <c r="N22" i="27"/>
  <c r="V22" i="27"/>
  <c r="AB37" i="29"/>
  <c r="AJ37" i="29"/>
  <c r="H46" i="27"/>
  <c r="AG46" i="29"/>
  <c r="AC27" i="27"/>
  <c r="U27" i="27"/>
  <c r="AJ28" i="28"/>
  <c r="AB28" i="28"/>
  <c r="AB41" i="26"/>
  <c r="AC41" i="26" s="1"/>
  <c r="AN33" i="25"/>
  <c r="AP33" i="25" s="1"/>
  <c r="AN46" i="25"/>
  <c r="AP23" i="25"/>
  <c r="AQ37" i="27"/>
  <c r="AI37" i="27"/>
  <c r="V18" i="27"/>
  <c r="N18" i="27"/>
  <c r="N32" i="24"/>
  <c r="O32" i="24" s="1"/>
  <c r="AJ30" i="25"/>
  <c r="AB30" i="25"/>
  <c r="AJ17" i="27"/>
  <c r="AB17" i="27"/>
  <c r="L44" i="26"/>
  <c r="U44" i="26" s="1"/>
  <c r="AP33" i="23"/>
  <c r="AJ32" i="27"/>
  <c r="AB32" i="27"/>
  <c r="U15" i="25"/>
  <c r="V15" i="25" s="1"/>
  <c r="S29" i="25"/>
  <c r="AI41" i="23"/>
  <c r="AJ41" i="23" s="1"/>
  <c r="AQ41" i="23"/>
  <c r="U44" i="24"/>
  <c r="V44" i="24" s="1"/>
  <c r="AC44" i="24"/>
  <c r="AB44" i="24"/>
  <c r="AN29" i="23"/>
  <c r="AP15" i="23"/>
  <c r="AQ15" i="23" s="1"/>
  <c r="AQ48" i="24"/>
  <c r="AI48" i="24"/>
  <c r="X53" i="22"/>
  <c r="Q59" i="22"/>
  <c r="AN29" i="21"/>
  <c r="AP15" i="21"/>
  <c r="AQ15" i="21" s="1"/>
  <c r="AP15" i="26"/>
  <c r="AQ15" i="26" s="1"/>
  <c r="AN29" i="26"/>
  <c r="AQ25" i="22"/>
  <c r="AI25" i="22"/>
  <c r="AB28" i="21"/>
  <c r="AJ28" i="21"/>
  <c r="AC47" i="22"/>
  <c r="U47" i="22"/>
  <c r="AC18" i="25"/>
  <c r="U18" i="25"/>
  <c r="AC18" i="22"/>
  <c r="U18" i="22"/>
  <c r="N35" i="21"/>
  <c r="O35" i="21" s="1"/>
  <c r="AP24" i="19"/>
  <c r="V33" i="22"/>
  <c r="N33" i="22"/>
  <c r="AB48" i="21"/>
  <c r="AJ48" i="21"/>
  <c r="V25" i="21"/>
  <c r="N25" i="21"/>
  <c r="AI47" i="21"/>
  <c r="AJ47" i="21" s="1"/>
  <c r="AQ47" i="21"/>
  <c r="S34" i="20"/>
  <c r="AP18" i="24"/>
  <c r="AQ16" i="21"/>
  <c r="AI16" i="21"/>
  <c r="AI21" i="21"/>
  <c r="AQ21" i="21"/>
  <c r="AG42" i="19"/>
  <c r="U45" i="23"/>
  <c r="V45" i="23" s="1"/>
  <c r="AC45" i="23"/>
  <c r="AB45" i="23"/>
  <c r="N36" i="20"/>
  <c r="O36" i="20" s="1"/>
  <c r="AI30" i="24"/>
  <c r="AQ30" i="24"/>
  <c r="AP48" i="24"/>
  <c r="S34" i="22"/>
  <c r="AB34" i="22" s="1"/>
  <c r="Z38" i="21"/>
  <c r="O41" i="19"/>
  <c r="U41" i="24"/>
  <c r="V41" i="24" s="1"/>
  <c r="AC16" i="20"/>
  <c r="U16" i="20"/>
  <c r="O19" i="19"/>
  <c r="AQ46" i="19"/>
  <c r="AI46" i="19"/>
  <c r="AJ46" i="19" s="1"/>
  <c r="AC18" i="17"/>
  <c r="U18" i="17"/>
  <c r="AC16" i="17"/>
  <c r="U16" i="17"/>
  <c r="AQ30" i="18"/>
  <c r="AI30" i="18"/>
  <c r="N35" i="17"/>
  <c r="V35" i="17"/>
  <c r="Z34" i="19"/>
  <c r="AI34" i="19" s="1"/>
  <c r="AJ47" i="18"/>
  <c r="AB47" i="18"/>
  <c r="V28" i="18"/>
  <c r="N28" i="18"/>
  <c r="H41" i="15"/>
  <c r="V33" i="15"/>
  <c r="N33" i="15"/>
  <c r="AB32" i="15"/>
  <c r="AJ32" i="15"/>
  <c r="AC46" i="15"/>
  <c r="U46" i="15"/>
  <c r="V46" i="15" s="1"/>
  <c r="AC48" i="17"/>
  <c r="U48" i="17"/>
  <c r="V48" i="17" s="1"/>
  <c r="V24" i="15"/>
  <c r="N24" i="15"/>
  <c r="Z38" i="15"/>
  <c r="S41" i="14"/>
  <c r="AB41" i="14" s="1"/>
  <c r="AB47" i="15"/>
  <c r="AC47" i="15" s="1"/>
  <c r="AJ47" i="15"/>
  <c r="AC32" i="14"/>
  <c r="U32" i="14"/>
  <c r="V32" i="14" s="1"/>
  <c r="AP23" i="15"/>
  <c r="O35" i="14"/>
  <c r="AP22" i="15"/>
  <c r="AJ38" i="10"/>
  <c r="U36" i="13"/>
  <c r="V36" i="13" s="1"/>
  <c r="S29" i="13"/>
  <c r="U15" i="13"/>
  <c r="V15" i="13" s="1"/>
  <c r="U36" i="11"/>
  <c r="V36" i="11" s="1"/>
  <c r="S38" i="10"/>
  <c r="AB38" i="10" s="1"/>
  <c r="AB31" i="14"/>
  <c r="AJ31" i="14"/>
  <c r="O47" i="13"/>
  <c r="V18" i="14"/>
  <c r="N18" i="14"/>
  <c r="U18" i="13"/>
  <c r="AC18" i="13"/>
  <c r="N23" i="10"/>
  <c r="V23" i="10"/>
  <c r="AC28" i="11"/>
  <c r="U28" i="11"/>
  <c r="V16" i="11"/>
  <c r="N16" i="11"/>
  <c r="V25" i="12"/>
  <c r="N25" i="12"/>
  <c r="N28" i="13"/>
  <c r="V28" i="13"/>
  <c r="AB21" i="14"/>
  <c r="AJ21" i="14"/>
  <c r="V24" i="12"/>
  <c r="N24" i="12"/>
  <c r="AJ24" i="15"/>
  <c r="AB24" i="15"/>
  <c r="N39" i="14"/>
  <c r="O39" i="14" s="1"/>
  <c r="AP22" i="16"/>
  <c r="N32" i="14"/>
  <c r="O32" i="14" s="1"/>
  <c r="AJ34" i="14"/>
  <c r="AB34" i="14"/>
  <c r="AC34" i="14" s="1"/>
  <c r="AI16" i="16"/>
  <c r="AQ16" i="16"/>
  <c r="N27" i="16"/>
  <c r="V27" i="16"/>
  <c r="AP26" i="16"/>
  <c r="AB25" i="20"/>
  <c r="AJ25" i="20"/>
  <c r="AP41" i="17"/>
  <c r="AQ41" i="17" s="1"/>
  <c r="AP18" i="18"/>
  <c r="AB15" i="18"/>
  <c r="AC15" i="18" s="1"/>
  <c r="Z29" i="18"/>
  <c r="AP25" i="21"/>
  <c r="AC22" i="20"/>
  <c r="U22" i="20"/>
  <c r="V22" i="20" s="1"/>
  <c r="U26" i="20"/>
  <c r="AC26" i="20"/>
  <c r="U24" i="19"/>
  <c r="AC24" i="19"/>
  <c r="AC19" i="19"/>
  <c r="U19" i="19"/>
  <c r="V19" i="19" s="1"/>
  <c r="AQ27" i="25"/>
  <c r="AI27" i="25"/>
  <c r="AP31" i="24"/>
  <c r="AQ32" i="25"/>
  <c r="AI32" i="25"/>
  <c r="U15" i="24"/>
  <c r="V15" i="24" s="1"/>
  <c r="S29" i="24"/>
  <c r="AJ20" i="26"/>
  <c r="AB20" i="26"/>
  <c r="AJ16" i="23"/>
  <c r="AB16" i="23"/>
  <c r="U32" i="24"/>
  <c r="V32" i="24" s="1"/>
  <c r="AC32" i="24"/>
  <c r="V31" i="24"/>
  <c r="N31" i="24"/>
  <c r="AQ33" i="25"/>
  <c r="AI33" i="25"/>
  <c r="O19" i="26"/>
  <c r="AJ21" i="27"/>
  <c r="AB21" i="27"/>
  <c r="AC21" i="27" s="1"/>
  <c r="AI20" i="27"/>
  <c r="AQ20" i="27"/>
  <c r="AP34" i="27"/>
  <c r="AP31" i="28"/>
  <c r="AJ27" i="29"/>
  <c r="AB27" i="29"/>
  <c r="AP17" i="29"/>
  <c r="N22" i="32"/>
  <c r="V38" i="29"/>
  <c r="N38" i="29"/>
  <c r="N40" i="27"/>
  <c r="O40" i="27" s="1"/>
  <c r="AJ28" i="32"/>
  <c r="AB28" i="32"/>
  <c r="AI25" i="32"/>
  <c r="AQ25" i="32"/>
  <c r="AP19" i="31"/>
  <c r="AQ19" i="31" s="1"/>
  <c r="AC41" i="34"/>
  <c r="U41" i="34"/>
  <c r="V41" i="34" s="1"/>
  <c r="N26" i="32"/>
  <c r="V26" i="32"/>
  <c r="AI40" i="31"/>
  <c r="AJ40" i="31" s="1"/>
  <c r="AJ22" i="35"/>
  <c r="AB22" i="35"/>
  <c r="AQ28" i="34"/>
  <c r="AI28" i="34"/>
  <c r="AB20" i="36"/>
  <c r="AJ20" i="36"/>
  <c r="AB32" i="36"/>
  <c r="AJ32" i="36"/>
  <c r="AB32" i="37"/>
  <c r="AJ32" i="37"/>
  <c r="AI24" i="35"/>
  <c r="AQ24" i="35"/>
  <c r="O45" i="36"/>
  <c r="AB38" i="36"/>
  <c r="AJ38" i="36"/>
  <c r="L29" i="37"/>
  <c r="N15" i="37"/>
  <c r="O15" i="37" s="1"/>
  <c r="AP16" i="39"/>
  <c r="U32" i="38"/>
  <c r="V32" i="38" s="1"/>
  <c r="AC32" i="38"/>
  <c r="AQ16" i="38"/>
  <c r="AI16" i="38"/>
  <c r="AI15" i="39"/>
  <c r="AJ15" i="39" s="1"/>
  <c r="AG29" i="39"/>
  <c r="AB34" i="40"/>
  <c r="AJ34" i="40"/>
  <c r="V27" i="40"/>
  <c r="N27" i="40"/>
  <c r="U28" i="41"/>
  <c r="AC28" i="41"/>
  <c r="N18" i="12"/>
  <c r="V18" i="12"/>
  <c r="U48" i="10"/>
  <c r="AC48" i="10"/>
  <c r="U28" i="9"/>
  <c r="AC28" i="9"/>
  <c r="N39" i="9"/>
  <c r="O39" i="9" s="1"/>
  <c r="H42" i="11"/>
  <c r="AJ20" i="9"/>
  <c r="AB20" i="9"/>
  <c r="N43" i="9"/>
  <c r="O43" i="9" s="1"/>
  <c r="AJ24" i="14"/>
  <c r="AB24" i="14"/>
  <c r="V26" i="10"/>
  <c r="N26" i="10"/>
  <c r="N38" i="9"/>
  <c r="O38" i="9" s="1"/>
  <c r="AB17" i="11"/>
  <c r="AJ17" i="11"/>
  <c r="V23" i="14"/>
  <c r="N23" i="14"/>
  <c r="AC30" i="12"/>
  <c r="U30" i="12"/>
  <c r="V30" i="12" s="1"/>
  <c r="H38" i="11"/>
  <c r="AJ18" i="9"/>
  <c r="AB18" i="9"/>
  <c r="N48" i="11"/>
  <c r="AI43" i="9"/>
  <c r="AJ43" i="9" s="1"/>
  <c r="AQ43" i="9"/>
  <c r="AC26" i="9"/>
  <c r="U26" i="9"/>
  <c r="AP22" i="10"/>
  <c r="AB47" i="10"/>
  <c r="AC47" i="10" s="1"/>
  <c r="U25" i="10"/>
  <c r="AC25" i="10"/>
  <c r="AC38" i="13"/>
  <c r="U38" i="13"/>
  <c r="V38" i="13" s="1"/>
  <c r="N30" i="12"/>
  <c r="O30" i="12" s="1"/>
  <c r="S42" i="11"/>
  <c r="AB31" i="15"/>
  <c r="AJ31" i="15"/>
  <c r="H34" i="11"/>
  <c r="N34" i="11" s="1"/>
  <c r="N36" i="9"/>
  <c r="O36" i="9" s="1"/>
  <c r="U43" i="9"/>
  <c r="V43" i="9" s="1"/>
  <c r="AI23" i="10"/>
  <c r="AQ23" i="10"/>
  <c r="U35" i="11"/>
  <c r="V35" i="11" s="1"/>
  <c r="AC35" i="11"/>
  <c r="AJ31" i="9"/>
  <c r="AB31" i="9"/>
  <c r="U43" i="12"/>
  <c r="V43" i="12" s="1"/>
  <c r="H35" i="11"/>
  <c r="AP33" i="11"/>
  <c r="AI27" i="10"/>
  <c r="AQ27" i="10"/>
  <c r="AI18" i="9"/>
  <c r="AQ18" i="9"/>
  <c r="V28" i="9"/>
  <c r="N28" i="9"/>
  <c r="AJ16" i="10"/>
  <c r="AB16" i="10"/>
  <c r="S34" i="9"/>
  <c r="AP27" i="12"/>
  <c r="S41" i="11"/>
  <c r="AI19" i="10"/>
  <c r="AQ19" i="10"/>
  <c r="V22" i="13"/>
  <c r="N22" i="13"/>
  <c r="AI43" i="10"/>
  <c r="AJ43" i="10" s="1"/>
  <c r="AQ43" i="10"/>
  <c r="U19" i="10"/>
  <c r="AC19" i="10"/>
  <c r="V20" i="9"/>
  <c r="N20" i="9"/>
  <c r="AP43" i="12"/>
  <c r="AQ43" i="12" s="1"/>
  <c r="H39" i="11"/>
  <c r="AP36" i="9"/>
  <c r="AQ36" i="9" s="1"/>
  <c r="U18" i="9"/>
  <c r="AC18" i="9"/>
  <c r="AP33" i="10"/>
  <c r="AP18" i="9"/>
  <c r="N44" i="9"/>
  <c r="O44" i="9" s="1"/>
  <c r="O41" i="9"/>
  <c r="S39" i="9"/>
  <c r="V16" i="13"/>
  <c r="N16" i="13"/>
  <c r="AC19" i="9"/>
  <c r="U19" i="9"/>
  <c r="AJ16" i="14"/>
  <c r="AB16" i="14"/>
  <c r="AC19" i="12"/>
  <c r="U19" i="12"/>
  <c r="AB20" i="10"/>
  <c r="AJ20" i="10"/>
  <c r="AB35" i="9"/>
  <c r="AJ35" i="9"/>
  <c r="AQ26" i="9"/>
  <c r="AI26" i="9"/>
  <c r="S41" i="9"/>
  <c r="AP32" i="9"/>
  <c r="U42" i="10" l="1"/>
  <c r="V42" i="10" s="1"/>
  <c r="N41" i="13"/>
  <c r="O41" i="13" s="1"/>
  <c r="G82" i="1"/>
  <c r="G83" i="1" s="1"/>
  <c r="AB38" i="19"/>
  <c r="AC38" i="19" s="1"/>
  <c r="AP43" i="38"/>
  <c r="AQ43" i="38" s="1"/>
  <c r="AI46" i="31"/>
  <c r="AJ46" i="31" s="1"/>
  <c r="AI41" i="19"/>
  <c r="AJ41" i="19" s="1"/>
  <c r="AP44" i="29"/>
  <c r="AQ44" i="29" s="1"/>
  <c r="AB46" i="38"/>
  <c r="AC46" i="38" s="1"/>
  <c r="AB46" i="31"/>
  <c r="AP40" i="41"/>
  <c r="AQ40" i="41" s="1"/>
  <c r="AI38" i="20"/>
  <c r="AJ38" i="20" s="1"/>
  <c r="N43" i="38"/>
  <c r="O43" i="38" s="1"/>
  <c r="AB43" i="30"/>
  <c r="AC43" i="30" s="1"/>
  <c r="U42" i="21"/>
  <c r="V42" i="21" s="1"/>
  <c r="AI40" i="41"/>
  <c r="AI34" i="18"/>
  <c r="AJ34" i="18" s="1"/>
  <c r="AB43" i="40"/>
  <c r="AC43" i="40" s="1"/>
  <c r="S17" i="3"/>
  <c r="AP44" i="26"/>
  <c r="AQ44" i="26" s="1"/>
  <c r="AI43" i="30"/>
  <c r="AJ43" i="30" s="1"/>
  <c r="U38" i="22"/>
  <c r="V38" i="22" s="1"/>
  <c r="AP46" i="34"/>
  <c r="AQ46" i="34" s="1"/>
  <c r="U46" i="39"/>
  <c r="V46" i="39" s="1"/>
  <c r="U42" i="13"/>
  <c r="V42" i="13" s="1"/>
  <c r="N43" i="37"/>
  <c r="O43" i="37" s="1"/>
  <c r="AP46" i="31"/>
  <c r="AQ46" i="31" s="1"/>
  <c r="N39" i="12"/>
  <c r="O39" i="12" s="1"/>
  <c r="AP44" i="28"/>
  <c r="AQ44" i="28" s="1"/>
  <c r="N44" i="38"/>
  <c r="O44" i="38" s="1"/>
  <c r="U43" i="26"/>
  <c r="V43" i="26" s="1"/>
  <c r="U44" i="31"/>
  <c r="V44" i="31" s="1"/>
  <c r="AB39" i="9"/>
  <c r="AC39" i="9" s="1"/>
  <c r="AP42" i="24"/>
  <c r="AQ42" i="24" s="1"/>
  <c r="U43" i="37"/>
  <c r="V43" i="37" s="1"/>
  <c r="AP38" i="9"/>
  <c r="AQ38" i="9" s="1"/>
  <c r="N44" i="31"/>
  <c r="O44" i="31" s="1"/>
  <c r="AB41" i="18"/>
  <c r="AC41" i="18" s="1"/>
  <c r="AB39" i="14"/>
  <c r="AC39" i="14" s="1"/>
  <c r="O30" i="34"/>
  <c r="AJ39" i="9"/>
  <c r="AQ39" i="19"/>
  <c r="AP42" i="17"/>
  <c r="AQ42" i="17" s="1"/>
  <c r="AJ34" i="9"/>
  <c r="AB34" i="9"/>
  <c r="AC34" i="9" s="1"/>
  <c r="AP44" i="34"/>
  <c r="AQ44" i="34" s="1"/>
  <c r="V30" i="32"/>
  <c r="C82" i="1"/>
  <c r="C83" i="1" s="1"/>
  <c r="O8" i="3"/>
  <c r="AP44" i="37"/>
  <c r="AQ44" i="37" s="1"/>
  <c r="AI32" i="15"/>
  <c r="AQ41" i="41"/>
  <c r="AB42" i="9"/>
  <c r="AI41" i="41"/>
  <c r="AJ41" i="41" s="1"/>
  <c r="AI41" i="20"/>
  <c r="AJ41" i="20" s="1"/>
  <c r="E28" i="3"/>
  <c r="V30" i="34"/>
  <c r="AQ41" i="20"/>
  <c r="U46" i="36"/>
  <c r="V46" i="36" s="1"/>
  <c r="E82" i="1"/>
  <c r="E83" i="1" s="1"/>
  <c r="W27" i="3"/>
  <c r="X26" i="3"/>
  <c r="X21" i="3"/>
  <c r="W12" i="3"/>
  <c r="X11" i="3"/>
  <c r="AC41" i="14"/>
  <c r="U41" i="14"/>
  <c r="V41" i="14" s="1"/>
  <c r="AN37" i="21"/>
  <c r="AP29" i="21"/>
  <c r="AQ29" i="21" s="1"/>
  <c r="Z39" i="29"/>
  <c r="AB29" i="29"/>
  <c r="AC29" i="29" s="1"/>
  <c r="AB38" i="15"/>
  <c r="AC38" i="15" s="1"/>
  <c r="AP46" i="25"/>
  <c r="AQ46" i="25" s="1"/>
  <c r="V41" i="12"/>
  <c r="N41" i="12"/>
  <c r="O41" i="12" s="1"/>
  <c r="AC42" i="14"/>
  <c r="U42" i="14"/>
  <c r="V42" i="14" s="1"/>
  <c r="L39" i="28"/>
  <c r="N29" i="28"/>
  <c r="O29" i="28" s="1"/>
  <c r="AP43" i="34"/>
  <c r="AQ43" i="34" s="1"/>
  <c r="U44" i="33"/>
  <c r="V44" i="33" s="1"/>
  <c r="S37" i="14"/>
  <c r="U29" i="14"/>
  <c r="V29" i="14" s="1"/>
  <c r="AP41" i="15"/>
  <c r="AQ41" i="15" s="1"/>
  <c r="AN37" i="19"/>
  <c r="AP29" i="19"/>
  <c r="AQ29" i="19" s="1"/>
  <c r="AQ20" i="34"/>
  <c r="AI20" i="34"/>
  <c r="AI46" i="34"/>
  <c r="AI44" i="29"/>
  <c r="AJ44" i="29" s="1"/>
  <c r="U46" i="30"/>
  <c r="AI29" i="11"/>
  <c r="AJ29" i="11" s="1"/>
  <c r="AG37" i="11"/>
  <c r="AI35" i="15"/>
  <c r="AJ35" i="15" s="1"/>
  <c r="AB29" i="19"/>
  <c r="AC29" i="19" s="1"/>
  <c r="Z37" i="19"/>
  <c r="AC44" i="27"/>
  <c r="U44" i="27"/>
  <c r="V44" i="27" s="1"/>
  <c r="AP29" i="41"/>
  <c r="AQ29" i="41" s="1"/>
  <c r="AN39" i="41"/>
  <c r="G51" i="1"/>
  <c r="AI29" i="20"/>
  <c r="H17" i="3" s="1"/>
  <c r="AG37" i="20"/>
  <c r="H16" i="3"/>
  <c r="F15" i="1"/>
  <c r="U29" i="28"/>
  <c r="V29" i="28" s="1"/>
  <c r="S39" i="28"/>
  <c r="AI29" i="13"/>
  <c r="AG37" i="13"/>
  <c r="V38" i="18"/>
  <c r="N38" i="18"/>
  <c r="O38" i="18" s="1"/>
  <c r="N46" i="27"/>
  <c r="Z37" i="14"/>
  <c r="AB29" i="14"/>
  <c r="AC29" i="14" s="1"/>
  <c r="AI29" i="19"/>
  <c r="AJ29" i="19" s="1"/>
  <c r="AG37" i="19"/>
  <c r="AB37" i="25"/>
  <c r="AJ37" i="25"/>
  <c r="T26" i="3"/>
  <c r="U26" i="3" s="1"/>
  <c r="U29" i="16"/>
  <c r="V29" i="16" s="1"/>
  <c r="S37" i="16"/>
  <c r="AB44" i="36"/>
  <c r="AC44" i="36" s="1"/>
  <c r="AB29" i="20"/>
  <c r="G17" i="3" s="1"/>
  <c r="Z37" i="20"/>
  <c r="E15" i="1"/>
  <c r="G16" i="3"/>
  <c r="AN39" i="36"/>
  <c r="AP29" i="36"/>
  <c r="AQ29" i="36" s="1"/>
  <c r="AI29" i="26"/>
  <c r="AJ29" i="26" s="1"/>
  <c r="AG39" i="26"/>
  <c r="F21" i="1"/>
  <c r="AB29" i="26"/>
  <c r="AC29" i="26" s="1"/>
  <c r="Z39" i="26"/>
  <c r="E21" i="1"/>
  <c r="AG39" i="40"/>
  <c r="AI29" i="40"/>
  <c r="AJ29" i="40" s="1"/>
  <c r="AI39" i="20"/>
  <c r="AJ39" i="20" s="1"/>
  <c r="U34" i="9"/>
  <c r="V34" i="9" s="1"/>
  <c r="U42" i="11"/>
  <c r="V42" i="11" s="1"/>
  <c r="S37" i="24"/>
  <c r="U29" i="24"/>
  <c r="V29" i="24" s="1"/>
  <c r="AI42" i="19"/>
  <c r="AJ42" i="19" s="1"/>
  <c r="U44" i="28"/>
  <c r="V44" i="28" s="1"/>
  <c r="AC44" i="28"/>
  <c r="AB42" i="13"/>
  <c r="AC42" i="13" s="1"/>
  <c r="AJ42" i="13"/>
  <c r="L37" i="22"/>
  <c r="N29" i="22"/>
  <c r="O29" i="22" s="1"/>
  <c r="AI29" i="41"/>
  <c r="AJ29" i="41" s="1"/>
  <c r="AG39" i="41"/>
  <c r="F51" i="1"/>
  <c r="H37" i="12"/>
  <c r="S37" i="17"/>
  <c r="U29" i="17"/>
  <c r="V29" i="17" s="1"/>
  <c r="U44" i="35"/>
  <c r="V44" i="35" s="1"/>
  <c r="U29" i="30"/>
  <c r="V29" i="30" s="1"/>
  <c r="S39" i="30"/>
  <c r="O44" i="35"/>
  <c r="AI43" i="34"/>
  <c r="AJ43" i="34" s="1"/>
  <c r="AB29" i="12"/>
  <c r="Z37" i="12"/>
  <c r="N44" i="37"/>
  <c r="O44" i="37" s="1"/>
  <c r="S7" i="3"/>
  <c r="N9" i="3"/>
  <c r="S9" i="3" s="1"/>
  <c r="AG29" i="34"/>
  <c r="U39" i="21"/>
  <c r="V39" i="21" s="1"/>
  <c r="H39" i="38"/>
  <c r="AB39" i="16"/>
  <c r="AC39" i="16" s="1"/>
  <c r="AJ39" i="16"/>
  <c r="V46" i="38"/>
  <c r="N46" i="38"/>
  <c r="O46" i="38" s="1"/>
  <c r="AB39" i="15"/>
  <c r="AC39" i="15" s="1"/>
  <c r="AP29" i="31"/>
  <c r="AQ29" i="31" s="1"/>
  <c r="AN39" i="31"/>
  <c r="G27" i="1"/>
  <c r="H39" i="41"/>
  <c r="B51" i="1"/>
  <c r="S37" i="23"/>
  <c r="U29" i="23"/>
  <c r="V29" i="23" s="1"/>
  <c r="AG37" i="17"/>
  <c r="AI29" i="17"/>
  <c r="Z37" i="11"/>
  <c r="AB29" i="11"/>
  <c r="AC29" i="11" s="1"/>
  <c r="AQ32" i="20"/>
  <c r="AI32" i="20"/>
  <c r="O18" i="3"/>
  <c r="H39" i="26"/>
  <c r="B21" i="1"/>
  <c r="U29" i="11"/>
  <c r="V29" i="11" s="1"/>
  <c r="S37" i="11"/>
  <c r="AN39" i="27"/>
  <c r="AP29" i="27"/>
  <c r="I22" i="3" s="1"/>
  <c r="I21" i="3"/>
  <c r="U29" i="40"/>
  <c r="V29" i="40" s="1"/>
  <c r="S39" i="40"/>
  <c r="N29" i="10"/>
  <c r="O29" i="10" s="1"/>
  <c r="L37" i="10"/>
  <c r="F82" i="1"/>
  <c r="F83" i="1" s="1"/>
  <c r="Z37" i="18"/>
  <c r="AB29" i="18"/>
  <c r="AI38" i="17"/>
  <c r="AJ38" i="17" s="1"/>
  <c r="S37" i="10"/>
  <c r="U29" i="10"/>
  <c r="V29" i="10" s="1"/>
  <c r="L37" i="19"/>
  <c r="N29" i="19"/>
  <c r="N44" i="25"/>
  <c r="AB43" i="31"/>
  <c r="AC43" i="31" s="1"/>
  <c r="S39" i="34"/>
  <c r="U29" i="34"/>
  <c r="V29" i="34" s="1"/>
  <c r="D33" i="1"/>
  <c r="U46" i="35"/>
  <c r="V46" i="35" s="1"/>
  <c r="AJ39" i="19"/>
  <c r="AB39" i="19"/>
  <c r="AC39" i="19" s="1"/>
  <c r="U43" i="31"/>
  <c r="V43" i="31" s="1"/>
  <c r="AI43" i="36"/>
  <c r="AJ43" i="36" s="1"/>
  <c r="R13" i="3"/>
  <c r="R10" i="3"/>
  <c r="V8" i="3"/>
  <c r="H37" i="16"/>
  <c r="AB34" i="20"/>
  <c r="AB43" i="37"/>
  <c r="AC43" i="37" s="1"/>
  <c r="AI32" i="27"/>
  <c r="AQ32" i="27"/>
  <c r="O23" i="3"/>
  <c r="U36" i="41"/>
  <c r="V36" i="41" s="1"/>
  <c r="AI31" i="15"/>
  <c r="AQ31" i="15"/>
  <c r="N8" i="3"/>
  <c r="N10" i="3" s="1"/>
  <c r="Z39" i="41"/>
  <c r="AB29" i="41"/>
  <c r="AC29" i="41" s="1"/>
  <c r="E51" i="1"/>
  <c r="AB41" i="21"/>
  <c r="AC41" i="21" s="1"/>
  <c r="AG39" i="37"/>
  <c r="AI29" i="37"/>
  <c r="AJ29" i="37" s="1"/>
  <c r="F39" i="1"/>
  <c r="U44" i="34"/>
  <c r="V44" i="34" s="1"/>
  <c r="H39" i="40"/>
  <c r="V37" i="38"/>
  <c r="N37" i="38"/>
  <c r="O37" i="38" s="1"/>
  <c r="N29" i="20"/>
  <c r="E17" i="3" s="1"/>
  <c r="L37" i="20"/>
  <c r="C15" i="1"/>
  <c r="E16" i="3"/>
  <c r="AI43" i="35"/>
  <c r="AJ43" i="35" s="1"/>
  <c r="AG39" i="36"/>
  <c r="AI29" i="36"/>
  <c r="AN39" i="30"/>
  <c r="AP29" i="30"/>
  <c r="AQ29" i="30" s="1"/>
  <c r="AG39" i="28"/>
  <c r="AI29" i="28"/>
  <c r="AJ29" i="28" s="1"/>
  <c r="T27" i="3"/>
  <c r="U27" i="3" s="1"/>
  <c r="H28" i="3"/>
  <c r="AI41" i="21"/>
  <c r="AJ41" i="21" s="1"/>
  <c r="L39" i="33"/>
  <c r="N29" i="33"/>
  <c r="O29" i="33" s="1"/>
  <c r="AC44" i="40"/>
  <c r="U44" i="40"/>
  <c r="V44" i="40" s="1"/>
  <c r="AG37" i="21"/>
  <c r="AI29" i="21"/>
  <c r="AJ29" i="21" s="1"/>
  <c r="U29" i="29"/>
  <c r="V29" i="29" s="1"/>
  <c r="S39" i="29"/>
  <c r="I33" i="3"/>
  <c r="N43" i="25"/>
  <c r="O43" i="25" s="1"/>
  <c r="H37" i="18"/>
  <c r="N43" i="28"/>
  <c r="O43" i="28" s="1"/>
  <c r="V43" i="28"/>
  <c r="X59" i="22"/>
  <c r="AE53" i="22"/>
  <c r="AB38" i="21"/>
  <c r="AC38" i="21" s="1"/>
  <c r="T31" i="3"/>
  <c r="U31" i="3" s="1"/>
  <c r="AI37" i="39"/>
  <c r="AJ37" i="39" s="1"/>
  <c r="AN39" i="33"/>
  <c r="AP29" i="33"/>
  <c r="AQ29" i="33" s="1"/>
  <c r="AI29" i="9"/>
  <c r="AJ29" i="9" s="1"/>
  <c r="AG37" i="9"/>
  <c r="AI38" i="15"/>
  <c r="AJ38" i="15" s="1"/>
  <c r="N29" i="24"/>
  <c r="O29" i="24" s="1"/>
  <c r="L37" i="24"/>
  <c r="AB29" i="30"/>
  <c r="AC29" i="30" s="1"/>
  <c r="Z39" i="30"/>
  <c r="V37" i="25"/>
  <c r="N37" i="25"/>
  <c r="U37" i="25"/>
  <c r="U38" i="21"/>
  <c r="V38" i="21" s="1"/>
  <c r="U43" i="35"/>
  <c r="V43" i="35" s="1"/>
  <c r="AP43" i="29"/>
  <c r="AQ43" i="29" s="1"/>
  <c r="AI44" i="36"/>
  <c r="AJ44" i="36" s="1"/>
  <c r="AB42" i="11"/>
  <c r="AC42" i="11" s="1"/>
  <c r="AI39" i="17"/>
  <c r="AJ39" i="17" s="1"/>
  <c r="U34" i="21"/>
  <c r="V34" i="21" s="1"/>
  <c r="AC34" i="21"/>
  <c r="AB46" i="25"/>
  <c r="AC46" i="25" s="1"/>
  <c r="N29" i="31"/>
  <c r="O29" i="31" s="1"/>
  <c r="L39" i="31"/>
  <c r="C27" i="1"/>
  <c r="AJ42" i="16"/>
  <c r="AB42" i="16"/>
  <c r="AC42" i="16" s="1"/>
  <c r="AC42" i="22"/>
  <c r="U42" i="22"/>
  <c r="V42" i="22" s="1"/>
  <c r="AP37" i="39"/>
  <c r="AQ37" i="39" s="1"/>
  <c r="AJ43" i="41"/>
  <c r="AB43" i="41"/>
  <c r="AC43" i="41" s="1"/>
  <c r="Z39" i="38"/>
  <c r="AB29" i="38"/>
  <c r="AC29" i="38" s="1"/>
  <c r="U43" i="34"/>
  <c r="V43" i="34" s="1"/>
  <c r="O35" i="15"/>
  <c r="N35" i="15"/>
  <c r="R20" i="3"/>
  <c r="V18" i="3"/>
  <c r="AQ44" i="35"/>
  <c r="AI44" i="35"/>
  <c r="AJ44" i="35" s="1"/>
  <c r="S39" i="39"/>
  <c r="U29" i="39"/>
  <c r="V29" i="39" s="1"/>
  <c r="D45" i="1"/>
  <c r="H39" i="39"/>
  <c r="B45" i="1"/>
  <c r="S39" i="26"/>
  <c r="U29" i="26"/>
  <c r="V29" i="26" s="1"/>
  <c r="D21" i="1"/>
  <c r="H37" i="22"/>
  <c r="V44" i="36"/>
  <c r="N44" i="36"/>
  <c r="O44" i="36" s="1"/>
  <c r="L39" i="30"/>
  <c r="N29" i="30"/>
  <c r="O29" i="30" s="1"/>
  <c r="L35" i="3"/>
  <c r="S33" i="3"/>
  <c r="X34" i="3"/>
  <c r="AA34" i="3" s="1"/>
  <c r="N29" i="11"/>
  <c r="O29" i="11" s="1"/>
  <c r="L37" i="11"/>
  <c r="AI29" i="38"/>
  <c r="AJ29" i="38" s="1"/>
  <c r="AG39" i="38"/>
  <c r="N46" i="33"/>
  <c r="O46" i="33" s="1"/>
  <c r="AI46" i="39"/>
  <c r="AJ46" i="39" s="1"/>
  <c r="H37" i="9"/>
  <c r="AG37" i="16"/>
  <c r="AI29" i="16"/>
  <c r="AI46" i="36"/>
  <c r="AJ46" i="36" s="1"/>
  <c r="AG39" i="30"/>
  <c r="AI29" i="30"/>
  <c r="AJ29" i="30" s="1"/>
  <c r="O34" i="17"/>
  <c r="L37" i="18"/>
  <c r="N29" i="18"/>
  <c r="O29" i="18" s="1"/>
  <c r="N41" i="17"/>
  <c r="O41" i="17" s="1"/>
  <c r="V41" i="17"/>
  <c r="R25" i="3"/>
  <c r="V23" i="3"/>
  <c r="Z37" i="21"/>
  <c r="AB29" i="21"/>
  <c r="AC29" i="21" s="1"/>
  <c r="AB43" i="32"/>
  <c r="AC43" i="32" s="1"/>
  <c r="L39" i="34"/>
  <c r="N29" i="34"/>
  <c r="O29" i="34" s="1"/>
  <c r="C33" i="1"/>
  <c r="U39" i="16"/>
  <c r="V39" i="16" s="1"/>
  <c r="AG37" i="23"/>
  <c r="AI29" i="23"/>
  <c r="AJ29" i="23" s="1"/>
  <c r="N43" i="36"/>
  <c r="O43" i="36" s="1"/>
  <c r="AN37" i="16"/>
  <c r="AP29" i="16"/>
  <c r="AQ29" i="16" s="1"/>
  <c r="L30" i="3"/>
  <c r="X29" i="3"/>
  <c r="AA29" i="3" s="1"/>
  <c r="S28" i="3"/>
  <c r="N29" i="37"/>
  <c r="O29" i="37" s="1"/>
  <c r="L39" i="37"/>
  <c r="C39" i="1"/>
  <c r="AP38" i="17"/>
  <c r="AQ38" i="17" s="1"/>
  <c r="AN37" i="23"/>
  <c r="AP29" i="23"/>
  <c r="AQ29" i="23" s="1"/>
  <c r="AB44" i="35"/>
  <c r="AC44" i="35" s="1"/>
  <c r="AI44" i="37"/>
  <c r="AJ44" i="37" s="1"/>
  <c r="H39" i="27"/>
  <c r="D21" i="3"/>
  <c r="L37" i="21"/>
  <c r="N29" i="21"/>
  <c r="O29" i="21" s="1"/>
  <c r="AP39" i="20"/>
  <c r="AQ39" i="20" s="1"/>
  <c r="N46" i="25"/>
  <c r="O46" i="25" s="1"/>
  <c r="AI29" i="33"/>
  <c r="AJ29" i="33" s="1"/>
  <c r="AG39" i="33"/>
  <c r="AP46" i="29"/>
  <c r="AQ46" i="29" s="1"/>
  <c r="AP35" i="15"/>
  <c r="AQ35" i="15" s="1"/>
  <c r="AC41" i="10"/>
  <c r="U41" i="10"/>
  <c r="V41" i="10" s="1"/>
  <c r="Z37" i="16"/>
  <c r="AJ29" i="16"/>
  <c r="AB29" i="16"/>
  <c r="AC29" i="16" s="1"/>
  <c r="S39" i="36"/>
  <c r="U29" i="36"/>
  <c r="V29" i="36" s="1"/>
  <c r="AB44" i="30"/>
  <c r="AC44" i="30" s="1"/>
  <c r="AJ44" i="30"/>
  <c r="AP43" i="35"/>
  <c r="AQ43" i="35" s="1"/>
  <c r="O43" i="40"/>
  <c r="L37" i="9"/>
  <c r="N29" i="9"/>
  <c r="O29" i="9" s="1"/>
  <c r="O42" i="17"/>
  <c r="H39" i="28"/>
  <c r="N46" i="39"/>
  <c r="O46" i="39" s="1"/>
  <c r="N29" i="29"/>
  <c r="O29" i="29" s="1"/>
  <c r="L39" i="29"/>
  <c r="F61" i="41"/>
  <c r="J55" i="41"/>
  <c r="AP44" i="36"/>
  <c r="AQ44" i="36" s="1"/>
  <c r="L39" i="27"/>
  <c r="N29" i="27"/>
  <c r="E22" i="3" s="1"/>
  <c r="E21" i="3"/>
  <c r="O44" i="25"/>
  <c r="E33" i="3"/>
  <c r="N44" i="34"/>
  <c r="O44" i="34" s="1"/>
  <c r="L37" i="23"/>
  <c r="N29" i="23"/>
  <c r="O29" i="23" s="1"/>
  <c r="AI39" i="15"/>
  <c r="AJ39" i="15" s="1"/>
  <c r="N29" i="15"/>
  <c r="E7" i="3" s="1"/>
  <c r="L37" i="15"/>
  <c r="C9" i="1"/>
  <c r="E6" i="3"/>
  <c r="L25" i="3"/>
  <c r="X24" i="3"/>
  <c r="AA24" i="3" s="1"/>
  <c r="U29" i="19"/>
  <c r="V29" i="19" s="1"/>
  <c r="S37" i="19"/>
  <c r="AI29" i="27"/>
  <c r="H22" i="3" s="1"/>
  <c r="AG39" i="27"/>
  <c r="H21" i="3"/>
  <c r="W22" i="3" s="1"/>
  <c r="AP29" i="37"/>
  <c r="AQ29" i="37" s="1"/>
  <c r="AN39" i="37"/>
  <c r="G39" i="1"/>
  <c r="U46" i="34"/>
  <c r="V46" i="34" s="1"/>
  <c r="AB44" i="29"/>
  <c r="AC44" i="29" s="1"/>
  <c r="H37" i="14"/>
  <c r="L39" i="26"/>
  <c r="N29" i="26"/>
  <c r="O29" i="26" s="1"/>
  <c r="C21" i="1"/>
  <c r="AP29" i="15"/>
  <c r="I7" i="3" s="1"/>
  <c r="AN37" i="15"/>
  <c r="G9" i="1"/>
  <c r="I6" i="3"/>
  <c r="U41" i="9"/>
  <c r="V41" i="9" s="1"/>
  <c r="AB41" i="9"/>
  <c r="AC41" i="9" s="1"/>
  <c r="AG37" i="14"/>
  <c r="AI29" i="14"/>
  <c r="AJ29" i="14" s="1"/>
  <c r="AB36" i="41"/>
  <c r="AC36" i="41" s="1"/>
  <c r="AB39" i="20"/>
  <c r="AC39" i="20" s="1"/>
  <c r="AB29" i="40"/>
  <c r="AC29" i="40" s="1"/>
  <c r="Z39" i="40"/>
  <c r="AI31" i="27"/>
  <c r="AQ31" i="27"/>
  <c r="N23" i="3"/>
  <c r="N25" i="3" s="1"/>
  <c r="N37" i="39"/>
  <c r="O37" i="39" s="1"/>
  <c r="AG39" i="39"/>
  <c r="AI29" i="39"/>
  <c r="AJ29" i="39" s="1"/>
  <c r="F45" i="1"/>
  <c r="AI29" i="12"/>
  <c r="AJ29" i="12" s="1"/>
  <c r="AG37" i="12"/>
  <c r="U38" i="9"/>
  <c r="V38" i="9" s="1"/>
  <c r="AC38" i="9"/>
  <c r="H39" i="36"/>
  <c r="AI31" i="20"/>
  <c r="AQ31" i="20"/>
  <c r="N18" i="3"/>
  <c r="N20" i="3" s="1"/>
  <c r="AI29" i="18"/>
  <c r="AJ29" i="18" s="1"/>
  <c r="AG37" i="18"/>
  <c r="AL59" i="24"/>
  <c r="H39" i="30"/>
  <c r="AB29" i="34"/>
  <c r="AC29" i="34" s="1"/>
  <c r="Z39" i="34"/>
  <c r="E33" i="1"/>
  <c r="L39" i="32"/>
  <c r="N29" i="32"/>
  <c r="O29" i="32" s="1"/>
  <c r="AI29" i="10"/>
  <c r="AJ29" i="10" s="1"/>
  <c r="AG37" i="10"/>
  <c r="AB39" i="21"/>
  <c r="AC39" i="21" s="1"/>
  <c r="AP29" i="10"/>
  <c r="AQ29" i="10" s="1"/>
  <c r="AN37" i="10"/>
  <c r="AI44" i="28"/>
  <c r="AJ44" i="28" s="1"/>
  <c r="AP29" i="29"/>
  <c r="AQ29" i="29" s="1"/>
  <c r="AN39" i="29"/>
  <c r="AB34" i="17"/>
  <c r="AC34" i="17" s="1"/>
  <c r="H37" i="13"/>
  <c r="S39" i="32"/>
  <c r="U29" i="32"/>
  <c r="V29" i="32" s="1"/>
  <c r="X59" i="23"/>
  <c r="AE53" i="23"/>
  <c r="AI44" i="26"/>
  <c r="AJ44" i="26" s="1"/>
  <c r="AP46" i="36"/>
  <c r="AQ46" i="36" s="1"/>
  <c r="AB43" i="34"/>
  <c r="AC43" i="34" s="1"/>
  <c r="AP29" i="11"/>
  <c r="AQ29" i="11" s="1"/>
  <c r="AN37" i="11"/>
  <c r="AQ46" i="27"/>
  <c r="AI46" i="27"/>
  <c r="AJ46" i="27" s="1"/>
  <c r="L39" i="36"/>
  <c r="N29" i="36"/>
  <c r="O29" i="36" s="1"/>
  <c r="U34" i="22"/>
  <c r="V34" i="22" s="1"/>
  <c r="AC34" i="22"/>
  <c r="S39" i="25"/>
  <c r="U29" i="25"/>
  <c r="V29" i="25" s="1"/>
  <c r="T32" i="3"/>
  <c r="U32" i="3" s="1"/>
  <c r="H33" i="3"/>
  <c r="AB29" i="39"/>
  <c r="AC29" i="39" s="1"/>
  <c r="Z39" i="39"/>
  <c r="E45" i="1"/>
  <c r="E46" i="1" s="1"/>
  <c r="E47" i="1" s="1"/>
  <c r="U44" i="37"/>
  <c r="V44" i="37" s="1"/>
  <c r="N24" i="3"/>
  <c r="S24" i="3" s="1"/>
  <c r="S22" i="3"/>
  <c r="Q55" i="37"/>
  <c r="J61" i="37"/>
  <c r="AP29" i="13"/>
  <c r="AQ29" i="13" s="1"/>
  <c r="AN37" i="13"/>
  <c r="N46" i="36"/>
  <c r="O46" i="36" s="1"/>
  <c r="U29" i="33"/>
  <c r="V29" i="33" s="1"/>
  <c r="S39" i="33"/>
  <c r="N43" i="34"/>
  <c r="O43" i="34" s="1"/>
  <c r="Z37" i="22"/>
  <c r="AB29" i="22"/>
  <c r="AC29" i="22" s="1"/>
  <c r="U29" i="21"/>
  <c r="V29" i="21" s="1"/>
  <c r="S37" i="21"/>
  <c r="AG39" i="32"/>
  <c r="AI29" i="32"/>
  <c r="AJ29" i="32" s="1"/>
  <c r="H39" i="29"/>
  <c r="H37" i="21"/>
  <c r="AI46" i="25"/>
  <c r="AJ46" i="25" s="1"/>
  <c r="AQ44" i="25"/>
  <c r="AI44" i="25"/>
  <c r="AJ44" i="25" s="1"/>
  <c r="N46" i="34"/>
  <c r="O46" i="34" s="1"/>
  <c r="N46" i="35"/>
  <c r="O46" i="35" s="1"/>
  <c r="U37" i="39"/>
  <c r="V37" i="39" s="1"/>
  <c r="AJ29" i="13"/>
  <c r="AB29" i="13"/>
  <c r="AC29" i="13" s="1"/>
  <c r="Z37" i="13"/>
  <c r="AN37" i="17"/>
  <c r="AP29" i="17"/>
  <c r="AQ29" i="17" s="1"/>
  <c r="U39" i="9"/>
  <c r="V39" i="9" s="1"/>
  <c r="AC34" i="20"/>
  <c r="U34" i="20"/>
  <c r="V34" i="20" s="1"/>
  <c r="AN39" i="26"/>
  <c r="AP29" i="26"/>
  <c r="AQ29" i="26" s="1"/>
  <c r="G21" i="1"/>
  <c r="Z39" i="37"/>
  <c r="AB29" i="37"/>
  <c r="AC29" i="37" s="1"/>
  <c r="E39" i="1"/>
  <c r="N41" i="21"/>
  <c r="O41" i="21" s="1"/>
  <c r="N38" i="11"/>
  <c r="O38" i="11" s="1"/>
  <c r="AJ42" i="21"/>
  <c r="AB42" i="21"/>
  <c r="AC42" i="21" s="1"/>
  <c r="AI43" i="25"/>
  <c r="AJ43" i="25" s="1"/>
  <c r="AB29" i="31"/>
  <c r="AC29" i="31" s="1"/>
  <c r="Z39" i="31"/>
  <c r="E27" i="1"/>
  <c r="U29" i="9"/>
  <c r="V29" i="9" s="1"/>
  <c r="S37" i="9"/>
  <c r="AC35" i="15"/>
  <c r="U35" i="15"/>
  <c r="V35" i="15" s="1"/>
  <c r="S39" i="27"/>
  <c r="U29" i="27"/>
  <c r="F22" i="3" s="1"/>
  <c r="F21" i="3"/>
  <c r="H39" i="34"/>
  <c r="B33" i="1"/>
  <c r="H39" i="35"/>
  <c r="AB29" i="15"/>
  <c r="G7" i="3" s="1"/>
  <c r="Z37" i="15"/>
  <c r="E9" i="1"/>
  <c r="G6" i="3"/>
  <c r="H39" i="25"/>
  <c r="AI42" i="20"/>
  <c r="AJ42" i="20" s="1"/>
  <c r="L39" i="35"/>
  <c r="N29" i="35"/>
  <c r="O29" i="35" s="1"/>
  <c r="G33" i="3"/>
  <c r="AC29" i="12"/>
  <c r="S37" i="12"/>
  <c r="U29" i="12"/>
  <c r="V29" i="12" s="1"/>
  <c r="AI43" i="37"/>
  <c r="AJ43" i="37" s="1"/>
  <c r="H37" i="20"/>
  <c r="O29" i="20"/>
  <c r="B15" i="1"/>
  <c r="B71" i="1" s="1"/>
  <c r="D16" i="3"/>
  <c r="AB46" i="34"/>
  <c r="AC46" i="34" s="1"/>
  <c r="AJ46" i="34"/>
  <c r="AN37" i="22"/>
  <c r="AP29" i="22"/>
  <c r="AQ29" i="22" s="1"/>
  <c r="AN39" i="39"/>
  <c r="AP29" i="39"/>
  <c r="AQ29" i="39" s="1"/>
  <c r="G45" i="1"/>
  <c r="Z39" i="28"/>
  <c r="AB29" i="28"/>
  <c r="AC29" i="28" s="1"/>
  <c r="AP39" i="17"/>
  <c r="AQ39" i="17" s="1"/>
  <c r="AQ34" i="20"/>
  <c r="AI34" i="20"/>
  <c r="AJ34" i="20" s="1"/>
  <c r="Z39" i="33"/>
  <c r="AB29" i="33"/>
  <c r="AC29" i="33" s="1"/>
  <c r="D82" i="1"/>
  <c r="D83" i="1" s="1"/>
  <c r="H37" i="24"/>
  <c r="U41" i="11"/>
  <c r="V41" i="11" s="1"/>
  <c r="AI46" i="29"/>
  <c r="AJ46" i="29" s="1"/>
  <c r="U42" i="9"/>
  <c r="V42" i="9" s="1"/>
  <c r="AC42" i="9"/>
  <c r="N29" i="12"/>
  <c r="O29" i="12" s="1"/>
  <c r="L37" i="12"/>
  <c r="AB44" i="33"/>
  <c r="AC44" i="33" s="1"/>
  <c r="U29" i="41"/>
  <c r="V29" i="41" s="1"/>
  <c r="S39" i="41"/>
  <c r="D51" i="1"/>
  <c r="H37" i="17"/>
  <c r="AJ41" i="15"/>
  <c r="AB41" i="15"/>
  <c r="AC41" i="15" s="1"/>
  <c r="N29" i="38"/>
  <c r="O29" i="38" s="1"/>
  <c r="L39" i="38"/>
  <c r="AC37" i="37"/>
  <c r="U37" i="37"/>
  <c r="V37" i="37" s="1"/>
  <c r="AB41" i="17"/>
  <c r="AC41" i="17" s="1"/>
  <c r="AJ41" i="17"/>
  <c r="AB29" i="35"/>
  <c r="AC29" i="35" s="1"/>
  <c r="Z39" i="35"/>
  <c r="L37" i="13"/>
  <c r="N29" i="13"/>
  <c r="O29" i="13" s="1"/>
  <c r="O30" i="32"/>
  <c r="AP29" i="14"/>
  <c r="AQ29" i="14" s="1"/>
  <c r="AN37" i="14"/>
  <c r="AI43" i="31"/>
  <c r="AJ43" i="31" s="1"/>
  <c r="U46" i="25"/>
  <c r="V46" i="25" s="1"/>
  <c r="AP43" i="31"/>
  <c r="AQ43" i="31" s="1"/>
  <c r="AB46" i="35"/>
  <c r="AC46" i="35" s="1"/>
  <c r="AB44" i="34"/>
  <c r="AC44" i="34" s="1"/>
  <c r="U29" i="37"/>
  <c r="V29" i="37" s="1"/>
  <c r="S39" i="37"/>
  <c r="D39" i="1"/>
  <c r="AP43" i="36"/>
  <c r="AQ43" i="36" s="1"/>
  <c r="AB41" i="11"/>
  <c r="AC41" i="11" s="1"/>
  <c r="AI19" i="27"/>
  <c r="AJ19" i="27" s="1"/>
  <c r="H37" i="23"/>
  <c r="AB29" i="9"/>
  <c r="AC29" i="9" s="1"/>
  <c r="Z37" i="9"/>
  <c r="L37" i="16"/>
  <c r="N29" i="16"/>
  <c r="O29" i="16" s="1"/>
  <c r="AB42" i="18"/>
  <c r="AC42" i="18" s="1"/>
  <c r="U41" i="21"/>
  <c r="V41" i="21" s="1"/>
  <c r="U46" i="33"/>
  <c r="V46" i="33" s="1"/>
  <c r="AP29" i="9"/>
  <c r="AQ29" i="9" s="1"/>
  <c r="AN37" i="9"/>
  <c r="AN39" i="25"/>
  <c r="AP29" i="25"/>
  <c r="AQ29" i="25" s="1"/>
  <c r="AP20" i="34"/>
  <c r="U29" i="15"/>
  <c r="F7" i="3" s="1"/>
  <c r="S37" i="15"/>
  <c r="D9" i="1"/>
  <c r="F6" i="3"/>
  <c r="R35" i="3"/>
  <c r="V33" i="3"/>
  <c r="AI36" i="41"/>
  <c r="AJ36" i="41" s="1"/>
  <c r="U29" i="22"/>
  <c r="V29" i="22" s="1"/>
  <c r="S37" i="22"/>
  <c r="AP29" i="20"/>
  <c r="I17" i="3" s="1"/>
  <c r="AN37" i="20"/>
  <c r="I16" i="3"/>
  <c r="G15" i="1"/>
  <c r="G28" i="3"/>
  <c r="O34" i="11"/>
  <c r="S37" i="13"/>
  <c r="U29" i="13"/>
  <c r="V29" i="13" s="1"/>
  <c r="V44" i="26"/>
  <c r="N44" i="26"/>
  <c r="O44" i="26" s="1"/>
  <c r="O46" i="27"/>
  <c r="AQ34" i="10"/>
  <c r="AI34" i="10"/>
  <c r="AJ34" i="10" s="1"/>
  <c r="Z39" i="25"/>
  <c r="AB29" i="25"/>
  <c r="AC29" i="25" s="1"/>
  <c r="N39" i="11"/>
  <c r="O39" i="11" s="1"/>
  <c r="N42" i="11"/>
  <c r="O42" i="11" s="1"/>
  <c r="V46" i="30"/>
  <c r="N46" i="30"/>
  <c r="O46" i="30" s="1"/>
  <c r="AP42" i="19"/>
  <c r="AQ42" i="19" s="1"/>
  <c r="AN39" i="38"/>
  <c r="AP29" i="38"/>
  <c r="AQ29" i="38" s="1"/>
  <c r="N29" i="40"/>
  <c r="O29" i="40" s="1"/>
  <c r="L39" i="40"/>
  <c r="Z39" i="32"/>
  <c r="AB29" i="32"/>
  <c r="AC29" i="32" s="1"/>
  <c r="S39" i="38"/>
  <c r="U29" i="38"/>
  <c r="V29" i="38" s="1"/>
  <c r="AI38" i="21"/>
  <c r="AJ38" i="21" s="1"/>
  <c r="AP29" i="12"/>
  <c r="AQ29" i="12" s="1"/>
  <c r="AN37" i="12"/>
  <c r="AQ34" i="17"/>
  <c r="AI34" i="17"/>
  <c r="AJ34" i="17" s="1"/>
  <c r="AP46" i="35"/>
  <c r="AQ46" i="35" s="1"/>
  <c r="AP46" i="39"/>
  <c r="AQ46" i="39" s="1"/>
  <c r="AC41" i="41"/>
  <c r="U41" i="41"/>
  <c r="V41" i="41" s="1"/>
  <c r="H37" i="10"/>
  <c r="X19" i="3"/>
  <c r="L20" i="3"/>
  <c r="S18" i="3"/>
  <c r="AG39" i="25"/>
  <c r="AI29" i="25"/>
  <c r="AJ29" i="25" s="1"/>
  <c r="AB29" i="10"/>
  <c r="AC29" i="10" s="1"/>
  <c r="Z37" i="10"/>
  <c r="H37" i="15"/>
  <c r="B9" i="1"/>
  <c r="B66" i="1" s="1"/>
  <c r="B86" i="1" s="1"/>
  <c r="B85" i="1" s="1"/>
  <c r="D6" i="3"/>
  <c r="AN37" i="18"/>
  <c r="AP29" i="18"/>
  <c r="AQ29" i="18" s="1"/>
  <c r="AN39" i="34"/>
  <c r="AP29" i="34"/>
  <c r="G33" i="1"/>
  <c r="AB43" i="35"/>
  <c r="AC43" i="35" s="1"/>
  <c r="N29" i="41"/>
  <c r="O29" i="41" s="1"/>
  <c r="L39" i="41"/>
  <c r="C51" i="1"/>
  <c r="Z37" i="24"/>
  <c r="AB29" i="24"/>
  <c r="AC29" i="24" s="1"/>
  <c r="AP42" i="20"/>
  <c r="AQ42" i="20" s="1"/>
  <c r="AI33" i="27"/>
  <c r="AQ33" i="27"/>
  <c r="Q23" i="3"/>
  <c r="AB29" i="27"/>
  <c r="G22" i="3" s="1"/>
  <c r="Z39" i="27"/>
  <c r="G21" i="3"/>
  <c r="V46" i="28"/>
  <c r="N46" i="28"/>
  <c r="O46" i="28" s="1"/>
  <c r="AN39" i="35"/>
  <c r="AP29" i="35"/>
  <c r="AQ29" i="35" s="1"/>
  <c r="AI29" i="24"/>
  <c r="AJ29" i="24" s="1"/>
  <c r="AG37" i="24"/>
  <c r="H37" i="11"/>
  <c r="AC29" i="18"/>
  <c r="S37" i="18"/>
  <c r="U29" i="18"/>
  <c r="V29" i="18" s="1"/>
  <c r="AP29" i="24"/>
  <c r="AQ29" i="24" s="1"/>
  <c r="AN37" i="24"/>
  <c r="AI43" i="32"/>
  <c r="AJ43" i="32" s="1"/>
  <c r="S39" i="35"/>
  <c r="U29" i="35"/>
  <c r="V29" i="35" s="1"/>
  <c r="AB38" i="24"/>
  <c r="AC38" i="24" s="1"/>
  <c r="AJ29" i="17"/>
  <c r="Z37" i="17"/>
  <c r="AB29" i="17"/>
  <c r="AC29" i="17" s="1"/>
  <c r="H39" i="32"/>
  <c r="AG39" i="29"/>
  <c r="AI29" i="29"/>
  <c r="AJ29" i="29" s="1"/>
  <c r="AI46" i="35"/>
  <c r="AJ46" i="35" s="1"/>
  <c r="H39" i="33"/>
  <c r="L37" i="17"/>
  <c r="N29" i="17"/>
  <c r="O29" i="17" s="1"/>
  <c r="AB29" i="23"/>
  <c r="AC29" i="23" s="1"/>
  <c r="Z37" i="23"/>
  <c r="AG39" i="35"/>
  <c r="AI29" i="35"/>
  <c r="AJ29" i="35" s="1"/>
  <c r="AI29" i="15"/>
  <c r="H7" i="3" s="1"/>
  <c r="AG37" i="15"/>
  <c r="F9" i="1"/>
  <c r="H6" i="3"/>
  <c r="AJ29" i="36"/>
  <c r="Z39" i="36"/>
  <c r="AB29" i="36"/>
  <c r="AC29" i="36" s="1"/>
  <c r="U38" i="10"/>
  <c r="V38" i="10" s="1"/>
  <c r="AC38" i="10"/>
  <c r="AJ34" i="19"/>
  <c r="AB34" i="19"/>
  <c r="AC34" i="19" s="1"/>
  <c r="AG37" i="22"/>
  <c r="AI29" i="22"/>
  <c r="AJ29" i="22" s="1"/>
  <c r="N35" i="11"/>
  <c r="O35" i="11" s="1"/>
  <c r="AB44" i="25"/>
  <c r="AC44" i="25" s="1"/>
  <c r="W32" i="3"/>
  <c r="X31" i="3"/>
  <c r="AJ34" i="24"/>
  <c r="AB34" i="24"/>
  <c r="AC34" i="24" s="1"/>
  <c r="V28" i="3"/>
  <c r="R30" i="3"/>
  <c r="AI44" i="34"/>
  <c r="AJ44" i="34" s="1"/>
  <c r="AB41" i="24"/>
  <c r="AC41" i="24" s="1"/>
  <c r="AJ41" i="24"/>
  <c r="H39" i="31"/>
  <c r="B27" i="1"/>
  <c r="AN39" i="28"/>
  <c r="AP29" i="28"/>
  <c r="AQ29" i="28" s="1"/>
  <c r="U44" i="25"/>
  <c r="V44" i="25" s="1"/>
  <c r="AP31" i="27"/>
  <c r="AC46" i="31"/>
  <c r="U46" i="31"/>
  <c r="V46" i="31" s="1"/>
  <c r="AB44" i="37"/>
  <c r="AC44" i="37" s="1"/>
  <c r="AJ40" i="41"/>
  <c r="AB40" i="41"/>
  <c r="AC40" i="41" s="1"/>
  <c r="AI38" i="24"/>
  <c r="AJ38" i="24" s="1"/>
  <c r="N41" i="15"/>
  <c r="O41" i="15" s="1"/>
  <c r="F33" i="3"/>
  <c r="S37" i="20"/>
  <c r="U29" i="20"/>
  <c r="F17" i="3" s="1"/>
  <c r="D15" i="1"/>
  <c r="F16" i="3"/>
  <c r="L37" i="14"/>
  <c r="N29" i="14"/>
  <c r="O29" i="14" s="1"/>
  <c r="U46" i="27"/>
  <c r="V46" i="27" s="1"/>
  <c r="AB46" i="36"/>
  <c r="AC46" i="36" s="1"/>
  <c r="N46" i="29"/>
  <c r="O46" i="29" s="1"/>
  <c r="V46" i="29"/>
  <c r="X9" i="3"/>
  <c r="AA9" i="3" s="1"/>
  <c r="L10" i="3"/>
  <c r="AB43" i="25"/>
  <c r="AC43" i="25" s="1"/>
  <c r="N29" i="39"/>
  <c r="O29" i="39" s="1"/>
  <c r="L39" i="39"/>
  <c r="C45" i="1"/>
  <c r="AN39" i="32"/>
  <c r="AP29" i="32"/>
  <c r="AQ29" i="32" s="1"/>
  <c r="N34" i="9"/>
  <c r="O34" i="9" s="1"/>
  <c r="AP43" i="25"/>
  <c r="AQ43" i="25" s="1"/>
  <c r="S39" i="31"/>
  <c r="U29" i="31"/>
  <c r="V29" i="31" s="1"/>
  <c r="D27" i="1"/>
  <c r="H39" i="37"/>
  <c r="B39" i="1"/>
  <c r="AN39" i="40"/>
  <c r="AP29" i="40"/>
  <c r="AQ29" i="40" s="1"/>
  <c r="N29" i="25"/>
  <c r="O29" i="25" s="1"/>
  <c r="L39" i="25"/>
  <c r="AI29" i="31"/>
  <c r="AJ29" i="31" s="1"/>
  <c r="AG39" i="31"/>
  <c r="F27" i="1"/>
  <c r="H37" i="19"/>
  <c r="O29" i="19"/>
  <c r="AI42" i="18"/>
  <c r="AJ42" i="18" s="1"/>
  <c r="AP19" i="27"/>
  <c r="AQ19" i="27" s="1"/>
  <c r="U43" i="36"/>
  <c r="V43" i="36" s="1"/>
  <c r="F8" i="3" l="1"/>
  <c r="I18" i="3"/>
  <c r="D28" i="1"/>
  <c r="D29" i="1" s="1"/>
  <c r="S8" i="3"/>
  <c r="W19" i="3"/>
  <c r="Z19" i="3" s="1"/>
  <c r="C22" i="1"/>
  <c r="C23" i="1" s="1"/>
  <c r="E34" i="1"/>
  <c r="E35" i="1" s="1"/>
  <c r="S10" i="3"/>
  <c r="F23" i="3"/>
  <c r="C46" i="1"/>
  <c r="C47" i="1" s="1"/>
  <c r="G22" i="1"/>
  <c r="G23" i="1" s="1"/>
  <c r="AC29" i="15"/>
  <c r="D22" i="1"/>
  <c r="D23" i="1" s="1"/>
  <c r="S30" i="3"/>
  <c r="AC29" i="3" s="1"/>
  <c r="E23" i="3"/>
  <c r="V29" i="27"/>
  <c r="E8" i="3"/>
  <c r="V29" i="15"/>
  <c r="AQ29" i="27"/>
  <c r="S20" i="3"/>
  <c r="AC19" i="3" s="1"/>
  <c r="E52" i="1"/>
  <c r="E53" i="1" s="1"/>
  <c r="F22" i="1"/>
  <c r="F23" i="1" s="1"/>
  <c r="F28" i="1"/>
  <c r="F29" i="1" s="1"/>
  <c r="W9" i="3"/>
  <c r="Z9" i="3" s="1"/>
  <c r="G46" i="1"/>
  <c r="G47" i="1" s="1"/>
  <c r="F18" i="3"/>
  <c r="E40" i="1"/>
  <c r="E41" i="1" s="1"/>
  <c r="AQ29" i="15"/>
  <c r="AC9" i="3"/>
  <c r="C52" i="1"/>
  <c r="C53" i="1" s="1"/>
  <c r="AC29" i="20"/>
  <c r="AJ29" i="27"/>
  <c r="G40" i="1"/>
  <c r="G41" i="1" s="1"/>
  <c r="X22" i="3"/>
  <c r="W23" i="3"/>
  <c r="X23" i="3" s="1"/>
  <c r="AP37" i="17"/>
  <c r="AQ37" i="17" s="1"/>
  <c r="AN40" i="17"/>
  <c r="AG42" i="33"/>
  <c r="AI39" i="33"/>
  <c r="AJ39" i="33" s="1"/>
  <c r="F52" i="1"/>
  <c r="F53" i="1" s="1"/>
  <c r="AP39" i="28"/>
  <c r="AQ39" i="28" s="1"/>
  <c r="AN42" i="28"/>
  <c r="AP39" i="35"/>
  <c r="AQ39" i="35" s="1"/>
  <c r="AN42" i="35"/>
  <c r="N39" i="32"/>
  <c r="O39" i="32" s="1"/>
  <c r="L42" i="32"/>
  <c r="AP37" i="15"/>
  <c r="AN40" i="15"/>
  <c r="S23" i="3"/>
  <c r="W24" i="3" s="1"/>
  <c r="Z24" i="3" s="1"/>
  <c r="N39" i="29"/>
  <c r="O39" i="29" s="1"/>
  <c r="L42" i="29"/>
  <c r="AI37" i="23"/>
  <c r="AJ37" i="23" s="1"/>
  <c r="AG40" i="23"/>
  <c r="AG42" i="30"/>
  <c r="AI39" i="30"/>
  <c r="AI39" i="38"/>
  <c r="AJ39" i="38" s="1"/>
  <c r="AG42" i="38"/>
  <c r="H42" i="39"/>
  <c r="V29" i="20"/>
  <c r="AI39" i="37"/>
  <c r="AJ39" i="37" s="1"/>
  <c r="AG42" i="37"/>
  <c r="AB9" i="3"/>
  <c r="AC7" i="3"/>
  <c r="AB7" i="3"/>
  <c r="L40" i="19"/>
  <c r="N37" i="19"/>
  <c r="O37" i="19" s="1"/>
  <c r="H42" i="26"/>
  <c r="AB37" i="12"/>
  <c r="Z40" i="12"/>
  <c r="F71" i="1"/>
  <c r="F16" i="1"/>
  <c r="X12" i="3"/>
  <c r="W13" i="3"/>
  <c r="X13" i="3" s="1"/>
  <c r="AG42" i="36"/>
  <c r="AI39" i="36"/>
  <c r="AJ39" i="36" s="1"/>
  <c r="T17" i="3"/>
  <c r="U17" i="3" s="1"/>
  <c r="H18" i="3"/>
  <c r="AN42" i="40"/>
  <c r="AP39" i="40"/>
  <c r="AQ39" i="40" s="1"/>
  <c r="AN42" i="38"/>
  <c r="AP39" i="38"/>
  <c r="AQ39" i="38" s="1"/>
  <c r="S40" i="22"/>
  <c r="U37" i="22"/>
  <c r="V37" i="22" s="1"/>
  <c r="S42" i="41"/>
  <c r="U39" i="41"/>
  <c r="V39" i="41" s="1"/>
  <c r="H42" i="35"/>
  <c r="Z42" i="39"/>
  <c r="AB39" i="39"/>
  <c r="AC39" i="39" s="1"/>
  <c r="AP39" i="29"/>
  <c r="AQ39" i="29" s="1"/>
  <c r="AN42" i="29"/>
  <c r="I8" i="3"/>
  <c r="AN42" i="37"/>
  <c r="AP39" i="37"/>
  <c r="AQ39" i="37" s="1"/>
  <c r="S25" i="3"/>
  <c r="AC24" i="3" s="1"/>
  <c r="O29" i="27"/>
  <c r="AC22" i="3"/>
  <c r="AB24" i="3"/>
  <c r="AB22" i="3"/>
  <c r="N39" i="30"/>
  <c r="O39" i="30" s="1"/>
  <c r="L42" i="30"/>
  <c r="D46" i="1"/>
  <c r="D47" i="1" s="1"/>
  <c r="AN42" i="33"/>
  <c r="AP39" i="33"/>
  <c r="AQ39" i="33" s="1"/>
  <c r="AN42" i="30"/>
  <c r="AP39" i="30"/>
  <c r="AQ39" i="30" s="1"/>
  <c r="L40" i="20"/>
  <c r="N37" i="20"/>
  <c r="O37" i="20" s="1"/>
  <c r="D34" i="1"/>
  <c r="D35" i="1" s="1"/>
  <c r="Z40" i="14"/>
  <c r="AB37" i="14"/>
  <c r="W16" i="3"/>
  <c r="T16" i="3"/>
  <c r="U16" i="3" s="1"/>
  <c r="H42" i="34"/>
  <c r="Z40" i="23"/>
  <c r="AB37" i="23"/>
  <c r="AC37" i="23" s="1"/>
  <c r="H42" i="37"/>
  <c r="Z42" i="36"/>
  <c r="AB39" i="36"/>
  <c r="AC39" i="36" s="1"/>
  <c r="H42" i="32"/>
  <c r="O29" i="15"/>
  <c r="AA19" i="3"/>
  <c r="AN42" i="25"/>
  <c r="AP39" i="25"/>
  <c r="AQ39" i="25" s="1"/>
  <c r="N37" i="13"/>
  <c r="O37" i="13" s="1"/>
  <c r="L40" i="13"/>
  <c r="N39" i="35"/>
  <c r="O39" i="35" s="1"/>
  <c r="L42" i="35"/>
  <c r="E28" i="1"/>
  <c r="E29" i="1" s="1"/>
  <c r="S40" i="21"/>
  <c r="U37" i="21"/>
  <c r="V37" i="21" s="1"/>
  <c r="N39" i="36"/>
  <c r="O39" i="36" s="1"/>
  <c r="L42" i="36"/>
  <c r="AG42" i="39"/>
  <c r="AI39" i="39"/>
  <c r="AJ39" i="39" s="1"/>
  <c r="H42" i="27"/>
  <c r="W29" i="3"/>
  <c r="Z29" i="3" s="1"/>
  <c r="E18" i="3"/>
  <c r="R15" i="3"/>
  <c r="S15" i="3" s="1"/>
  <c r="S13" i="3"/>
  <c r="W14" i="3" s="1"/>
  <c r="Z14" i="3" s="1"/>
  <c r="S42" i="40"/>
  <c r="U39" i="40"/>
  <c r="V39" i="40" s="1"/>
  <c r="H42" i="41"/>
  <c r="H42" i="38"/>
  <c r="U37" i="17"/>
  <c r="V37" i="17" s="1"/>
  <c r="S40" i="17"/>
  <c r="AG42" i="26"/>
  <c r="AI39" i="26"/>
  <c r="AJ39" i="26" s="1"/>
  <c r="S40" i="16"/>
  <c r="U37" i="16"/>
  <c r="V37" i="16" s="1"/>
  <c r="AG40" i="20"/>
  <c r="AI37" i="20"/>
  <c r="AJ37" i="20" s="1"/>
  <c r="H42" i="28"/>
  <c r="AG42" i="29"/>
  <c r="AI39" i="29"/>
  <c r="AJ39" i="29" s="1"/>
  <c r="Z40" i="24"/>
  <c r="AB37" i="24"/>
  <c r="AC37" i="24" s="1"/>
  <c r="Z40" i="9"/>
  <c r="AB37" i="9"/>
  <c r="AC37" i="9" s="1"/>
  <c r="AN42" i="32"/>
  <c r="AP39" i="32"/>
  <c r="AQ39" i="32" s="1"/>
  <c r="AN40" i="24"/>
  <c r="AP37" i="24"/>
  <c r="AQ37" i="24" s="1"/>
  <c r="X32" i="3"/>
  <c r="W33" i="3"/>
  <c r="X33" i="3" s="1"/>
  <c r="H40" i="19"/>
  <c r="L42" i="39"/>
  <c r="N39" i="39"/>
  <c r="O39" i="39" s="1"/>
  <c r="H42" i="31"/>
  <c r="L42" i="41"/>
  <c r="N39" i="41"/>
  <c r="O39" i="41" s="1"/>
  <c r="H40" i="15"/>
  <c r="H40" i="10"/>
  <c r="AP37" i="9"/>
  <c r="AN40" i="9"/>
  <c r="H40" i="23"/>
  <c r="L42" i="38"/>
  <c r="N39" i="38"/>
  <c r="O39" i="38" s="1"/>
  <c r="AB39" i="28"/>
  <c r="AC39" i="28" s="1"/>
  <c r="Z42" i="28"/>
  <c r="Z42" i="31"/>
  <c r="AB39" i="31"/>
  <c r="AC39" i="31" s="1"/>
  <c r="AP37" i="13"/>
  <c r="AQ37" i="13" s="1"/>
  <c r="AN40" i="13"/>
  <c r="AL53" i="23"/>
  <c r="AE59" i="23"/>
  <c r="C66" i="1"/>
  <c r="C10" i="1"/>
  <c r="C11" i="1" s="1"/>
  <c r="C34" i="1"/>
  <c r="C35" i="1" s="1"/>
  <c r="Z42" i="38"/>
  <c r="AB39" i="38"/>
  <c r="AC39" i="38" s="1"/>
  <c r="C28" i="1"/>
  <c r="C29" i="1" s="1"/>
  <c r="Z42" i="30"/>
  <c r="AJ39" i="30"/>
  <c r="AB39" i="30"/>
  <c r="AC39" i="30" s="1"/>
  <c r="H40" i="18"/>
  <c r="L42" i="33"/>
  <c r="N39" i="33"/>
  <c r="O39" i="33" s="1"/>
  <c r="U37" i="10"/>
  <c r="V37" i="10" s="1"/>
  <c r="S40" i="10"/>
  <c r="AQ29" i="20"/>
  <c r="AG40" i="11"/>
  <c r="AI37" i="11"/>
  <c r="AJ37" i="11" s="1"/>
  <c r="AN40" i="19"/>
  <c r="AP37" i="19"/>
  <c r="AQ37" i="19" s="1"/>
  <c r="Z42" i="29"/>
  <c r="AB39" i="29"/>
  <c r="AC39" i="29" s="1"/>
  <c r="S40" i="18"/>
  <c r="U37" i="18"/>
  <c r="V37" i="18" s="1"/>
  <c r="N37" i="15"/>
  <c r="O37" i="15" s="1"/>
  <c r="L40" i="15"/>
  <c r="AG40" i="16"/>
  <c r="AI37" i="16"/>
  <c r="AJ37" i="16" s="1"/>
  <c r="H40" i="24"/>
  <c r="Z40" i="22"/>
  <c r="AB37" i="22"/>
  <c r="AC37" i="22" s="1"/>
  <c r="AP39" i="39"/>
  <c r="AQ39" i="39" s="1"/>
  <c r="AN42" i="39"/>
  <c r="X55" i="37"/>
  <c r="Q61" i="37"/>
  <c r="U39" i="32"/>
  <c r="V39" i="32" s="1"/>
  <c r="S42" i="32"/>
  <c r="H42" i="30"/>
  <c r="T22" i="3"/>
  <c r="U22" i="3" s="1"/>
  <c r="H23" i="3"/>
  <c r="L40" i="18"/>
  <c r="N37" i="18"/>
  <c r="O37" i="18" s="1"/>
  <c r="H40" i="9"/>
  <c r="AC17" i="3"/>
  <c r="AB17" i="3"/>
  <c r="AB19" i="3"/>
  <c r="U39" i="29"/>
  <c r="V39" i="29" s="1"/>
  <c r="S42" i="29"/>
  <c r="AB39" i="41"/>
  <c r="AC39" i="41" s="1"/>
  <c r="Z42" i="41"/>
  <c r="Z40" i="18"/>
  <c r="AB37" i="18"/>
  <c r="AC37" i="18" s="1"/>
  <c r="AI29" i="34"/>
  <c r="AJ29" i="34" s="1"/>
  <c r="AG39" i="34"/>
  <c r="AP39" i="34" s="1"/>
  <c r="AQ29" i="34"/>
  <c r="F33" i="1"/>
  <c r="F34" i="1" s="1"/>
  <c r="F35" i="1" s="1"/>
  <c r="U39" i="30"/>
  <c r="V39" i="30" s="1"/>
  <c r="S42" i="30"/>
  <c r="AI39" i="40"/>
  <c r="AJ39" i="40" s="1"/>
  <c r="AG42" i="40"/>
  <c r="E71" i="1"/>
  <c r="E16" i="1"/>
  <c r="L42" i="31"/>
  <c r="N39" i="31"/>
  <c r="O39" i="31" s="1"/>
  <c r="G28" i="1"/>
  <c r="G29" i="1" s="1"/>
  <c r="F66" i="1"/>
  <c r="F10" i="1"/>
  <c r="F11" i="1" s="1"/>
  <c r="Z40" i="10"/>
  <c r="AB37" i="10"/>
  <c r="AC37" i="10" s="1"/>
  <c r="AP37" i="10"/>
  <c r="AQ37" i="10" s="1"/>
  <c r="AN40" i="10"/>
  <c r="H42" i="36"/>
  <c r="I23" i="3"/>
  <c r="G52" i="1"/>
  <c r="G53" i="1" s="1"/>
  <c r="AP37" i="21"/>
  <c r="AQ37" i="21" s="1"/>
  <c r="AN40" i="21"/>
  <c r="Z42" i="35"/>
  <c r="AB39" i="35"/>
  <c r="AC39" i="35" s="1"/>
  <c r="Z42" i="37"/>
  <c r="AB39" i="37"/>
  <c r="AC39" i="37" s="1"/>
  <c r="L42" i="27"/>
  <c r="N39" i="27"/>
  <c r="O39" i="27" s="1"/>
  <c r="L42" i="34"/>
  <c r="N39" i="34"/>
  <c r="O39" i="34" s="1"/>
  <c r="AB37" i="11"/>
  <c r="AC37" i="11" s="1"/>
  <c r="Z40" i="11"/>
  <c r="AN42" i="41"/>
  <c r="AP39" i="41"/>
  <c r="AQ39" i="41" s="1"/>
  <c r="AG40" i="15"/>
  <c r="AI37" i="15"/>
  <c r="AJ37" i="15" s="1"/>
  <c r="AQ37" i="15"/>
  <c r="AB39" i="32"/>
  <c r="AC39" i="32" s="1"/>
  <c r="Z42" i="32"/>
  <c r="S40" i="12"/>
  <c r="AC37" i="12"/>
  <c r="U37" i="12"/>
  <c r="V37" i="12" s="1"/>
  <c r="AC29" i="27"/>
  <c r="H40" i="21"/>
  <c r="H40" i="14"/>
  <c r="N39" i="25"/>
  <c r="O39" i="25" s="1"/>
  <c r="L42" i="25"/>
  <c r="AG40" i="22"/>
  <c r="AI37" i="22"/>
  <c r="AJ37" i="22" s="1"/>
  <c r="T7" i="3"/>
  <c r="U7" i="3" s="1"/>
  <c r="H8" i="3"/>
  <c r="AG40" i="24"/>
  <c r="AI37" i="24"/>
  <c r="AJ37" i="24" s="1"/>
  <c r="L42" i="40"/>
  <c r="N39" i="40"/>
  <c r="D66" i="1"/>
  <c r="D10" i="1"/>
  <c r="D11" i="1" s="1"/>
  <c r="AP37" i="22"/>
  <c r="AQ37" i="22" s="1"/>
  <c r="AN40" i="22"/>
  <c r="E10" i="1"/>
  <c r="E11" i="1" s="1"/>
  <c r="E66" i="1"/>
  <c r="U39" i="27"/>
  <c r="V39" i="27" s="1"/>
  <c r="S42" i="27"/>
  <c r="AI37" i="10"/>
  <c r="AJ37" i="10" s="1"/>
  <c r="AG40" i="10"/>
  <c r="S40" i="19"/>
  <c r="U37" i="19"/>
  <c r="V37" i="19" s="1"/>
  <c r="Z40" i="16"/>
  <c r="AB37" i="16"/>
  <c r="AC37" i="16" s="1"/>
  <c r="AN40" i="23"/>
  <c r="AP37" i="23"/>
  <c r="AQ37" i="23" s="1"/>
  <c r="AE59" i="22"/>
  <c r="AL53" i="22"/>
  <c r="U37" i="11"/>
  <c r="V37" i="11" s="1"/>
  <c r="S40" i="11"/>
  <c r="E22" i="1"/>
  <c r="E23" i="1" s="1"/>
  <c r="AB37" i="20"/>
  <c r="AC37" i="20" s="1"/>
  <c r="Z40" i="20"/>
  <c r="AG40" i="19"/>
  <c r="AI37" i="19"/>
  <c r="Z40" i="17"/>
  <c r="AB37" i="17"/>
  <c r="AC37" i="17" s="1"/>
  <c r="L40" i="12"/>
  <c r="N37" i="12"/>
  <c r="O37" i="12" s="1"/>
  <c r="T33" i="3"/>
  <c r="U33" i="3" s="1"/>
  <c r="T21" i="3"/>
  <c r="U21" i="3"/>
  <c r="U39" i="34"/>
  <c r="V39" i="34" s="1"/>
  <c r="S42" i="34"/>
  <c r="H40" i="12"/>
  <c r="N39" i="28"/>
  <c r="O39" i="28" s="1"/>
  <c r="L42" i="28"/>
  <c r="Z42" i="27"/>
  <c r="AB39" i="27"/>
  <c r="AC39" i="27" s="1"/>
  <c r="U39" i="36"/>
  <c r="V39" i="36" s="1"/>
  <c r="S42" i="36"/>
  <c r="H42" i="40"/>
  <c r="O39" i="40"/>
  <c r="AN42" i="31"/>
  <c r="AP39" i="31"/>
  <c r="AQ39" i="31" s="1"/>
  <c r="AN42" i="36"/>
  <c r="AP39" i="36"/>
  <c r="AQ39" i="36" s="1"/>
  <c r="G23" i="3"/>
  <c r="AG42" i="27"/>
  <c r="AI39" i="27"/>
  <c r="AJ39" i="27" s="1"/>
  <c r="AN40" i="16"/>
  <c r="AP37" i="16"/>
  <c r="AQ37" i="16" s="1"/>
  <c r="L40" i="11"/>
  <c r="N37" i="11"/>
  <c r="O37" i="11" s="1"/>
  <c r="U39" i="31"/>
  <c r="V39" i="31" s="1"/>
  <c r="S42" i="31"/>
  <c r="D16" i="1"/>
  <c r="D71" i="1"/>
  <c r="S42" i="35"/>
  <c r="U39" i="35"/>
  <c r="V39" i="35" s="1"/>
  <c r="AN42" i="34"/>
  <c r="G71" i="1"/>
  <c r="G16" i="1"/>
  <c r="S40" i="15"/>
  <c r="U37" i="15"/>
  <c r="V37" i="15" s="1"/>
  <c r="D40" i="1"/>
  <c r="D41" i="1" s="1"/>
  <c r="AB39" i="33"/>
  <c r="AC39" i="33" s="1"/>
  <c r="Z42" i="33"/>
  <c r="AJ29" i="15"/>
  <c r="AN42" i="26"/>
  <c r="AP39" i="26"/>
  <c r="AQ39" i="26" s="1"/>
  <c r="H42" i="29"/>
  <c r="U39" i="25"/>
  <c r="V39" i="25" s="1"/>
  <c r="S42" i="25"/>
  <c r="H40" i="13"/>
  <c r="AI37" i="12"/>
  <c r="AJ37" i="12" s="1"/>
  <c r="AG40" i="12"/>
  <c r="Z42" i="40"/>
  <c r="AB39" i="40"/>
  <c r="AC39" i="40" s="1"/>
  <c r="L40" i="23"/>
  <c r="N37" i="23"/>
  <c r="O37" i="23" s="1"/>
  <c r="Q55" i="41"/>
  <c r="N37" i="9"/>
  <c r="O37" i="9" s="1"/>
  <c r="L40" i="9"/>
  <c r="W34" i="3"/>
  <c r="Z34" i="3" s="1"/>
  <c r="U39" i="26"/>
  <c r="V39" i="26" s="1"/>
  <c r="S42" i="26"/>
  <c r="AG40" i="9"/>
  <c r="AQ37" i="9"/>
  <c r="AI37" i="9"/>
  <c r="AJ37" i="9" s="1"/>
  <c r="F40" i="1"/>
  <c r="F41" i="1" s="1"/>
  <c r="AG40" i="17"/>
  <c r="AI37" i="17"/>
  <c r="AJ37" i="17" s="1"/>
  <c r="S40" i="24"/>
  <c r="U37" i="24"/>
  <c r="V37" i="24" s="1"/>
  <c r="G18" i="3"/>
  <c r="S42" i="28"/>
  <c r="U39" i="28"/>
  <c r="V39" i="28" s="1"/>
  <c r="AC37" i="14"/>
  <c r="S40" i="14"/>
  <c r="U37" i="14"/>
  <c r="V37" i="14" s="1"/>
  <c r="X27" i="3"/>
  <c r="W28" i="3"/>
  <c r="X28" i="3" s="1"/>
  <c r="W6" i="3"/>
  <c r="T6" i="3"/>
  <c r="U6" i="3" s="1"/>
  <c r="H40" i="20"/>
  <c r="AI37" i="14"/>
  <c r="AJ37" i="14" s="1"/>
  <c r="AG40" i="14"/>
  <c r="N37" i="17"/>
  <c r="O37" i="17" s="1"/>
  <c r="L40" i="17"/>
  <c r="H40" i="22"/>
  <c r="AG40" i="18"/>
  <c r="AI37" i="18"/>
  <c r="AJ37" i="18" s="1"/>
  <c r="C40" i="1"/>
  <c r="C41" i="1" s="1"/>
  <c r="S35" i="3"/>
  <c r="AC34" i="3" s="1"/>
  <c r="AG40" i="21"/>
  <c r="AI37" i="21"/>
  <c r="AJ37" i="21" s="1"/>
  <c r="Z42" i="26"/>
  <c r="AB39" i="26"/>
  <c r="AC39" i="26" s="1"/>
  <c r="AJ29" i="20"/>
  <c r="S42" i="38"/>
  <c r="U39" i="38"/>
  <c r="V39" i="38" s="1"/>
  <c r="Z42" i="34"/>
  <c r="AB39" i="34"/>
  <c r="AC39" i="34" s="1"/>
  <c r="U39" i="39"/>
  <c r="V39" i="39" s="1"/>
  <c r="S42" i="39"/>
  <c r="AG42" i="31"/>
  <c r="AI39" i="31"/>
  <c r="AJ39" i="31" s="1"/>
  <c r="AC32" i="3"/>
  <c r="AB32" i="3"/>
  <c r="AB34" i="3"/>
  <c r="H42" i="25"/>
  <c r="Z40" i="13"/>
  <c r="AB37" i="13"/>
  <c r="AC37" i="13" s="1"/>
  <c r="L42" i="26"/>
  <c r="N39" i="26"/>
  <c r="O39" i="26" s="1"/>
  <c r="L40" i="24"/>
  <c r="N37" i="24"/>
  <c r="O37" i="24" s="1"/>
  <c r="N37" i="14"/>
  <c r="O37" i="14" s="1"/>
  <c r="L40" i="14"/>
  <c r="H42" i="33"/>
  <c r="H40" i="11"/>
  <c r="S40" i="13"/>
  <c r="U37" i="13"/>
  <c r="V37" i="13" s="1"/>
  <c r="AN40" i="11"/>
  <c r="AP37" i="11"/>
  <c r="AQ37" i="11" s="1"/>
  <c r="T28" i="3"/>
  <c r="U28" i="3" s="1"/>
  <c r="AN42" i="27"/>
  <c r="AP39" i="27"/>
  <c r="AQ39" i="27" s="1"/>
  <c r="AG42" i="41"/>
  <c r="AI39" i="41"/>
  <c r="AJ39" i="41" s="1"/>
  <c r="AG40" i="13"/>
  <c r="AI37" i="13"/>
  <c r="AJ37" i="13" s="1"/>
  <c r="AB29" i="3"/>
  <c r="AC27" i="3"/>
  <c r="AB27" i="3"/>
  <c r="AB39" i="25"/>
  <c r="AC39" i="25" s="1"/>
  <c r="Z42" i="25"/>
  <c r="AP37" i="14"/>
  <c r="AQ37" i="14" s="1"/>
  <c r="AN40" i="14"/>
  <c r="H40" i="17"/>
  <c r="AB37" i="15"/>
  <c r="AC37" i="15" s="1"/>
  <c r="Z40" i="15"/>
  <c r="S42" i="33"/>
  <c r="U39" i="33"/>
  <c r="V39" i="33" s="1"/>
  <c r="J61" i="41"/>
  <c r="S40" i="20"/>
  <c r="U37" i="20"/>
  <c r="V37" i="20" s="1"/>
  <c r="AG42" i="35"/>
  <c r="AI39" i="35"/>
  <c r="AJ39" i="35" s="1"/>
  <c r="AN40" i="18"/>
  <c r="AP37" i="18"/>
  <c r="AQ37" i="18" s="1"/>
  <c r="AI39" i="25"/>
  <c r="AJ39" i="25" s="1"/>
  <c r="AG42" i="25"/>
  <c r="AN40" i="12"/>
  <c r="AP37" i="12"/>
  <c r="AQ37" i="12" s="1"/>
  <c r="AN40" i="20"/>
  <c r="AP37" i="20"/>
  <c r="AQ37" i="20" s="1"/>
  <c r="L40" i="16"/>
  <c r="N37" i="16"/>
  <c r="O37" i="16" s="1"/>
  <c r="S42" i="37"/>
  <c r="U39" i="37"/>
  <c r="V39" i="37" s="1"/>
  <c r="D52" i="1"/>
  <c r="D53" i="1" s="1"/>
  <c r="G8" i="3"/>
  <c r="S40" i="9"/>
  <c r="U37" i="9"/>
  <c r="V37" i="9" s="1"/>
  <c r="AI39" i="32"/>
  <c r="AJ39" i="32" s="1"/>
  <c r="AG42" i="32"/>
  <c r="F46" i="1"/>
  <c r="F47" i="1" s="1"/>
  <c r="G66" i="1"/>
  <c r="G10" i="1"/>
  <c r="G11" i="1" s="1"/>
  <c r="N37" i="21"/>
  <c r="O37" i="21" s="1"/>
  <c r="L40" i="21"/>
  <c r="L42" i="37"/>
  <c r="N39" i="37"/>
  <c r="O39" i="37" s="1"/>
  <c r="Z40" i="21"/>
  <c r="AB37" i="21"/>
  <c r="AC37" i="21" s="1"/>
  <c r="AG42" i="28"/>
  <c r="AI39" i="28"/>
  <c r="AJ39" i="28" s="1"/>
  <c r="C71" i="1"/>
  <c r="C16" i="1"/>
  <c r="H40" i="16"/>
  <c r="N37" i="10"/>
  <c r="O37" i="10" s="1"/>
  <c r="L40" i="10"/>
  <c r="S40" i="23"/>
  <c r="U37" i="23"/>
  <c r="V37" i="23" s="1"/>
  <c r="N37" i="22"/>
  <c r="O37" i="22" s="1"/>
  <c r="L40" i="22"/>
  <c r="AJ37" i="19"/>
  <c r="AB37" i="19"/>
  <c r="AC37" i="19" s="1"/>
  <c r="Z40" i="19"/>
  <c r="AI40" i="18" l="1"/>
  <c r="AG50" i="18"/>
  <c r="AG56" i="18"/>
  <c r="H50" i="16"/>
  <c r="H56" i="16"/>
  <c r="N40" i="21"/>
  <c r="O40" i="21" s="1"/>
  <c r="L56" i="21"/>
  <c r="L50" i="21"/>
  <c r="Q61" i="41"/>
  <c r="AB42" i="25"/>
  <c r="Z58" i="25"/>
  <c r="Z52" i="25"/>
  <c r="AP42" i="27"/>
  <c r="AQ42" i="27" s="1"/>
  <c r="AN58" i="27"/>
  <c r="AN52" i="27"/>
  <c r="AB40" i="13"/>
  <c r="Z56" i="13"/>
  <c r="Z50" i="13"/>
  <c r="AI40" i="21"/>
  <c r="AG56" i="21"/>
  <c r="AG50" i="21"/>
  <c r="S58" i="25"/>
  <c r="AC42" i="25"/>
  <c r="U42" i="25"/>
  <c r="V42" i="25" s="1"/>
  <c r="S52" i="25"/>
  <c r="S58" i="31"/>
  <c r="U42" i="31"/>
  <c r="V42" i="31" s="1"/>
  <c r="S52" i="31"/>
  <c r="Z58" i="27"/>
  <c r="AB42" i="27"/>
  <c r="AC42" i="27" s="1"/>
  <c r="Z52" i="27"/>
  <c r="AP40" i="22"/>
  <c r="AQ40" i="22" s="1"/>
  <c r="AN50" i="22"/>
  <c r="AN53" i="22" s="1"/>
  <c r="AN56" i="22"/>
  <c r="AB40" i="11"/>
  <c r="AC40" i="11" s="1"/>
  <c r="Z50" i="11"/>
  <c r="Z56" i="11"/>
  <c r="AB42" i="41"/>
  <c r="AC42" i="41" s="1"/>
  <c r="Z58" i="41"/>
  <c r="Z52" i="41"/>
  <c r="AN58" i="39"/>
  <c r="AP42" i="39"/>
  <c r="AN52" i="39"/>
  <c r="L58" i="39"/>
  <c r="N42" i="39"/>
  <c r="O42" i="39" s="1"/>
  <c r="L52" i="39"/>
  <c r="U40" i="16"/>
  <c r="V40" i="16" s="1"/>
  <c r="S56" i="16"/>
  <c r="S50" i="16"/>
  <c r="N42" i="36"/>
  <c r="O42" i="36" s="1"/>
  <c r="L58" i="36"/>
  <c r="L52" i="36"/>
  <c r="H58" i="37"/>
  <c r="H52" i="37"/>
  <c r="AP42" i="38"/>
  <c r="AQ42" i="38" s="1"/>
  <c r="AN58" i="38"/>
  <c r="AN52" i="38"/>
  <c r="AI42" i="37"/>
  <c r="AJ42" i="37" s="1"/>
  <c r="AG58" i="37"/>
  <c r="AG52" i="37"/>
  <c r="AI40" i="23"/>
  <c r="AJ40" i="23" s="1"/>
  <c r="AG56" i="23"/>
  <c r="AG50" i="23"/>
  <c r="AN58" i="35"/>
  <c r="AP42" i="35"/>
  <c r="AQ42" i="35" s="1"/>
  <c r="AN52" i="35"/>
  <c r="N40" i="24"/>
  <c r="O40" i="24" s="1"/>
  <c r="L50" i="24"/>
  <c r="L56" i="24"/>
  <c r="AP40" i="12"/>
  <c r="AQ40" i="12" s="1"/>
  <c r="AN56" i="12"/>
  <c r="AN50" i="12"/>
  <c r="D17" i="1"/>
  <c r="D73" i="1" s="1"/>
  <c r="D72" i="1"/>
  <c r="AG58" i="25"/>
  <c r="AI42" i="25"/>
  <c r="AJ42" i="25" s="1"/>
  <c r="AG52" i="25"/>
  <c r="N40" i="14"/>
  <c r="O40" i="14" s="1"/>
  <c r="L56" i="14"/>
  <c r="L50" i="14"/>
  <c r="H58" i="25"/>
  <c r="H52" i="25"/>
  <c r="AB42" i="34"/>
  <c r="AC42" i="34" s="1"/>
  <c r="Z58" i="34"/>
  <c r="Z52" i="34"/>
  <c r="AI40" i="14"/>
  <c r="AG50" i="14"/>
  <c r="AG56" i="14"/>
  <c r="N40" i="23"/>
  <c r="O40" i="23" s="1"/>
  <c r="L56" i="23"/>
  <c r="L50" i="23"/>
  <c r="AN58" i="36"/>
  <c r="AP42" i="36"/>
  <c r="AQ42" i="36" s="1"/>
  <c r="AN52" i="36"/>
  <c r="L58" i="28"/>
  <c r="N42" i="28"/>
  <c r="O42" i="28" s="1"/>
  <c r="L52" i="28"/>
  <c r="Z58" i="35"/>
  <c r="AB42" i="35"/>
  <c r="AC42" i="35" s="1"/>
  <c r="Z52" i="35"/>
  <c r="AB40" i="10"/>
  <c r="AC40" i="10" s="1"/>
  <c r="Z56" i="10"/>
  <c r="Z50" i="10"/>
  <c r="U42" i="30"/>
  <c r="S58" i="30"/>
  <c r="S52" i="30"/>
  <c r="T23" i="3"/>
  <c r="U23" i="3" s="1"/>
  <c r="U40" i="10"/>
  <c r="V40" i="10" s="1"/>
  <c r="S56" i="10"/>
  <c r="S50" i="10"/>
  <c r="AB42" i="31"/>
  <c r="AC42" i="31" s="1"/>
  <c r="Z58" i="31"/>
  <c r="Z52" i="31"/>
  <c r="H50" i="10"/>
  <c r="H56" i="10"/>
  <c r="H56" i="19"/>
  <c r="H50" i="19"/>
  <c r="AB40" i="24"/>
  <c r="AC40" i="24" s="1"/>
  <c r="Z56" i="24"/>
  <c r="Z50" i="24"/>
  <c r="U42" i="40"/>
  <c r="V42" i="40" s="1"/>
  <c r="S58" i="40"/>
  <c r="S52" i="40"/>
  <c r="AJ40" i="14"/>
  <c r="AB40" i="14"/>
  <c r="AC40" i="14" s="1"/>
  <c r="Z56" i="14"/>
  <c r="Z50" i="14"/>
  <c r="AB42" i="39"/>
  <c r="AC42" i="39" s="1"/>
  <c r="Z58" i="39"/>
  <c r="Z52" i="39"/>
  <c r="AB40" i="12"/>
  <c r="AC40" i="12" s="1"/>
  <c r="Z56" i="12"/>
  <c r="Z50" i="12"/>
  <c r="AB40" i="15"/>
  <c r="AC40" i="15" s="1"/>
  <c r="Z56" i="15"/>
  <c r="Z50" i="15"/>
  <c r="C72" i="1"/>
  <c r="C17" i="1"/>
  <c r="C73" i="1" s="1"/>
  <c r="AI40" i="9"/>
  <c r="AJ40" i="9" s="1"/>
  <c r="AG56" i="9"/>
  <c r="AG50" i="9"/>
  <c r="U40" i="15"/>
  <c r="V40" i="15" s="1"/>
  <c r="S50" i="15"/>
  <c r="S56" i="15"/>
  <c r="U40" i="12"/>
  <c r="V40" i="12" s="1"/>
  <c r="S56" i="12"/>
  <c r="S50" i="12"/>
  <c r="U40" i="18"/>
  <c r="S50" i="18"/>
  <c r="S56" i="18"/>
  <c r="AN58" i="25"/>
  <c r="AP42" i="25"/>
  <c r="AQ42" i="25" s="1"/>
  <c r="AN52" i="25"/>
  <c r="AP42" i="40"/>
  <c r="AQ42" i="40" s="1"/>
  <c r="AN58" i="40"/>
  <c r="AN52" i="40"/>
  <c r="AP42" i="28"/>
  <c r="AQ42" i="28" s="1"/>
  <c r="AN58" i="28"/>
  <c r="AN52" i="28"/>
  <c r="H58" i="40"/>
  <c r="H52" i="40"/>
  <c r="AB40" i="19"/>
  <c r="AC40" i="19" s="1"/>
  <c r="Z50" i="19"/>
  <c r="Z56" i="19"/>
  <c r="U40" i="14"/>
  <c r="V40" i="14" s="1"/>
  <c r="S56" i="14"/>
  <c r="S50" i="14"/>
  <c r="N40" i="22"/>
  <c r="O40" i="22" s="1"/>
  <c r="L50" i="22"/>
  <c r="L56" i="22"/>
  <c r="U42" i="37"/>
  <c r="S58" i="37"/>
  <c r="S61" i="37" s="1"/>
  <c r="S52" i="37"/>
  <c r="S58" i="33"/>
  <c r="U42" i="33"/>
  <c r="S52" i="33"/>
  <c r="U42" i="28"/>
  <c r="V42" i="28" s="1"/>
  <c r="S58" i="28"/>
  <c r="S52" i="28"/>
  <c r="H58" i="29"/>
  <c r="H52" i="29"/>
  <c r="G17" i="1"/>
  <c r="G73" i="1" s="1"/>
  <c r="G72" i="1"/>
  <c r="AP42" i="31"/>
  <c r="AQ42" i="31" s="1"/>
  <c r="AN58" i="31"/>
  <c r="AN52" i="31"/>
  <c r="N40" i="12"/>
  <c r="O40" i="12" s="1"/>
  <c r="L56" i="12"/>
  <c r="L50" i="12"/>
  <c r="U40" i="11"/>
  <c r="V40" i="11" s="1"/>
  <c r="S56" i="11"/>
  <c r="S50" i="11"/>
  <c r="U40" i="19"/>
  <c r="V40" i="19" s="1"/>
  <c r="S56" i="19"/>
  <c r="S50" i="19"/>
  <c r="D67" i="1"/>
  <c r="D86" i="1"/>
  <c r="D85" i="1" s="1"/>
  <c r="AI40" i="22"/>
  <c r="AJ40" i="22" s="1"/>
  <c r="AG50" i="22"/>
  <c r="AG56" i="22"/>
  <c r="AG59" i="22" s="1"/>
  <c r="AB42" i="32"/>
  <c r="AC42" i="32" s="1"/>
  <c r="Z58" i="32"/>
  <c r="Z52" i="32"/>
  <c r="AP40" i="21"/>
  <c r="AQ40" i="21" s="1"/>
  <c r="AN50" i="21"/>
  <c r="AN56" i="21"/>
  <c r="F67" i="1"/>
  <c r="F86" i="1"/>
  <c r="F85" i="1" s="1"/>
  <c r="U42" i="29"/>
  <c r="V42" i="29" s="1"/>
  <c r="S58" i="29"/>
  <c r="S52" i="29"/>
  <c r="Z58" i="38"/>
  <c r="AB42" i="38"/>
  <c r="AC42" i="38" s="1"/>
  <c r="Z52" i="38"/>
  <c r="AB42" i="28"/>
  <c r="AC42" i="28" s="1"/>
  <c r="Z58" i="28"/>
  <c r="Z52" i="28"/>
  <c r="AG58" i="26"/>
  <c r="AI42" i="26"/>
  <c r="AJ42" i="26" s="1"/>
  <c r="AG52" i="26"/>
  <c r="T18" i="3"/>
  <c r="U18" i="3" s="1"/>
  <c r="H56" i="20"/>
  <c r="H50" i="20"/>
  <c r="AC14" i="3"/>
  <c r="T14" i="3"/>
  <c r="N40" i="11"/>
  <c r="O40" i="11" s="1"/>
  <c r="L50" i="11"/>
  <c r="L56" i="11"/>
  <c r="AL59" i="22"/>
  <c r="N42" i="40"/>
  <c r="O42" i="40" s="1"/>
  <c r="L58" i="40"/>
  <c r="L52" i="40"/>
  <c r="N42" i="34"/>
  <c r="O42" i="34" s="1"/>
  <c r="L58" i="34"/>
  <c r="L52" i="34"/>
  <c r="AC40" i="13"/>
  <c r="U40" i="13"/>
  <c r="V40" i="13" s="1"/>
  <c r="S56" i="13"/>
  <c r="S50" i="13"/>
  <c r="U40" i="24"/>
  <c r="V40" i="24" s="1"/>
  <c r="S50" i="24"/>
  <c r="S56" i="24"/>
  <c r="AI40" i="12"/>
  <c r="AJ40" i="12" s="1"/>
  <c r="AG56" i="12"/>
  <c r="AG50" i="12"/>
  <c r="G34" i="1"/>
  <c r="G35" i="1" s="1"/>
  <c r="AP40" i="24"/>
  <c r="AQ40" i="24" s="1"/>
  <c r="AN56" i="24"/>
  <c r="AN50" i="24"/>
  <c r="AI42" i="33"/>
  <c r="AJ42" i="33" s="1"/>
  <c r="AG58" i="33"/>
  <c r="AG52" i="33"/>
  <c r="H56" i="17"/>
  <c r="H50" i="17"/>
  <c r="W7" i="3"/>
  <c r="X6" i="3"/>
  <c r="AP40" i="16"/>
  <c r="AQ40" i="16" s="1"/>
  <c r="AN50" i="16"/>
  <c r="AN56" i="16"/>
  <c r="N42" i="31"/>
  <c r="O42" i="31" s="1"/>
  <c r="L58" i="31"/>
  <c r="L52" i="31"/>
  <c r="U42" i="32"/>
  <c r="S58" i="32"/>
  <c r="S52" i="32"/>
  <c r="N42" i="38"/>
  <c r="O42" i="38" s="1"/>
  <c r="L58" i="38"/>
  <c r="L52" i="38"/>
  <c r="H58" i="28"/>
  <c r="H52" i="28"/>
  <c r="H58" i="27"/>
  <c r="H52" i="27"/>
  <c r="H58" i="32"/>
  <c r="H52" i="32"/>
  <c r="AP42" i="30"/>
  <c r="AQ42" i="30" s="1"/>
  <c r="AN58" i="30"/>
  <c r="AN52" i="30"/>
  <c r="U42" i="41"/>
  <c r="V42" i="41" s="1"/>
  <c r="S52" i="41"/>
  <c r="S58" i="41"/>
  <c r="N40" i="19"/>
  <c r="O40" i="19" s="1"/>
  <c r="L50" i="19"/>
  <c r="L56" i="19"/>
  <c r="AP40" i="15"/>
  <c r="AQ40" i="15" s="1"/>
  <c r="AN56" i="15"/>
  <c r="AN50" i="15"/>
  <c r="G86" i="1"/>
  <c r="G85" i="1" s="1"/>
  <c r="G67" i="1"/>
  <c r="AI40" i="10"/>
  <c r="AJ40" i="10" s="1"/>
  <c r="AG56" i="10"/>
  <c r="AG50" i="10"/>
  <c r="AB40" i="22"/>
  <c r="AC40" i="22" s="1"/>
  <c r="Z56" i="22"/>
  <c r="Z50" i="22"/>
  <c r="H58" i="35"/>
  <c r="H52" i="35"/>
  <c r="H58" i="26"/>
  <c r="H52" i="26"/>
  <c r="S58" i="34"/>
  <c r="U42" i="34"/>
  <c r="V42" i="34" s="1"/>
  <c r="S52" i="34"/>
  <c r="C86" i="1"/>
  <c r="C85" i="1" s="1"/>
  <c r="C67" i="1"/>
  <c r="N40" i="16"/>
  <c r="O40" i="16" s="1"/>
  <c r="L56" i="16"/>
  <c r="L50" i="16"/>
  <c r="H50" i="14"/>
  <c r="H56" i="14"/>
  <c r="N42" i="27"/>
  <c r="O42" i="27" s="1"/>
  <c r="L58" i="27"/>
  <c r="L52" i="27"/>
  <c r="H58" i="36"/>
  <c r="H52" i="36"/>
  <c r="E17" i="1"/>
  <c r="E73" i="1" s="1"/>
  <c r="E72" i="1"/>
  <c r="AI40" i="16"/>
  <c r="AJ40" i="16" s="1"/>
  <c r="AG56" i="16"/>
  <c r="AG50" i="16"/>
  <c r="AP40" i="19"/>
  <c r="AQ40" i="19" s="1"/>
  <c r="AN56" i="19"/>
  <c r="AN50" i="19"/>
  <c r="H58" i="31"/>
  <c r="H52" i="31"/>
  <c r="AN58" i="32"/>
  <c r="AP42" i="32"/>
  <c r="AQ42" i="32" s="1"/>
  <c r="AN52" i="32"/>
  <c r="H58" i="38"/>
  <c r="H52" i="38"/>
  <c r="N42" i="35"/>
  <c r="O42" i="35" s="1"/>
  <c r="L58" i="35"/>
  <c r="L52" i="35"/>
  <c r="AP42" i="37"/>
  <c r="AQ42" i="37" s="1"/>
  <c r="AN58" i="37"/>
  <c r="AN52" i="37"/>
  <c r="AG58" i="36"/>
  <c r="AI42" i="36"/>
  <c r="AJ42" i="36" s="1"/>
  <c r="AG52" i="36"/>
  <c r="AP40" i="17"/>
  <c r="AQ40" i="17" s="1"/>
  <c r="AN50" i="17"/>
  <c r="AN56" i="17"/>
  <c r="AI42" i="28"/>
  <c r="AJ42" i="28" s="1"/>
  <c r="AG58" i="28"/>
  <c r="AG52" i="28"/>
  <c r="AP40" i="18"/>
  <c r="AQ40" i="18" s="1"/>
  <c r="AN50" i="18"/>
  <c r="AN56" i="18"/>
  <c r="S58" i="26"/>
  <c r="U42" i="26"/>
  <c r="V42" i="26" s="1"/>
  <c r="S52" i="26"/>
  <c r="L58" i="25"/>
  <c r="N42" i="25"/>
  <c r="O42" i="25" s="1"/>
  <c r="L52" i="25"/>
  <c r="H58" i="30"/>
  <c r="H52" i="30"/>
  <c r="U40" i="21"/>
  <c r="V40" i="21" s="1"/>
  <c r="S50" i="21"/>
  <c r="S56" i="21"/>
  <c r="H58" i="39"/>
  <c r="H52" i="39"/>
  <c r="AB42" i="40"/>
  <c r="AC42" i="40" s="1"/>
  <c r="Z58" i="40"/>
  <c r="Z52" i="40"/>
  <c r="H56" i="12"/>
  <c r="H50" i="12"/>
  <c r="H50" i="24"/>
  <c r="H56" i="24"/>
  <c r="L58" i="33"/>
  <c r="V42" i="33"/>
  <c r="N42" i="33"/>
  <c r="O42" i="33" s="1"/>
  <c r="L52" i="33"/>
  <c r="U40" i="17"/>
  <c r="V40" i="17" s="1"/>
  <c r="S50" i="17"/>
  <c r="S56" i="17"/>
  <c r="AN58" i="34"/>
  <c r="AN52" i="34"/>
  <c r="AQ39" i="34"/>
  <c r="AG42" i="34"/>
  <c r="AP42" i="34" s="1"/>
  <c r="AI39" i="34"/>
  <c r="AJ39" i="34" s="1"/>
  <c r="AB42" i="29"/>
  <c r="AC42" i="29" s="1"/>
  <c r="Z58" i="29"/>
  <c r="Z52" i="29"/>
  <c r="N42" i="41"/>
  <c r="O42" i="41" s="1"/>
  <c r="L58" i="41"/>
  <c r="L61" i="41" s="1"/>
  <c r="L52" i="41"/>
  <c r="H58" i="34"/>
  <c r="H52" i="34"/>
  <c r="AI42" i="38"/>
  <c r="AJ42" i="38" s="1"/>
  <c r="AG58" i="38"/>
  <c r="AG52" i="38"/>
  <c r="U40" i="23"/>
  <c r="V40" i="23" s="1"/>
  <c r="S50" i="23"/>
  <c r="S56" i="23"/>
  <c r="AI40" i="13"/>
  <c r="AJ40" i="13" s="1"/>
  <c r="AG56" i="13"/>
  <c r="AG50" i="13"/>
  <c r="AG58" i="31"/>
  <c r="AI42" i="31"/>
  <c r="AJ42" i="31" s="1"/>
  <c r="AG52" i="31"/>
  <c r="N40" i="10"/>
  <c r="O40" i="10" s="1"/>
  <c r="L50" i="10"/>
  <c r="L56" i="10"/>
  <c r="H56" i="11"/>
  <c r="H50" i="11"/>
  <c r="N42" i="26"/>
  <c r="O42" i="26" s="1"/>
  <c r="L58" i="26"/>
  <c r="L52" i="26"/>
  <c r="Z58" i="26"/>
  <c r="AB42" i="26"/>
  <c r="AC42" i="26" s="1"/>
  <c r="Z52" i="26"/>
  <c r="H56" i="22"/>
  <c r="H50" i="22"/>
  <c r="N40" i="9"/>
  <c r="O40" i="9" s="1"/>
  <c r="L56" i="9"/>
  <c r="L50" i="9"/>
  <c r="AI42" i="41"/>
  <c r="AJ42" i="41" s="1"/>
  <c r="AG52" i="41"/>
  <c r="AG58" i="41"/>
  <c r="S58" i="39"/>
  <c r="U42" i="39"/>
  <c r="V42" i="39" s="1"/>
  <c r="S52" i="39"/>
  <c r="S58" i="35"/>
  <c r="U42" i="35"/>
  <c r="V42" i="35" s="1"/>
  <c r="S52" i="35"/>
  <c r="AG58" i="27"/>
  <c r="AI42" i="27"/>
  <c r="AJ42" i="27" s="1"/>
  <c r="AG52" i="27"/>
  <c r="AI40" i="19"/>
  <c r="AJ40" i="19" s="1"/>
  <c r="AG56" i="19"/>
  <c r="AG50" i="19"/>
  <c r="AP40" i="23"/>
  <c r="AQ40" i="23" s="1"/>
  <c r="AN56" i="23"/>
  <c r="AN50" i="23"/>
  <c r="AN53" i="23" s="1"/>
  <c r="AI40" i="24"/>
  <c r="AJ40" i="24" s="1"/>
  <c r="AG50" i="24"/>
  <c r="AG56" i="24"/>
  <c r="AI40" i="15"/>
  <c r="AJ40" i="15" s="1"/>
  <c r="AG56" i="15"/>
  <c r="AG50" i="15"/>
  <c r="AP40" i="10"/>
  <c r="AQ40" i="10" s="1"/>
  <c r="AN56" i="10"/>
  <c r="AN50" i="10"/>
  <c r="H56" i="9"/>
  <c r="H50" i="9"/>
  <c r="AL59" i="23"/>
  <c r="H50" i="23"/>
  <c r="H56" i="23"/>
  <c r="AB42" i="36"/>
  <c r="AC42" i="36" s="1"/>
  <c r="Z58" i="36"/>
  <c r="Z52" i="36"/>
  <c r="AN58" i="33"/>
  <c r="AP42" i="33"/>
  <c r="AQ42" i="33" s="1"/>
  <c r="AN52" i="33"/>
  <c r="U40" i="22"/>
  <c r="V40" i="22" s="1"/>
  <c r="S56" i="22"/>
  <c r="S50" i="22"/>
  <c r="H56" i="15"/>
  <c r="H50" i="15"/>
  <c r="L58" i="29"/>
  <c r="N42" i="29"/>
  <c r="O42" i="29" s="1"/>
  <c r="L52" i="29"/>
  <c r="S58" i="38"/>
  <c r="U42" i="38"/>
  <c r="V42" i="38" s="1"/>
  <c r="S52" i="38"/>
  <c r="AB40" i="17"/>
  <c r="AC40" i="17" s="1"/>
  <c r="Z56" i="17"/>
  <c r="Z50" i="17"/>
  <c r="AG58" i="29"/>
  <c r="AI42" i="29"/>
  <c r="AJ42" i="29" s="1"/>
  <c r="AG52" i="29"/>
  <c r="AI42" i="32"/>
  <c r="AJ42" i="32" s="1"/>
  <c r="AG58" i="32"/>
  <c r="AG52" i="32"/>
  <c r="AP42" i="26"/>
  <c r="AQ42" i="26" s="1"/>
  <c r="AN58" i="26"/>
  <c r="AN52" i="26"/>
  <c r="U42" i="36"/>
  <c r="V42" i="36" s="1"/>
  <c r="S58" i="36"/>
  <c r="S52" i="36"/>
  <c r="AJ40" i="21"/>
  <c r="AB40" i="21"/>
  <c r="AC40" i="21" s="1"/>
  <c r="Z56" i="21"/>
  <c r="Z50" i="21"/>
  <c r="AG58" i="35"/>
  <c r="AI42" i="35"/>
  <c r="AJ42" i="35" s="1"/>
  <c r="AG52" i="35"/>
  <c r="S58" i="27"/>
  <c r="U42" i="27"/>
  <c r="V42" i="27" s="1"/>
  <c r="S52" i="27"/>
  <c r="H56" i="18"/>
  <c r="H50" i="18"/>
  <c r="Z58" i="33"/>
  <c r="AB42" i="33"/>
  <c r="AC42" i="33" s="1"/>
  <c r="Z52" i="33"/>
  <c r="AP40" i="20"/>
  <c r="AQ40" i="20" s="1"/>
  <c r="AN56" i="20"/>
  <c r="AN50" i="20"/>
  <c r="AP40" i="14"/>
  <c r="AQ40" i="14" s="1"/>
  <c r="AN56" i="14"/>
  <c r="AN50" i="14"/>
  <c r="V42" i="37"/>
  <c r="N42" i="37"/>
  <c r="O42" i="37" s="1"/>
  <c r="L58" i="37"/>
  <c r="L52" i="37"/>
  <c r="U40" i="9"/>
  <c r="V40" i="9" s="1"/>
  <c r="S56" i="9"/>
  <c r="S50" i="9"/>
  <c r="U40" i="20"/>
  <c r="V40" i="20" s="1"/>
  <c r="S56" i="20"/>
  <c r="S50" i="20"/>
  <c r="H58" i="33"/>
  <c r="H52" i="33"/>
  <c r="N40" i="17"/>
  <c r="O40" i="17" s="1"/>
  <c r="L56" i="17"/>
  <c r="L50" i="17"/>
  <c r="AI40" i="17"/>
  <c r="AJ40" i="17" s="1"/>
  <c r="AG50" i="17"/>
  <c r="AG56" i="17"/>
  <c r="X55" i="41"/>
  <c r="H56" i="13"/>
  <c r="H50" i="13"/>
  <c r="AB40" i="20"/>
  <c r="AC40" i="20" s="1"/>
  <c r="Z56" i="20"/>
  <c r="Z50" i="20"/>
  <c r="E86" i="1"/>
  <c r="E85" i="1" s="1"/>
  <c r="E67" i="1"/>
  <c r="T8" i="3"/>
  <c r="U8" i="3" s="1"/>
  <c r="H56" i="21"/>
  <c r="H50" i="21"/>
  <c r="AJ40" i="18"/>
  <c r="AB40" i="18"/>
  <c r="AC40" i="18" s="1"/>
  <c r="Z50" i="18"/>
  <c r="Z56" i="18"/>
  <c r="N40" i="15"/>
  <c r="O40" i="15" s="1"/>
  <c r="L56" i="15"/>
  <c r="L50" i="15"/>
  <c r="AI40" i="11"/>
  <c r="AJ40" i="11" s="1"/>
  <c r="AG50" i="11"/>
  <c r="AG56" i="11"/>
  <c r="AP40" i="13"/>
  <c r="AQ40" i="13" s="1"/>
  <c r="AN56" i="13"/>
  <c r="AN50" i="13"/>
  <c r="AB40" i="9"/>
  <c r="AC40" i="9" s="1"/>
  <c r="Z56" i="9"/>
  <c r="Z50" i="9"/>
  <c r="AI40" i="20"/>
  <c r="AJ40" i="20" s="1"/>
  <c r="AG50" i="20"/>
  <c r="AG56" i="20"/>
  <c r="H52" i="41"/>
  <c r="H58" i="41"/>
  <c r="N40" i="13"/>
  <c r="O40" i="13" s="1"/>
  <c r="L50" i="13"/>
  <c r="L56" i="13"/>
  <c r="W17" i="3"/>
  <c r="X16" i="3"/>
  <c r="AN58" i="29"/>
  <c r="AP42" i="29"/>
  <c r="AQ42" i="29" s="1"/>
  <c r="AN52" i="29"/>
  <c r="L58" i="32"/>
  <c r="N42" i="32"/>
  <c r="O42" i="32" s="1"/>
  <c r="V42" i="32"/>
  <c r="L52" i="32"/>
  <c r="AP40" i="11"/>
  <c r="AQ40" i="11" s="1"/>
  <c r="AN50" i="11"/>
  <c r="AN56" i="11"/>
  <c r="N40" i="20"/>
  <c r="O40" i="20" s="1"/>
  <c r="L56" i="20"/>
  <c r="L50" i="20"/>
  <c r="AB40" i="23"/>
  <c r="AC40" i="23" s="1"/>
  <c r="Z50" i="23"/>
  <c r="Z56" i="23"/>
  <c r="AB40" i="16"/>
  <c r="AC40" i="16" s="1"/>
  <c r="Z56" i="16"/>
  <c r="Z50" i="16"/>
  <c r="AP42" i="41"/>
  <c r="AQ42" i="41" s="1"/>
  <c r="AN58" i="41"/>
  <c r="AN52" i="41"/>
  <c r="AB42" i="37"/>
  <c r="AC42" i="37" s="1"/>
  <c r="Z58" i="37"/>
  <c r="Z52" i="37"/>
  <c r="AI42" i="40"/>
  <c r="AJ42" i="40" s="1"/>
  <c r="AG52" i="40"/>
  <c r="AG58" i="40"/>
  <c r="V40" i="18"/>
  <c r="N40" i="18"/>
  <c r="O40" i="18" s="1"/>
  <c r="L50" i="18"/>
  <c r="L56" i="18"/>
  <c r="X61" i="37"/>
  <c r="AE55" i="37"/>
  <c r="Z58" i="30"/>
  <c r="AB42" i="30"/>
  <c r="AC42" i="30" s="1"/>
  <c r="Z52" i="30"/>
  <c r="AP40" i="9"/>
  <c r="AQ40" i="9" s="1"/>
  <c r="AN56" i="9"/>
  <c r="AN50" i="9"/>
  <c r="AG58" i="39"/>
  <c r="AQ42" i="39"/>
  <c r="AI42" i="39"/>
  <c r="AJ42" i="39" s="1"/>
  <c r="AG52" i="39"/>
  <c r="L58" i="30"/>
  <c r="V42" i="30"/>
  <c r="N42" i="30"/>
  <c r="O42" i="30" s="1"/>
  <c r="L52" i="30"/>
  <c r="F17" i="1"/>
  <c r="F73" i="1" s="1"/>
  <c r="F72" i="1"/>
  <c r="AI42" i="30"/>
  <c r="AJ42" i="30" s="1"/>
  <c r="AG58" i="30"/>
  <c r="AG52" i="30"/>
  <c r="L53" i="37" l="1"/>
  <c r="N52" i="37"/>
  <c r="C42" i="1" s="1"/>
  <c r="L55" i="37"/>
  <c r="S53" i="25"/>
  <c r="U52" i="25"/>
  <c r="S55" i="25"/>
  <c r="AN51" i="11"/>
  <c r="AN52" i="11" s="1"/>
  <c r="AP50" i="11"/>
  <c r="AQ50" i="11" s="1"/>
  <c r="AN53" i="11"/>
  <c r="Z51" i="20"/>
  <c r="Z52" i="20" s="1"/>
  <c r="AB50" i="20"/>
  <c r="E18" i="1" s="1"/>
  <c r="Z53" i="20"/>
  <c r="S51" i="9"/>
  <c r="S53" i="9"/>
  <c r="U50" i="9"/>
  <c r="V50" i="9" s="1"/>
  <c r="AP56" i="20"/>
  <c r="AN57" i="20"/>
  <c r="AN58" i="20" s="1"/>
  <c r="AN59" i="20"/>
  <c r="S61" i="27"/>
  <c r="U58" i="27"/>
  <c r="V58" i="27" s="1"/>
  <c r="S59" i="27"/>
  <c r="S60" i="27" s="1"/>
  <c r="Z51" i="17"/>
  <c r="Z52" i="17" s="1"/>
  <c r="AB50" i="17"/>
  <c r="AC50" i="17" s="1"/>
  <c r="Z53" i="17"/>
  <c r="H51" i="15"/>
  <c r="H52" i="15" s="1"/>
  <c r="H53" i="15"/>
  <c r="AN57" i="10"/>
  <c r="AN58" i="10" s="1"/>
  <c r="AP56" i="10"/>
  <c r="AQ56" i="10" s="1"/>
  <c r="AN59" i="10"/>
  <c r="H51" i="11"/>
  <c r="H52" i="11" s="1"/>
  <c r="H53" i="11"/>
  <c r="AQ56" i="13"/>
  <c r="AI56" i="13"/>
  <c r="AJ56" i="13" s="1"/>
  <c r="AG57" i="13"/>
  <c r="AG59" i="13"/>
  <c r="H57" i="24"/>
  <c r="H58" i="24" s="1"/>
  <c r="H59" i="24"/>
  <c r="H59" i="39"/>
  <c r="H60" i="39" s="1"/>
  <c r="H61" i="39"/>
  <c r="O61" i="39" s="1"/>
  <c r="U52" i="26"/>
  <c r="D24" i="1" s="1"/>
  <c r="S55" i="26"/>
  <c r="S53" i="26"/>
  <c r="S54" i="26" s="1"/>
  <c r="AP50" i="17"/>
  <c r="AQ50" i="17" s="1"/>
  <c r="AN53" i="17"/>
  <c r="AN51" i="17"/>
  <c r="AN52" i="17" s="1"/>
  <c r="AN59" i="19"/>
  <c r="AN57" i="19"/>
  <c r="AN58" i="19" s="1"/>
  <c r="AP56" i="19"/>
  <c r="AQ56" i="19" s="1"/>
  <c r="N58" i="27"/>
  <c r="L61" i="27"/>
  <c r="L59" i="27"/>
  <c r="L60" i="27" s="1"/>
  <c r="S53" i="34"/>
  <c r="S54" i="34" s="1"/>
  <c r="U52" i="34"/>
  <c r="D36" i="1" s="1"/>
  <c r="S55" i="34"/>
  <c r="N50" i="19"/>
  <c r="O50" i="19" s="1"/>
  <c r="L51" i="19"/>
  <c r="L52" i="19" s="1"/>
  <c r="L53" i="19"/>
  <c r="W8" i="3"/>
  <c r="X8" i="3" s="1"/>
  <c r="X7" i="3"/>
  <c r="AG51" i="12"/>
  <c r="AG52" i="12" s="1"/>
  <c r="AI50" i="12"/>
  <c r="AG53" i="12"/>
  <c r="L53" i="34"/>
  <c r="L54" i="34" s="1"/>
  <c r="N52" i="34"/>
  <c r="C36" i="1" s="1"/>
  <c r="L55" i="34"/>
  <c r="L53" i="12"/>
  <c r="L51" i="12"/>
  <c r="L52" i="12" s="1"/>
  <c r="N50" i="12"/>
  <c r="O50" i="12" s="1"/>
  <c r="S55" i="28"/>
  <c r="S53" i="28"/>
  <c r="S54" i="28" s="1"/>
  <c r="U52" i="28"/>
  <c r="V52" i="28" s="1"/>
  <c r="L57" i="22"/>
  <c r="N56" i="22"/>
  <c r="O56" i="22" s="1"/>
  <c r="L59" i="22"/>
  <c r="H55" i="40"/>
  <c r="O55" i="40" s="1"/>
  <c r="H53" i="40"/>
  <c r="S57" i="18"/>
  <c r="S58" i="18" s="1"/>
  <c r="U56" i="18"/>
  <c r="S59" i="18"/>
  <c r="AG51" i="9"/>
  <c r="AG52" i="9" s="1"/>
  <c r="AG53" i="9"/>
  <c r="AI50" i="9"/>
  <c r="AJ50" i="9" s="1"/>
  <c r="Z55" i="31"/>
  <c r="AB52" i="31"/>
  <c r="E30" i="1" s="1"/>
  <c r="Z53" i="31"/>
  <c r="Z54" i="31" s="1"/>
  <c r="L59" i="28"/>
  <c r="L60" i="28" s="1"/>
  <c r="L61" i="28"/>
  <c r="N58" i="28"/>
  <c r="O58" i="28" s="1"/>
  <c r="AI52" i="25"/>
  <c r="AG55" i="25"/>
  <c r="AG53" i="25"/>
  <c r="AN55" i="38"/>
  <c r="AP52" i="38"/>
  <c r="AQ52" i="38" s="1"/>
  <c r="AN53" i="38"/>
  <c r="U52" i="31"/>
  <c r="D30" i="1" s="1"/>
  <c r="S55" i="31"/>
  <c r="S53" i="31"/>
  <c r="S54" i="31" s="1"/>
  <c r="Z51" i="13"/>
  <c r="Z52" i="13" s="1"/>
  <c r="AB50" i="13"/>
  <c r="AC50" i="13" s="1"/>
  <c r="Z53" i="13"/>
  <c r="Z57" i="16"/>
  <c r="AB56" i="16"/>
  <c r="Z59" i="16"/>
  <c r="Z57" i="18"/>
  <c r="Z58" i="18" s="1"/>
  <c r="AB56" i="18"/>
  <c r="AC56" i="18" s="1"/>
  <c r="Z59" i="18"/>
  <c r="S57" i="9"/>
  <c r="S58" i="9" s="1"/>
  <c r="U56" i="9"/>
  <c r="S59" i="9"/>
  <c r="AI52" i="35"/>
  <c r="AG55" i="35"/>
  <c r="AG53" i="35"/>
  <c r="AG54" i="35" s="1"/>
  <c r="Z57" i="17"/>
  <c r="Z58" i="17" s="1"/>
  <c r="AB56" i="17"/>
  <c r="AC56" i="17" s="1"/>
  <c r="Z59" i="17"/>
  <c r="AG51" i="19"/>
  <c r="AG52" i="19" s="1"/>
  <c r="AI50" i="19"/>
  <c r="AJ50" i="19" s="1"/>
  <c r="AG53" i="19"/>
  <c r="S53" i="39"/>
  <c r="S55" i="39"/>
  <c r="U52" i="39"/>
  <c r="D48" i="1" s="1"/>
  <c r="H51" i="22"/>
  <c r="H53" i="22"/>
  <c r="H57" i="11"/>
  <c r="H58" i="11" s="1"/>
  <c r="H59" i="11"/>
  <c r="H61" i="34"/>
  <c r="O61" i="34" s="1"/>
  <c r="H59" i="34"/>
  <c r="H60" i="34"/>
  <c r="AN53" i="34"/>
  <c r="AN55" i="34"/>
  <c r="H51" i="24"/>
  <c r="H52" i="24" s="1"/>
  <c r="H53" i="24"/>
  <c r="S57" i="21"/>
  <c r="U56" i="21"/>
  <c r="V56" i="21" s="1"/>
  <c r="S59" i="21"/>
  <c r="H55" i="38"/>
  <c r="O55" i="38" s="1"/>
  <c r="H53" i="38"/>
  <c r="H54" i="38" s="1"/>
  <c r="H55" i="27"/>
  <c r="O55" i="27" s="1"/>
  <c r="H53" i="27"/>
  <c r="H54" i="27" s="1"/>
  <c r="S59" i="32"/>
  <c r="S60" i="32" s="1"/>
  <c r="S61" i="32"/>
  <c r="U58" i="32"/>
  <c r="V58" i="32" s="1"/>
  <c r="H53" i="17"/>
  <c r="H51" i="17"/>
  <c r="H52" i="17" s="1"/>
  <c r="AI56" i="12"/>
  <c r="AJ56" i="12" s="1"/>
  <c r="AG57" i="12"/>
  <c r="AG59" i="12"/>
  <c r="AB52" i="28"/>
  <c r="AC52" i="28" s="1"/>
  <c r="Z53" i="28"/>
  <c r="Z54" i="28" s="1"/>
  <c r="Z55" i="28"/>
  <c r="L59" i="12"/>
  <c r="L57" i="12"/>
  <c r="L58" i="12" s="1"/>
  <c r="N56" i="12"/>
  <c r="O56" i="12" s="1"/>
  <c r="S59" i="28"/>
  <c r="S60" i="28" s="1"/>
  <c r="S61" i="28"/>
  <c r="U58" i="28"/>
  <c r="V58" i="28" s="1"/>
  <c r="L51" i="22"/>
  <c r="N50" i="22"/>
  <c r="O50" i="22" s="1"/>
  <c r="L53" i="22"/>
  <c r="H61" i="40"/>
  <c r="O61" i="40" s="1"/>
  <c r="H59" i="40"/>
  <c r="H60" i="40" s="1"/>
  <c r="S51" i="18"/>
  <c r="S52" i="18" s="1"/>
  <c r="U50" i="18"/>
  <c r="V50" i="18" s="1"/>
  <c r="S53" i="18"/>
  <c r="AG57" i="9"/>
  <c r="AG58" i="9" s="1"/>
  <c r="AI56" i="9"/>
  <c r="AJ56" i="9" s="1"/>
  <c r="AG59" i="9"/>
  <c r="Z59" i="31"/>
  <c r="Z60" i="31" s="1"/>
  <c r="Z61" i="31"/>
  <c r="AB58" i="31"/>
  <c r="AC58" i="31" s="1"/>
  <c r="AB52" i="34"/>
  <c r="E36" i="1" s="1"/>
  <c r="Z55" i="34"/>
  <c r="Z53" i="34"/>
  <c r="Z54" i="34" s="1"/>
  <c r="AN53" i="35"/>
  <c r="AP52" i="35"/>
  <c r="AQ52" i="35" s="1"/>
  <c r="AN55" i="35"/>
  <c r="AN61" i="38"/>
  <c r="AN59" i="38"/>
  <c r="AP58" i="38"/>
  <c r="AQ58" i="38" s="1"/>
  <c r="AB56" i="11"/>
  <c r="Z57" i="11"/>
  <c r="Z58" i="11" s="1"/>
  <c r="Z59" i="11"/>
  <c r="Z57" i="13"/>
  <c r="AB56" i="13"/>
  <c r="AC56" i="13" s="1"/>
  <c r="Z59" i="13"/>
  <c r="L53" i="21"/>
  <c r="N50" i="21"/>
  <c r="O50" i="21" s="1"/>
  <c r="L51" i="21"/>
  <c r="L52" i="21" s="1"/>
  <c r="H53" i="41"/>
  <c r="H54" i="41" s="1"/>
  <c r="H55" i="41"/>
  <c r="Z53" i="26"/>
  <c r="Z54" i="26" s="1"/>
  <c r="Z55" i="26"/>
  <c r="AB52" i="26"/>
  <c r="E24" i="1" s="1"/>
  <c r="H53" i="28"/>
  <c r="H54" i="28" s="1"/>
  <c r="H55" i="28"/>
  <c r="O55" i="28" s="1"/>
  <c r="H59" i="37"/>
  <c r="H60" i="37" s="1"/>
  <c r="H61" i="37"/>
  <c r="L59" i="30"/>
  <c r="L60" i="30" s="1"/>
  <c r="N58" i="30"/>
  <c r="O58" i="30" s="1"/>
  <c r="L61" i="30"/>
  <c r="N50" i="13"/>
  <c r="O50" i="13" s="1"/>
  <c r="L51" i="13"/>
  <c r="L53" i="13"/>
  <c r="Z55" i="30"/>
  <c r="Z53" i="30"/>
  <c r="AB52" i="30"/>
  <c r="AC52" i="30" s="1"/>
  <c r="AB56" i="20"/>
  <c r="AC56" i="20" s="1"/>
  <c r="Z57" i="20"/>
  <c r="Z58" i="20" s="1"/>
  <c r="Z59" i="20"/>
  <c r="AN55" i="26"/>
  <c r="AN53" i="26"/>
  <c r="AP52" i="26"/>
  <c r="G24" i="1" s="1"/>
  <c r="L53" i="30"/>
  <c r="L54" i="30" s="1"/>
  <c r="L55" i="30"/>
  <c r="N52" i="30"/>
  <c r="O52" i="30" s="1"/>
  <c r="L55" i="32"/>
  <c r="L53" i="32"/>
  <c r="L54" i="32" s="1"/>
  <c r="N52" i="32"/>
  <c r="AP50" i="13"/>
  <c r="AQ50" i="13" s="1"/>
  <c r="AN51" i="13"/>
  <c r="AN53" i="13"/>
  <c r="Z53" i="18"/>
  <c r="Z51" i="18"/>
  <c r="AB50" i="18"/>
  <c r="AC50" i="18" s="1"/>
  <c r="L57" i="17"/>
  <c r="L58" i="17" s="1"/>
  <c r="N56" i="17"/>
  <c r="O56" i="17" s="1"/>
  <c r="L59" i="17"/>
  <c r="Z55" i="33"/>
  <c r="AB52" i="33"/>
  <c r="AC52" i="33" s="1"/>
  <c r="Z53" i="33"/>
  <c r="Z54" i="33" s="1"/>
  <c r="AP58" i="26"/>
  <c r="AQ58" i="26" s="1"/>
  <c r="AN59" i="26"/>
  <c r="AN61" i="26"/>
  <c r="H57" i="23"/>
  <c r="H58" i="23" s="1"/>
  <c r="H59" i="23"/>
  <c r="AG51" i="15"/>
  <c r="AG52" i="15" s="1"/>
  <c r="AG53" i="15"/>
  <c r="AI50" i="15"/>
  <c r="F12" i="1" s="1"/>
  <c r="AG57" i="19"/>
  <c r="AG58" i="19" s="1"/>
  <c r="AI56" i="19"/>
  <c r="AG59" i="19"/>
  <c r="H57" i="22"/>
  <c r="H58" i="22" s="1"/>
  <c r="H59" i="22"/>
  <c r="N52" i="41"/>
  <c r="C54" i="1" s="1"/>
  <c r="L53" i="41"/>
  <c r="L54" i="41" s="1"/>
  <c r="L55" i="41"/>
  <c r="AN61" i="34"/>
  <c r="AN59" i="34"/>
  <c r="AN60" i="34" s="1"/>
  <c r="S51" i="21"/>
  <c r="S52" i="21" s="1"/>
  <c r="S53" i="21"/>
  <c r="U50" i="21"/>
  <c r="V50" i="21" s="1"/>
  <c r="S59" i="26"/>
  <c r="U58" i="26"/>
  <c r="V58" i="26" s="1"/>
  <c r="S61" i="26"/>
  <c r="AG55" i="36"/>
  <c r="AG53" i="36"/>
  <c r="AG54" i="36" s="1"/>
  <c r="AI52" i="36"/>
  <c r="AJ52" i="36" s="1"/>
  <c r="H61" i="38"/>
  <c r="O61" i="38" s="1"/>
  <c r="H59" i="38"/>
  <c r="H60" i="38" s="1"/>
  <c r="AG51" i="16"/>
  <c r="AG52" i="16" s="1"/>
  <c r="AI50" i="16"/>
  <c r="AJ50" i="16" s="1"/>
  <c r="AG53" i="16"/>
  <c r="S61" i="34"/>
  <c r="U58" i="34"/>
  <c r="V58" i="34" s="1"/>
  <c r="S59" i="34"/>
  <c r="AG52" i="10"/>
  <c r="AG51" i="10"/>
  <c r="AI50" i="10"/>
  <c r="AG53" i="10"/>
  <c r="H59" i="27"/>
  <c r="H60" i="27" s="1"/>
  <c r="O58" i="27"/>
  <c r="H61" i="27"/>
  <c r="O61" i="27" s="1"/>
  <c r="H57" i="17"/>
  <c r="H58" i="17" s="1"/>
  <c r="H59" i="17"/>
  <c r="N58" i="34"/>
  <c r="O58" i="34" s="1"/>
  <c r="L61" i="34"/>
  <c r="L59" i="34"/>
  <c r="T15" i="3"/>
  <c r="U15" i="3" s="1"/>
  <c r="U14" i="3"/>
  <c r="AB58" i="28"/>
  <c r="AC58" i="28" s="1"/>
  <c r="Z61" i="28"/>
  <c r="Z59" i="28"/>
  <c r="Z60" i="28" s="1"/>
  <c r="F87" i="1"/>
  <c r="F68" i="1"/>
  <c r="F88" i="1" s="1"/>
  <c r="Z53" i="39"/>
  <c r="Z54" i="39" s="1"/>
  <c r="AB52" i="39"/>
  <c r="E48" i="1" s="1"/>
  <c r="Z55" i="39"/>
  <c r="Z51" i="24"/>
  <c r="Z52" i="24" s="1"/>
  <c r="AB50" i="24"/>
  <c r="AC50" i="24" s="1"/>
  <c r="Z53" i="24"/>
  <c r="AJ50" i="10"/>
  <c r="Z51" i="10"/>
  <c r="AB50" i="10"/>
  <c r="AC50" i="10" s="1"/>
  <c r="Z53" i="10"/>
  <c r="AN55" i="36"/>
  <c r="AN53" i="36"/>
  <c r="AN54" i="36" s="1"/>
  <c r="AP52" i="36"/>
  <c r="AQ52" i="36" s="1"/>
  <c r="Z59" i="34"/>
  <c r="Z60" i="34" s="1"/>
  <c r="AB58" i="34"/>
  <c r="AC58" i="34" s="1"/>
  <c r="Z61" i="34"/>
  <c r="L55" i="39"/>
  <c r="N52" i="39"/>
  <c r="C48" i="1" s="1"/>
  <c r="L53" i="39"/>
  <c r="Z51" i="11"/>
  <c r="Z52" i="11" s="1"/>
  <c r="AB50" i="11"/>
  <c r="AC50" i="11" s="1"/>
  <c r="Z53" i="11"/>
  <c r="S59" i="31"/>
  <c r="S60" i="31" s="1"/>
  <c r="S61" i="31"/>
  <c r="U58" i="31"/>
  <c r="V58" i="31" s="1"/>
  <c r="N56" i="21"/>
  <c r="O56" i="21" s="1"/>
  <c r="L59" i="21"/>
  <c r="L57" i="21"/>
  <c r="L58" i="21" s="1"/>
  <c r="AN55" i="32"/>
  <c r="AP52" i="32"/>
  <c r="G30" i="1" s="1"/>
  <c r="AN53" i="32"/>
  <c r="AN54" i="32" s="1"/>
  <c r="AP52" i="27"/>
  <c r="AN53" i="27"/>
  <c r="AN55" i="27"/>
  <c r="AG59" i="40"/>
  <c r="AG60" i="40" s="1"/>
  <c r="AG61" i="40"/>
  <c r="AI58" i="40"/>
  <c r="AJ58" i="40" s="1"/>
  <c r="AG53" i="40"/>
  <c r="AG54" i="40" s="1"/>
  <c r="AG55" i="40"/>
  <c r="AI52" i="40"/>
  <c r="AJ52" i="40" s="1"/>
  <c r="L53" i="17"/>
  <c r="N50" i="17"/>
  <c r="O50" i="17" s="1"/>
  <c r="L51" i="17"/>
  <c r="L52" i="17" s="1"/>
  <c r="H57" i="15"/>
  <c r="H59" i="15"/>
  <c r="AB56" i="23"/>
  <c r="AC56" i="23" s="1"/>
  <c r="Z57" i="23"/>
  <c r="Z58" i="23" s="1"/>
  <c r="Z59" i="23"/>
  <c r="H59" i="41"/>
  <c r="H60" i="41" s="1"/>
  <c r="H61" i="41"/>
  <c r="AN57" i="13"/>
  <c r="AP56" i="13"/>
  <c r="AN59" i="13"/>
  <c r="S51" i="22"/>
  <c r="U50" i="22"/>
  <c r="V50" i="22" s="1"/>
  <c r="S53" i="22"/>
  <c r="H51" i="23"/>
  <c r="H53" i="23"/>
  <c r="AG57" i="15"/>
  <c r="AG58" i="15" s="1"/>
  <c r="AI56" i="15"/>
  <c r="AJ56" i="15" s="1"/>
  <c r="AG59" i="15"/>
  <c r="L57" i="10"/>
  <c r="L58" i="10" s="1"/>
  <c r="N56" i="10"/>
  <c r="L59" i="10"/>
  <c r="U56" i="23"/>
  <c r="V56" i="23" s="1"/>
  <c r="S57" i="23"/>
  <c r="S58" i="23" s="1"/>
  <c r="S59" i="23"/>
  <c r="N58" i="41"/>
  <c r="O58" i="41" s="1"/>
  <c r="L59" i="41"/>
  <c r="L60" i="41" s="1"/>
  <c r="H51" i="12"/>
  <c r="H52" i="12" s="1"/>
  <c r="H53" i="12"/>
  <c r="AG57" i="16"/>
  <c r="AG58" i="16" s="1"/>
  <c r="AI56" i="16"/>
  <c r="AJ56" i="16" s="1"/>
  <c r="AG59" i="16"/>
  <c r="H57" i="14"/>
  <c r="H58" i="14" s="1"/>
  <c r="H59" i="14"/>
  <c r="AG57" i="10"/>
  <c r="AI56" i="10"/>
  <c r="AG59" i="10"/>
  <c r="U58" i="41"/>
  <c r="V58" i="41" s="1"/>
  <c r="S59" i="41"/>
  <c r="S60" i="41" s="1"/>
  <c r="L53" i="31"/>
  <c r="L54" i="31" s="1"/>
  <c r="N52" i="31"/>
  <c r="C30" i="1" s="1"/>
  <c r="L55" i="31"/>
  <c r="AP56" i="21"/>
  <c r="AQ56" i="21" s="1"/>
  <c r="AN57" i="21"/>
  <c r="AN58" i="21" s="1"/>
  <c r="AN59" i="21"/>
  <c r="D87" i="1"/>
  <c r="D68" i="1"/>
  <c r="D88" i="1" s="1"/>
  <c r="AP52" i="28"/>
  <c r="AQ52" i="28" s="1"/>
  <c r="AN55" i="28"/>
  <c r="AN53" i="28"/>
  <c r="Z57" i="24"/>
  <c r="Z58" i="24" s="1"/>
  <c r="AB56" i="24"/>
  <c r="AC56" i="24" s="1"/>
  <c r="Z59" i="24"/>
  <c r="AB56" i="10"/>
  <c r="AC56" i="10" s="1"/>
  <c r="AJ56" i="10"/>
  <c r="Z57" i="10"/>
  <c r="Z58" i="10" s="1"/>
  <c r="Z59" i="10"/>
  <c r="AG59" i="25"/>
  <c r="AG60" i="25" s="1"/>
  <c r="AI58" i="25"/>
  <c r="AG61" i="25"/>
  <c r="AP58" i="35"/>
  <c r="AN59" i="35"/>
  <c r="AN60" i="35" s="1"/>
  <c r="AN61" i="35"/>
  <c r="H53" i="37"/>
  <c r="H55" i="37"/>
  <c r="AI52" i="32"/>
  <c r="F30" i="1" s="1"/>
  <c r="AG55" i="32"/>
  <c r="AG53" i="32"/>
  <c r="U52" i="41"/>
  <c r="D54" i="1" s="1"/>
  <c r="S53" i="41"/>
  <c r="S54" i="41" s="1"/>
  <c r="AP50" i="21"/>
  <c r="AQ50" i="21" s="1"/>
  <c r="AN51" i="21"/>
  <c r="AN52" i="21" s="1"/>
  <c r="AN53" i="21"/>
  <c r="S53" i="14"/>
  <c r="U50" i="14"/>
  <c r="V50" i="14" s="1"/>
  <c r="S51" i="14"/>
  <c r="S52" i="14" s="1"/>
  <c r="S51" i="10"/>
  <c r="U50" i="10"/>
  <c r="V50" i="10" s="1"/>
  <c r="S53" i="10"/>
  <c r="AG57" i="11"/>
  <c r="AG58" i="11" s="1"/>
  <c r="AI56" i="11"/>
  <c r="AJ56" i="11" s="1"/>
  <c r="AG59" i="11"/>
  <c r="N58" i="37"/>
  <c r="O58" i="37" s="1"/>
  <c r="L59" i="37"/>
  <c r="L60" i="37" s="1"/>
  <c r="L61" i="37"/>
  <c r="U61" i="37" s="1"/>
  <c r="H53" i="30"/>
  <c r="H54" i="30" s="1"/>
  <c r="H55" i="30"/>
  <c r="O55" i="30" s="1"/>
  <c r="AG59" i="33"/>
  <c r="AG60" i="33" s="1"/>
  <c r="AI58" i="33"/>
  <c r="AJ58" i="33" s="1"/>
  <c r="AG61" i="33"/>
  <c r="H57" i="20"/>
  <c r="H58" i="20" s="1"/>
  <c r="H59" i="20"/>
  <c r="AP58" i="31"/>
  <c r="AQ58" i="31" s="1"/>
  <c r="AN61" i="31"/>
  <c r="AN59" i="31"/>
  <c r="AN60" i="31" s="1"/>
  <c r="U56" i="10"/>
  <c r="V56" i="10" s="1"/>
  <c r="S57" i="10"/>
  <c r="S58" i="10" s="1"/>
  <c r="S59" i="10"/>
  <c r="AG57" i="23"/>
  <c r="AG58" i="23" s="1"/>
  <c r="AI56" i="23"/>
  <c r="AJ56" i="23" s="1"/>
  <c r="AN57" i="22"/>
  <c r="AP56" i="22"/>
  <c r="AQ56" i="22" s="1"/>
  <c r="AI52" i="39"/>
  <c r="F48" i="1" s="1"/>
  <c r="AG55" i="39"/>
  <c r="AG53" i="39"/>
  <c r="AG54" i="39" s="1"/>
  <c r="AG57" i="20"/>
  <c r="AG58" i="20" s="1"/>
  <c r="AQ56" i="20"/>
  <c r="AG59" i="20"/>
  <c r="AI56" i="20"/>
  <c r="AJ56" i="20" s="1"/>
  <c r="H51" i="18"/>
  <c r="H52" i="18" s="1"/>
  <c r="H53" i="18"/>
  <c r="AI56" i="24"/>
  <c r="AJ56" i="24" s="1"/>
  <c r="AG57" i="24"/>
  <c r="AG58" i="24" s="1"/>
  <c r="AG59" i="24"/>
  <c r="AG53" i="41"/>
  <c r="AG54" i="41" s="1"/>
  <c r="AI52" i="41"/>
  <c r="F54" i="1" s="1"/>
  <c r="Z61" i="26"/>
  <c r="Z59" i="26"/>
  <c r="AB58" i="26"/>
  <c r="AC58" i="26" s="1"/>
  <c r="AB52" i="40"/>
  <c r="AC52" i="40" s="1"/>
  <c r="Z55" i="40"/>
  <c r="Z53" i="40"/>
  <c r="Z54" i="40" s="1"/>
  <c r="H61" i="30"/>
  <c r="O61" i="30" s="1"/>
  <c r="H59" i="30"/>
  <c r="H60" i="30" s="1"/>
  <c r="AP52" i="37"/>
  <c r="G42" i="1" s="1"/>
  <c r="AN53" i="37"/>
  <c r="AN59" i="32"/>
  <c r="AN60" i="32" s="1"/>
  <c r="AP58" i="32"/>
  <c r="AQ58" i="32" s="1"/>
  <c r="AN61" i="32"/>
  <c r="L51" i="16"/>
  <c r="L52" i="16" s="1"/>
  <c r="N50" i="16"/>
  <c r="O50" i="16" s="1"/>
  <c r="L53" i="16"/>
  <c r="G87" i="1"/>
  <c r="G68" i="1"/>
  <c r="G88" i="1" s="1"/>
  <c r="H59" i="28"/>
  <c r="H60" i="28" s="1"/>
  <c r="H61" i="28"/>
  <c r="O61" i="28" s="1"/>
  <c r="Z53" i="32"/>
  <c r="Z54" i="32" s="1"/>
  <c r="Z55" i="32"/>
  <c r="AB52" i="32"/>
  <c r="AC52" i="32" s="1"/>
  <c r="AP52" i="40"/>
  <c r="AQ52" i="40" s="1"/>
  <c r="AN55" i="40"/>
  <c r="AP55" i="40" s="1"/>
  <c r="AN53" i="40"/>
  <c r="AN54" i="40" s="1"/>
  <c r="AB50" i="15"/>
  <c r="E12" i="1" s="1"/>
  <c r="Z51" i="15"/>
  <c r="Z52" i="15" s="1"/>
  <c r="Z53" i="15"/>
  <c r="Z51" i="14"/>
  <c r="Z52" i="14" s="1"/>
  <c r="AB50" i="14"/>
  <c r="AC50" i="14" s="1"/>
  <c r="Z53" i="14"/>
  <c r="H51" i="19"/>
  <c r="H52" i="19" s="1"/>
  <c r="H53" i="19"/>
  <c r="Z53" i="35"/>
  <c r="Z54" i="35" s="1"/>
  <c r="AB52" i="35"/>
  <c r="AC52" i="35" s="1"/>
  <c r="Z55" i="35"/>
  <c r="AJ52" i="35"/>
  <c r="L57" i="23"/>
  <c r="L58" i="23" s="1"/>
  <c r="N56" i="23"/>
  <c r="O56" i="23" s="1"/>
  <c r="L59" i="23"/>
  <c r="AN51" i="12"/>
  <c r="AP50" i="12"/>
  <c r="AQ50" i="12" s="1"/>
  <c r="AN53" i="12"/>
  <c r="AP53" i="12" s="1"/>
  <c r="L55" i="36"/>
  <c r="L53" i="36"/>
  <c r="L54" i="36" s="1"/>
  <c r="N52" i="36"/>
  <c r="O52" i="36" s="1"/>
  <c r="AP52" i="39"/>
  <c r="G48" i="1" s="1"/>
  <c r="AN55" i="39"/>
  <c r="AN53" i="39"/>
  <c r="AP50" i="22"/>
  <c r="AQ50" i="22" s="1"/>
  <c r="AN51" i="22"/>
  <c r="AN52" i="22" s="1"/>
  <c r="H51" i="16"/>
  <c r="H52" i="16" s="1"/>
  <c r="H53" i="16"/>
  <c r="AB52" i="37"/>
  <c r="E42" i="1" s="1"/>
  <c r="Z53" i="37"/>
  <c r="Z54" i="37" s="1"/>
  <c r="Z59" i="33"/>
  <c r="Z60" i="33" s="1"/>
  <c r="Z61" i="33"/>
  <c r="AB58" i="33"/>
  <c r="AC58" i="33" s="1"/>
  <c r="S53" i="38"/>
  <c r="S54" i="38" s="1"/>
  <c r="U52" i="38"/>
  <c r="V52" i="38" s="1"/>
  <c r="S55" i="38"/>
  <c r="S61" i="39"/>
  <c r="S59" i="39"/>
  <c r="S60" i="39" s="1"/>
  <c r="U58" i="39"/>
  <c r="V58" i="39" s="1"/>
  <c r="AN57" i="18"/>
  <c r="AP56" i="18"/>
  <c r="AQ56" i="18" s="1"/>
  <c r="AN59" i="18"/>
  <c r="AG55" i="33"/>
  <c r="AI52" i="33"/>
  <c r="AJ52" i="33" s="1"/>
  <c r="AG53" i="33"/>
  <c r="AG54" i="33" s="1"/>
  <c r="S55" i="33"/>
  <c r="U52" i="33"/>
  <c r="V52" i="33" s="1"/>
  <c r="S53" i="33"/>
  <c r="Z59" i="39"/>
  <c r="Z60" i="39" s="1"/>
  <c r="AB58" i="39"/>
  <c r="AC58" i="39" s="1"/>
  <c r="Z61" i="39"/>
  <c r="AP58" i="36"/>
  <c r="AQ58" i="36" s="1"/>
  <c r="AN61" i="36"/>
  <c r="AN59" i="36"/>
  <c r="AB58" i="37"/>
  <c r="AC58" i="37" s="1"/>
  <c r="Z59" i="37"/>
  <c r="H51" i="21"/>
  <c r="H52" i="21" s="1"/>
  <c r="H53" i="21"/>
  <c r="Z51" i="21"/>
  <c r="Z52" i="21" s="1"/>
  <c r="AB50" i="21"/>
  <c r="AC50" i="21" s="1"/>
  <c r="Z53" i="21"/>
  <c r="H61" i="26"/>
  <c r="O61" i="26" s="1"/>
  <c r="H59" i="26"/>
  <c r="U50" i="24"/>
  <c r="V50" i="24" s="1"/>
  <c r="S53" i="24"/>
  <c r="S51" i="24"/>
  <c r="S52" i="24" s="1"/>
  <c r="S57" i="19"/>
  <c r="S58" i="19" s="1"/>
  <c r="U56" i="19"/>
  <c r="V56" i="19" s="1"/>
  <c r="S59" i="19"/>
  <c r="H55" i="25"/>
  <c r="O55" i="25" s="1"/>
  <c r="H53" i="25"/>
  <c r="H54" i="25" s="1"/>
  <c r="H57" i="16"/>
  <c r="H58" i="16" s="1"/>
  <c r="H59" i="16"/>
  <c r="AE61" i="37"/>
  <c r="AG61" i="37" s="1"/>
  <c r="AL55" i="37"/>
  <c r="AG55" i="37"/>
  <c r="H59" i="21"/>
  <c r="H57" i="21"/>
  <c r="H58" i="21" s="1"/>
  <c r="H59" i="33"/>
  <c r="H60" i="33"/>
  <c r="H61" i="33"/>
  <c r="O61" i="33" s="1"/>
  <c r="Z57" i="21"/>
  <c r="Z58" i="21" s="1"/>
  <c r="AB56" i="21"/>
  <c r="AC56" i="21" s="1"/>
  <c r="Z59" i="21"/>
  <c r="AN59" i="23"/>
  <c r="AB52" i="29"/>
  <c r="AC52" i="29" s="1"/>
  <c r="Z53" i="29"/>
  <c r="Z54" i="29" s="1"/>
  <c r="Z55" i="29"/>
  <c r="Z61" i="37"/>
  <c r="L51" i="20"/>
  <c r="L52" i="20" s="1"/>
  <c r="N50" i="20"/>
  <c r="C18" i="1" s="1"/>
  <c r="L53" i="20"/>
  <c r="AG53" i="20"/>
  <c r="AI50" i="20"/>
  <c r="F18" i="1" s="1"/>
  <c r="AG51" i="20"/>
  <c r="AE55" i="41"/>
  <c r="Z55" i="41"/>
  <c r="H57" i="18"/>
  <c r="H58" i="18" s="1"/>
  <c r="H59" i="18"/>
  <c r="S59" i="38"/>
  <c r="S60" i="38" s="1"/>
  <c r="U58" i="38"/>
  <c r="V58" i="38" s="1"/>
  <c r="S61" i="38"/>
  <c r="AN55" i="33"/>
  <c r="AP52" i="33"/>
  <c r="AQ52" i="33" s="1"/>
  <c r="AN53" i="33"/>
  <c r="AG51" i="24"/>
  <c r="AG52" i="24" s="1"/>
  <c r="AI50" i="24"/>
  <c r="AJ50" i="24" s="1"/>
  <c r="AG53" i="24"/>
  <c r="AG55" i="31"/>
  <c r="AG53" i="31"/>
  <c r="AG54" i="31" s="1"/>
  <c r="AI52" i="31"/>
  <c r="AJ52" i="31" s="1"/>
  <c r="F31" i="1" s="1"/>
  <c r="AG55" i="38"/>
  <c r="AG53" i="38"/>
  <c r="AG54" i="38" s="1"/>
  <c r="AI52" i="38"/>
  <c r="AJ52" i="38" s="1"/>
  <c r="Z61" i="29"/>
  <c r="AB58" i="29"/>
  <c r="AC58" i="29" s="1"/>
  <c r="Z59" i="29"/>
  <c r="Z60" i="29" s="1"/>
  <c r="Z61" i="40"/>
  <c r="AB58" i="40"/>
  <c r="Z59" i="40"/>
  <c r="Z60" i="40" s="1"/>
  <c r="AG53" i="28"/>
  <c r="AG54" i="28" s="1"/>
  <c r="AG55" i="28"/>
  <c r="AI52" i="28"/>
  <c r="AJ52" i="28" s="1"/>
  <c r="AP58" i="37"/>
  <c r="AQ58" i="37" s="1"/>
  <c r="AN59" i="37"/>
  <c r="AN60" i="37" s="1"/>
  <c r="H55" i="31"/>
  <c r="O55" i="31" s="1"/>
  <c r="H53" i="31"/>
  <c r="H54" i="31" s="1"/>
  <c r="N56" i="16"/>
  <c r="O56" i="16" s="1"/>
  <c r="L57" i="16"/>
  <c r="L58" i="16" s="1"/>
  <c r="L59" i="16"/>
  <c r="H53" i="35"/>
  <c r="H54" i="35" s="1"/>
  <c r="H55" i="35"/>
  <c r="O55" i="35" s="1"/>
  <c r="AN53" i="30"/>
  <c r="AN54" i="30" s="1"/>
  <c r="AP52" i="30"/>
  <c r="AQ52" i="30" s="1"/>
  <c r="AN55" i="30"/>
  <c r="N52" i="38"/>
  <c r="O52" i="38" s="1"/>
  <c r="L55" i="38"/>
  <c r="L53" i="38"/>
  <c r="L54" i="38" s="1"/>
  <c r="Z59" i="32"/>
  <c r="Z60" i="32" s="1"/>
  <c r="Z61" i="32"/>
  <c r="AB58" i="32"/>
  <c r="AC58" i="32" s="1"/>
  <c r="U58" i="33"/>
  <c r="V58" i="33" s="1"/>
  <c r="S61" i="33"/>
  <c r="S59" i="33"/>
  <c r="S60" i="33" s="1"/>
  <c r="AN59" i="40"/>
  <c r="AP58" i="40"/>
  <c r="AQ58" i="40" s="1"/>
  <c r="AN61" i="40"/>
  <c r="AB56" i="15"/>
  <c r="AC56" i="15" s="1"/>
  <c r="Z57" i="15"/>
  <c r="Z59" i="15"/>
  <c r="Z57" i="14"/>
  <c r="Z58" i="14" s="1"/>
  <c r="AB56" i="14"/>
  <c r="AC56" i="14" s="1"/>
  <c r="Z59" i="14"/>
  <c r="H57" i="19"/>
  <c r="H58" i="19" s="1"/>
  <c r="H59" i="19"/>
  <c r="H59" i="25"/>
  <c r="H60" i="25" s="1"/>
  <c r="H61" i="25"/>
  <c r="O61" i="25" s="1"/>
  <c r="AN57" i="12"/>
  <c r="AP56" i="12"/>
  <c r="AQ56" i="12" s="1"/>
  <c r="AN59" i="12"/>
  <c r="L61" i="36"/>
  <c r="L59" i="36"/>
  <c r="L60" i="36" s="1"/>
  <c r="N58" i="36"/>
  <c r="O58" i="36" s="1"/>
  <c r="S61" i="25"/>
  <c r="U58" i="25"/>
  <c r="V58" i="25" s="1"/>
  <c r="S59" i="25"/>
  <c r="S60" i="25" s="1"/>
  <c r="AJ52" i="25"/>
  <c r="Z53" i="25"/>
  <c r="Z54" i="25" s="1"/>
  <c r="AB52" i="25"/>
  <c r="AC52" i="25" s="1"/>
  <c r="Z55" i="25"/>
  <c r="S57" i="22"/>
  <c r="S58" i="22" s="1"/>
  <c r="U56" i="22"/>
  <c r="V56" i="22" s="1"/>
  <c r="S59" i="22"/>
  <c r="H57" i="12"/>
  <c r="H59" i="12"/>
  <c r="H53" i="26"/>
  <c r="H54" i="26" s="1"/>
  <c r="H55" i="26"/>
  <c r="O55" i="26" s="1"/>
  <c r="N52" i="40"/>
  <c r="O52" i="40" s="1"/>
  <c r="L55" i="40"/>
  <c r="L53" i="40"/>
  <c r="U50" i="19"/>
  <c r="V50" i="19" s="1"/>
  <c r="S51" i="19"/>
  <c r="S53" i="19"/>
  <c r="AP58" i="28"/>
  <c r="AQ58" i="28" s="1"/>
  <c r="AN61" i="28"/>
  <c r="AN59" i="28"/>
  <c r="AN60" i="28" s="1"/>
  <c r="AI50" i="23"/>
  <c r="AJ50" i="23" s="1"/>
  <c r="AG51" i="23"/>
  <c r="AG52" i="23" s="1"/>
  <c r="AG53" i="23"/>
  <c r="L61" i="32"/>
  <c r="L59" i="32"/>
  <c r="L60" i="32" s="1"/>
  <c r="N58" i="32"/>
  <c r="O58" i="32" s="1"/>
  <c r="H57" i="13"/>
  <c r="H58" i="13"/>
  <c r="H59" i="13"/>
  <c r="AG59" i="41"/>
  <c r="AG60" i="41" s="1"/>
  <c r="AI58" i="41"/>
  <c r="AJ58" i="41" s="1"/>
  <c r="AP50" i="18"/>
  <c r="AQ50" i="18" s="1"/>
  <c r="AN53" i="18"/>
  <c r="AN51" i="18"/>
  <c r="N58" i="31"/>
  <c r="O58" i="31" s="1"/>
  <c r="L61" i="31"/>
  <c r="L59" i="31"/>
  <c r="AB52" i="38"/>
  <c r="AC52" i="38" s="1"/>
  <c r="Z55" i="38"/>
  <c r="Z53" i="38"/>
  <c r="Z54" i="38" s="1"/>
  <c r="U56" i="14"/>
  <c r="V56" i="14" s="1"/>
  <c r="S57" i="14"/>
  <c r="S58" i="14" s="1"/>
  <c r="S59" i="14"/>
  <c r="AP58" i="27"/>
  <c r="AQ58" i="27" s="1"/>
  <c r="AN61" i="27"/>
  <c r="AN59" i="27"/>
  <c r="AG51" i="11"/>
  <c r="AG52" i="11" s="1"/>
  <c r="AG53" i="11"/>
  <c r="AI50" i="11"/>
  <c r="AJ50" i="11" s="1"/>
  <c r="L57" i="18"/>
  <c r="N56" i="18"/>
  <c r="O56" i="18" s="1"/>
  <c r="V56" i="18"/>
  <c r="L58" i="18"/>
  <c r="L59" i="18"/>
  <c r="AP52" i="41"/>
  <c r="G54" i="1" s="1"/>
  <c r="AN53" i="41"/>
  <c r="N56" i="20"/>
  <c r="O56" i="20" s="1"/>
  <c r="L57" i="20"/>
  <c r="L58" i="20" s="1"/>
  <c r="L59" i="20"/>
  <c r="AN59" i="29"/>
  <c r="AN60" i="29" s="1"/>
  <c r="AP58" i="29"/>
  <c r="AQ58" i="29" s="1"/>
  <c r="AN61" i="29"/>
  <c r="S55" i="41"/>
  <c r="S51" i="20"/>
  <c r="S52" i="20" s="1"/>
  <c r="U50" i="20"/>
  <c r="D18" i="1" s="1"/>
  <c r="S53" i="20"/>
  <c r="AN53" i="14"/>
  <c r="AN51" i="14"/>
  <c r="AP50" i="14"/>
  <c r="AQ50" i="14" s="1"/>
  <c r="AG55" i="29"/>
  <c r="AI52" i="29"/>
  <c r="AJ52" i="29" s="1"/>
  <c r="AG53" i="29"/>
  <c r="AG54" i="29" s="1"/>
  <c r="L53" i="29"/>
  <c r="L54" i="29" s="1"/>
  <c r="N52" i="29"/>
  <c r="O52" i="29" s="1"/>
  <c r="L55" i="29"/>
  <c r="H51" i="9"/>
  <c r="H52" i="9" s="1"/>
  <c r="H53" i="9"/>
  <c r="AG59" i="27"/>
  <c r="AI58" i="27"/>
  <c r="AJ58" i="27" s="1"/>
  <c r="AG61" i="27"/>
  <c r="L55" i="26"/>
  <c r="N52" i="26"/>
  <c r="C24" i="1" s="1"/>
  <c r="L53" i="26"/>
  <c r="L54" i="26" s="1"/>
  <c r="AG59" i="38"/>
  <c r="AG60" i="38" s="1"/>
  <c r="AG61" i="38"/>
  <c r="AI58" i="38"/>
  <c r="AJ58" i="38" s="1"/>
  <c r="L55" i="33"/>
  <c r="N52" i="33"/>
  <c r="O52" i="33" s="1"/>
  <c r="L53" i="33"/>
  <c r="V52" i="25"/>
  <c r="L55" i="25"/>
  <c r="L53" i="25"/>
  <c r="L54" i="25" s="1"/>
  <c r="N52" i="25"/>
  <c r="O52" i="25" s="1"/>
  <c r="H53" i="36"/>
  <c r="H55" i="36"/>
  <c r="O55" i="36" s="1"/>
  <c r="AN51" i="15"/>
  <c r="AP50" i="15"/>
  <c r="G12" i="1" s="1"/>
  <c r="AN53" i="15"/>
  <c r="AN61" i="30"/>
  <c r="AN59" i="30"/>
  <c r="AP58" i="30"/>
  <c r="AQ58" i="30" s="1"/>
  <c r="L61" i="38"/>
  <c r="L59" i="38"/>
  <c r="L60" i="38" s="1"/>
  <c r="N58" i="38"/>
  <c r="O58" i="38" s="1"/>
  <c r="AP56" i="16"/>
  <c r="AQ56" i="16" s="1"/>
  <c r="AN57" i="16"/>
  <c r="AN59" i="16"/>
  <c r="AP50" i="24"/>
  <c r="AQ50" i="24" s="1"/>
  <c r="AN51" i="24"/>
  <c r="AN53" i="24"/>
  <c r="U50" i="13"/>
  <c r="V50" i="13" s="1"/>
  <c r="S53" i="13"/>
  <c r="S51" i="13"/>
  <c r="S52" i="13" s="1"/>
  <c r="Z61" i="38"/>
  <c r="AB58" i="38"/>
  <c r="AC58" i="38" s="1"/>
  <c r="Z59" i="38"/>
  <c r="U50" i="11"/>
  <c r="V50" i="11" s="1"/>
  <c r="S51" i="11"/>
  <c r="S52" i="11" s="1"/>
  <c r="S53" i="11"/>
  <c r="S53" i="37"/>
  <c r="S54" i="37" s="1"/>
  <c r="U52" i="37"/>
  <c r="D42" i="1" s="1"/>
  <c r="S55" i="37"/>
  <c r="AJ56" i="19"/>
  <c r="AB56" i="19"/>
  <c r="AC56" i="19" s="1"/>
  <c r="Z57" i="19"/>
  <c r="Z59" i="19"/>
  <c r="S57" i="15"/>
  <c r="S58" i="15" s="1"/>
  <c r="S59" i="15"/>
  <c r="U56" i="15"/>
  <c r="V56" i="15" s="1"/>
  <c r="AB58" i="35"/>
  <c r="AC58" i="35" s="1"/>
  <c r="Z61" i="35"/>
  <c r="Z59" i="35"/>
  <c r="Z60" i="35" s="1"/>
  <c r="N50" i="14"/>
  <c r="O50" i="14" s="1"/>
  <c r="L51" i="14"/>
  <c r="L52" i="14" s="1"/>
  <c r="L53" i="14"/>
  <c r="AI52" i="37"/>
  <c r="F42" i="1" s="1"/>
  <c r="AG53" i="37"/>
  <c r="AG54" i="37"/>
  <c r="AP58" i="39"/>
  <c r="AQ58" i="39" s="1"/>
  <c r="AN61" i="39"/>
  <c r="AN59" i="39"/>
  <c r="AB52" i="27"/>
  <c r="Z53" i="27"/>
  <c r="Z54" i="27" s="1"/>
  <c r="Z55" i="27"/>
  <c r="AG53" i="21"/>
  <c r="AG51" i="21"/>
  <c r="AG52" i="21" s="1"/>
  <c r="AI50" i="21"/>
  <c r="AJ50" i="21" s="1"/>
  <c r="AJ58" i="25"/>
  <c r="Z61" i="25"/>
  <c r="Z59" i="25"/>
  <c r="Z60" i="25" s="1"/>
  <c r="AB58" i="25"/>
  <c r="AC58" i="25" s="1"/>
  <c r="AG57" i="18"/>
  <c r="AI56" i="18"/>
  <c r="AJ56" i="18" s="1"/>
  <c r="AG59" i="18"/>
  <c r="Z59" i="30"/>
  <c r="Z60" i="30" s="1"/>
  <c r="Z61" i="30"/>
  <c r="AB58" i="30"/>
  <c r="AC58" i="30" s="1"/>
  <c r="AQ58" i="35"/>
  <c r="AG61" i="35"/>
  <c r="AG59" i="35"/>
  <c r="AG60" i="35" s="1"/>
  <c r="AI58" i="35"/>
  <c r="AJ58" i="35" s="1"/>
  <c r="S58" i="17"/>
  <c r="U56" i="17"/>
  <c r="V56" i="17" s="1"/>
  <c r="S57" i="17"/>
  <c r="S59" i="17"/>
  <c r="H51" i="14"/>
  <c r="H53" i="14"/>
  <c r="H51" i="20"/>
  <c r="H52" i="20" s="1"/>
  <c r="H53" i="20"/>
  <c r="AN53" i="31"/>
  <c r="AN54" i="31" s="1"/>
  <c r="AP52" i="31"/>
  <c r="AQ52" i="31" s="1"/>
  <c r="G31" i="1" s="1"/>
  <c r="AN55" i="31"/>
  <c r="AP55" i="31" s="1"/>
  <c r="Z55" i="37"/>
  <c r="H55" i="33"/>
  <c r="O55" i="33" s="1"/>
  <c r="H53" i="33"/>
  <c r="H54" i="33" s="1"/>
  <c r="AI58" i="32"/>
  <c r="AJ58" i="32" s="1"/>
  <c r="AG61" i="32"/>
  <c r="AG59" i="32"/>
  <c r="AG60" i="32" s="1"/>
  <c r="AG53" i="27"/>
  <c r="AG54" i="27" s="1"/>
  <c r="AG55" i="27"/>
  <c r="AQ52" i="27"/>
  <c r="AI52" i="27"/>
  <c r="AJ52" i="27" s="1"/>
  <c r="S53" i="17"/>
  <c r="S51" i="17"/>
  <c r="S52" i="17" s="1"/>
  <c r="U50" i="17"/>
  <c r="V50" i="17" s="1"/>
  <c r="AG61" i="36"/>
  <c r="AG59" i="36"/>
  <c r="AG60" i="36" s="1"/>
  <c r="AI58" i="36"/>
  <c r="AJ58" i="36" s="1"/>
  <c r="L59" i="40"/>
  <c r="L60" i="40" s="1"/>
  <c r="N58" i="40"/>
  <c r="O58" i="40" s="1"/>
  <c r="L61" i="40"/>
  <c r="U56" i="12"/>
  <c r="V56" i="12" s="1"/>
  <c r="S57" i="12"/>
  <c r="S58" i="12" s="1"/>
  <c r="S59" i="12"/>
  <c r="L51" i="23"/>
  <c r="L52" i="23"/>
  <c r="N50" i="23"/>
  <c r="O50" i="23" s="1"/>
  <c r="L53" i="23"/>
  <c r="AP52" i="29"/>
  <c r="AQ52" i="29" s="1"/>
  <c r="AN55" i="29"/>
  <c r="AN53" i="29"/>
  <c r="AN54" i="29" s="1"/>
  <c r="AI52" i="30"/>
  <c r="AJ52" i="30" s="1"/>
  <c r="AG53" i="30"/>
  <c r="AG54" i="30" s="1"/>
  <c r="AG55" i="30"/>
  <c r="AG59" i="39"/>
  <c r="AG60" i="39" s="1"/>
  <c r="AI58" i="39"/>
  <c r="AJ58" i="39" s="1"/>
  <c r="AG61" i="39"/>
  <c r="N50" i="18"/>
  <c r="O50" i="18" s="1"/>
  <c r="L51" i="18"/>
  <c r="L52" i="18" s="1"/>
  <c r="L53" i="18"/>
  <c r="AP58" i="41"/>
  <c r="AQ58" i="41" s="1"/>
  <c r="AN59" i="41"/>
  <c r="L51" i="15"/>
  <c r="L52" i="15" s="1"/>
  <c r="N50" i="15"/>
  <c r="C12" i="1" s="1"/>
  <c r="L53" i="15"/>
  <c r="AI56" i="17"/>
  <c r="AJ56" i="17" s="1"/>
  <c r="AG59" i="17"/>
  <c r="AG57" i="17"/>
  <c r="AG58" i="17" s="1"/>
  <c r="U56" i="20"/>
  <c r="V56" i="20" s="1"/>
  <c r="S57" i="20"/>
  <c r="S58" i="20" s="1"/>
  <c r="S59" i="20"/>
  <c r="AN57" i="14"/>
  <c r="AP56" i="14"/>
  <c r="AQ56" i="14" s="1"/>
  <c r="AN59" i="14"/>
  <c r="AC52" i="27"/>
  <c r="S55" i="27"/>
  <c r="U52" i="27"/>
  <c r="V52" i="27" s="1"/>
  <c r="S53" i="27"/>
  <c r="S54" i="27" s="1"/>
  <c r="S55" i="36"/>
  <c r="S53" i="36"/>
  <c r="S54" i="36" s="1"/>
  <c r="U52" i="36"/>
  <c r="V52" i="36" s="1"/>
  <c r="AN59" i="33"/>
  <c r="AP58" i="33"/>
  <c r="AQ58" i="33" s="1"/>
  <c r="AN61" i="33"/>
  <c r="H59" i="9"/>
  <c r="H57" i="9"/>
  <c r="H58" i="9" s="1"/>
  <c r="S53" i="35"/>
  <c r="S54" i="35" s="1"/>
  <c r="U52" i="35"/>
  <c r="V52" i="35" s="1"/>
  <c r="S55" i="35"/>
  <c r="N50" i="9"/>
  <c r="O50" i="9" s="1"/>
  <c r="L53" i="9"/>
  <c r="L51" i="9"/>
  <c r="L52" i="9" s="1"/>
  <c r="N58" i="26"/>
  <c r="O58" i="26" s="1"/>
  <c r="L61" i="26"/>
  <c r="L59" i="26"/>
  <c r="L60" i="26" s="1"/>
  <c r="AG61" i="28"/>
  <c r="AG59" i="28"/>
  <c r="AG60" i="28" s="1"/>
  <c r="AI58" i="28"/>
  <c r="AJ58" i="28" s="1"/>
  <c r="N52" i="35"/>
  <c r="O52" i="35" s="1"/>
  <c r="L53" i="35"/>
  <c r="L55" i="35"/>
  <c r="H61" i="31"/>
  <c r="O61" i="31" s="1"/>
  <c r="H59" i="31"/>
  <c r="H60" i="31" s="1"/>
  <c r="H61" i="36"/>
  <c r="O61" i="36" s="1"/>
  <c r="H59" i="36"/>
  <c r="H60" i="36" s="1"/>
  <c r="H61" i="35"/>
  <c r="O61" i="35" s="1"/>
  <c r="H59" i="35"/>
  <c r="H60" i="35" s="1"/>
  <c r="AP56" i="15"/>
  <c r="AQ56" i="15" s="1"/>
  <c r="AN57" i="15"/>
  <c r="AN59" i="15"/>
  <c r="AN51" i="16"/>
  <c r="AP51" i="16" s="1"/>
  <c r="AP50" i="16"/>
  <c r="AQ50" i="16" s="1"/>
  <c r="AN53" i="16"/>
  <c r="AN57" i="24"/>
  <c r="AP56" i="24"/>
  <c r="AQ56" i="24" s="1"/>
  <c r="AN59" i="24"/>
  <c r="S57" i="13"/>
  <c r="S58" i="13" s="1"/>
  <c r="U56" i="13"/>
  <c r="S59" i="13"/>
  <c r="AN59" i="22"/>
  <c r="AP59" i="22" s="1"/>
  <c r="AQ59" i="22" s="1"/>
  <c r="AI52" i="26"/>
  <c r="F24" i="1" s="1"/>
  <c r="AG55" i="26"/>
  <c r="AG53" i="26"/>
  <c r="AG54" i="26" s="1"/>
  <c r="U52" i="29"/>
  <c r="V52" i="29" s="1"/>
  <c r="S53" i="29"/>
  <c r="S54" i="29" s="1"/>
  <c r="S55" i="29"/>
  <c r="AC56" i="11"/>
  <c r="S57" i="11"/>
  <c r="S58" i="11" s="1"/>
  <c r="U56" i="11"/>
  <c r="S59" i="11"/>
  <c r="H55" i="29"/>
  <c r="O55" i="29" s="1"/>
  <c r="H53" i="29"/>
  <c r="H54" i="29" s="1"/>
  <c r="S59" i="37"/>
  <c r="S60" i="37" s="1"/>
  <c r="U58" i="37"/>
  <c r="V58" i="37" s="1"/>
  <c r="Z51" i="19"/>
  <c r="Z52" i="19" s="1"/>
  <c r="AB50" i="19"/>
  <c r="AC50" i="19" s="1"/>
  <c r="Z53" i="19"/>
  <c r="AN55" i="25"/>
  <c r="AP52" i="25"/>
  <c r="AQ52" i="25" s="1"/>
  <c r="AN53" i="25"/>
  <c r="AN54" i="25" s="1"/>
  <c r="S51" i="15"/>
  <c r="S52" i="15" s="1"/>
  <c r="S53" i="15"/>
  <c r="U50" i="15"/>
  <c r="D12" i="1" s="1"/>
  <c r="O56" i="10"/>
  <c r="H57" i="10"/>
  <c r="H59" i="10"/>
  <c r="AG57" i="14"/>
  <c r="AG58" i="14" s="1"/>
  <c r="AI56" i="14"/>
  <c r="AJ56" i="14" s="1"/>
  <c r="AG59" i="14"/>
  <c r="L57" i="14"/>
  <c r="L58" i="14" s="1"/>
  <c r="N56" i="14"/>
  <c r="O56" i="14" s="1"/>
  <c r="L59" i="14"/>
  <c r="N56" i="24"/>
  <c r="O56" i="24" s="1"/>
  <c r="L57" i="24"/>
  <c r="L58" i="24" s="1"/>
  <c r="L59" i="24"/>
  <c r="AG59" i="37"/>
  <c r="AG60" i="37" s="1"/>
  <c r="AI58" i="37"/>
  <c r="AJ58" i="37" s="1"/>
  <c r="Z53" i="41"/>
  <c r="AB52" i="41"/>
  <c r="E54" i="1" s="1"/>
  <c r="AG57" i="21"/>
  <c r="AG58" i="21" s="1"/>
  <c r="AI56" i="21"/>
  <c r="AJ56" i="21" s="1"/>
  <c r="AG59" i="21"/>
  <c r="AG51" i="18"/>
  <c r="AI50" i="18"/>
  <c r="AJ50" i="18" s="1"/>
  <c r="AG53" i="18"/>
  <c r="H51" i="13"/>
  <c r="H52" i="13" s="1"/>
  <c r="H53" i="13"/>
  <c r="S51" i="23"/>
  <c r="S52" i="23" s="1"/>
  <c r="U50" i="23"/>
  <c r="V50" i="23" s="1"/>
  <c r="S53" i="23"/>
  <c r="AC50" i="12"/>
  <c r="S53" i="12"/>
  <c r="U50" i="12"/>
  <c r="V50" i="12" s="1"/>
  <c r="S51" i="12"/>
  <c r="N58" i="39"/>
  <c r="O58" i="39" s="1"/>
  <c r="L61" i="39"/>
  <c r="L59" i="39"/>
  <c r="L60" i="39" s="1"/>
  <c r="AI58" i="30"/>
  <c r="AJ58" i="30" s="1"/>
  <c r="AG61" i="30"/>
  <c r="AG59" i="30"/>
  <c r="AP50" i="9"/>
  <c r="AQ50" i="9" s="1"/>
  <c r="AN53" i="9"/>
  <c r="AN51" i="9"/>
  <c r="W18" i="3"/>
  <c r="X18" i="3" s="1"/>
  <c r="X17" i="3"/>
  <c r="AB50" i="9"/>
  <c r="AC50" i="9" s="1"/>
  <c r="Z51" i="9"/>
  <c r="Z52" i="9" s="1"/>
  <c r="Z53" i="9"/>
  <c r="N56" i="15"/>
  <c r="O56" i="15" s="1"/>
  <c r="L57" i="15"/>
  <c r="L58" i="15" s="1"/>
  <c r="L59" i="15"/>
  <c r="E68" i="1"/>
  <c r="E88" i="1" s="1"/>
  <c r="E87" i="1"/>
  <c r="AG53" i="17"/>
  <c r="AG51" i="17"/>
  <c r="AG52" i="17" s="1"/>
  <c r="AI50" i="17"/>
  <c r="AJ50" i="17" s="1"/>
  <c r="S59" i="36"/>
  <c r="S60" i="36" s="1"/>
  <c r="S61" i="36"/>
  <c r="U58" i="36"/>
  <c r="V58" i="36" s="1"/>
  <c r="Z55" i="36"/>
  <c r="Z53" i="36"/>
  <c r="AB52" i="36"/>
  <c r="AC52" i="36" s="1"/>
  <c r="Z54" i="36"/>
  <c r="AN51" i="23"/>
  <c r="AP50" i="23"/>
  <c r="AQ50" i="23" s="1"/>
  <c r="V56" i="9"/>
  <c r="L57" i="9"/>
  <c r="L58" i="9" s="1"/>
  <c r="N56" i="9"/>
  <c r="O56" i="9" s="1"/>
  <c r="L59" i="9"/>
  <c r="AG59" i="31"/>
  <c r="AG60" i="31" s="1"/>
  <c r="AI58" i="31"/>
  <c r="AJ58" i="31" s="1"/>
  <c r="AG61" i="31"/>
  <c r="H55" i="39"/>
  <c r="O55" i="39" s="1"/>
  <c r="H53" i="39"/>
  <c r="O52" i="39"/>
  <c r="C49" i="1" s="1"/>
  <c r="L59" i="25"/>
  <c r="L60" i="25" s="1"/>
  <c r="L61" i="25"/>
  <c r="N58" i="25"/>
  <c r="O58" i="25" s="1"/>
  <c r="L61" i="35"/>
  <c r="N58" i="35"/>
  <c r="O58" i="35" s="1"/>
  <c r="L59" i="35"/>
  <c r="L60" i="35" s="1"/>
  <c r="AG59" i="23"/>
  <c r="C87" i="1"/>
  <c r="C68" i="1"/>
  <c r="C88" i="1" s="1"/>
  <c r="Z51" i="22"/>
  <c r="Z52" i="22" s="1"/>
  <c r="AB50" i="22"/>
  <c r="AC50" i="22" s="1"/>
  <c r="Z53" i="22"/>
  <c r="H55" i="32"/>
  <c r="O55" i="32" s="1"/>
  <c r="O52" i="32"/>
  <c r="H53" i="32"/>
  <c r="N56" i="11"/>
  <c r="O56" i="11" s="1"/>
  <c r="V56" i="11"/>
  <c r="L57" i="11"/>
  <c r="L59" i="11"/>
  <c r="S61" i="29"/>
  <c r="U58" i="29"/>
  <c r="V58" i="29" s="1"/>
  <c r="S59" i="29"/>
  <c r="AG57" i="22"/>
  <c r="AI56" i="22"/>
  <c r="AJ56" i="22" s="1"/>
  <c r="AJ50" i="12"/>
  <c r="Z51" i="12"/>
  <c r="Z52" i="12" s="1"/>
  <c r="AB50" i="12"/>
  <c r="Z53" i="12"/>
  <c r="S53" i="40"/>
  <c r="S54" i="40" s="1"/>
  <c r="U52" i="40"/>
  <c r="V52" i="40" s="1"/>
  <c r="S55" i="40"/>
  <c r="H51" i="10"/>
  <c r="H53" i="10"/>
  <c r="S55" i="30"/>
  <c r="U52" i="30"/>
  <c r="V52" i="30" s="1"/>
  <c r="S53" i="30"/>
  <c r="S54" i="30" s="1"/>
  <c r="N52" i="28"/>
  <c r="O52" i="28" s="1"/>
  <c r="L53" i="28"/>
  <c r="L55" i="28"/>
  <c r="AI50" i="14"/>
  <c r="AJ50" i="14" s="1"/>
  <c r="AG51" i="14"/>
  <c r="AG52" i="14" s="1"/>
  <c r="AG53" i="14"/>
  <c r="N50" i="24"/>
  <c r="O50" i="24" s="1"/>
  <c r="L51" i="24"/>
  <c r="L52" i="24" s="1"/>
  <c r="L53" i="24"/>
  <c r="U50" i="16"/>
  <c r="V50" i="16" s="1"/>
  <c r="S51" i="16"/>
  <c r="S52" i="16" s="1"/>
  <c r="S53" i="16"/>
  <c r="AB58" i="41"/>
  <c r="AC58" i="41" s="1"/>
  <c r="Z59" i="41"/>
  <c r="Z60" i="41" s="1"/>
  <c r="Z59" i="27"/>
  <c r="AB58" i="27"/>
  <c r="AC58" i="27" s="1"/>
  <c r="Z61" i="27"/>
  <c r="AB50" i="23"/>
  <c r="AC50" i="23" s="1"/>
  <c r="Z51" i="23"/>
  <c r="Z52" i="23" s="1"/>
  <c r="Z53" i="23"/>
  <c r="N50" i="10"/>
  <c r="O50" i="10" s="1"/>
  <c r="L51" i="10"/>
  <c r="L52" i="10" s="1"/>
  <c r="L53" i="10"/>
  <c r="S57" i="24"/>
  <c r="S58" i="24" s="1"/>
  <c r="U56" i="24"/>
  <c r="V56" i="24" s="1"/>
  <c r="S59" i="24"/>
  <c r="AN57" i="9"/>
  <c r="AP56" i="9"/>
  <c r="AQ56" i="9" s="1"/>
  <c r="AN59" i="9"/>
  <c r="Z51" i="16"/>
  <c r="AB50" i="16"/>
  <c r="AC50" i="16" s="1"/>
  <c r="Z53" i="16"/>
  <c r="AN57" i="11"/>
  <c r="AP56" i="11"/>
  <c r="AQ56" i="11" s="1"/>
  <c r="AN59" i="11"/>
  <c r="L57" i="13"/>
  <c r="L58" i="13" s="1"/>
  <c r="N56" i="13"/>
  <c r="O56" i="13" s="1"/>
  <c r="V56" i="13"/>
  <c r="L59" i="13"/>
  <c r="AB56" i="9"/>
  <c r="AC56" i="9" s="1"/>
  <c r="Z57" i="9"/>
  <c r="Z59" i="9"/>
  <c r="AN51" i="20"/>
  <c r="AP51" i="20" s="1"/>
  <c r="AP50" i="20"/>
  <c r="G18" i="1" s="1"/>
  <c r="AN53" i="20"/>
  <c r="AG61" i="29"/>
  <c r="AG59" i="29"/>
  <c r="AI58" i="29"/>
  <c r="AJ58" i="29" s="1"/>
  <c r="L59" i="29"/>
  <c r="L61" i="29"/>
  <c r="N58" i="29"/>
  <c r="O58" i="29" s="1"/>
  <c r="AB58" i="36"/>
  <c r="AC58" i="36" s="1"/>
  <c r="Z61" i="36"/>
  <c r="Z59" i="36"/>
  <c r="AN51" i="10"/>
  <c r="AP51" i="10" s="1"/>
  <c r="AP50" i="10"/>
  <c r="AQ50" i="10" s="1"/>
  <c r="AN53" i="10"/>
  <c r="AN57" i="23"/>
  <c r="AP57" i="23" s="1"/>
  <c r="AP56" i="23"/>
  <c r="AQ56" i="23" s="1"/>
  <c r="U58" i="35"/>
  <c r="V58" i="35" s="1"/>
  <c r="S59" i="35"/>
  <c r="S61" i="35"/>
  <c r="AI50" i="13"/>
  <c r="AJ50" i="13" s="1"/>
  <c r="AG51" i="13"/>
  <c r="AG53" i="13"/>
  <c r="H53" i="34"/>
  <c r="H54" i="34" s="1"/>
  <c r="H55" i="34"/>
  <c r="O55" i="34" s="1"/>
  <c r="AI42" i="34"/>
  <c r="AJ42" i="34" s="1"/>
  <c r="AG58" i="34"/>
  <c r="AQ42" i="34"/>
  <c r="AG52" i="34"/>
  <c r="AP52" i="34" s="1"/>
  <c r="G36" i="1" s="1"/>
  <c r="L59" i="33"/>
  <c r="L60" i="33" s="1"/>
  <c r="N58" i="33"/>
  <c r="O58" i="33" s="1"/>
  <c r="L61" i="33"/>
  <c r="AN57" i="17"/>
  <c r="AP56" i="17"/>
  <c r="AQ56" i="17" s="1"/>
  <c r="AN59" i="17"/>
  <c r="AP50" i="19"/>
  <c r="AQ50" i="19" s="1"/>
  <c r="AN51" i="19"/>
  <c r="AN53" i="19"/>
  <c r="AN52" i="19"/>
  <c r="N52" i="27"/>
  <c r="O52" i="27" s="1"/>
  <c r="L55" i="27"/>
  <c r="L53" i="27"/>
  <c r="L54" i="27" s="1"/>
  <c r="AB56" i="22"/>
  <c r="AC56" i="22" s="1"/>
  <c r="Z57" i="22"/>
  <c r="Z58" i="22" s="1"/>
  <c r="Z59" i="22"/>
  <c r="N56" i="19"/>
  <c r="O56" i="19" s="1"/>
  <c r="L57" i="19"/>
  <c r="L59" i="19"/>
  <c r="H59" i="32"/>
  <c r="H60" i="32" s="1"/>
  <c r="H61" i="32"/>
  <c r="O61" i="32" s="1"/>
  <c r="S55" i="32"/>
  <c r="S53" i="32"/>
  <c r="U52" i="32"/>
  <c r="V52" i="32" s="1"/>
  <c r="L51" i="11"/>
  <c r="N50" i="11"/>
  <c r="O50" i="11" s="1"/>
  <c r="L53" i="11"/>
  <c r="AG59" i="26"/>
  <c r="AG60" i="26" s="1"/>
  <c r="AI58" i="26"/>
  <c r="AJ58" i="26" s="1"/>
  <c r="AG61" i="26"/>
  <c r="AI50" i="22"/>
  <c r="AJ50" i="22" s="1"/>
  <c r="AG51" i="22"/>
  <c r="AG52" i="22" s="1"/>
  <c r="AG53" i="22"/>
  <c r="AP53" i="22" s="1"/>
  <c r="H59" i="29"/>
  <c r="H60" i="29" s="1"/>
  <c r="H61" i="29"/>
  <c r="O61" i="29" s="1"/>
  <c r="AN61" i="25"/>
  <c r="AN59" i="25"/>
  <c r="AP58" i="25"/>
  <c r="AQ58" i="25" s="1"/>
  <c r="Z57" i="12"/>
  <c r="Z58" i="12"/>
  <c r="AB56" i="12"/>
  <c r="AC56" i="12" s="1"/>
  <c r="Z59" i="12"/>
  <c r="U58" i="40"/>
  <c r="V58" i="40" s="1"/>
  <c r="AC58" i="40"/>
  <c r="S59" i="40"/>
  <c r="S60" i="40" s="1"/>
  <c r="S61" i="40"/>
  <c r="S59" i="30"/>
  <c r="S60" i="30" s="1"/>
  <c r="S61" i="30"/>
  <c r="U58" i="30"/>
  <c r="V58" i="30" s="1"/>
  <c r="AC56" i="16"/>
  <c r="U56" i="16"/>
  <c r="V56" i="16" s="1"/>
  <c r="S57" i="16"/>
  <c r="S58" i="16" s="1"/>
  <c r="S59" i="16"/>
  <c r="X61" i="41"/>
  <c r="S61" i="41"/>
  <c r="AP53" i="19" l="1"/>
  <c r="AQ52" i="37"/>
  <c r="G43" i="1" s="1"/>
  <c r="AP57" i="9"/>
  <c r="AP61" i="25"/>
  <c r="AP57" i="24"/>
  <c r="AP59" i="16"/>
  <c r="AP59" i="13"/>
  <c r="AP53" i="10"/>
  <c r="AP53" i="9"/>
  <c r="AQ53" i="9" s="1"/>
  <c r="AC50" i="15"/>
  <c r="E13" i="1" s="1"/>
  <c r="E93" i="1" s="1"/>
  <c r="AJ50" i="15"/>
  <c r="F13" i="1" s="1"/>
  <c r="F69" i="1" s="1"/>
  <c r="AP57" i="15"/>
  <c r="AQ57" i="15" s="1"/>
  <c r="AP59" i="40"/>
  <c r="AP59" i="41"/>
  <c r="AP59" i="17"/>
  <c r="AQ59" i="17" s="1"/>
  <c r="AP55" i="35"/>
  <c r="AP53" i="33"/>
  <c r="AQ53" i="33" s="1"/>
  <c r="AP51" i="9"/>
  <c r="AP59" i="25"/>
  <c r="AQ59" i="25" s="1"/>
  <c r="AP57" i="11"/>
  <c r="AQ57" i="11" s="1"/>
  <c r="AP59" i="30"/>
  <c r="AC52" i="31"/>
  <c r="E31" i="1" s="1"/>
  <c r="AP57" i="17"/>
  <c r="AQ57" i="17" s="1"/>
  <c r="AN60" i="40"/>
  <c r="AP60" i="40" s="1"/>
  <c r="AQ60" i="40" s="1"/>
  <c r="AJ50" i="20"/>
  <c r="F19" i="1" s="1"/>
  <c r="F74" i="1" s="1"/>
  <c r="V52" i="34"/>
  <c r="D37" i="1" s="1"/>
  <c r="AP53" i="24"/>
  <c r="AQ53" i="24" s="1"/>
  <c r="AP53" i="18"/>
  <c r="AQ53" i="18" s="1"/>
  <c r="AP61" i="40"/>
  <c r="AP55" i="33"/>
  <c r="AP53" i="37"/>
  <c r="AP57" i="13"/>
  <c r="AP59" i="14"/>
  <c r="AP61" i="39"/>
  <c r="AP51" i="24"/>
  <c r="AQ51" i="24" s="1"/>
  <c r="AP53" i="21"/>
  <c r="AQ53" i="21" s="1"/>
  <c r="AP59" i="20"/>
  <c r="AQ59" i="20" s="1"/>
  <c r="V52" i="31"/>
  <c r="D31" i="1" s="1"/>
  <c r="AP59" i="36"/>
  <c r="AQ59" i="36" s="1"/>
  <c r="AP59" i="23"/>
  <c r="AQ59" i="23" s="1"/>
  <c r="AP51" i="19"/>
  <c r="AQ51" i="19" s="1"/>
  <c r="AP59" i="9"/>
  <c r="AP59" i="15"/>
  <c r="AP61" i="33"/>
  <c r="AC50" i="20"/>
  <c r="E19" i="1" s="1"/>
  <c r="E74" i="1" s="1"/>
  <c r="AP51" i="12"/>
  <c r="AQ51" i="12" s="1"/>
  <c r="AP53" i="35"/>
  <c r="AQ53" i="35" s="1"/>
  <c r="AP53" i="41"/>
  <c r="AQ53" i="41" s="1"/>
  <c r="O52" i="34"/>
  <c r="C37" i="1" s="1"/>
  <c r="AP59" i="33"/>
  <c r="AQ59" i="33" s="1"/>
  <c r="AP57" i="22"/>
  <c r="AQ57" i="22" s="1"/>
  <c r="AP51" i="23"/>
  <c r="AQ51" i="23" s="1"/>
  <c r="AP53" i="39"/>
  <c r="AQ53" i="39" s="1"/>
  <c r="AN52" i="10"/>
  <c r="AP59" i="11"/>
  <c r="AQ59" i="11" s="1"/>
  <c r="AP53" i="15"/>
  <c r="I9" i="3" s="1"/>
  <c r="O52" i="31"/>
  <c r="C31" i="1" s="1"/>
  <c r="AP55" i="39"/>
  <c r="AJ52" i="26"/>
  <c r="F25" i="1" s="1"/>
  <c r="AP55" i="38"/>
  <c r="O50" i="15"/>
  <c r="C13" i="1" s="1"/>
  <c r="AP59" i="24"/>
  <c r="AP51" i="15"/>
  <c r="AQ51" i="15" s="1"/>
  <c r="AP51" i="14"/>
  <c r="AQ51" i="14" s="1"/>
  <c r="AP57" i="12"/>
  <c r="AQ57" i="12" s="1"/>
  <c r="AJ52" i="37"/>
  <c r="F43" i="1" s="1"/>
  <c r="AP55" i="27"/>
  <c r="AP51" i="13"/>
  <c r="AQ51" i="13" s="1"/>
  <c r="AN60" i="25"/>
  <c r="AN62" i="25" s="1"/>
  <c r="AP61" i="38"/>
  <c r="AP53" i="29"/>
  <c r="AQ53" i="29" s="1"/>
  <c r="O52" i="26"/>
  <c r="C25" i="1" s="1"/>
  <c r="AN52" i="9"/>
  <c r="AP55" i="25"/>
  <c r="AN52" i="14"/>
  <c r="AN54" i="14" s="1"/>
  <c r="AP53" i="28"/>
  <c r="AQ53" i="28" s="1"/>
  <c r="AP53" i="36"/>
  <c r="AQ53" i="36" s="1"/>
  <c r="H60" i="24"/>
  <c r="AI52" i="17"/>
  <c r="AG54" i="17"/>
  <c r="S56" i="35"/>
  <c r="N60" i="40"/>
  <c r="O60" i="40" s="1"/>
  <c r="L62" i="40"/>
  <c r="H54" i="9"/>
  <c r="H56" i="35"/>
  <c r="Z60" i="21"/>
  <c r="L56" i="41"/>
  <c r="N54" i="41"/>
  <c r="O54" i="41" s="1"/>
  <c r="AB58" i="20"/>
  <c r="AC58" i="20" s="1"/>
  <c r="Z60" i="20"/>
  <c r="H60" i="9"/>
  <c r="AI54" i="33"/>
  <c r="AG56" i="33"/>
  <c r="AC54" i="31"/>
  <c r="S56" i="31"/>
  <c r="U54" i="31"/>
  <c r="V54" i="31" s="1"/>
  <c r="N52" i="12"/>
  <c r="O52" i="12" s="1"/>
  <c r="L54" i="12"/>
  <c r="S62" i="27"/>
  <c r="U60" i="27"/>
  <c r="V60" i="27" s="1"/>
  <c r="AB52" i="20"/>
  <c r="AC52" i="20" s="1"/>
  <c r="Z54" i="20"/>
  <c r="N58" i="13"/>
  <c r="O58" i="13" s="1"/>
  <c r="L60" i="13"/>
  <c r="S60" i="23"/>
  <c r="U58" i="23"/>
  <c r="V58" i="23" s="1"/>
  <c r="H62" i="29"/>
  <c r="AG62" i="39"/>
  <c r="AI60" i="39"/>
  <c r="AB60" i="25"/>
  <c r="Z62" i="25"/>
  <c r="U52" i="20"/>
  <c r="V52" i="20" s="1"/>
  <c r="S54" i="20"/>
  <c r="S56" i="38"/>
  <c r="U54" i="38"/>
  <c r="V54" i="38" s="1"/>
  <c r="H56" i="30"/>
  <c r="U52" i="14"/>
  <c r="V52" i="14" s="1"/>
  <c r="S54" i="14"/>
  <c r="H62" i="41"/>
  <c r="AG60" i="9"/>
  <c r="S62" i="40"/>
  <c r="U60" i="40"/>
  <c r="V60" i="40" s="1"/>
  <c r="Z54" i="22"/>
  <c r="N60" i="25"/>
  <c r="O60" i="25" s="1"/>
  <c r="L62" i="25"/>
  <c r="N52" i="15"/>
  <c r="O52" i="15" s="1"/>
  <c r="L54" i="15"/>
  <c r="AG62" i="35"/>
  <c r="AI60" i="35"/>
  <c r="AJ60" i="35" s="1"/>
  <c r="L56" i="29"/>
  <c r="N54" i="29"/>
  <c r="O54" i="29" s="1"/>
  <c r="N52" i="20"/>
  <c r="O52" i="20" s="1"/>
  <c r="L54" i="20"/>
  <c r="H54" i="19"/>
  <c r="N60" i="41"/>
  <c r="O60" i="41" s="1"/>
  <c r="L62" i="41"/>
  <c r="S62" i="28"/>
  <c r="U60" i="28"/>
  <c r="H54" i="17"/>
  <c r="Z60" i="17"/>
  <c r="AB58" i="17"/>
  <c r="AC58" i="17" s="1"/>
  <c r="N60" i="37"/>
  <c r="O60" i="37" s="1"/>
  <c r="L62" i="37"/>
  <c r="AG56" i="40"/>
  <c r="AI54" i="40"/>
  <c r="AJ54" i="40" s="1"/>
  <c r="AB58" i="18"/>
  <c r="AC58" i="18" s="1"/>
  <c r="Z60" i="18"/>
  <c r="AG60" i="21"/>
  <c r="AI58" i="21"/>
  <c r="AJ58" i="21" s="1"/>
  <c r="H54" i="20"/>
  <c r="AP52" i="11"/>
  <c r="AQ52" i="11" s="1"/>
  <c r="AN54" i="11"/>
  <c r="U52" i="23"/>
  <c r="V52" i="23" s="1"/>
  <c r="S54" i="23"/>
  <c r="AI54" i="31"/>
  <c r="AJ54" i="31" s="1"/>
  <c r="AG56" i="31"/>
  <c r="AB52" i="14"/>
  <c r="AC52" i="14" s="1"/>
  <c r="Z54" i="14"/>
  <c r="AG54" i="16"/>
  <c r="N58" i="14"/>
  <c r="O58" i="14" s="1"/>
  <c r="L60" i="14"/>
  <c r="U54" i="36"/>
  <c r="V54" i="36" s="1"/>
  <c r="S56" i="36"/>
  <c r="AI60" i="41"/>
  <c r="AJ60" i="41" s="1"/>
  <c r="H60" i="18"/>
  <c r="AN62" i="32"/>
  <c r="AP60" i="32"/>
  <c r="AQ60" i="32" s="1"/>
  <c r="H62" i="38"/>
  <c r="AB58" i="11"/>
  <c r="AC58" i="11" s="1"/>
  <c r="Z60" i="11"/>
  <c r="S62" i="32"/>
  <c r="U60" i="32"/>
  <c r="V60" i="32" s="1"/>
  <c r="AB60" i="28"/>
  <c r="AC60" i="28" s="1"/>
  <c r="Z62" i="28"/>
  <c r="AB54" i="31"/>
  <c r="Z56" i="31"/>
  <c r="S56" i="40"/>
  <c r="N60" i="36"/>
  <c r="O60" i="36" s="1"/>
  <c r="L62" i="36"/>
  <c r="S62" i="38"/>
  <c r="U60" i="38"/>
  <c r="AN60" i="21"/>
  <c r="AP58" i="21"/>
  <c r="AQ58" i="21" s="1"/>
  <c r="S54" i="18"/>
  <c r="U52" i="18"/>
  <c r="V52" i="18" s="1"/>
  <c r="AG54" i="21"/>
  <c r="AI52" i="21"/>
  <c r="AJ52" i="21" s="1"/>
  <c r="AB60" i="40"/>
  <c r="AC60" i="40" s="1"/>
  <c r="Z62" i="40"/>
  <c r="N60" i="39"/>
  <c r="O60" i="39" s="1"/>
  <c r="L62" i="39"/>
  <c r="U58" i="15"/>
  <c r="V58" i="15" s="1"/>
  <c r="S60" i="15"/>
  <c r="Z56" i="38"/>
  <c r="AB54" i="38"/>
  <c r="AC54" i="38" s="1"/>
  <c r="AB54" i="37"/>
  <c r="AC54" i="37" s="1"/>
  <c r="Z56" i="37"/>
  <c r="AB52" i="15"/>
  <c r="AC52" i="15" s="1"/>
  <c r="Z54" i="15"/>
  <c r="AG60" i="19"/>
  <c r="Z56" i="26"/>
  <c r="AB54" i="26"/>
  <c r="AC54" i="26" s="1"/>
  <c r="S56" i="34"/>
  <c r="U54" i="34"/>
  <c r="V54" i="34" s="1"/>
  <c r="AG62" i="26"/>
  <c r="AI60" i="28"/>
  <c r="AJ60" i="28" s="1"/>
  <c r="AG62" i="28"/>
  <c r="S56" i="27"/>
  <c r="U54" i="27"/>
  <c r="V54" i="27" s="1"/>
  <c r="Z62" i="29"/>
  <c r="N54" i="31"/>
  <c r="O54" i="31" s="1"/>
  <c r="L56" i="31"/>
  <c r="Z62" i="34"/>
  <c r="AN62" i="34"/>
  <c r="AG54" i="9"/>
  <c r="AI52" i="9"/>
  <c r="AJ52" i="9" s="1"/>
  <c r="L62" i="27"/>
  <c r="N60" i="27"/>
  <c r="O60" i="27" s="1"/>
  <c r="L54" i="14"/>
  <c r="H54" i="21"/>
  <c r="S62" i="31"/>
  <c r="L62" i="30"/>
  <c r="N60" i="30"/>
  <c r="O60" i="30" s="1"/>
  <c r="H56" i="41"/>
  <c r="S56" i="28"/>
  <c r="AI52" i="12"/>
  <c r="AJ52" i="12" s="1"/>
  <c r="AG54" i="12"/>
  <c r="AI58" i="20"/>
  <c r="AJ58" i="20" s="1"/>
  <c r="AG60" i="20"/>
  <c r="AG60" i="16"/>
  <c r="L54" i="21"/>
  <c r="N52" i="21"/>
  <c r="O52" i="21" s="1"/>
  <c r="Z62" i="31"/>
  <c r="AB60" i="31"/>
  <c r="AC60" i="31" s="1"/>
  <c r="H56" i="38"/>
  <c r="N61" i="35"/>
  <c r="V61" i="35"/>
  <c r="AB59" i="38"/>
  <c r="AC59" i="38" s="1"/>
  <c r="H54" i="16"/>
  <c r="AB54" i="36"/>
  <c r="AC54" i="36" s="1"/>
  <c r="Z56" i="36"/>
  <c r="N61" i="29"/>
  <c r="V61" i="29"/>
  <c r="N51" i="11"/>
  <c r="O51" i="11" s="1"/>
  <c r="AI51" i="13"/>
  <c r="AJ51" i="13" s="1"/>
  <c r="AB57" i="9"/>
  <c r="AC57" i="9" s="1"/>
  <c r="AB59" i="19"/>
  <c r="AC59" i="19" s="1"/>
  <c r="U60" i="30"/>
  <c r="V60" i="30" s="1"/>
  <c r="S62" i="30"/>
  <c r="AB57" i="12"/>
  <c r="AC57" i="12" s="1"/>
  <c r="AP52" i="19"/>
  <c r="AQ52" i="19" s="1"/>
  <c r="AN54" i="19"/>
  <c r="N59" i="33"/>
  <c r="Z58" i="9"/>
  <c r="AI58" i="9" s="1"/>
  <c r="U58" i="24"/>
  <c r="V58" i="24" s="1"/>
  <c r="S60" i="24"/>
  <c r="N53" i="28"/>
  <c r="O53" i="28" s="1"/>
  <c r="AI59" i="23"/>
  <c r="AJ59" i="23" s="1"/>
  <c r="N58" i="9"/>
  <c r="O58" i="9" s="1"/>
  <c r="L60" i="9"/>
  <c r="U61" i="36"/>
  <c r="AC61" i="36"/>
  <c r="AB53" i="41"/>
  <c r="AC53" i="41" s="1"/>
  <c r="N59" i="14"/>
  <c r="O59" i="14" s="1"/>
  <c r="U59" i="11"/>
  <c r="V59" i="11" s="1"/>
  <c r="AQ52" i="26"/>
  <c r="G25" i="1" s="1"/>
  <c r="AN58" i="24"/>
  <c r="L54" i="9"/>
  <c r="N52" i="9"/>
  <c r="O52" i="9" s="1"/>
  <c r="AN60" i="41"/>
  <c r="AQ55" i="30"/>
  <c r="AI55" i="30"/>
  <c r="N51" i="23"/>
  <c r="O51" i="23" s="1"/>
  <c r="AG62" i="36"/>
  <c r="AB55" i="37"/>
  <c r="AC55" i="37" s="1"/>
  <c r="AP59" i="39"/>
  <c r="AQ59" i="39" s="1"/>
  <c r="AB57" i="19"/>
  <c r="AC57" i="19" s="1"/>
  <c r="S54" i="11"/>
  <c r="AI59" i="27"/>
  <c r="AJ59" i="27" s="1"/>
  <c r="AI53" i="29"/>
  <c r="AN54" i="41"/>
  <c r="AI51" i="11"/>
  <c r="AJ51" i="11" s="1"/>
  <c r="AJ55" i="38"/>
  <c r="AB55" i="38"/>
  <c r="V61" i="32"/>
  <c r="N61" i="32"/>
  <c r="U51" i="19"/>
  <c r="V51" i="19" s="1"/>
  <c r="AB53" i="25"/>
  <c r="AC53" i="25" s="1"/>
  <c r="AP59" i="12"/>
  <c r="AQ59" i="12" s="1"/>
  <c r="N53" i="38"/>
  <c r="O53" i="38" s="1"/>
  <c r="AP60" i="37"/>
  <c r="AQ60" i="37" s="1"/>
  <c r="AI51" i="20"/>
  <c r="AJ51" i="20" s="1"/>
  <c r="AQ51" i="20"/>
  <c r="AB54" i="29"/>
  <c r="Z56" i="29"/>
  <c r="H62" i="33"/>
  <c r="S54" i="24"/>
  <c r="U52" i="24"/>
  <c r="V52" i="24" s="1"/>
  <c r="AB52" i="21"/>
  <c r="AC52" i="21" s="1"/>
  <c r="Z54" i="21"/>
  <c r="AN60" i="36"/>
  <c r="AC61" i="39"/>
  <c r="U61" i="39"/>
  <c r="N58" i="23"/>
  <c r="L60" i="23"/>
  <c r="AP53" i="40"/>
  <c r="AB59" i="26"/>
  <c r="AC59" i="26" s="1"/>
  <c r="AI53" i="39"/>
  <c r="AJ53" i="39" s="1"/>
  <c r="U57" i="10"/>
  <c r="V57" i="10" s="1"/>
  <c r="AQ52" i="32"/>
  <c r="AP60" i="35"/>
  <c r="AQ60" i="35" s="1"/>
  <c r="AN62" i="35"/>
  <c r="AB58" i="24"/>
  <c r="AC58" i="24" s="1"/>
  <c r="Z60" i="24"/>
  <c r="AN58" i="13"/>
  <c r="AP55" i="32"/>
  <c r="Z54" i="11"/>
  <c r="AB52" i="11"/>
  <c r="AC52" i="11" s="1"/>
  <c r="H60" i="17"/>
  <c r="U59" i="34"/>
  <c r="AI53" i="15"/>
  <c r="H9" i="3" s="1"/>
  <c r="Z56" i="33"/>
  <c r="AJ54" i="33"/>
  <c r="AB51" i="18"/>
  <c r="AC51" i="18" s="1"/>
  <c r="AB55" i="34"/>
  <c r="AJ55" i="34"/>
  <c r="N51" i="22"/>
  <c r="O51" i="22" s="1"/>
  <c r="AB54" i="28"/>
  <c r="AC54" i="28" s="1"/>
  <c r="Z56" i="28"/>
  <c r="AI52" i="19"/>
  <c r="AJ52" i="19" s="1"/>
  <c r="AG54" i="19"/>
  <c r="U59" i="9"/>
  <c r="V59" i="9" s="1"/>
  <c r="AB57" i="16"/>
  <c r="AC57" i="16" s="1"/>
  <c r="V61" i="28"/>
  <c r="N61" i="28"/>
  <c r="N57" i="22"/>
  <c r="O57" i="22" s="1"/>
  <c r="N53" i="12"/>
  <c r="O53" i="12" s="1"/>
  <c r="U54" i="26"/>
  <c r="V54" i="26" s="1"/>
  <c r="S56" i="26"/>
  <c r="AN60" i="10"/>
  <c r="U51" i="9"/>
  <c r="V51" i="9" s="1"/>
  <c r="U61" i="33"/>
  <c r="AC61" i="33"/>
  <c r="N59" i="19"/>
  <c r="O59" i="19" s="1"/>
  <c r="AG54" i="22"/>
  <c r="AI52" i="22"/>
  <c r="AJ52" i="22" s="1"/>
  <c r="N59" i="29"/>
  <c r="O59" i="29" s="1"/>
  <c r="AJ61" i="27"/>
  <c r="AB61" i="27"/>
  <c r="H54" i="13"/>
  <c r="L60" i="24"/>
  <c r="N58" i="24"/>
  <c r="O58" i="24" s="1"/>
  <c r="AI54" i="26"/>
  <c r="AJ54" i="26" s="1"/>
  <c r="AG56" i="26"/>
  <c r="N53" i="35"/>
  <c r="O53" i="35" s="1"/>
  <c r="Z62" i="30"/>
  <c r="AB60" i="30"/>
  <c r="AC60" i="30" s="1"/>
  <c r="U53" i="32"/>
  <c r="V53" i="32" s="1"/>
  <c r="AG55" i="34"/>
  <c r="AG53" i="34"/>
  <c r="AP53" i="34" s="1"/>
  <c r="AQ52" i="34"/>
  <c r="G37" i="1" s="1"/>
  <c r="AI52" i="34"/>
  <c r="N53" i="10"/>
  <c r="O53" i="10" s="1"/>
  <c r="N53" i="24"/>
  <c r="O53" i="24" s="1"/>
  <c r="L54" i="28"/>
  <c r="U54" i="28" s="1"/>
  <c r="AI57" i="22"/>
  <c r="AJ57" i="22" s="1"/>
  <c r="N59" i="35"/>
  <c r="O59" i="35" s="1"/>
  <c r="H54" i="39"/>
  <c r="U59" i="36"/>
  <c r="V59" i="36" s="1"/>
  <c r="AQ59" i="30"/>
  <c r="AI59" i="30"/>
  <c r="AJ59" i="30" s="1"/>
  <c r="U53" i="12"/>
  <c r="V53" i="12" s="1"/>
  <c r="AJ52" i="41"/>
  <c r="F55" i="1" s="1"/>
  <c r="H58" i="10"/>
  <c r="N58" i="10" s="1"/>
  <c r="Z54" i="19"/>
  <c r="S60" i="11"/>
  <c r="AI55" i="26"/>
  <c r="AQ55" i="26"/>
  <c r="AP53" i="16"/>
  <c r="AQ53" i="16" s="1"/>
  <c r="N51" i="9"/>
  <c r="O51" i="9" s="1"/>
  <c r="AC55" i="27"/>
  <c r="U55" i="27"/>
  <c r="AI58" i="17"/>
  <c r="AJ58" i="17" s="1"/>
  <c r="AG60" i="17"/>
  <c r="AG56" i="30"/>
  <c r="AI55" i="27"/>
  <c r="AQ55" i="27"/>
  <c r="U59" i="17"/>
  <c r="V59" i="17" s="1"/>
  <c r="AN60" i="39"/>
  <c r="AB59" i="35"/>
  <c r="AC59" i="35" s="1"/>
  <c r="Z58" i="19"/>
  <c r="AI58" i="19" s="1"/>
  <c r="V61" i="38"/>
  <c r="N61" i="38"/>
  <c r="AP59" i="27"/>
  <c r="AQ59" i="27" s="1"/>
  <c r="AI53" i="23"/>
  <c r="AJ53" i="23" s="1"/>
  <c r="AB59" i="14"/>
  <c r="AC59" i="14" s="1"/>
  <c r="V55" i="38"/>
  <c r="N55" i="38"/>
  <c r="N59" i="16"/>
  <c r="AQ55" i="31"/>
  <c r="AI55" i="31"/>
  <c r="AC61" i="38"/>
  <c r="U61" i="38"/>
  <c r="AQ50" i="20"/>
  <c r="G19" i="1" s="1"/>
  <c r="G74" i="1" s="1"/>
  <c r="AB53" i="29"/>
  <c r="AC53" i="29" s="1"/>
  <c r="AJ53" i="29"/>
  <c r="O59" i="33"/>
  <c r="H56" i="25"/>
  <c r="AJ61" i="39"/>
  <c r="AB61" i="39"/>
  <c r="AC55" i="38"/>
  <c r="U55" i="38"/>
  <c r="AN54" i="39"/>
  <c r="AB53" i="14"/>
  <c r="AC53" i="14" s="1"/>
  <c r="AN54" i="37"/>
  <c r="AI55" i="39"/>
  <c r="AQ55" i="39"/>
  <c r="AI61" i="33"/>
  <c r="AQ61" i="33"/>
  <c r="AI59" i="11"/>
  <c r="AJ59" i="11" s="1"/>
  <c r="AI53" i="32"/>
  <c r="AJ53" i="32" s="1"/>
  <c r="AQ61" i="25"/>
  <c r="AI61" i="25"/>
  <c r="AI57" i="10"/>
  <c r="H58" i="15"/>
  <c r="N58" i="15" s="1"/>
  <c r="AQ61" i="40"/>
  <c r="AI61" i="40"/>
  <c r="N57" i="21"/>
  <c r="O57" i="21" s="1"/>
  <c r="AB53" i="11"/>
  <c r="AC53" i="11" s="1"/>
  <c r="Z54" i="24"/>
  <c r="AB52" i="24"/>
  <c r="AC52" i="24" s="1"/>
  <c r="AG54" i="15"/>
  <c r="AI52" i="15"/>
  <c r="AJ52" i="15" s="1"/>
  <c r="AB53" i="33"/>
  <c r="AC53" i="33" s="1"/>
  <c r="Z52" i="18"/>
  <c r="N54" i="30"/>
  <c r="O54" i="30" s="1"/>
  <c r="L56" i="30"/>
  <c r="N61" i="30"/>
  <c r="V61" i="30"/>
  <c r="L52" i="22"/>
  <c r="AI51" i="19"/>
  <c r="AJ51" i="19" s="1"/>
  <c r="AP53" i="38"/>
  <c r="AQ53" i="38" s="1"/>
  <c r="N59" i="28"/>
  <c r="O59" i="28" s="1"/>
  <c r="U59" i="18"/>
  <c r="V59" i="18" s="1"/>
  <c r="V55" i="34"/>
  <c r="N55" i="34"/>
  <c r="N52" i="19"/>
  <c r="O52" i="19" s="1"/>
  <c r="L54" i="19"/>
  <c r="V61" i="27"/>
  <c r="N61" i="27"/>
  <c r="U53" i="26"/>
  <c r="V53" i="26" s="1"/>
  <c r="AQ59" i="13"/>
  <c r="AI59" i="13"/>
  <c r="AJ59" i="13" s="1"/>
  <c r="AP57" i="10"/>
  <c r="AQ57" i="10" s="1"/>
  <c r="AB53" i="20"/>
  <c r="AC53" i="20" s="1"/>
  <c r="U53" i="25"/>
  <c r="V53" i="25" s="1"/>
  <c r="AQ61" i="29"/>
  <c r="AI61" i="29"/>
  <c r="N52" i="18"/>
  <c r="L54" i="18"/>
  <c r="C69" i="1"/>
  <c r="C93" i="1"/>
  <c r="U53" i="30"/>
  <c r="V53" i="30" s="1"/>
  <c r="AP61" i="30"/>
  <c r="U51" i="12"/>
  <c r="V51" i="12" s="1"/>
  <c r="AB53" i="19"/>
  <c r="AC53" i="19" s="1"/>
  <c r="U61" i="30"/>
  <c r="AC61" i="30"/>
  <c r="U59" i="30"/>
  <c r="V59" i="30" s="1"/>
  <c r="S54" i="32"/>
  <c r="AB54" i="32" s="1"/>
  <c r="AB59" i="22"/>
  <c r="AC59" i="22" s="1"/>
  <c r="AC61" i="35"/>
  <c r="U61" i="35"/>
  <c r="AB59" i="36"/>
  <c r="AC59" i="36" s="1"/>
  <c r="AI59" i="29"/>
  <c r="N59" i="13"/>
  <c r="O59" i="13" s="1"/>
  <c r="AB51" i="16"/>
  <c r="AC51" i="16" s="1"/>
  <c r="N51" i="10"/>
  <c r="O51" i="10" s="1"/>
  <c r="AB59" i="27"/>
  <c r="AC59" i="27" s="1"/>
  <c r="N51" i="24"/>
  <c r="O51" i="24" s="1"/>
  <c r="U55" i="40"/>
  <c r="AC55" i="40"/>
  <c r="AG58" i="22"/>
  <c r="N60" i="35"/>
  <c r="O60" i="35" s="1"/>
  <c r="L62" i="35"/>
  <c r="AN52" i="23"/>
  <c r="AB53" i="9"/>
  <c r="AG60" i="30"/>
  <c r="AI53" i="18"/>
  <c r="AJ53" i="18" s="1"/>
  <c r="Z54" i="41"/>
  <c r="AI54" i="41" s="1"/>
  <c r="U52" i="15"/>
  <c r="V52" i="15" s="1"/>
  <c r="S54" i="15"/>
  <c r="AB51" i="19"/>
  <c r="AC51" i="19" s="1"/>
  <c r="AN52" i="16"/>
  <c r="N53" i="9"/>
  <c r="AN60" i="33"/>
  <c r="N53" i="18"/>
  <c r="O53" i="18" s="1"/>
  <c r="AI53" i="30"/>
  <c r="AJ53" i="30" s="1"/>
  <c r="U59" i="12"/>
  <c r="V59" i="12" s="1"/>
  <c r="AI53" i="27"/>
  <c r="AJ53" i="27" s="1"/>
  <c r="U57" i="17"/>
  <c r="V57" i="17" s="1"/>
  <c r="AJ61" i="30"/>
  <c r="AB61" i="30"/>
  <c r="AJ61" i="35"/>
  <c r="AB61" i="35"/>
  <c r="AN60" i="30"/>
  <c r="AQ61" i="38"/>
  <c r="AI61" i="38"/>
  <c r="AG60" i="27"/>
  <c r="U55" i="41"/>
  <c r="V55" i="41" s="1"/>
  <c r="AP61" i="27"/>
  <c r="AI51" i="23"/>
  <c r="AJ51" i="23" s="1"/>
  <c r="S52" i="19"/>
  <c r="AB52" i="19" s="1"/>
  <c r="U59" i="25"/>
  <c r="V59" i="25" s="1"/>
  <c r="N57" i="16"/>
  <c r="O57" i="16" s="1"/>
  <c r="AQ55" i="28"/>
  <c r="AI55" i="28"/>
  <c r="AI53" i="24"/>
  <c r="AJ53" i="24" s="1"/>
  <c r="AG52" i="20"/>
  <c r="N57" i="23"/>
  <c r="O57" i="23" s="1"/>
  <c r="N53" i="16"/>
  <c r="O53" i="16" s="1"/>
  <c r="AJ61" i="26"/>
  <c r="AB61" i="26"/>
  <c r="U53" i="14"/>
  <c r="V53" i="14" s="1"/>
  <c r="AI55" i="32"/>
  <c r="AQ55" i="32"/>
  <c r="AB57" i="24"/>
  <c r="AC57" i="24" s="1"/>
  <c r="V55" i="31"/>
  <c r="N55" i="31"/>
  <c r="N59" i="10"/>
  <c r="O59" i="10" s="1"/>
  <c r="N51" i="17"/>
  <c r="O51" i="17" s="1"/>
  <c r="AQ59" i="40"/>
  <c r="AI59" i="40"/>
  <c r="AJ59" i="40" s="1"/>
  <c r="N59" i="21"/>
  <c r="O59" i="21" s="1"/>
  <c r="AB61" i="28"/>
  <c r="AJ61" i="28"/>
  <c r="U53" i="21"/>
  <c r="V53" i="21" s="1"/>
  <c r="AI51" i="15"/>
  <c r="AJ51" i="15" s="1"/>
  <c r="AB53" i="18"/>
  <c r="AC53" i="18" s="1"/>
  <c r="V55" i="30"/>
  <c r="N55" i="30"/>
  <c r="N53" i="21"/>
  <c r="O53" i="21" s="1"/>
  <c r="AP59" i="38"/>
  <c r="AQ59" i="38" s="1"/>
  <c r="U53" i="18"/>
  <c r="V53" i="18" s="1"/>
  <c r="AJ55" i="28"/>
  <c r="AB55" i="28"/>
  <c r="AB59" i="17"/>
  <c r="AC59" i="17" s="1"/>
  <c r="S60" i="9"/>
  <c r="U58" i="9"/>
  <c r="V58" i="9" s="1"/>
  <c r="Z58" i="16"/>
  <c r="L58" i="22"/>
  <c r="N53" i="19"/>
  <c r="O53" i="19" s="1"/>
  <c r="AC55" i="26"/>
  <c r="U55" i="26"/>
  <c r="AQ57" i="13"/>
  <c r="AI57" i="13"/>
  <c r="AJ57" i="13" s="1"/>
  <c r="S54" i="25"/>
  <c r="AB54" i="25" s="1"/>
  <c r="N57" i="14"/>
  <c r="O57" i="14" s="1"/>
  <c r="U53" i="15"/>
  <c r="F9" i="3" s="1"/>
  <c r="L62" i="33"/>
  <c r="N60" i="33"/>
  <c r="O60" i="33" s="1"/>
  <c r="Z60" i="12"/>
  <c r="AB58" i="12"/>
  <c r="AC58" i="12" s="1"/>
  <c r="N57" i="19"/>
  <c r="O57" i="19" s="1"/>
  <c r="AP52" i="10"/>
  <c r="AQ52" i="10" s="1"/>
  <c r="AN54" i="10"/>
  <c r="N55" i="28"/>
  <c r="V55" i="28"/>
  <c r="L60" i="15"/>
  <c r="U61" i="41"/>
  <c r="V61" i="41" s="1"/>
  <c r="AC61" i="40"/>
  <c r="U61" i="40"/>
  <c r="AQ61" i="26"/>
  <c r="AI61" i="26"/>
  <c r="AB57" i="22"/>
  <c r="AC57" i="22" s="1"/>
  <c r="AG59" i="34"/>
  <c r="AP59" i="34" s="1"/>
  <c r="AI58" i="34"/>
  <c r="AJ58" i="34" s="1"/>
  <c r="AG61" i="34"/>
  <c r="Z60" i="36"/>
  <c r="AG60" i="29"/>
  <c r="Z52" i="16"/>
  <c r="Z60" i="27"/>
  <c r="U59" i="29"/>
  <c r="V59" i="29" s="1"/>
  <c r="H54" i="32"/>
  <c r="N54" i="32" s="1"/>
  <c r="S52" i="12"/>
  <c r="AB52" i="12" s="1"/>
  <c r="AG62" i="37"/>
  <c r="U57" i="11"/>
  <c r="V57" i="11" s="1"/>
  <c r="AI57" i="17"/>
  <c r="AJ57" i="17" s="1"/>
  <c r="N51" i="18"/>
  <c r="O51" i="18" s="1"/>
  <c r="U57" i="12"/>
  <c r="V57" i="12" s="1"/>
  <c r="AI59" i="36"/>
  <c r="AJ59" i="36" s="1"/>
  <c r="AI59" i="32"/>
  <c r="AJ59" i="32" s="1"/>
  <c r="AP53" i="31"/>
  <c r="AQ53" i="31" s="1"/>
  <c r="AB59" i="30"/>
  <c r="AC59" i="30" s="1"/>
  <c r="Z60" i="38"/>
  <c r="AI60" i="38" s="1"/>
  <c r="AN52" i="24"/>
  <c r="N53" i="25"/>
  <c r="O53" i="25" s="1"/>
  <c r="AI59" i="38"/>
  <c r="AJ59" i="38" s="1"/>
  <c r="O53" i="9"/>
  <c r="AI55" i="29"/>
  <c r="AQ55" i="29"/>
  <c r="AN62" i="29"/>
  <c r="N59" i="18"/>
  <c r="O59" i="18" s="1"/>
  <c r="AN60" i="27"/>
  <c r="N59" i="31"/>
  <c r="O59" i="31" s="1"/>
  <c r="AI59" i="41"/>
  <c r="AJ59" i="41" s="1"/>
  <c r="AQ59" i="41"/>
  <c r="H58" i="12"/>
  <c r="N58" i="12" s="1"/>
  <c r="AN58" i="12"/>
  <c r="AB57" i="14"/>
  <c r="AC57" i="14" s="1"/>
  <c r="U59" i="33"/>
  <c r="V59" i="33" s="1"/>
  <c r="AB61" i="29"/>
  <c r="AJ61" i="29"/>
  <c r="H60" i="26"/>
  <c r="AB59" i="39"/>
  <c r="AC59" i="39" s="1"/>
  <c r="AI55" i="33"/>
  <c r="AQ55" i="33"/>
  <c r="N53" i="36"/>
  <c r="O53" i="36" s="1"/>
  <c r="AJ52" i="32"/>
  <c r="Z60" i="26"/>
  <c r="AP59" i="31"/>
  <c r="AQ59" i="31" s="1"/>
  <c r="AI59" i="33"/>
  <c r="AJ59" i="33" s="1"/>
  <c r="AI57" i="11"/>
  <c r="AJ57" i="11" s="1"/>
  <c r="AG54" i="32"/>
  <c r="AI59" i="25"/>
  <c r="AG58" i="10"/>
  <c r="H52" i="23"/>
  <c r="AB51" i="11"/>
  <c r="AC51" i="11" s="1"/>
  <c r="AB51" i="24"/>
  <c r="AC51" i="24" s="1"/>
  <c r="S60" i="34"/>
  <c r="AB60" i="34" s="1"/>
  <c r="AI53" i="36"/>
  <c r="AJ53" i="36" s="1"/>
  <c r="U51" i="21"/>
  <c r="V51" i="21" s="1"/>
  <c r="AQ50" i="15"/>
  <c r="G13" i="1" s="1"/>
  <c r="AJ55" i="33"/>
  <c r="AB55" i="33"/>
  <c r="AP53" i="13"/>
  <c r="AQ53" i="13" s="1"/>
  <c r="N53" i="30"/>
  <c r="O53" i="30" s="1"/>
  <c r="AJ55" i="26"/>
  <c r="AB55" i="26"/>
  <c r="AB59" i="13"/>
  <c r="AC59" i="13" s="1"/>
  <c r="AN60" i="38"/>
  <c r="AB53" i="28"/>
  <c r="AC53" i="28" s="1"/>
  <c r="U59" i="21"/>
  <c r="V59" i="21" s="1"/>
  <c r="AN54" i="34"/>
  <c r="H52" i="22"/>
  <c r="U57" i="9"/>
  <c r="V57" i="9" s="1"/>
  <c r="AB53" i="13"/>
  <c r="AC53" i="13" s="1"/>
  <c r="AN54" i="38"/>
  <c r="U57" i="18"/>
  <c r="V57" i="18" s="1"/>
  <c r="N53" i="34"/>
  <c r="O53" i="34" s="1"/>
  <c r="N51" i="19"/>
  <c r="O51" i="19" s="1"/>
  <c r="AC52" i="26"/>
  <c r="E25" i="1" s="1"/>
  <c r="AG58" i="13"/>
  <c r="AC61" i="27"/>
  <c r="U61" i="27"/>
  <c r="N55" i="37"/>
  <c r="O55" i="37" s="1"/>
  <c r="AE61" i="41"/>
  <c r="Z61" i="41"/>
  <c r="Z62" i="41" s="1"/>
  <c r="AC55" i="32"/>
  <c r="U55" i="32"/>
  <c r="U59" i="35"/>
  <c r="V59" i="35" s="1"/>
  <c r="AB60" i="41"/>
  <c r="AC60" i="41" s="1"/>
  <c r="AQ61" i="31"/>
  <c r="AI61" i="31"/>
  <c r="AI51" i="17"/>
  <c r="AJ51" i="17" s="1"/>
  <c r="Z54" i="9"/>
  <c r="U53" i="23"/>
  <c r="V53" i="23" s="1"/>
  <c r="S62" i="37"/>
  <c r="U60" i="37"/>
  <c r="V60" i="37" s="1"/>
  <c r="AI60" i="32"/>
  <c r="AJ60" i="32" s="1"/>
  <c r="AG62" i="32"/>
  <c r="AI59" i="18"/>
  <c r="AJ59" i="18" s="1"/>
  <c r="AG62" i="38"/>
  <c r="AI54" i="29"/>
  <c r="AJ54" i="29" s="1"/>
  <c r="AG56" i="29"/>
  <c r="U59" i="22"/>
  <c r="V59" i="22" s="1"/>
  <c r="AC60" i="25"/>
  <c r="U60" i="25"/>
  <c r="V60" i="25" s="1"/>
  <c r="S62" i="25"/>
  <c r="AB58" i="14"/>
  <c r="AC58" i="14" s="1"/>
  <c r="Z60" i="14"/>
  <c r="N54" i="38"/>
  <c r="O54" i="38" s="1"/>
  <c r="L56" i="38"/>
  <c r="AG56" i="28"/>
  <c r="AI54" i="28"/>
  <c r="AJ54" i="28" s="1"/>
  <c r="AI52" i="24"/>
  <c r="AJ52" i="24" s="1"/>
  <c r="AG54" i="24"/>
  <c r="H60" i="21"/>
  <c r="U53" i="38"/>
  <c r="V53" i="38" s="1"/>
  <c r="L56" i="36"/>
  <c r="Z56" i="32"/>
  <c r="AI60" i="25"/>
  <c r="AJ60" i="25" s="1"/>
  <c r="AG62" i="25"/>
  <c r="H54" i="12"/>
  <c r="U53" i="22"/>
  <c r="V53" i="22" s="1"/>
  <c r="L54" i="17"/>
  <c r="N52" i="17"/>
  <c r="O52" i="17" s="1"/>
  <c r="L60" i="21"/>
  <c r="N58" i="21"/>
  <c r="O58" i="21" s="1"/>
  <c r="AN56" i="36"/>
  <c r="AP54" i="36"/>
  <c r="AQ54" i="36" s="1"/>
  <c r="U61" i="34"/>
  <c r="AC61" i="34"/>
  <c r="S54" i="21"/>
  <c r="U52" i="21"/>
  <c r="V52" i="21" s="1"/>
  <c r="AB53" i="30"/>
  <c r="AC53" i="30" s="1"/>
  <c r="AC61" i="32"/>
  <c r="U61" i="32"/>
  <c r="AB51" i="20"/>
  <c r="AC51" i="20" s="1"/>
  <c r="Z60" i="22"/>
  <c r="AB58" i="22"/>
  <c r="AC58" i="22" s="1"/>
  <c r="AB61" i="36"/>
  <c r="AJ61" i="36"/>
  <c r="AB53" i="22"/>
  <c r="AC53" i="22" s="1"/>
  <c r="H62" i="31"/>
  <c r="AN56" i="29"/>
  <c r="AP54" i="29"/>
  <c r="AQ54" i="29" s="1"/>
  <c r="AQ61" i="32"/>
  <c r="AI61" i="32"/>
  <c r="U58" i="17"/>
  <c r="V58" i="17" s="1"/>
  <c r="S60" i="17"/>
  <c r="Z62" i="35"/>
  <c r="V52" i="26"/>
  <c r="D25" i="1" s="1"/>
  <c r="U59" i="14"/>
  <c r="V59" i="14" s="1"/>
  <c r="S60" i="22"/>
  <c r="AI53" i="28"/>
  <c r="AJ53" i="28" s="1"/>
  <c r="U59" i="38"/>
  <c r="AB59" i="37"/>
  <c r="AC59" i="37" s="1"/>
  <c r="V55" i="36"/>
  <c r="N55" i="36"/>
  <c r="L60" i="10"/>
  <c r="H62" i="40"/>
  <c r="U57" i="21"/>
  <c r="V57" i="21" s="1"/>
  <c r="AI53" i="25"/>
  <c r="AJ53" i="25" s="1"/>
  <c r="AI53" i="17"/>
  <c r="AJ53" i="17" s="1"/>
  <c r="AI59" i="37"/>
  <c r="AJ59" i="37" s="1"/>
  <c r="AC55" i="29"/>
  <c r="U55" i="29"/>
  <c r="AP57" i="14"/>
  <c r="AQ57" i="14" s="1"/>
  <c r="N53" i="15"/>
  <c r="E9" i="3" s="1"/>
  <c r="U51" i="17"/>
  <c r="V51" i="17" s="1"/>
  <c r="AI57" i="18"/>
  <c r="AJ57" i="18" s="1"/>
  <c r="AI53" i="21"/>
  <c r="AJ53" i="21" s="1"/>
  <c r="AQ53" i="37"/>
  <c r="AI53" i="37"/>
  <c r="AJ53" i="37" s="1"/>
  <c r="AJ61" i="38"/>
  <c r="AB61" i="38"/>
  <c r="AP57" i="16"/>
  <c r="AQ57" i="16" s="1"/>
  <c r="N53" i="26"/>
  <c r="O53" i="26" s="1"/>
  <c r="AP59" i="29"/>
  <c r="AQ59" i="29" s="1"/>
  <c r="U57" i="14"/>
  <c r="V57" i="14" s="1"/>
  <c r="L60" i="31"/>
  <c r="AP59" i="28"/>
  <c r="AQ59" i="28" s="1"/>
  <c r="N55" i="40"/>
  <c r="V55" i="40"/>
  <c r="U61" i="25"/>
  <c r="AC61" i="25"/>
  <c r="AB57" i="15"/>
  <c r="AC57" i="15" s="1"/>
  <c r="AP55" i="30"/>
  <c r="AI53" i="38"/>
  <c r="AJ53" i="38" s="1"/>
  <c r="AI51" i="24"/>
  <c r="AJ51" i="24" s="1"/>
  <c r="AI55" i="37"/>
  <c r="AJ55" i="37" s="1"/>
  <c r="U53" i="33"/>
  <c r="V53" i="33" s="1"/>
  <c r="AP57" i="18"/>
  <c r="AQ57" i="18" s="1"/>
  <c r="AB55" i="35"/>
  <c r="AJ55" i="35"/>
  <c r="AJ55" i="32"/>
  <c r="AB55" i="32"/>
  <c r="N51" i="16"/>
  <c r="O51" i="16" s="1"/>
  <c r="AB53" i="40"/>
  <c r="AC53" i="40" s="1"/>
  <c r="AI53" i="41"/>
  <c r="AJ53" i="41" s="1"/>
  <c r="AI59" i="20"/>
  <c r="AJ59" i="20" s="1"/>
  <c r="U53" i="10"/>
  <c r="V53" i="10" s="1"/>
  <c r="AP51" i="21"/>
  <c r="AQ51" i="21" s="1"/>
  <c r="AB59" i="10"/>
  <c r="AC59" i="10" s="1"/>
  <c r="AP55" i="28"/>
  <c r="H60" i="14"/>
  <c r="N57" i="10"/>
  <c r="O57" i="10" s="1"/>
  <c r="U51" i="22"/>
  <c r="V51" i="22" s="1"/>
  <c r="AB57" i="23"/>
  <c r="AC57" i="23" s="1"/>
  <c r="N53" i="17"/>
  <c r="O53" i="17" s="1"/>
  <c r="AP53" i="27"/>
  <c r="AQ53" i="27" s="1"/>
  <c r="AB53" i="10"/>
  <c r="AC53" i="10" s="1"/>
  <c r="V59" i="34"/>
  <c r="N59" i="34"/>
  <c r="O59" i="34" s="1"/>
  <c r="AG56" i="36"/>
  <c r="AI54" i="36"/>
  <c r="AJ54" i="36" s="1"/>
  <c r="AI59" i="19"/>
  <c r="AJ59" i="19" s="1"/>
  <c r="N59" i="17"/>
  <c r="AP53" i="26"/>
  <c r="AQ53" i="26" s="1"/>
  <c r="AJ55" i="30"/>
  <c r="AB55" i="30"/>
  <c r="AB57" i="13"/>
  <c r="AC57" i="13" s="1"/>
  <c r="AN54" i="35"/>
  <c r="AB59" i="31"/>
  <c r="AC59" i="31" s="1"/>
  <c r="U59" i="28"/>
  <c r="V59" i="28" s="1"/>
  <c r="AI57" i="12"/>
  <c r="AJ57" i="12" s="1"/>
  <c r="U53" i="39"/>
  <c r="V53" i="39" s="1"/>
  <c r="Z54" i="13"/>
  <c r="AB52" i="13"/>
  <c r="AC52" i="13" s="1"/>
  <c r="AI53" i="12"/>
  <c r="AJ53" i="12" s="1"/>
  <c r="AQ53" i="12"/>
  <c r="AP57" i="19"/>
  <c r="AQ57" i="19" s="1"/>
  <c r="AB53" i="17"/>
  <c r="AP57" i="20"/>
  <c r="AQ57" i="20" s="1"/>
  <c r="AP53" i="11"/>
  <c r="AQ53" i="11" s="1"/>
  <c r="N53" i="37"/>
  <c r="O53" i="37" s="1"/>
  <c r="U54" i="30"/>
  <c r="V54" i="30" s="1"/>
  <c r="S56" i="30"/>
  <c r="AP54" i="31"/>
  <c r="AQ54" i="31" s="1"/>
  <c r="AN56" i="31"/>
  <c r="N53" i="40"/>
  <c r="O53" i="40" s="1"/>
  <c r="L54" i="16"/>
  <c r="N52" i="16"/>
  <c r="O52" i="16" s="1"/>
  <c r="AP53" i="20"/>
  <c r="AQ53" i="20" s="1"/>
  <c r="AB51" i="9"/>
  <c r="AC51" i="9" s="1"/>
  <c r="AI59" i="14"/>
  <c r="AJ59" i="14" s="1"/>
  <c r="AQ59" i="14"/>
  <c r="S60" i="13"/>
  <c r="U58" i="13"/>
  <c r="V58" i="13" s="1"/>
  <c r="AC55" i="35"/>
  <c r="U55" i="35"/>
  <c r="N55" i="25"/>
  <c r="V55" i="25"/>
  <c r="H62" i="25"/>
  <c r="AG56" i="38"/>
  <c r="AI54" i="38"/>
  <c r="AJ54" i="38" s="1"/>
  <c r="N53" i="20"/>
  <c r="O53" i="20" s="1"/>
  <c r="U59" i="19"/>
  <c r="V59" i="19" s="1"/>
  <c r="Z56" i="35"/>
  <c r="AB54" i="35"/>
  <c r="AC54" i="35" s="1"/>
  <c r="AN58" i="22"/>
  <c r="AN54" i="21"/>
  <c r="AP52" i="21"/>
  <c r="AQ52" i="21" s="1"/>
  <c r="V52" i="39"/>
  <c r="D49" i="1" s="1"/>
  <c r="Z56" i="39"/>
  <c r="H60" i="23"/>
  <c r="O58" i="23"/>
  <c r="AN52" i="13"/>
  <c r="Z54" i="30"/>
  <c r="AI54" i="30" s="1"/>
  <c r="AB53" i="26"/>
  <c r="AC53" i="26" s="1"/>
  <c r="AB61" i="31"/>
  <c r="AJ61" i="31"/>
  <c r="AI59" i="12"/>
  <c r="AJ59" i="12" s="1"/>
  <c r="H62" i="34"/>
  <c r="AB59" i="18"/>
  <c r="AC59" i="18" s="1"/>
  <c r="U53" i="28"/>
  <c r="V53" i="28" s="1"/>
  <c r="V52" i="37"/>
  <c r="D43" i="1" s="1"/>
  <c r="U57" i="16"/>
  <c r="V57" i="16" s="1"/>
  <c r="H62" i="32"/>
  <c r="S60" i="35"/>
  <c r="AB60" i="35" s="1"/>
  <c r="AN52" i="20"/>
  <c r="AB53" i="23"/>
  <c r="AC53" i="23" s="1"/>
  <c r="AI53" i="14"/>
  <c r="AJ53" i="14" s="1"/>
  <c r="AB53" i="12"/>
  <c r="AC53" i="12" s="1"/>
  <c r="S60" i="29"/>
  <c r="AI59" i="21"/>
  <c r="AJ59" i="21" s="1"/>
  <c r="U51" i="15"/>
  <c r="V51" i="15" s="1"/>
  <c r="U59" i="37"/>
  <c r="V59" i="37" s="1"/>
  <c r="S56" i="37"/>
  <c r="N53" i="11"/>
  <c r="O53" i="11" s="1"/>
  <c r="N53" i="27"/>
  <c r="O53" i="27" s="1"/>
  <c r="AN58" i="17"/>
  <c r="AN58" i="23"/>
  <c r="AN58" i="9"/>
  <c r="AB51" i="23"/>
  <c r="AC51" i="23" s="1"/>
  <c r="AI51" i="14"/>
  <c r="AJ51" i="14" s="1"/>
  <c r="U61" i="29"/>
  <c r="AC61" i="29"/>
  <c r="AI59" i="31"/>
  <c r="AJ59" i="31" s="1"/>
  <c r="AB53" i="36"/>
  <c r="AC53" i="36" s="1"/>
  <c r="N59" i="24"/>
  <c r="O59" i="24" s="1"/>
  <c r="AP53" i="25"/>
  <c r="AQ53" i="25" s="1"/>
  <c r="U53" i="29"/>
  <c r="V53" i="29" s="1"/>
  <c r="U57" i="13"/>
  <c r="V57" i="13" s="1"/>
  <c r="AN58" i="15"/>
  <c r="AN58" i="14"/>
  <c r="V50" i="15"/>
  <c r="D13" i="1" s="1"/>
  <c r="AQ61" i="39"/>
  <c r="AI61" i="39"/>
  <c r="AP55" i="29"/>
  <c r="AC53" i="17"/>
  <c r="U53" i="17"/>
  <c r="V53" i="17" s="1"/>
  <c r="O50" i="20"/>
  <c r="C19" i="1" s="1"/>
  <c r="C74" i="1" s="1"/>
  <c r="AG58" i="18"/>
  <c r="AJ55" i="27"/>
  <c r="AB55" i="27"/>
  <c r="AC52" i="37"/>
  <c r="E43" i="1" s="1"/>
  <c r="AN58" i="16"/>
  <c r="AP53" i="14"/>
  <c r="AQ53" i="14" s="1"/>
  <c r="N59" i="20"/>
  <c r="O59" i="20" s="1"/>
  <c r="N57" i="18"/>
  <c r="O57" i="18" s="1"/>
  <c r="AP61" i="28"/>
  <c r="U57" i="22"/>
  <c r="V57" i="22" s="1"/>
  <c r="Z58" i="15"/>
  <c r="AI58" i="15" s="1"/>
  <c r="AQ55" i="38"/>
  <c r="AI55" i="38"/>
  <c r="V50" i="20"/>
  <c r="D19" i="1" s="1"/>
  <c r="D74" i="1" s="1"/>
  <c r="AN55" i="37"/>
  <c r="AP55" i="37" s="1"/>
  <c r="AQ55" i="37" s="1"/>
  <c r="AL61" i="37"/>
  <c r="AN61" i="37" s="1"/>
  <c r="AP61" i="37" s="1"/>
  <c r="AQ61" i="37" s="1"/>
  <c r="AP53" i="23"/>
  <c r="AQ53" i="23" s="1"/>
  <c r="Z60" i="37"/>
  <c r="AN58" i="18"/>
  <c r="AP51" i="22"/>
  <c r="AQ51" i="22" s="1"/>
  <c r="AB53" i="15"/>
  <c r="G9" i="3" s="1"/>
  <c r="AB53" i="32"/>
  <c r="AC53" i="32" s="1"/>
  <c r="AJ55" i="40"/>
  <c r="AB55" i="40"/>
  <c r="AQ52" i="41"/>
  <c r="G55" i="1" s="1"/>
  <c r="AI57" i="23"/>
  <c r="AJ57" i="23" s="1"/>
  <c r="AQ57" i="23"/>
  <c r="O52" i="37"/>
  <c r="C43" i="1" s="1"/>
  <c r="AJ57" i="10"/>
  <c r="AB57" i="10"/>
  <c r="AC57" i="10" s="1"/>
  <c r="U59" i="41"/>
  <c r="V59" i="41" s="1"/>
  <c r="AQ59" i="15"/>
  <c r="AI59" i="15"/>
  <c r="AJ59" i="15" s="1"/>
  <c r="AN54" i="27"/>
  <c r="AC61" i="31"/>
  <c r="U61" i="31"/>
  <c r="N55" i="39"/>
  <c r="V55" i="39"/>
  <c r="AB53" i="39"/>
  <c r="AC53" i="39" s="1"/>
  <c r="L60" i="34"/>
  <c r="AQ53" i="10"/>
  <c r="AI53" i="10"/>
  <c r="AJ53" i="10" s="1"/>
  <c r="AC61" i="26"/>
  <c r="U61" i="26"/>
  <c r="AP55" i="26"/>
  <c r="N53" i="13"/>
  <c r="O53" i="13" s="1"/>
  <c r="Z58" i="13"/>
  <c r="AQ59" i="9"/>
  <c r="AI59" i="9"/>
  <c r="AJ59" i="9" s="1"/>
  <c r="AG58" i="12"/>
  <c r="S58" i="21"/>
  <c r="AB58" i="21" s="1"/>
  <c r="AC52" i="39"/>
  <c r="E49" i="1" s="1"/>
  <c r="AI53" i="35"/>
  <c r="AJ53" i="35" s="1"/>
  <c r="AB51" i="13"/>
  <c r="AC51" i="13" s="1"/>
  <c r="AG54" i="25"/>
  <c r="AP54" i="25" s="1"/>
  <c r="AB55" i="31"/>
  <c r="AJ55" i="31"/>
  <c r="H54" i="40"/>
  <c r="AC55" i="28"/>
  <c r="U55" i="28"/>
  <c r="AC55" i="34"/>
  <c r="U55" i="34"/>
  <c r="AP59" i="19"/>
  <c r="AQ59" i="19" s="1"/>
  <c r="L54" i="37"/>
  <c r="U54" i="37" s="1"/>
  <c r="U59" i="40"/>
  <c r="V59" i="40" s="1"/>
  <c r="L54" i="10"/>
  <c r="L54" i="24"/>
  <c r="N52" i="24"/>
  <c r="O52" i="24" s="1"/>
  <c r="U59" i="13"/>
  <c r="V59" i="13" s="1"/>
  <c r="H62" i="36"/>
  <c r="AI59" i="28"/>
  <c r="AJ59" i="28" s="1"/>
  <c r="AI59" i="17"/>
  <c r="AJ59" i="17" s="1"/>
  <c r="U58" i="12"/>
  <c r="V58" i="12" s="1"/>
  <c r="S60" i="12"/>
  <c r="AQ61" i="36"/>
  <c r="AI61" i="36"/>
  <c r="AG56" i="37"/>
  <c r="AI54" i="37"/>
  <c r="AJ54" i="37" s="1"/>
  <c r="U55" i="37"/>
  <c r="V55" i="37" s="1"/>
  <c r="N54" i="25"/>
  <c r="O54" i="25" s="1"/>
  <c r="L56" i="25"/>
  <c r="AP61" i="29"/>
  <c r="N61" i="31"/>
  <c r="V61" i="31"/>
  <c r="U60" i="33"/>
  <c r="V60" i="33" s="1"/>
  <c r="S62" i="33"/>
  <c r="L60" i="16"/>
  <c r="N58" i="16"/>
  <c r="O58" i="16" s="1"/>
  <c r="AI53" i="20"/>
  <c r="AJ53" i="20" s="1"/>
  <c r="AP59" i="18"/>
  <c r="AQ59" i="18" s="1"/>
  <c r="O52" i="18"/>
  <c r="H54" i="18"/>
  <c r="AN62" i="31"/>
  <c r="AP60" i="31"/>
  <c r="AQ60" i="31" s="1"/>
  <c r="AG60" i="11"/>
  <c r="AI58" i="11"/>
  <c r="AJ58" i="11" s="1"/>
  <c r="N53" i="31"/>
  <c r="O53" i="31" s="1"/>
  <c r="AI60" i="40"/>
  <c r="AJ60" i="40" s="1"/>
  <c r="AG62" i="40"/>
  <c r="N53" i="39"/>
  <c r="O53" i="39" s="1"/>
  <c r="AJ55" i="39"/>
  <c r="AB55" i="39"/>
  <c r="AQ55" i="36"/>
  <c r="AI55" i="36"/>
  <c r="N59" i="30"/>
  <c r="O59" i="30" s="1"/>
  <c r="U51" i="18"/>
  <c r="V51" i="18" s="1"/>
  <c r="U59" i="16"/>
  <c r="V59" i="16" s="1"/>
  <c r="AG62" i="31"/>
  <c r="AI60" i="31"/>
  <c r="AJ60" i="31" s="1"/>
  <c r="AG54" i="23"/>
  <c r="AI52" i="23"/>
  <c r="AJ52" i="23" s="1"/>
  <c r="AP54" i="30"/>
  <c r="AQ54" i="30" s="1"/>
  <c r="AN56" i="30"/>
  <c r="AB59" i="21"/>
  <c r="AC59" i="21" s="1"/>
  <c r="AB60" i="39"/>
  <c r="AC60" i="39" s="1"/>
  <c r="Z62" i="39"/>
  <c r="AJ60" i="39"/>
  <c r="H62" i="30"/>
  <c r="AP61" i="31"/>
  <c r="AN54" i="28"/>
  <c r="N59" i="41"/>
  <c r="O59" i="41" s="1"/>
  <c r="AB59" i="23"/>
  <c r="AC59" i="23" s="1"/>
  <c r="AP55" i="36"/>
  <c r="H62" i="27"/>
  <c r="AI53" i="16"/>
  <c r="AJ53" i="16" s="1"/>
  <c r="H60" i="22"/>
  <c r="U61" i="28"/>
  <c r="AC61" i="28"/>
  <c r="U59" i="32"/>
  <c r="V59" i="32" s="1"/>
  <c r="AC55" i="39"/>
  <c r="U55" i="39"/>
  <c r="AB57" i="17"/>
  <c r="AC57" i="17" s="1"/>
  <c r="AB53" i="31"/>
  <c r="AC53" i="31" s="1"/>
  <c r="S60" i="18"/>
  <c r="U58" i="18"/>
  <c r="V58" i="18" s="1"/>
  <c r="N54" i="34"/>
  <c r="O54" i="34" s="1"/>
  <c r="L56" i="34"/>
  <c r="AP58" i="19"/>
  <c r="AQ58" i="19" s="1"/>
  <c r="AN60" i="19"/>
  <c r="H62" i="39"/>
  <c r="H54" i="15"/>
  <c r="AN60" i="20"/>
  <c r="AP58" i="20"/>
  <c r="AQ58" i="20" s="1"/>
  <c r="AB59" i="12"/>
  <c r="AC59" i="12" s="1"/>
  <c r="H56" i="34"/>
  <c r="AN58" i="11"/>
  <c r="U59" i="24"/>
  <c r="V59" i="24" s="1"/>
  <c r="U53" i="16"/>
  <c r="V53" i="16" s="1"/>
  <c r="AC55" i="30"/>
  <c r="U55" i="30"/>
  <c r="AB51" i="12"/>
  <c r="AC51" i="12" s="1"/>
  <c r="N59" i="11"/>
  <c r="O59" i="11" s="1"/>
  <c r="AB51" i="22"/>
  <c r="AC51" i="22" s="1"/>
  <c r="N61" i="25"/>
  <c r="V61" i="25"/>
  <c r="N59" i="9"/>
  <c r="O59" i="9" s="1"/>
  <c r="AJ55" i="36"/>
  <c r="AB55" i="36"/>
  <c r="N59" i="39"/>
  <c r="O59" i="39" s="1"/>
  <c r="U51" i="23"/>
  <c r="V51" i="23" s="1"/>
  <c r="N57" i="24"/>
  <c r="O57" i="24" s="1"/>
  <c r="AI57" i="14"/>
  <c r="AJ57" i="14" s="1"/>
  <c r="AC54" i="29"/>
  <c r="U54" i="29"/>
  <c r="V54" i="29" s="1"/>
  <c r="S56" i="29"/>
  <c r="N59" i="26"/>
  <c r="O59" i="26" s="1"/>
  <c r="U59" i="20"/>
  <c r="V59" i="20" s="1"/>
  <c r="V61" i="40"/>
  <c r="N61" i="40"/>
  <c r="AI59" i="35"/>
  <c r="AJ59" i="35" s="1"/>
  <c r="AB53" i="27"/>
  <c r="AC53" i="27" s="1"/>
  <c r="N53" i="14"/>
  <c r="O53" i="14" s="1"/>
  <c r="U53" i="37"/>
  <c r="V53" i="37" s="1"/>
  <c r="AN52" i="15"/>
  <c r="N53" i="33"/>
  <c r="O53" i="33" s="1"/>
  <c r="N54" i="26"/>
  <c r="O54" i="26" s="1"/>
  <c r="L56" i="26"/>
  <c r="V55" i="29"/>
  <c r="N55" i="29"/>
  <c r="AP51" i="18"/>
  <c r="AQ51" i="18" s="1"/>
  <c r="AP60" i="28"/>
  <c r="AQ60" i="28" s="1"/>
  <c r="AN62" i="28"/>
  <c r="H56" i="26"/>
  <c r="AP53" i="30"/>
  <c r="AQ53" i="30" s="1"/>
  <c r="AB59" i="40"/>
  <c r="AC59" i="40" s="1"/>
  <c r="AB57" i="21"/>
  <c r="AC57" i="21" s="1"/>
  <c r="AI61" i="37"/>
  <c r="AJ61" i="37" s="1"/>
  <c r="U57" i="19"/>
  <c r="V57" i="19" s="1"/>
  <c r="AB53" i="21"/>
  <c r="AC53" i="21" s="1"/>
  <c r="AC55" i="33"/>
  <c r="U55" i="33"/>
  <c r="AB61" i="33"/>
  <c r="AJ61" i="33"/>
  <c r="AB53" i="35"/>
  <c r="AC53" i="35" s="1"/>
  <c r="AB51" i="15"/>
  <c r="AC51" i="15" s="1"/>
  <c r="AP61" i="32"/>
  <c r="AQ59" i="24"/>
  <c r="AI59" i="24"/>
  <c r="AJ59" i="24" s="1"/>
  <c r="H60" i="20"/>
  <c r="N61" i="37"/>
  <c r="O61" i="37" s="1"/>
  <c r="V61" i="37"/>
  <c r="U53" i="41"/>
  <c r="V53" i="41" s="1"/>
  <c r="H54" i="37"/>
  <c r="AQ59" i="16"/>
  <c r="AI59" i="16"/>
  <c r="AJ59" i="16" s="1"/>
  <c r="S52" i="22"/>
  <c r="AB52" i="22" s="1"/>
  <c r="L54" i="39"/>
  <c r="AB51" i="10"/>
  <c r="AC51" i="10" s="1"/>
  <c r="AJ52" i="39"/>
  <c r="F49" i="1" s="1"/>
  <c r="AI51" i="16"/>
  <c r="AJ51" i="16" s="1"/>
  <c r="AQ51" i="16"/>
  <c r="AP58" i="34"/>
  <c r="AQ58" i="34" s="1"/>
  <c r="AP61" i="26"/>
  <c r="N57" i="17"/>
  <c r="O57" i="17" s="1"/>
  <c r="N53" i="32"/>
  <c r="O53" i="32" s="1"/>
  <c r="AN54" i="26"/>
  <c r="H62" i="37"/>
  <c r="O52" i="41"/>
  <c r="C55" i="1" s="1"/>
  <c r="AB59" i="11"/>
  <c r="AC59" i="11" s="1"/>
  <c r="S54" i="39"/>
  <c r="AB54" i="39" s="1"/>
  <c r="AB57" i="18"/>
  <c r="AC57" i="18" s="1"/>
  <c r="AI55" i="25"/>
  <c r="AQ55" i="25"/>
  <c r="AP51" i="17"/>
  <c r="AQ51" i="17" s="1"/>
  <c r="AB51" i="17"/>
  <c r="AC51" i="17" s="1"/>
  <c r="S52" i="9"/>
  <c r="AB52" i="9" s="1"/>
  <c r="AI59" i="22"/>
  <c r="AJ59" i="22" s="1"/>
  <c r="AI61" i="30"/>
  <c r="AQ61" i="30"/>
  <c r="AB51" i="14"/>
  <c r="AC51" i="14" s="1"/>
  <c r="AI59" i="26"/>
  <c r="AJ59" i="26" s="1"/>
  <c r="N57" i="13"/>
  <c r="O57" i="13" s="1"/>
  <c r="AQ61" i="28"/>
  <c r="AI61" i="28"/>
  <c r="H60" i="13"/>
  <c r="S60" i="16"/>
  <c r="U58" i="16"/>
  <c r="V58" i="16" s="1"/>
  <c r="AI53" i="13"/>
  <c r="AJ53" i="13" s="1"/>
  <c r="Z54" i="23"/>
  <c r="AB52" i="23"/>
  <c r="AC52" i="23" s="1"/>
  <c r="N59" i="15"/>
  <c r="O59" i="15" s="1"/>
  <c r="AN56" i="25"/>
  <c r="H62" i="35"/>
  <c r="N60" i="26"/>
  <c r="L62" i="26"/>
  <c r="U53" i="35"/>
  <c r="V53" i="35" s="1"/>
  <c r="S60" i="20"/>
  <c r="U58" i="20"/>
  <c r="V58" i="20" s="1"/>
  <c r="N53" i="23"/>
  <c r="O53" i="23" s="1"/>
  <c r="S54" i="17"/>
  <c r="U52" i="17"/>
  <c r="V52" i="17" s="1"/>
  <c r="H56" i="33"/>
  <c r="AQ61" i="35"/>
  <c r="AI61" i="35"/>
  <c r="Z56" i="27"/>
  <c r="AB54" i="27"/>
  <c r="AC54" i="27" s="1"/>
  <c r="N51" i="14"/>
  <c r="O51" i="14" s="1"/>
  <c r="U59" i="15"/>
  <c r="V59" i="15" s="1"/>
  <c r="U53" i="11"/>
  <c r="V53" i="11" s="1"/>
  <c r="S54" i="13"/>
  <c r="V55" i="26"/>
  <c r="N55" i="26"/>
  <c r="U53" i="20"/>
  <c r="V53" i="20" s="1"/>
  <c r="N58" i="20"/>
  <c r="O58" i="20" s="1"/>
  <c r="L60" i="20"/>
  <c r="AI52" i="11"/>
  <c r="AJ52" i="11" s="1"/>
  <c r="AG54" i="11"/>
  <c r="U58" i="14"/>
  <c r="V58" i="14" s="1"/>
  <c r="S60" i="14"/>
  <c r="N60" i="32"/>
  <c r="O60" i="32" s="1"/>
  <c r="L62" i="32"/>
  <c r="AJ55" i="25"/>
  <c r="AB55" i="25"/>
  <c r="N59" i="36"/>
  <c r="O59" i="36" s="1"/>
  <c r="AB61" i="32"/>
  <c r="AJ61" i="32"/>
  <c r="H56" i="31"/>
  <c r="N51" i="20"/>
  <c r="O51" i="20" s="1"/>
  <c r="O59" i="16"/>
  <c r="S60" i="19"/>
  <c r="AB60" i="33"/>
  <c r="AC60" i="33" s="1"/>
  <c r="Z62" i="33"/>
  <c r="AN54" i="22"/>
  <c r="AP52" i="22"/>
  <c r="AQ52" i="22" s="1"/>
  <c r="Z56" i="40"/>
  <c r="AB54" i="40"/>
  <c r="AC54" i="40" s="1"/>
  <c r="AG60" i="24"/>
  <c r="AI58" i="24"/>
  <c r="AJ58" i="24" s="1"/>
  <c r="AI57" i="20"/>
  <c r="AJ57" i="20" s="1"/>
  <c r="AG60" i="23"/>
  <c r="AI58" i="23"/>
  <c r="AJ58" i="23" s="1"/>
  <c r="N59" i="37"/>
  <c r="O59" i="37" s="1"/>
  <c r="U51" i="10"/>
  <c r="V51" i="10" s="1"/>
  <c r="AP61" i="35"/>
  <c r="Z60" i="10"/>
  <c r="AB58" i="10"/>
  <c r="AC58" i="10" s="1"/>
  <c r="U59" i="23"/>
  <c r="V59" i="23" s="1"/>
  <c r="Z60" i="23"/>
  <c r="AB58" i="23"/>
  <c r="AC58" i="23" s="1"/>
  <c r="AN56" i="32"/>
  <c r="AP54" i="32"/>
  <c r="U59" i="31"/>
  <c r="V59" i="31" s="1"/>
  <c r="AJ61" i="34"/>
  <c r="AB61" i="34"/>
  <c r="V61" i="34"/>
  <c r="N61" i="34"/>
  <c r="AQ51" i="10"/>
  <c r="AI51" i="10"/>
  <c r="AJ51" i="10" s="1"/>
  <c r="U59" i="26"/>
  <c r="V59" i="26" s="1"/>
  <c r="N55" i="41"/>
  <c r="O55" i="41" s="1"/>
  <c r="AI57" i="19"/>
  <c r="AJ57" i="19" s="1"/>
  <c r="AP59" i="26"/>
  <c r="AQ59" i="26" s="1"/>
  <c r="L60" i="17"/>
  <c r="N58" i="17"/>
  <c r="O58" i="17" s="1"/>
  <c r="L56" i="32"/>
  <c r="AB59" i="20"/>
  <c r="AC59" i="20" s="1"/>
  <c r="N51" i="13"/>
  <c r="O51" i="13" s="1"/>
  <c r="AB57" i="11"/>
  <c r="AC57" i="11" s="1"/>
  <c r="N53" i="22"/>
  <c r="O53" i="22" s="1"/>
  <c r="N57" i="12"/>
  <c r="O57" i="12" s="1"/>
  <c r="H56" i="27"/>
  <c r="H60" i="11"/>
  <c r="AI55" i="35"/>
  <c r="AQ55" i="35"/>
  <c r="U53" i="31"/>
  <c r="V53" i="31" s="1"/>
  <c r="U53" i="34"/>
  <c r="V53" i="34" s="1"/>
  <c r="AP53" i="17"/>
  <c r="AQ53" i="17" s="1"/>
  <c r="H54" i="11"/>
  <c r="AP51" i="11"/>
  <c r="AQ51" i="11" s="1"/>
  <c r="U53" i="40"/>
  <c r="V53" i="40" s="1"/>
  <c r="AI51" i="21"/>
  <c r="AJ51" i="21" s="1"/>
  <c r="AB59" i="41"/>
  <c r="AC59" i="41" s="1"/>
  <c r="L54" i="40"/>
  <c r="U54" i="40" s="1"/>
  <c r="N55" i="27"/>
  <c r="V55" i="27"/>
  <c r="AB59" i="9"/>
  <c r="AC59" i="9" s="1"/>
  <c r="S54" i="16"/>
  <c r="U52" i="16"/>
  <c r="V52" i="16" s="1"/>
  <c r="N57" i="11"/>
  <c r="O57" i="11" s="1"/>
  <c r="AN54" i="9"/>
  <c r="AP52" i="9"/>
  <c r="AQ52" i="9" s="1"/>
  <c r="N61" i="39"/>
  <c r="V61" i="39"/>
  <c r="AI58" i="14"/>
  <c r="AJ58" i="14" s="1"/>
  <c r="AG60" i="14"/>
  <c r="H56" i="29"/>
  <c r="V55" i="35"/>
  <c r="N55" i="35"/>
  <c r="U53" i="36"/>
  <c r="V53" i="36" s="1"/>
  <c r="AI51" i="22"/>
  <c r="AJ51" i="22" s="1"/>
  <c r="L52" i="11"/>
  <c r="U52" i="11" s="1"/>
  <c r="L58" i="19"/>
  <c r="U58" i="19" s="1"/>
  <c r="N54" i="27"/>
  <c r="O54" i="27" s="1"/>
  <c r="L56" i="27"/>
  <c r="N61" i="33"/>
  <c r="V61" i="33"/>
  <c r="AG52" i="13"/>
  <c r="L60" i="29"/>
  <c r="U57" i="24"/>
  <c r="V57" i="24" s="1"/>
  <c r="U51" i="16"/>
  <c r="V51" i="16" s="1"/>
  <c r="AI52" i="14"/>
  <c r="AJ52" i="14" s="1"/>
  <c r="AG54" i="14"/>
  <c r="H52" i="10"/>
  <c r="N52" i="10" s="1"/>
  <c r="Z54" i="12"/>
  <c r="N59" i="25"/>
  <c r="O59" i="25" s="1"/>
  <c r="N57" i="9"/>
  <c r="O57" i="9" s="1"/>
  <c r="S62" i="36"/>
  <c r="U60" i="36"/>
  <c r="V60" i="36" s="1"/>
  <c r="N57" i="15"/>
  <c r="O57" i="15" s="1"/>
  <c r="AI57" i="21"/>
  <c r="AJ57" i="21" s="1"/>
  <c r="AI53" i="26"/>
  <c r="AJ53" i="26" s="1"/>
  <c r="L54" i="35"/>
  <c r="U54" i="35" s="1"/>
  <c r="N61" i="26"/>
  <c r="V61" i="26"/>
  <c r="AC55" i="36"/>
  <c r="U55" i="36"/>
  <c r="U57" i="20"/>
  <c r="V57" i="20" s="1"/>
  <c r="N51" i="15"/>
  <c r="O51" i="15" s="1"/>
  <c r="AI59" i="39"/>
  <c r="AJ59" i="39" s="1"/>
  <c r="N59" i="40"/>
  <c r="O59" i="40" s="1"/>
  <c r="AG56" i="27"/>
  <c r="AI54" i="27"/>
  <c r="AJ54" i="27" s="1"/>
  <c r="H52" i="14"/>
  <c r="AJ59" i="25"/>
  <c r="AB59" i="25"/>
  <c r="AC59" i="25" s="1"/>
  <c r="U57" i="15"/>
  <c r="V57" i="15" s="1"/>
  <c r="U51" i="11"/>
  <c r="V51" i="11" s="1"/>
  <c r="U51" i="13"/>
  <c r="V51" i="13" s="1"/>
  <c r="N59" i="38"/>
  <c r="O59" i="38" s="1"/>
  <c r="V59" i="38"/>
  <c r="H54" i="36"/>
  <c r="L54" i="33"/>
  <c r="AQ61" i="27"/>
  <c r="AI61" i="27"/>
  <c r="N53" i="29"/>
  <c r="O53" i="29" s="1"/>
  <c r="N57" i="20"/>
  <c r="O57" i="20" s="1"/>
  <c r="AN52" i="18"/>
  <c r="N59" i="32"/>
  <c r="O59" i="32" s="1"/>
  <c r="V61" i="36"/>
  <c r="N61" i="36"/>
  <c r="AN62" i="40"/>
  <c r="AB59" i="32"/>
  <c r="AC59" i="32" s="1"/>
  <c r="AP59" i="37"/>
  <c r="AQ59" i="37" s="1"/>
  <c r="AJ61" i="40"/>
  <c r="AB61" i="40"/>
  <c r="AB55" i="41"/>
  <c r="AC55" i="41" s="1"/>
  <c r="AB61" i="37"/>
  <c r="AC61" i="37" s="1"/>
  <c r="U51" i="24"/>
  <c r="V51" i="24" s="1"/>
  <c r="AB51" i="21"/>
  <c r="AC51" i="21" s="1"/>
  <c r="AP61" i="36"/>
  <c r="S54" i="33"/>
  <c r="AB54" i="33" s="1"/>
  <c r="U59" i="39"/>
  <c r="V59" i="39" s="1"/>
  <c r="AB59" i="33"/>
  <c r="AC59" i="33" s="1"/>
  <c r="AN52" i="12"/>
  <c r="AP59" i="32"/>
  <c r="AQ59" i="32" s="1"/>
  <c r="AQ57" i="24"/>
  <c r="AI57" i="24"/>
  <c r="AJ57" i="24" s="1"/>
  <c r="AQ52" i="39"/>
  <c r="G49" i="1" s="1"/>
  <c r="U59" i="10"/>
  <c r="V59" i="10" s="1"/>
  <c r="S52" i="10"/>
  <c r="AC52" i="41"/>
  <c r="E55" i="1" s="1"/>
  <c r="AP59" i="35"/>
  <c r="AQ59" i="35" s="1"/>
  <c r="AP59" i="21"/>
  <c r="AQ59" i="21" s="1"/>
  <c r="S62" i="41"/>
  <c r="U60" i="41"/>
  <c r="V60" i="41" s="1"/>
  <c r="AI57" i="15"/>
  <c r="AJ57" i="15" s="1"/>
  <c r="AQ55" i="40"/>
  <c r="AI55" i="40"/>
  <c r="AP53" i="32"/>
  <c r="AQ53" i="32" s="1"/>
  <c r="Z52" i="10"/>
  <c r="AI52" i="10" s="1"/>
  <c r="S60" i="26"/>
  <c r="N53" i="41"/>
  <c r="O53" i="41" s="1"/>
  <c r="AN60" i="26"/>
  <c r="N55" i="32"/>
  <c r="V55" i="32"/>
  <c r="L52" i="13"/>
  <c r="H56" i="28"/>
  <c r="N51" i="21"/>
  <c r="O51" i="21" s="1"/>
  <c r="AB53" i="34"/>
  <c r="AC53" i="34" s="1"/>
  <c r="AQ57" i="9"/>
  <c r="AI57" i="9"/>
  <c r="AJ57" i="9" s="1"/>
  <c r="N59" i="12"/>
  <c r="O59" i="12" s="1"/>
  <c r="AQ53" i="19"/>
  <c r="AI53" i="19"/>
  <c r="AJ53" i="19" s="1"/>
  <c r="AI54" i="35"/>
  <c r="AJ54" i="35" s="1"/>
  <c r="AG56" i="35"/>
  <c r="AB59" i="16"/>
  <c r="AC59" i="16" s="1"/>
  <c r="AC55" i="31"/>
  <c r="U55" i="31"/>
  <c r="V60" i="28"/>
  <c r="L62" i="28"/>
  <c r="N60" i="28"/>
  <c r="O60" i="28" s="1"/>
  <c r="AI53" i="9"/>
  <c r="AJ53" i="9" s="1"/>
  <c r="N59" i="22"/>
  <c r="O59" i="22" s="1"/>
  <c r="N51" i="12"/>
  <c r="O51" i="12" s="1"/>
  <c r="AI51" i="12"/>
  <c r="AJ51" i="12" s="1"/>
  <c r="AC52" i="34"/>
  <c r="E37" i="1" s="1"/>
  <c r="AN54" i="17"/>
  <c r="AP52" i="17"/>
  <c r="AQ52" i="17" s="1"/>
  <c r="AP59" i="10"/>
  <c r="AQ59" i="10" s="1"/>
  <c r="Z54" i="17"/>
  <c r="AJ52" i="17"/>
  <c r="AB52" i="17"/>
  <c r="AC52" i="17" s="1"/>
  <c r="U53" i="9"/>
  <c r="V53" i="9" s="1"/>
  <c r="AC53" i="9"/>
  <c r="U55" i="25"/>
  <c r="AC55" i="25"/>
  <c r="N61" i="41"/>
  <c r="O61" i="41" s="1"/>
  <c r="AI51" i="18"/>
  <c r="AJ51" i="18" s="1"/>
  <c r="L60" i="18"/>
  <c r="N58" i="18"/>
  <c r="O58" i="18" s="1"/>
  <c r="AG52" i="18"/>
  <c r="AB59" i="15"/>
  <c r="AC59" i="15" s="1"/>
  <c r="AQ53" i="22"/>
  <c r="AI53" i="22"/>
  <c r="AJ53" i="22" s="1"/>
  <c r="AB53" i="16"/>
  <c r="AC53" i="16" s="1"/>
  <c r="L58" i="11"/>
  <c r="U58" i="11" s="1"/>
  <c r="U53" i="27"/>
  <c r="V53" i="27" s="1"/>
  <c r="L54" i="23"/>
  <c r="AB61" i="25"/>
  <c r="AJ61" i="25"/>
  <c r="U53" i="13"/>
  <c r="V53" i="13" s="1"/>
  <c r="L62" i="38"/>
  <c r="N60" i="38"/>
  <c r="O60" i="38" s="1"/>
  <c r="V60" i="38"/>
  <c r="V55" i="33"/>
  <c r="N55" i="33"/>
  <c r="U51" i="20"/>
  <c r="V51" i="20" s="1"/>
  <c r="AI53" i="11"/>
  <c r="AJ53" i="11" s="1"/>
  <c r="AB53" i="38"/>
  <c r="AC53" i="38" s="1"/>
  <c r="U53" i="19"/>
  <c r="V53" i="19" s="1"/>
  <c r="Z56" i="25"/>
  <c r="H60" i="19"/>
  <c r="Z62" i="32"/>
  <c r="AB60" i="32"/>
  <c r="AC60" i="32" s="1"/>
  <c r="AB59" i="29"/>
  <c r="AC59" i="29" s="1"/>
  <c r="AJ59" i="29"/>
  <c r="AI53" i="31"/>
  <c r="AJ53" i="31" s="1"/>
  <c r="AN54" i="33"/>
  <c r="AG55" i="41"/>
  <c r="AG56" i="41" s="1"/>
  <c r="AL55" i="41"/>
  <c r="AN55" i="41" s="1"/>
  <c r="AJ55" i="29"/>
  <c r="AB55" i="29"/>
  <c r="H60" i="16"/>
  <c r="U53" i="24"/>
  <c r="V53" i="24" s="1"/>
  <c r="AI53" i="33"/>
  <c r="AJ53" i="33" s="1"/>
  <c r="U60" i="39"/>
  <c r="V60" i="39" s="1"/>
  <c r="S62" i="39"/>
  <c r="AB53" i="37"/>
  <c r="AC53" i="37" s="1"/>
  <c r="N59" i="23"/>
  <c r="O59" i="23" s="1"/>
  <c r="AP54" i="40"/>
  <c r="AQ54" i="40" s="1"/>
  <c r="AN56" i="40"/>
  <c r="H62" i="28"/>
  <c r="AG56" i="39"/>
  <c r="AI54" i="39"/>
  <c r="AJ54" i="39" s="1"/>
  <c r="S60" i="10"/>
  <c r="U58" i="10"/>
  <c r="V58" i="10" s="1"/>
  <c r="AG62" i="33"/>
  <c r="AI60" i="33"/>
  <c r="AJ60" i="33" s="1"/>
  <c r="U51" i="14"/>
  <c r="V51" i="14" s="1"/>
  <c r="S56" i="41"/>
  <c r="U54" i="41"/>
  <c r="V54" i="41" s="1"/>
  <c r="AB59" i="24"/>
  <c r="AC59" i="24" s="1"/>
  <c r="AP57" i="21"/>
  <c r="AQ57" i="21" s="1"/>
  <c r="AI59" i="10"/>
  <c r="AJ59" i="10" s="1"/>
  <c r="AI57" i="16"/>
  <c r="AJ57" i="16" s="1"/>
  <c r="U57" i="23"/>
  <c r="V57" i="23" s="1"/>
  <c r="AG60" i="15"/>
  <c r="AQ53" i="40"/>
  <c r="AI53" i="40"/>
  <c r="AJ53" i="40" s="1"/>
  <c r="AB59" i="34"/>
  <c r="AC59" i="34" s="1"/>
  <c r="AB53" i="24"/>
  <c r="AC53" i="24" s="1"/>
  <c r="AB59" i="28"/>
  <c r="AC59" i="28" s="1"/>
  <c r="O59" i="17"/>
  <c r="AG54" i="10"/>
  <c r="V52" i="41"/>
  <c r="D55" i="1" s="1"/>
  <c r="AB57" i="20"/>
  <c r="AC57" i="20" s="1"/>
  <c r="AB54" i="34"/>
  <c r="AC54" i="34" s="1"/>
  <c r="Z56" i="34"/>
  <c r="L60" i="12"/>
  <c r="H54" i="24"/>
  <c r="AQ51" i="9"/>
  <c r="AI51" i="9"/>
  <c r="AJ51" i="9" s="1"/>
  <c r="N59" i="27"/>
  <c r="O59" i="27" s="1"/>
  <c r="U59" i="27"/>
  <c r="V59" i="27" s="1"/>
  <c r="F93" i="1" l="1"/>
  <c r="AP56" i="40"/>
  <c r="AP54" i="9"/>
  <c r="AQ54" i="9" s="1"/>
  <c r="E69" i="1"/>
  <c r="AP56" i="30"/>
  <c r="AP54" i="17"/>
  <c r="AQ54" i="17" s="1"/>
  <c r="AP62" i="35"/>
  <c r="O53" i="15"/>
  <c r="E10" i="3" s="1"/>
  <c r="AP60" i="20"/>
  <c r="AQ60" i="20" s="1"/>
  <c r="AP52" i="14"/>
  <c r="AQ52" i="14" s="1"/>
  <c r="AP56" i="36"/>
  <c r="AQ56" i="36" s="1"/>
  <c r="AJ53" i="15"/>
  <c r="H10" i="3" s="1"/>
  <c r="AG60" i="34"/>
  <c r="AP60" i="34" s="1"/>
  <c r="AP60" i="25"/>
  <c r="AQ60" i="25" s="1"/>
  <c r="AQ53" i="15"/>
  <c r="I10" i="3" s="1"/>
  <c r="AP60" i="19"/>
  <c r="AQ60" i="19" s="1"/>
  <c r="AP54" i="22"/>
  <c r="AQ54" i="22" s="1"/>
  <c r="V53" i="15"/>
  <c r="F10" i="3" s="1"/>
  <c r="AP56" i="29"/>
  <c r="AQ56" i="29" s="1"/>
  <c r="AP62" i="28"/>
  <c r="AB62" i="41"/>
  <c r="AC62" i="41" s="1"/>
  <c r="N60" i="13"/>
  <c r="O60" i="13" s="1"/>
  <c r="AN62" i="26"/>
  <c r="AP62" i="26" s="1"/>
  <c r="AQ62" i="26" s="1"/>
  <c r="AP60" i="26"/>
  <c r="AQ60" i="26" s="1"/>
  <c r="N60" i="29"/>
  <c r="O60" i="29" s="1"/>
  <c r="L62" i="29"/>
  <c r="AI54" i="11"/>
  <c r="AJ54" i="11" s="1"/>
  <c r="AB54" i="23"/>
  <c r="AC54" i="23" s="1"/>
  <c r="AB62" i="39"/>
  <c r="AC62" i="39" s="1"/>
  <c r="AI62" i="31"/>
  <c r="AJ62" i="31" s="1"/>
  <c r="U60" i="12"/>
  <c r="V60" i="12" s="1"/>
  <c r="AG60" i="12"/>
  <c r="AI58" i="12"/>
  <c r="AJ58" i="12" s="1"/>
  <c r="AN60" i="16"/>
  <c r="AP60" i="16" s="1"/>
  <c r="AQ60" i="16" s="1"/>
  <c r="AP58" i="16"/>
  <c r="AQ58" i="16" s="1"/>
  <c r="AP58" i="14"/>
  <c r="AQ58" i="14" s="1"/>
  <c r="AN60" i="14"/>
  <c r="AP60" i="14" s="1"/>
  <c r="AQ60" i="14" s="1"/>
  <c r="U60" i="13"/>
  <c r="V60" i="13" s="1"/>
  <c r="AI62" i="25"/>
  <c r="AJ62" i="25" s="1"/>
  <c r="AB60" i="14"/>
  <c r="AC60" i="14" s="1"/>
  <c r="H54" i="22"/>
  <c r="H62" i="26"/>
  <c r="N62" i="26" s="1"/>
  <c r="O60" i="26"/>
  <c r="AP54" i="10"/>
  <c r="AQ54" i="10" s="1"/>
  <c r="U54" i="15"/>
  <c r="V54" i="15" s="1"/>
  <c r="D90" i="1"/>
  <c r="AB52" i="18"/>
  <c r="AC52" i="18" s="1"/>
  <c r="Z54" i="18"/>
  <c r="F36" i="1"/>
  <c r="AJ52" i="34"/>
  <c r="F37" i="1" s="1"/>
  <c r="AI56" i="26"/>
  <c r="AJ56" i="26" s="1"/>
  <c r="N62" i="27"/>
  <c r="O62" i="27" s="1"/>
  <c r="AB56" i="37"/>
  <c r="AC56" i="37" s="1"/>
  <c r="AB62" i="40"/>
  <c r="AC62" i="40" s="1"/>
  <c r="U62" i="40"/>
  <c r="V62" i="40" s="1"/>
  <c r="U56" i="38"/>
  <c r="V56" i="38" s="1"/>
  <c r="U62" i="27"/>
  <c r="V62" i="27" s="1"/>
  <c r="AB60" i="20"/>
  <c r="O54" i="9"/>
  <c r="AB60" i="17"/>
  <c r="AC60" i="17" s="1"/>
  <c r="AP54" i="33"/>
  <c r="AQ54" i="33" s="1"/>
  <c r="AN56" i="33"/>
  <c r="AP56" i="33" s="1"/>
  <c r="AQ56" i="33" s="1"/>
  <c r="V58" i="11"/>
  <c r="L60" i="11"/>
  <c r="U60" i="11" s="1"/>
  <c r="N58" i="11"/>
  <c r="O58" i="11" s="1"/>
  <c r="U62" i="41"/>
  <c r="V62" i="41" s="1"/>
  <c r="AG54" i="13"/>
  <c r="AI52" i="13"/>
  <c r="AJ52" i="13" s="1"/>
  <c r="N60" i="17"/>
  <c r="O60" i="17" s="1"/>
  <c r="AB62" i="33"/>
  <c r="AC62" i="33" s="1"/>
  <c r="AP58" i="11"/>
  <c r="AQ58" i="11" s="1"/>
  <c r="AN60" i="11"/>
  <c r="AP60" i="11" s="1"/>
  <c r="AQ60" i="11" s="1"/>
  <c r="N56" i="25"/>
  <c r="O56" i="25" s="1"/>
  <c r="N54" i="24"/>
  <c r="U56" i="30"/>
  <c r="V56" i="30" s="1"/>
  <c r="N60" i="31"/>
  <c r="O60" i="31" s="1"/>
  <c r="L62" i="31"/>
  <c r="AN56" i="34"/>
  <c r="N58" i="22"/>
  <c r="O58" i="22" s="1"/>
  <c r="L60" i="22"/>
  <c r="U60" i="22" s="1"/>
  <c r="AG60" i="22"/>
  <c r="AI58" i="22"/>
  <c r="AJ58" i="22" s="1"/>
  <c r="N54" i="18"/>
  <c r="O54" i="18" s="1"/>
  <c r="AI60" i="17"/>
  <c r="AJ60" i="17" s="1"/>
  <c r="H56" i="39"/>
  <c r="AI54" i="22"/>
  <c r="AJ54" i="22" s="1"/>
  <c r="AI54" i="19"/>
  <c r="AJ54" i="19" s="1"/>
  <c r="AP60" i="36"/>
  <c r="AQ60" i="36" s="1"/>
  <c r="AN62" i="36"/>
  <c r="AP62" i="36" s="1"/>
  <c r="AQ62" i="36" s="1"/>
  <c r="U62" i="30"/>
  <c r="V62" i="30" s="1"/>
  <c r="AI60" i="20"/>
  <c r="AJ60" i="20" s="1"/>
  <c r="N62" i="30"/>
  <c r="O62" i="30" s="1"/>
  <c r="U62" i="38"/>
  <c r="V62" i="38" s="1"/>
  <c r="N62" i="37"/>
  <c r="O62" i="37" s="1"/>
  <c r="N54" i="15"/>
  <c r="O54" i="15" s="1"/>
  <c r="C90" i="1"/>
  <c r="N54" i="12"/>
  <c r="N62" i="40"/>
  <c r="O62" i="40" s="1"/>
  <c r="AI56" i="39"/>
  <c r="AJ56" i="39" s="1"/>
  <c r="AP52" i="12"/>
  <c r="AQ52" i="12" s="1"/>
  <c r="AN54" i="12"/>
  <c r="AP54" i="12" s="1"/>
  <c r="AQ54" i="12" s="1"/>
  <c r="H54" i="14"/>
  <c r="N54" i="14" s="1"/>
  <c r="AB60" i="10"/>
  <c r="AC60" i="10" s="1"/>
  <c r="AI60" i="24"/>
  <c r="AJ60" i="24" s="1"/>
  <c r="AI62" i="40"/>
  <c r="AJ62" i="40" s="1"/>
  <c r="H56" i="40"/>
  <c r="AJ58" i="15"/>
  <c r="AB58" i="15"/>
  <c r="AC58" i="15" s="1"/>
  <c r="Z60" i="15"/>
  <c r="AI60" i="15" s="1"/>
  <c r="AN60" i="15"/>
  <c r="AP60" i="15" s="1"/>
  <c r="AQ60" i="15" s="1"/>
  <c r="AP58" i="15"/>
  <c r="AQ58" i="15" s="1"/>
  <c r="S62" i="29"/>
  <c r="U60" i="29"/>
  <c r="V60" i="29" s="1"/>
  <c r="AP54" i="21"/>
  <c r="AQ54" i="21" s="1"/>
  <c r="AI56" i="38"/>
  <c r="AJ56" i="38" s="1"/>
  <c r="N60" i="21"/>
  <c r="O60" i="21" s="1"/>
  <c r="AI54" i="24"/>
  <c r="AJ54" i="24" s="1"/>
  <c r="U62" i="25"/>
  <c r="V62" i="25" s="1"/>
  <c r="AN62" i="27"/>
  <c r="AP60" i="27"/>
  <c r="AQ60" i="27" s="1"/>
  <c r="AN54" i="24"/>
  <c r="AP54" i="24" s="1"/>
  <c r="AQ54" i="24" s="1"/>
  <c r="AP52" i="24"/>
  <c r="AQ52" i="24" s="1"/>
  <c r="AB60" i="27"/>
  <c r="AC60" i="27" s="1"/>
  <c r="Z62" i="27"/>
  <c r="Z60" i="16"/>
  <c r="AI60" i="16" s="1"/>
  <c r="AB58" i="16"/>
  <c r="AC58" i="16" s="1"/>
  <c r="AP60" i="30"/>
  <c r="AQ60" i="30" s="1"/>
  <c r="AN62" i="30"/>
  <c r="AJ58" i="19"/>
  <c r="AB58" i="19"/>
  <c r="AC58" i="19" s="1"/>
  <c r="Z60" i="19"/>
  <c r="AQ53" i="34"/>
  <c r="AI53" i="34"/>
  <c r="AJ53" i="34" s="1"/>
  <c r="AB54" i="11"/>
  <c r="AC54" i="11" s="1"/>
  <c r="AB54" i="21"/>
  <c r="AC54" i="21" s="1"/>
  <c r="AB60" i="29"/>
  <c r="AC60" i="29" s="1"/>
  <c r="U56" i="34"/>
  <c r="F34" i="3" s="1"/>
  <c r="N62" i="36"/>
  <c r="O62" i="36" s="1"/>
  <c r="AB54" i="14"/>
  <c r="AC54" i="14" s="1"/>
  <c r="U60" i="23"/>
  <c r="V60" i="23" s="1"/>
  <c r="Z60" i="13"/>
  <c r="AB58" i="13"/>
  <c r="AC58" i="13" s="1"/>
  <c r="AI55" i="41"/>
  <c r="AJ55" i="41" s="1"/>
  <c r="U62" i="39"/>
  <c r="V62" i="39" s="1"/>
  <c r="N54" i="33"/>
  <c r="O54" i="33" s="1"/>
  <c r="L56" i="33"/>
  <c r="U56" i="41"/>
  <c r="V56" i="41" s="1"/>
  <c r="N62" i="38"/>
  <c r="O62" i="38" s="1"/>
  <c r="U60" i="26"/>
  <c r="V60" i="26" s="1"/>
  <c r="S62" i="26"/>
  <c r="H56" i="36"/>
  <c r="N56" i="36" s="1"/>
  <c r="N60" i="20"/>
  <c r="O60" i="20" s="1"/>
  <c r="AP54" i="26"/>
  <c r="AQ54" i="26" s="1"/>
  <c r="AN56" i="26"/>
  <c r="AP56" i="26" s="1"/>
  <c r="AQ56" i="26" s="1"/>
  <c r="N54" i="39"/>
  <c r="O54" i="39" s="1"/>
  <c r="L56" i="39"/>
  <c r="AP52" i="15"/>
  <c r="AQ52" i="15" s="1"/>
  <c r="AN54" i="15"/>
  <c r="L62" i="34"/>
  <c r="N60" i="34"/>
  <c r="O60" i="34" s="1"/>
  <c r="AN56" i="35"/>
  <c r="AP56" i="35" s="1"/>
  <c r="AQ56" i="35" s="1"/>
  <c r="AP54" i="35"/>
  <c r="AQ54" i="35" s="1"/>
  <c r="AI56" i="36"/>
  <c r="AJ56" i="36" s="1"/>
  <c r="AP62" i="25"/>
  <c r="AQ62" i="25" s="1"/>
  <c r="Z62" i="26"/>
  <c r="AI62" i="26" s="1"/>
  <c r="AB60" i="26"/>
  <c r="AC60" i="26" s="1"/>
  <c r="AB60" i="38"/>
  <c r="AC60" i="38" s="1"/>
  <c r="Z62" i="38"/>
  <c r="AJ60" i="38"/>
  <c r="Z54" i="16"/>
  <c r="AI54" i="16" s="1"/>
  <c r="AB52" i="16"/>
  <c r="AC52" i="16" s="1"/>
  <c r="AB54" i="41"/>
  <c r="AC54" i="41" s="1"/>
  <c r="Z56" i="41"/>
  <c r="AI56" i="41" s="1"/>
  <c r="AJ54" i="41"/>
  <c r="H60" i="15"/>
  <c r="N60" i="15" s="1"/>
  <c r="O58" i="15"/>
  <c r="AG54" i="34"/>
  <c r="AP54" i="34" s="1"/>
  <c r="AN62" i="37"/>
  <c r="AP62" i="37" s="1"/>
  <c r="AQ62" i="37" s="1"/>
  <c r="AI54" i="12"/>
  <c r="AJ54" i="12" s="1"/>
  <c r="U60" i="31"/>
  <c r="V60" i="31" s="1"/>
  <c r="AI54" i="9"/>
  <c r="AJ54" i="9" s="1"/>
  <c r="U62" i="32"/>
  <c r="V62" i="32" s="1"/>
  <c r="U54" i="20"/>
  <c r="F19" i="3" s="1"/>
  <c r="N56" i="34"/>
  <c r="E34" i="3" s="1"/>
  <c r="AP58" i="22"/>
  <c r="AQ58" i="22" s="1"/>
  <c r="AN60" i="22"/>
  <c r="G93" i="1"/>
  <c r="G69" i="1"/>
  <c r="U60" i="24"/>
  <c r="AB62" i="31"/>
  <c r="AC62" i="31" s="1"/>
  <c r="AI54" i="21"/>
  <c r="AJ54" i="21" s="1"/>
  <c r="AI60" i="21"/>
  <c r="AJ60" i="21" s="1"/>
  <c r="Z62" i="36"/>
  <c r="AI62" i="36" s="1"/>
  <c r="AB60" i="36"/>
  <c r="AC60" i="36" s="1"/>
  <c r="AP60" i="39"/>
  <c r="AQ60" i="39" s="1"/>
  <c r="AN62" i="39"/>
  <c r="AP62" i="39" s="1"/>
  <c r="AQ62" i="39" s="1"/>
  <c r="U56" i="27"/>
  <c r="F24" i="3" s="1"/>
  <c r="AB56" i="26"/>
  <c r="AC56" i="26" s="1"/>
  <c r="U56" i="31"/>
  <c r="V56" i="31" s="1"/>
  <c r="AB56" i="34"/>
  <c r="G34" i="3" s="1"/>
  <c r="U60" i="16"/>
  <c r="V60" i="16" s="1"/>
  <c r="AI58" i="10"/>
  <c r="AJ58" i="10" s="1"/>
  <c r="AG60" i="10"/>
  <c r="AP60" i="10" s="1"/>
  <c r="AQ61" i="34"/>
  <c r="AI61" i="34"/>
  <c r="T9" i="3"/>
  <c r="T10" i="3" s="1"/>
  <c r="Z60" i="9"/>
  <c r="AJ58" i="9"/>
  <c r="AB58" i="9"/>
  <c r="AC58" i="9" s="1"/>
  <c r="U56" i="36"/>
  <c r="V56" i="36" s="1"/>
  <c r="U54" i="33"/>
  <c r="V54" i="33" s="1"/>
  <c r="AC54" i="33"/>
  <c r="S56" i="33"/>
  <c r="AB56" i="33" s="1"/>
  <c r="AP52" i="18"/>
  <c r="AQ52" i="18" s="1"/>
  <c r="AN54" i="18"/>
  <c r="N58" i="19"/>
  <c r="O58" i="19" s="1"/>
  <c r="V58" i="19"/>
  <c r="L60" i="19"/>
  <c r="H56" i="37"/>
  <c r="AP54" i="14"/>
  <c r="AQ54" i="14" s="1"/>
  <c r="U56" i="29"/>
  <c r="V56" i="29" s="1"/>
  <c r="U62" i="33"/>
  <c r="V62" i="33" s="1"/>
  <c r="AB60" i="37"/>
  <c r="AC60" i="37" s="1"/>
  <c r="Z62" i="37"/>
  <c r="AB56" i="35"/>
  <c r="AC56" i="35" s="1"/>
  <c r="N54" i="16"/>
  <c r="O54" i="16" s="1"/>
  <c r="U60" i="17"/>
  <c r="V60" i="17" s="1"/>
  <c r="AI56" i="28"/>
  <c r="AJ56" i="28" s="1"/>
  <c r="AP54" i="38"/>
  <c r="AQ54" i="38" s="1"/>
  <c r="AN56" i="38"/>
  <c r="AP56" i="38" s="1"/>
  <c r="AQ56" i="38" s="1"/>
  <c r="AP54" i="37"/>
  <c r="AQ54" i="37" s="1"/>
  <c r="AN56" i="37"/>
  <c r="AP56" i="37" s="1"/>
  <c r="AQ56" i="37" s="1"/>
  <c r="V54" i="28"/>
  <c r="N54" i="28"/>
  <c r="O54" i="28" s="1"/>
  <c r="L56" i="28"/>
  <c r="U56" i="28" s="1"/>
  <c r="AB60" i="24"/>
  <c r="AC60" i="24" s="1"/>
  <c r="U54" i="24"/>
  <c r="V54" i="24" s="1"/>
  <c r="AN56" i="41"/>
  <c r="AP56" i="41" s="1"/>
  <c r="AQ56" i="41" s="1"/>
  <c r="AP54" i="41"/>
  <c r="AQ54" i="41" s="1"/>
  <c r="N54" i="9"/>
  <c r="N60" i="9"/>
  <c r="O60" i="9" s="1"/>
  <c r="N54" i="21"/>
  <c r="O54" i="21" s="1"/>
  <c r="AI62" i="28"/>
  <c r="AJ62" i="28" s="1"/>
  <c r="AQ62" i="28"/>
  <c r="U60" i="15"/>
  <c r="V60" i="15" s="1"/>
  <c r="U54" i="14"/>
  <c r="V54" i="14" s="1"/>
  <c r="AI54" i="17"/>
  <c r="AJ54" i="17" s="1"/>
  <c r="N62" i="25"/>
  <c r="O62" i="25" s="1"/>
  <c r="AB62" i="25"/>
  <c r="AC62" i="25" s="1"/>
  <c r="U60" i="18"/>
  <c r="V60" i="18" s="1"/>
  <c r="AI54" i="23"/>
  <c r="AJ54" i="23" s="1"/>
  <c r="AI60" i="11"/>
  <c r="AJ60" i="11" s="1"/>
  <c r="AI56" i="37"/>
  <c r="AJ56" i="37" s="1"/>
  <c r="N54" i="37"/>
  <c r="O54" i="37" s="1"/>
  <c r="V54" i="37"/>
  <c r="L56" i="37"/>
  <c r="U56" i="37" s="1"/>
  <c r="AP58" i="9"/>
  <c r="AQ58" i="9" s="1"/>
  <c r="AN60" i="9"/>
  <c r="AP60" i="9" s="1"/>
  <c r="AQ60" i="9" s="1"/>
  <c r="U54" i="21"/>
  <c r="V54" i="21" s="1"/>
  <c r="N54" i="36"/>
  <c r="O54" i="36" s="1"/>
  <c r="AN60" i="12"/>
  <c r="AP58" i="12"/>
  <c r="AQ58" i="12" s="1"/>
  <c r="AI52" i="20"/>
  <c r="AJ52" i="20" s="1"/>
  <c r="AG54" i="20"/>
  <c r="AB54" i="24"/>
  <c r="AC54" i="24" s="1"/>
  <c r="N60" i="23"/>
  <c r="O60" i="23" s="1"/>
  <c r="AN60" i="24"/>
  <c r="AP60" i="24" s="1"/>
  <c r="AQ60" i="24" s="1"/>
  <c r="AP58" i="24"/>
  <c r="AQ58" i="24" s="1"/>
  <c r="N52" i="14"/>
  <c r="O52" i="14" s="1"/>
  <c r="U54" i="18"/>
  <c r="V54" i="18" s="1"/>
  <c r="AB56" i="31"/>
  <c r="AC56" i="31" s="1"/>
  <c r="U54" i="23"/>
  <c r="V54" i="23" s="1"/>
  <c r="N56" i="29"/>
  <c r="O56" i="29" s="1"/>
  <c r="AB54" i="20"/>
  <c r="G19" i="3" s="1"/>
  <c r="AI56" i="33"/>
  <c r="AJ56" i="33" s="1"/>
  <c r="N54" i="20"/>
  <c r="E19" i="3" s="1"/>
  <c r="N54" i="17"/>
  <c r="O54" i="17" s="1"/>
  <c r="AB60" i="12"/>
  <c r="AC60" i="12" s="1"/>
  <c r="AN54" i="20"/>
  <c r="AP52" i="20"/>
  <c r="AQ52" i="20" s="1"/>
  <c r="AB60" i="22"/>
  <c r="AC60" i="22" s="1"/>
  <c r="O54" i="12"/>
  <c r="N56" i="38"/>
  <c r="O56" i="38" s="1"/>
  <c r="AI56" i="29"/>
  <c r="AJ56" i="29" s="1"/>
  <c r="U62" i="37"/>
  <c r="V62" i="37" s="1"/>
  <c r="AQ54" i="32"/>
  <c r="AI54" i="32"/>
  <c r="AJ54" i="32" s="1"/>
  <c r="AG56" i="32"/>
  <c r="AP56" i="32" s="1"/>
  <c r="I29" i="3" s="1"/>
  <c r="O58" i="12"/>
  <c r="H60" i="12"/>
  <c r="N60" i="12" s="1"/>
  <c r="AI60" i="37"/>
  <c r="AJ60" i="37" s="1"/>
  <c r="AI59" i="34"/>
  <c r="AJ59" i="34" s="1"/>
  <c r="AQ59" i="34"/>
  <c r="N62" i="33"/>
  <c r="O62" i="33" s="1"/>
  <c r="AN54" i="16"/>
  <c r="AP54" i="16" s="1"/>
  <c r="AQ54" i="16" s="1"/>
  <c r="AP52" i="16"/>
  <c r="AQ52" i="16" s="1"/>
  <c r="AN54" i="23"/>
  <c r="AP54" i="23" s="1"/>
  <c r="AQ54" i="23" s="1"/>
  <c r="AP52" i="23"/>
  <c r="AQ52" i="23" s="1"/>
  <c r="N56" i="30"/>
  <c r="O56" i="30" s="1"/>
  <c r="AB62" i="30"/>
  <c r="AC62" i="30" s="1"/>
  <c r="AP54" i="19"/>
  <c r="AQ54" i="19" s="1"/>
  <c r="AB54" i="15"/>
  <c r="AC54" i="15" s="1"/>
  <c r="E90" i="1"/>
  <c r="N62" i="39"/>
  <c r="O62" i="39" s="1"/>
  <c r="N60" i="14"/>
  <c r="O60" i="14" s="1"/>
  <c r="AB52" i="10"/>
  <c r="AC52" i="10" s="1"/>
  <c r="Z54" i="10"/>
  <c r="AI54" i="10" s="1"/>
  <c r="AJ52" i="10"/>
  <c r="AI58" i="18"/>
  <c r="AJ58" i="18" s="1"/>
  <c r="AG60" i="18"/>
  <c r="H54" i="23"/>
  <c r="N54" i="23" s="1"/>
  <c r="AG62" i="29"/>
  <c r="AP62" i="29" s="1"/>
  <c r="AI60" i="29"/>
  <c r="AJ60" i="29" s="1"/>
  <c r="AI55" i="34"/>
  <c r="AQ55" i="34"/>
  <c r="AP60" i="41"/>
  <c r="AQ60" i="41" s="1"/>
  <c r="AB56" i="36"/>
  <c r="AC56" i="36" s="1"/>
  <c r="N56" i="41"/>
  <c r="O56" i="41" s="1"/>
  <c r="AI54" i="14"/>
  <c r="AJ54" i="14" s="1"/>
  <c r="AI60" i="14"/>
  <c r="AJ60" i="14" s="1"/>
  <c r="AN54" i="13"/>
  <c r="AP52" i="13"/>
  <c r="AQ52" i="13" s="1"/>
  <c r="AL61" i="41"/>
  <c r="AN61" i="41" s="1"/>
  <c r="AG61" i="41"/>
  <c r="U60" i="9"/>
  <c r="V60" i="9" s="1"/>
  <c r="S54" i="19"/>
  <c r="AB54" i="19" s="1"/>
  <c r="AC52" i="19"/>
  <c r="U52" i="19"/>
  <c r="V52" i="19" s="1"/>
  <c r="AN62" i="33"/>
  <c r="AP62" i="33" s="1"/>
  <c r="AQ62" i="33" s="1"/>
  <c r="AP60" i="33"/>
  <c r="AQ60" i="33" s="1"/>
  <c r="AP55" i="34"/>
  <c r="O58" i="10"/>
  <c r="H60" i="10"/>
  <c r="N60" i="10" s="1"/>
  <c r="AN60" i="13"/>
  <c r="AP58" i="13"/>
  <c r="AQ58" i="13" s="1"/>
  <c r="AB56" i="38"/>
  <c r="AC56" i="38" s="1"/>
  <c r="AI56" i="27"/>
  <c r="H24" i="3" s="1"/>
  <c r="N62" i="32"/>
  <c r="O62" i="32" s="1"/>
  <c r="S56" i="39"/>
  <c r="U54" i="39"/>
  <c r="V54" i="39" s="1"/>
  <c r="AC54" i="39"/>
  <c r="AI60" i="30"/>
  <c r="AJ60" i="30" s="1"/>
  <c r="AG62" i="30"/>
  <c r="AB60" i="11"/>
  <c r="AC60" i="11" s="1"/>
  <c r="AB60" i="18"/>
  <c r="AC60" i="18" s="1"/>
  <c r="AI52" i="18"/>
  <c r="AJ52" i="18" s="1"/>
  <c r="AG54" i="18"/>
  <c r="L56" i="35"/>
  <c r="U56" i="35" s="1"/>
  <c r="V54" i="35"/>
  <c r="N54" i="35"/>
  <c r="O54" i="35" s="1"/>
  <c r="N52" i="11"/>
  <c r="O52" i="11" s="1"/>
  <c r="L54" i="11"/>
  <c r="U54" i="11" s="1"/>
  <c r="V52" i="11"/>
  <c r="N52" i="23"/>
  <c r="O52" i="23" s="1"/>
  <c r="AB54" i="17"/>
  <c r="AC54" i="17" s="1"/>
  <c r="L54" i="13"/>
  <c r="N52" i="13"/>
  <c r="O52" i="13" s="1"/>
  <c r="AB60" i="23"/>
  <c r="AC60" i="23" s="1"/>
  <c r="AP58" i="23"/>
  <c r="AQ58" i="23" s="1"/>
  <c r="AN60" i="23"/>
  <c r="AP60" i="23" s="1"/>
  <c r="AQ60" i="23" s="1"/>
  <c r="U60" i="10"/>
  <c r="V60" i="10" s="1"/>
  <c r="V54" i="40"/>
  <c r="N54" i="40"/>
  <c r="O54" i="40" s="1"/>
  <c r="L56" i="40"/>
  <c r="U56" i="40" s="1"/>
  <c r="AI60" i="23"/>
  <c r="AJ60" i="23" s="1"/>
  <c r="AC60" i="20"/>
  <c r="U60" i="20"/>
  <c r="V60" i="20" s="1"/>
  <c r="B90" i="1"/>
  <c r="AP62" i="31"/>
  <c r="AQ62" i="31" s="1"/>
  <c r="AP61" i="34"/>
  <c r="AP54" i="27"/>
  <c r="AQ54" i="27" s="1"/>
  <c r="AN56" i="27"/>
  <c r="AP56" i="27" s="1"/>
  <c r="I24" i="3" s="1"/>
  <c r="AC60" i="35"/>
  <c r="S62" i="35"/>
  <c r="AB62" i="35" s="1"/>
  <c r="U60" i="35"/>
  <c r="V60" i="35" s="1"/>
  <c r="U58" i="22"/>
  <c r="V58" i="22" s="1"/>
  <c r="AC60" i="34"/>
  <c r="U60" i="34"/>
  <c r="V60" i="34" s="1"/>
  <c r="S62" i="34"/>
  <c r="U52" i="12"/>
  <c r="V52" i="12" s="1"/>
  <c r="S54" i="12"/>
  <c r="AB54" i="12" s="1"/>
  <c r="AC52" i="12"/>
  <c r="AC53" i="15"/>
  <c r="G10" i="3" s="1"/>
  <c r="N62" i="35"/>
  <c r="O62" i="35" s="1"/>
  <c r="U54" i="32"/>
  <c r="V54" i="32" s="1"/>
  <c r="AC54" i="32"/>
  <c r="S56" i="32"/>
  <c r="AB56" i="32" s="1"/>
  <c r="G29" i="3" s="1"/>
  <c r="AP54" i="39"/>
  <c r="AQ54" i="39" s="1"/>
  <c r="AN56" i="39"/>
  <c r="AP56" i="39" s="1"/>
  <c r="AQ56" i="39" s="1"/>
  <c r="AQ56" i="30"/>
  <c r="AP58" i="10"/>
  <c r="AQ58" i="10" s="1"/>
  <c r="AB56" i="29"/>
  <c r="AC56" i="29" s="1"/>
  <c r="AI60" i="36"/>
  <c r="AJ60" i="36" s="1"/>
  <c r="AI58" i="16"/>
  <c r="AJ58" i="16" s="1"/>
  <c r="N56" i="31"/>
  <c r="O56" i="31" s="1"/>
  <c r="AI60" i="26"/>
  <c r="AJ60" i="26" s="1"/>
  <c r="AP60" i="21"/>
  <c r="AQ60" i="21" s="1"/>
  <c r="U62" i="28"/>
  <c r="V62" i="28" s="1"/>
  <c r="AI62" i="39"/>
  <c r="AJ62" i="39" s="1"/>
  <c r="H54" i="10"/>
  <c r="O52" i="10"/>
  <c r="N56" i="27"/>
  <c r="E24" i="3" s="1"/>
  <c r="U54" i="16"/>
  <c r="V54" i="16" s="1"/>
  <c r="U52" i="22"/>
  <c r="V52" i="22" s="1"/>
  <c r="AC52" i="22"/>
  <c r="S54" i="22"/>
  <c r="AB54" i="30"/>
  <c r="AC54" i="30" s="1"/>
  <c r="AJ54" i="30"/>
  <c r="Z56" i="30"/>
  <c r="AI56" i="30" s="1"/>
  <c r="AI62" i="32"/>
  <c r="AJ62" i="32" s="1"/>
  <c r="AB61" i="41"/>
  <c r="AC61" i="41" s="1"/>
  <c r="AI56" i="35"/>
  <c r="AJ56" i="35" s="1"/>
  <c r="U52" i="10"/>
  <c r="V52" i="10" s="1"/>
  <c r="S54" i="10"/>
  <c r="U54" i="17"/>
  <c r="V54" i="17" s="1"/>
  <c r="N60" i="16"/>
  <c r="O60" i="16" s="1"/>
  <c r="AQ54" i="25"/>
  <c r="AG56" i="25"/>
  <c r="AI54" i="25"/>
  <c r="AJ54" i="25" s="1"/>
  <c r="AB54" i="13"/>
  <c r="AC54" i="13" s="1"/>
  <c r="S56" i="25"/>
  <c r="AB56" i="25" s="1"/>
  <c r="AC54" i="25"/>
  <c r="U54" i="25"/>
  <c r="V54" i="25" s="1"/>
  <c r="N54" i="19"/>
  <c r="O54" i="19" s="1"/>
  <c r="AI54" i="15"/>
  <c r="AJ54" i="15" s="1"/>
  <c r="F90" i="1"/>
  <c r="N60" i="24"/>
  <c r="O60" i="24" s="1"/>
  <c r="V60" i="24"/>
  <c r="AB56" i="40"/>
  <c r="AC56" i="40" s="1"/>
  <c r="AN56" i="28"/>
  <c r="AP56" i="28" s="1"/>
  <c r="AQ56" i="28" s="1"/>
  <c r="AP54" i="28"/>
  <c r="AQ54" i="28" s="1"/>
  <c r="AN60" i="18"/>
  <c r="AP58" i="18"/>
  <c r="AQ58" i="18" s="1"/>
  <c r="AN62" i="38"/>
  <c r="AP62" i="38" s="1"/>
  <c r="AQ62" i="38" s="1"/>
  <c r="AP60" i="38"/>
  <c r="AQ60" i="38" s="1"/>
  <c r="AP60" i="29"/>
  <c r="AQ60" i="29" s="1"/>
  <c r="L54" i="22"/>
  <c r="N52" i="22"/>
  <c r="O52" i="22" s="1"/>
  <c r="AB56" i="28"/>
  <c r="AC56" i="28" s="1"/>
  <c r="AI56" i="31"/>
  <c r="AJ56" i="31" s="1"/>
  <c r="AI62" i="33"/>
  <c r="AJ62" i="33" s="1"/>
  <c r="U62" i="36"/>
  <c r="V62" i="36" s="1"/>
  <c r="AC52" i="9"/>
  <c r="U52" i="9"/>
  <c r="V52" i="9" s="1"/>
  <c r="S54" i="9"/>
  <c r="AB54" i="9" s="1"/>
  <c r="AB62" i="32"/>
  <c r="AC62" i="32" s="1"/>
  <c r="U60" i="14"/>
  <c r="V60" i="14" s="1"/>
  <c r="AB56" i="27"/>
  <c r="G24" i="3" s="1"/>
  <c r="AJ56" i="27"/>
  <c r="H25" i="3" s="1"/>
  <c r="O54" i="24"/>
  <c r="AP55" i="41"/>
  <c r="AQ55" i="41" s="1"/>
  <c r="N60" i="18"/>
  <c r="O60" i="18" s="1"/>
  <c r="N62" i="28"/>
  <c r="O62" i="28" s="1"/>
  <c r="AP62" i="40"/>
  <c r="AQ62" i="40" s="1"/>
  <c r="U52" i="13"/>
  <c r="V52" i="13" s="1"/>
  <c r="N56" i="26"/>
  <c r="O56" i="26" s="1"/>
  <c r="S60" i="21"/>
  <c r="AB60" i="21" s="1"/>
  <c r="U58" i="21"/>
  <c r="V58" i="21" s="1"/>
  <c r="AC58" i="21"/>
  <c r="D69" i="1"/>
  <c r="D93" i="1"/>
  <c r="AN60" i="17"/>
  <c r="AP60" i="17" s="1"/>
  <c r="AQ60" i="17" s="1"/>
  <c r="AP58" i="17"/>
  <c r="AQ58" i="17" s="1"/>
  <c r="AP56" i="31"/>
  <c r="AQ56" i="31" s="1"/>
  <c r="AI58" i="13"/>
  <c r="AJ58" i="13" s="1"/>
  <c r="AG60" i="13"/>
  <c r="O54" i="32"/>
  <c r="H56" i="32"/>
  <c r="AG62" i="27"/>
  <c r="AI60" i="27"/>
  <c r="AJ60" i="27" s="1"/>
  <c r="U56" i="26"/>
  <c r="V56" i="26" s="1"/>
  <c r="AB62" i="28"/>
  <c r="AC62" i="28" s="1"/>
  <c r="AP62" i="32"/>
  <c r="AQ62" i="32" s="1"/>
  <c r="AI52" i="16"/>
  <c r="AJ52" i="16" s="1"/>
  <c r="AP54" i="11"/>
  <c r="AQ54" i="11" s="1"/>
  <c r="AI56" i="40"/>
  <c r="AJ56" i="40" s="1"/>
  <c r="AQ56" i="40"/>
  <c r="N62" i="41"/>
  <c r="O62" i="41" s="1"/>
  <c r="AI62" i="35"/>
  <c r="AJ62" i="35" s="1"/>
  <c r="AQ62" i="35"/>
  <c r="AQ56" i="27" l="1"/>
  <c r="I25" i="3" s="1"/>
  <c r="O56" i="27"/>
  <c r="E25" i="3" s="1"/>
  <c r="E91" i="1"/>
  <c r="E92" i="1" s="1"/>
  <c r="V54" i="20"/>
  <c r="F20" i="3" s="1"/>
  <c r="AG62" i="34"/>
  <c r="AI62" i="34" s="1"/>
  <c r="AJ62" i="34" s="1"/>
  <c r="U10" i="3"/>
  <c r="U9" i="3"/>
  <c r="AP54" i="13"/>
  <c r="V56" i="27"/>
  <c r="F25" i="3" s="1"/>
  <c r="AP62" i="27"/>
  <c r="AQ62" i="27" s="1"/>
  <c r="AP54" i="18"/>
  <c r="AQ54" i="18" s="1"/>
  <c r="AP60" i="18"/>
  <c r="AQ60" i="18" s="1"/>
  <c r="AI60" i="34"/>
  <c r="AJ60" i="34" s="1"/>
  <c r="AQ60" i="34"/>
  <c r="AC54" i="20"/>
  <c r="G20" i="3" s="1"/>
  <c r="D91" i="1"/>
  <c r="D92" i="1" s="1"/>
  <c r="AP60" i="12"/>
  <c r="AQ60" i="12" s="1"/>
  <c r="N54" i="13"/>
  <c r="O54" i="13" s="1"/>
  <c r="O60" i="15"/>
  <c r="O56" i="34"/>
  <c r="E35" i="3" s="1"/>
  <c r="AB62" i="27"/>
  <c r="AC62" i="27" s="1"/>
  <c r="AC54" i="22"/>
  <c r="U54" i="22"/>
  <c r="V54" i="22" s="1"/>
  <c r="AP60" i="13"/>
  <c r="AQ60" i="13" s="1"/>
  <c r="AI61" i="41"/>
  <c r="AJ61" i="41" s="1"/>
  <c r="AG62" i="41"/>
  <c r="AI60" i="18"/>
  <c r="AJ60" i="18" s="1"/>
  <c r="AP54" i="15"/>
  <c r="AQ54" i="15" s="1"/>
  <c r="G90" i="1"/>
  <c r="G91" i="1" s="1"/>
  <c r="G92" i="1" s="1"/>
  <c r="N56" i="33"/>
  <c r="O56" i="33" s="1"/>
  <c r="AB62" i="38"/>
  <c r="AC62" i="38" s="1"/>
  <c r="AI60" i="13"/>
  <c r="AJ60" i="13" s="1"/>
  <c r="F91" i="1"/>
  <c r="F92" i="1" s="1"/>
  <c r="U54" i="12"/>
  <c r="V54" i="12" s="1"/>
  <c r="AC54" i="12"/>
  <c r="O60" i="10"/>
  <c r="AP61" i="41"/>
  <c r="AQ61" i="41" s="1"/>
  <c r="N56" i="28"/>
  <c r="O56" i="28" s="1"/>
  <c r="V56" i="28"/>
  <c r="AJ56" i="41"/>
  <c r="AB56" i="41"/>
  <c r="AC56" i="41" s="1"/>
  <c r="AQ54" i="13"/>
  <c r="AI54" i="13"/>
  <c r="AJ54" i="13" s="1"/>
  <c r="N62" i="29"/>
  <c r="O62" i="29" s="1"/>
  <c r="N56" i="32"/>
  <c r="E29" i="3" s="1"/>
  <c r="AI56" i="25"/>
  <c r="AJ56" i="25" s="1"/>
  <c r="AN62" i="41"/>
  <c r="AP56" i="25"/>
  <c r="AQ56" i="25" s="1"/>
  <c r="O56" i="36"/>
  <c r="O54" i="20"/>
  <c r="E20" i="3" s="1"/>
  <c r="U62" i="34"/>
  <c r="V62" i="34" s="1"/>
  <c r="N60" i="19"/>
  <c r="O60" i="19" s="1"/>
  <c r="AB60" i="19"/>
  <c r="AC60" i="19" s="1"/>
  <c r="N62" i="31"/>
  <c r="O62" i="31" s="1"/>
  <c r="AC54" i="9"/>
  <c r="U54" i="9"/>
  <c r="V54" i="9" s="1"/>
  <c r="AB62" i="37"/>
  <c r="AC62" i="37" s="1"/>
  <c r="AJ62" i="36"/>
  <c r="AB62" i="36"/>
  <c r="AC62" i="36" s="1"/>
  <c r="AB62" i="34"/>
  <c r="AC62" i="34" s="1"/>
  <c r="O60" i="12"/>
  <c r="AB60" i="9"/>
  <c r="AC60" i="9" s="1"/>
  <c r="AP60" i="22"/>
  <c r="AQ60" i="22" s="1"/>
  <c r="AB54" i="16"/>
  <c r="AC54" i="16" s="1"/>
  <c r="AJ54" i="16"/>
  <c r="U62" i="29"/>
  <c r="V62" i="29" s="1"/>
  <c r="O62" i="26"/>
  <c r="N56" i="39"/>
  <c r="O56" i="39" s="1"/>
  <c r="U62" i="26"/>
  <c r="V62" i="26" s="1"/>
  <c r="N54" i="11"/>
  <c r="O54" i="11" s="1"/>
  <c r="V54" i="11"/>
  <c r="U60" i="21"/>
  <c r="V60" i="21" s="1"/>
  <c r="AC60" i="21"/>
  <c r="AC56" i="32"/>
  <c r="G30" i="3" s="1"/>
  <c r="U56" i="32"/>
  <c r="U54" i="13"/>
  <c r="V54" i="13" s="1"/>
  <c r="T24" i="3"/>
  <c r="T25" i="3" s="1"/>
  <c r="U25" i="3" s="1"/>
  <c r="AB54" i="22"/>
  <c r="AC56" i="34"/>
  <c r="G35" i="3" s="1"/>
  <c r="AP62" i="30"/>
  <c r="AQ62" i="30" s="1"/>
  <c r="AB62" i="29"/>
  <c r="AC62" i="29" s="1"/>
  <c r="N60" i="11"/>
  <c r="O60" i="11" s="1"/>
  <c r="V60" i="11"/>
  <c r="AI60" i="22"/>
  <c r="AJ60" i="22" s="1"/>
  <c r="AC56" i="25"/>
  <c r="U56" i="25"/>
  <c r="V56" i="25" s="1"/>
  <c r="U54" i="10"/>
  <c r="V54" i="10" s="1"/>
  <c r="AC62" i="35"/>
  <c r="U62" i="35"/>
  <c r="V62" i="35" s="1"/>
  <c r="AI62" i="30"/>
  <c r="AJ62" i="30" s="1"/>
  <c r="U54" i="19"/>
  <c r="V54" i="19" s="1"/>
  <c r="AC54" i="19"/>
  <c r="AQ62" i="29"/>
  <c r="AI62" i="29"/>
  <c r="AJ62" i="29" s="1"/>
  <c r="AI60" i="19"/>
  <c r="AJ60" i="19" s="1"/>
  <c r="V56" i="37"/>
  <c r="N56" i="37"/>
  <c r="O56" i="37" s="1"/>
  <c r="AC56" i="33"/>
  <c r="U56" i="33"/>
  <c r="V56" i="33" s="1"/>
  <c r="V56" i="34"/>
  <c r="F35" i="3" s="1"/>
  <c r="AI54" i="34"/>
  <c r="AJ54" i="34" s="1"/>
  <c r="AQ54" i="34"/>
  <c r="AG56" i="34"/>
  <c r="AP56" i="34" s="1"/>
  <c r="I34" i="3" s="1"/>
  <c r="N62" i="34"/>
  <c r="O62" i="34" s="1"/>
  <c r="AB60" i="15"/>
  <c r="AC60" i="15" s="1"/>
  <c r="AJ60" i="15"/>
  <c r="AI60" i="9"/>
  <c r="AJ60" i="9" s="1"/>
  <c r="V60" i="22"/>
  <c r="N60" i="22"/>
  <c r="O60" i="22" s="1"/>
  <c r="AI62" i="38"/>
  <c r="AJ62" i="38" s="1"/>
  <c r="U56" i="39"/>
  <c r="V56" i="39" s="1"/>
  <c r="AI54" i="20"/>
  <c r="X20" i="3"/>
  <c r="W20" i="3"/>
  <c r="AJ54" i="10"/>
  <c r="AB54" i="10"/>
  <c r="AC54" i="10" s="1"/>
  <c r="AQ56" i="32"/>
  <c r="I30" i="3" s="1"/>
  <c r="AI56" i="32"/>
  <c r="O54" i="14"/>
  <c r="AJ56" i="30"/>
  <c r="AB56" i="30"/>
  <c r="AC56" i="30" s="1"/>
  <c r="N56" i="35"/>
  <c r="O56" i="35" s="1"/>
  <c r="V56" i="35"/>
  <c r="O54" i="23"/>
  <c r="AP54" i="20"/>
  <c r="I19" i="3" s="1"/>
  <c r="AI62" i="37"/>
  <c r="AJ62" i="37" s="1"/>
  <c r="AC56" i="27"/>
  <c r="G25" i="3" s="1"/>
  <c r="C91" i="1"/>
  <c r="C92" i="1" s="1"/>
  <c r="AI62" i="27"/>
  <c r="AJ62" i="27" s="1"/>
  <c r="AB56" i="39"/>
  <c r="AC56" i="39" s="1"/>
  <c r="N54" i="22"/>
  <c r="O54" i="22" s="1"/>
  <c r="V56" i="40"/>
  <c r="N56" i="40"/>
  <c r="O56" i="40" s="1"/>
  <c r="AI54" i="18"/>
  <c r="AJ54" i="18" s="1"/>
  <c r="U62" i="31"/>
  <c r="V62" i="31" s="1"/>
  <c r="AQ60" i="10"/>
  <c r="AI60" i="10"/>
  <c r="AJ60" i="10" s="1"/>
  <c r="AJ62" i="26"/>
  <c r="AB62" i="26"/>
  <c r="AC62" i="26" s="1"/>
  <c r="N54" i="10"/>
  <c r="O54" i="10" s="1"/>
  <c r="U60" i="19"/>
  <c r="V60" i="19" s="1"/>
  <c r="AB60" i="13"/>
  <c r="AC60" i="13" s="1"/>
  <c r="AB60" i="16"/>
  <c r="AC60" i="16" s="1"/>
  <c r="AJ60" i="16"/>
  <c r="AB54" i="18"/>
  <c r="AC54" i="18" s="1"/>
  <c r="AI60" i="12"/>
  <c r="AJ60" i="12" s="1"/>
  <c r="AP62" i="34" l="1"/>
  <c r="AQ62" i="34" s="1"/>
  <c r="AP62" i="41"/>
  <c r="AQ62" i="41" s="1"/>
  <c r="H19" i="3"/>
  <c r="AJ54" i="20"/>
  <c r="H20" i="3" s="1"/>
  <c r="F29" i="3"/>
  <c r="V56" i="32"/>
  <c r="F30" i="3" s="1"/>
  <c r="U24" i="3"/>
  <c r="AQ56" i="34"/>
  <c r="I35" i="3" s="1"/>
  <c r="AI56" i="34"/>
  <c r="H29" i="3"/>
  <c r="AJ56" i="32"/>
  <c r="H30" i="3" s="1"/>
  <c r="O56" i="32"/>
  <c r="E30" i="3" s="1"/>
  <c r="AI62" i="41"/>
  <c r="AJ62" i="41" s="1"/>
  <c r="AQ54" i="20"/>
  <c r="I20" i="3" s="1"/>
  <c r="T29" i="3" l="1"/>
  <c r="T30" i="3" s="1"/>
  <c r="U30" i="3" s="1"/>
  <c r="T19" i="3"/>
  <c r="T20" i="3" s="1"/>
  <c r="U20" i="3" s="1"/>
  <c r="H34" i="3"/>
  <c r="AJ56" i="34"/>
  <c r="H35" i="3" s="1"/>
  <c r="T34" i="3" l="1"/>
  <c r="T35" i="3" s="1"/>
  <c r="U35" i="3" s="1"/>
  <c r="U19" i="3"/>
  <c r="U29" i="3"/>
  <c r="U3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V4" authorId="0" shapeId="0" xr:uid="{00000000-0006-0000-0200-00001A000000}">
      <text>
        <r>
          <rPr>
            <sz val="10"/>
            <color rgb="FF000000"/>
            <rFont val="Arial"/>
            <scheme val="minor"/>
          </rPr>
          <t>======
ID#AAABeFn1oMQ
    (2024-12-22 22:19:47)
Grp 1 '25 RR not included</t>
        </r>
      </text>
    </comment>
    <comment ref="W6" authorId="0" shapeId="0" xr:uid="{00000000-0006-0000-0200-000018000000}">
      <text>
        <r>
          <rPr>
            <sz val="10"/>
            <color rgb="FF000000"/>
            <rFont val="Arial"/>
            <scheme val="minor"/>
          </rPr>
          <t>======
ID#AAABeFn1oNo
    (2024-12-22 22:19:47)
LRAM RR rate is the same for '23-'25
Inflate 2025 with YoY '23 vs '22 (for now)</t>
        </r>
      </text>
    </comment>
    <comment ref="F9" authorId="0" shapeId="0" xr:uid="{00000000-0006-0000-0200-000002000000}">
      <text>
        <r>
          <rPr>
            <sz val="10"/>
            <color rgb="FF000000"/>
            <rFont val="Arial"/>
            <scheme val="minor"/>
          </rPr>
          <t>======
ID#AAABeFn1oM4
    (2024-12-22 22:19:47)
$ change per OEB model $1.84</t>
        </r>
      </text>
    </comment>
    <comment ref="W9" authorId="0" shapeId="0" xr:uid="{00000000-0006-0000-0200-000011000000}">
      <text>
        <r>
          <rPr>
            <sz val="10"/>
            <color rgb="FF000000"/>
            <rFont val="Arial"/>
            <scheme val="minor"/>
          </rPr>
          <t>======
ID#AAABeFn1oMU
    (2024-12-22 22:19:47)
does not include '25's Grp 1 RRs impact on total bill in 2025</t>
        </r>
      </text>
    </comment>
    <comment ref="F10" authorId="0" shapeId="0" xr:uid="{00000000-0006-0000-0200-00001B000000}">
      <text>
        <r>
          <rPr>
            <sz val="10"/>
            <color rgb="FF000000"/>
            <rFont val="Arial"/>
            <scheme val="minor"/>
          </rPr>
          <t>======
ID#AAABeFn1oN0
    (2024-12-22 22:19:47)
This does not match OEB model for 2021 vs 2022 total bill increase because of change in SMC and OER % Total bill % per OEB model 1.6%</t>
        </r>
      </text>
    </comment>
    <comment ref="W10" authorId="0" shapeId="0" xr:uid="{00000000-0006-0000-0200-000016000000}">
      <text>
        <r>
          <rPr>
            <sz val="10"/>
            <color rgb="FF000000"/>
            <rFont val="Arial"/>
            <scheme val="minor"/>
          </rPr>
          <t>======
ID#AAABeFn1oNg
    (2024-12-22 22:19:47)
% of above on 2024 total bill</t>
        </r>
      </text>
    </comment>
    <comment ref="X10" authorId="0" shapeId="0" xr:uid="{00000000-0006-0000-0200-00000E000000}">
      <text>
        <r>
          <rPr>
            <sz val="10"/>
            <color rgb="FF000000"/>
            <rFont val="Arial"/>
            <scheme val="minor"/>
          </rPr>
          <t>======
ID#AAABeFn1oM0
    (2024-12-22 22:19:47)
% of above on 2024 total bill</t>
        </r>
      </text>
    </comment>
    <comment ref="W11" authorId="0" shapeId="0" xr:uid="{00000000-0006-0000-0200-000012000000}">
      <text>
        <r>
          <rPr>
            <sz val="10"/>
            <color rgb="FF000000"/>
            <rFont val="Arial"/>
            <scheme val="minor"/>
          </rPr>
          <t>======
ID#AAABeFn1oN4
    (2024-12-22 22:19:47)
LRAM RR rate is the same for '23-'25
Inflate 2025 with YoY '23 vs '22 (for now)</t>
        </r>
      </text>
    </comment>
    <comment ref="W14" authorId="0" shapeId="0" xr:uid="{00000000-0006-0000-0200-000006000000}">
      <text>
        <r>
          <rPr>
            <sz val="10"/>
            <color rgb="FF000000"/>
            <rFont val="Arial"/>
            <scheme val="minor"/>
          </rPr>
          <t>======
ID#AAABeFn1oMw
    (2024-12-22 22:19:47)
does not include '25's Grp 1 RRs impact on total bill in 2025</t>
        </r>
      </text>
    </comment>
    <comment ref="W16" authorId="0" shapeId="0" xr:uid="{00000000-0006-0000-0200-00000B000000}">
      <text>
        <r>
          <rPr>
            <sz val="10"/>
            <color rgb="FF000000"/>
            <rFont val="Arial"/>
            <scheme val="minor"/>
          </rPr>
          <t>======
ID#AAABeFn1oNM
    (2024-12-22 22:19:47)
LRAM RR rate is the same for '23-'25
Inflate 2025 with YoY '23 vs '22 (for now)</t>
        </r>
      </text>
    </comment>
    <comment ref="F19" authorId="0" shapeId="0" xr:uid="{00000000-0006-0000-0200-00000D000000}">
      <text>
        <r>
          <rPr>
            <sz val="10"/>
            <color rgb="FF000000"/>
            <rFont val="Arial"/>
            <scheme val="minor"/>
          </rPr>
          <t>======
ID#AAABeFn1oNQ
    (2024-12-22 22:19:47)
Last year's model had $4.68 per OEB model due to previous rates used</t>
        </r>
      </text>
    </comment>
    <comment ref="W19" authorId="0" shapeId="0" xr:uid="{00000000-0006-0000-0200-00000A000000}">
      <text>
        <r>
          <rPr>
            <sz val="10"/>
            <color rgb="FF000000"/>
            <rFont val="Arial"/>
            <scheme val="minor"/>
          </rPr>
          <t>======
ID#AAABeFn1oMg
    (2024-12-22 22:19:47)
does not include '25's Grp 1 RRs impact on total bill in 2025</t>
        </r>
      </text>
    </comment>
    <comment ref="F20" authorId="0" shapeId="0" xr:uid="{00000000-0006-0000-0200-000004000000}">
      <text>
        <r>
          <rPr>
            <sz val="10"/>
            <color rgb="FF000000"/>
            <rFont val="Arial"/>
            <scheme val="minor"/>
          </rPr>
          <t>======
ID#AAABeFn1oNY
    (2024-12-22 22:19:47)
This does not match OEB model for 2021 vs 2022 total bill increase because of change in SMC and OER % Total bill % per OEB model 1.6%</t>
        </r>
      </text>
    </comment>
    <comment ref="W21" authorId="0" shapeId="0" xr:uid="{00000000-0006-0000-0200-000015000000}">
      <text>
        <r>
          <rPr>
            <sz val="10"/>
            <color rgb="FF000000"/>
            <rFont val="Arial"/>
            <scheme val="minor"/>
          </rPr>
          <t>======
ID#AAABeFn1oNA
    (2024-12-22 22:19:47)
LRAM RR rate is the same for '23-'25
Inflate 2025 with YoY '23 vs '22 (for now) for VDC only</t>
        </r>
      </text>
    </comment>
    <comment ref="W24" authorId="0" shapeId="0" xr:uid="{00000000-0006-0000-0200-000017000000}">
      <text>
        <r>
          <rPr>
            <sz val="10"/>
            <color rgb="FF000000"/>
            <rFont val="Arial"/>
            <scheme val="minor"/>
          </rPr>
          <t>======
ID#AAABeFn1oNk
    (2024-12-22 22:19:47)
does not include '25's Grp 1 RRs impact on total bill in 2025</t>
        </r>
      </text>
    </comment>
    <comment ref="W26" authorId="0" shapeId="0" xr:uid="{00000000-0006-0000-0200-000005000000}">
      <text>
        <r>
          <rPr>
            <sz val="10"/>
            <color rgb="FF000000"/>
            <rFont val="Arial"/>
            <scheme val="minor"/>
          </rPr>
          <t>======
ID#AAABeFn1oM8
    (2024-12-22 22:19:47)
LRAM RR rate is the same for '23-'25
Inflate 2025 with YoY '23 vs '22 (for now) for VDC only</t>
        </r>
      </text>
    </comment>
    <comment ref="W29" authorId="0" shapeId="0" xr:uid="{00000000-0006-0000-0200-000013000000}">
      <text>
        <r>
          <rPr>
            <sz val="10"/>
            <color rgb="FF000000"/>
            <rFont val="Arial"/>
            <scheme val="minor"/>
          </rPr>
          <t>======
ID#AAABeFn1oMY
    (2024-12-22 22:19:47)
does not include '25's Grp 1 RRs impact on total bill in 2025</t>
        </r>
      </text>
    </comment>
    <comment ref="W31" authorId="0" shapeId="0" xr:uid="{00000000-0006-0000-0200-000003000000}">
      <text>
        <r>
          <rPr>
            <sz val="10"/>
            <color rgb="FF000000"/>
            <rFont val="Arial"/>
            <scheme val="minor"/>
          </rPr>
          <t>======
ID#AAABeFn1oMs
    (2024-12-22 22:19:47)
LRAM RR rate is the same for '23-'25
Inflate 2025 with YoY '23 vs '22 (for now) for VDC only</t>
        </r>
      </text>
    </comment>
    <comment ref="W34" authorId="0" shapeId="0" xr:uid="{00000000-0006-0000-0200-000008000000}">
      <text>
        <r>
          <rPr>
            <sz val="10"/>
            <color rgb="FF000000"/>
            <rFont val="Arial"/>
            <scheme val="minor"/>
          </rPr>
          <t>======
ID#AAABeFn1oNE
    (2024-12-22 22:19:47)
does not include '25's Grp 1 RRs impact on total bill in 2025</t>
        </r>
      </text>
    </comment>
    <comment ref="W36" authorId="0" shapeId="0" xr:uid="{00000000-0006-0000-0200-000014000000}">
      <text>
        <r>
          <rPr>
            <sz val="10"/>
            <color rgb="FF000000"/>
            <rFont val="Arial"/>
            <scheme val="minor"/>
          </rPr>
          <t>======
ID#AAABeFn1oN8
    (2024-12-22 22:19:47)
LRAM RR rate is the same for '23-'25
Inflate 2025 with YoY '23 vs '22 (for now) for VDC only ---not including lower band adjustment</t>
        </r>
      </text>
    </comment>
    <comment ref="W39" authorId="0" shapeId="0" xr:uid="{00000000-0006-0000-0200-000009000000}">
      <text>
        <r>
          <rPr>
            <sz val="10"/>
            <color rgb="FF000000"/>
            <rFont val="Arial"/>
            <scheme val="minor"/>
          </rPr>
          <t>======
ID#AAABeFn1oNI
    (2024-12-22 22:19:47)
does not include '25's Grp 1 RRs impact on total bill in 2025</t>
        </r>
      </text>
    </comment>
    <comment ref="W41" authorId="0" shapeId="0" xr:uid="{00000000-0006-0000-0200-000007000000}">
      <text>
        <r>
          <rPr>
            <sz val="10"/>
            <color rgb="FF000000"/>
            <rFont val="Arial"/>
            <scheme val="minor"/>
          </rPr>
          <t>======
ID#AAABeFn1oNc
    (2024-12-22 22:19:47)
LRAM RR rate is the same for '23-'25
Inflate 2025 with YoY '23 vs '22 (for now) for VDC only</t>
        </r>
      </text>
    </comment>
    <comment ref="W44" authorId="0" shapeId="0" xr:uid="{00000000-0006-0000-0200-000010000000}">
      <text>
        <r>
          <rPr>
            <sz val="10"/>
            <color rgb="FF000000"/>
            <rFont val="Arial"/>
            <scheme val="minor"/>
          </rPr>
          <t>======
ID#AAABeFn1oNw
    (2024-12-22 22:19:47)
does not include '25's Grp 1 RRs impact on total bill in 2025</t>
        </r>
      </text>
    </comment>
    <comment ref="W46" authorId="0" shapeId="0" xr:uid="{00000000-0006-0000-0200-000019000000}">
      <text>
        <r>
          <rPr>
            <sz val="10"/>
            <color rgb="FF000000"/>
            <rFont val="Arial"/>
            <scheme val="minor"/>
          </rPr>
          <t>======
ID#AAABeFn1oNs
    (2024-12-22 22:19:47)
LRAM RR rate is the same for '23-'25
Inflate 2025 with YoY '23 vs '22 (for now) for VDC only</t>
        </r>
      </text>
    </comment>
    <comment ref="W49" authorId="0" shapeId="0" xr:uid="{00000000-0006-0000-0200-00000C000000}">
      <text>
        <r>
          <rPr>
            <sz val="10"/>
            <color rgb="FF000000"/>
            <rFont val="Arial"/>
            <scheme val="minor"/>
          </rPr>
          <t>======
ID#AAABeFn1oMk
    (2024-12-22 22:19:47)
does not include '25's Grp 1 RRs impact on total bill in 2025</t>
        </r>
      </text>
    </comment>
    <comment ref="W51" authorId="0" shapeId="0" xr:uid="{00000000-0006-0000-0200-000001000000}">
      <text>
        <r>
          <rPr>
            <sz val="10"/>
            <color rgb="FF000000"/>
            <rFont val="Arial"/>
            <scheme val="minor"/>
          </rPr>
          <t>======
ID#AAABeFn1oNU
    (2024-12-22 22:19:47)
LRAM RR rate is the same for '23-'25
Inflate 2025 with YoY '23 vs '22 (for now) for VDC only</t>
        </r>
      </text>
    </comment>
    <comment ref="W54" authorId="0" shapeId="0" xr:uid="{00000000-0006-0000-0200-00000F000000}">
      <text>
        <r>
          <rPr>
            <sz val="10"/>
            <color rgb="FF000000"/>
            <rFont val="Arial"/>
            <scheme val="minor"/>
          </rPr>
          <t>======
ID#AAABeFn1oMo
    (2024-12-22 22:19:47)
does not include '25's Grp 1 RRs impact on total bill in 2025</t>
        </r>
      </text>
    </comment>
  </commentList>
  <extLst>
    <ext xmlns:r="http://schemas.openxmlformats.org/officeDocument/2006/relationships" uri="GoogleSheetsCustomDataVersion2">
      <go:sheetsCustomData xmlns:go="http://customooxmlschemas.google.com/" r:id="rId1" roundtripDataSignature="AMtx7mjDl5sHeJVUQhJorjpZhm270PxohA=="/>
    </ext>
  </extLst>
</comments>
</file>

<file path=xl/sharedStrings.xml><?xml version="1.0" encoding="utf-8"?>
<sst xmlns="http://schemas.openxmlformats.org/spreadsheetml/2006/main" count="7431" uniqueCount="434">
  <si>
    <t>Rates Summary 2026-2030</t>
  </si>
  <si>
    <t>2025A</t>
  </si>
  <si>
    <t>2026F</t>
  </si>
  <si>
    <t>2027F</t>
  </si>
  <si>
    <t>2028F</t>
  </si>
  <si>
    <t>2029F</t>
  </si>
  <si>
    <t>2030F</t>
  </si>
  <si>
    <t>Approved</t>
  </si>
  <si>
    <t>Estimate</t>
  </si>
  <si>
    <t>Residential (750 kWh)</t>
  </si>
  <si>
    <t>Distribution</t>
  </si>
  <si>
    <t>Change in Distribution</t>
  </si>
  <si>
    <t>% Change in Distribution</t>
  </si>
  <si>
    <t>Total Bill Change</t>
  </si>
  <si>
    <t>% Total Bill Change</t>
  </si>
  <si>
    <t>General Service &lt;50 kW (2000 kWh)</t>
  </si>
  <si>
    <t>General Service  50 kW - 1,499 kW (185 kW)</t>
  </si>
  <si>
    <t>General Service 1,500 kW - 4,999 kW (1,925 kW)</t>
  </si>
  <si>
    <t>Large Use (7,500 kW)</t>
  </si>
  <si>
    <t>Sentinel Lighting (0.4 kW)</t>
  </si>
  <si>
    <t>Street Lighting (50 kW)</t>
  </si>
  <si>
    <t>Unmetered Scattered Load (470 kWh)</t>
  </si>
  <si>
    <t>Rate Riders</t>
  </si>
  <si>
    <t>Distribution with Rate Riders</t>
  </si>
  <si>
    <t>Total Bill ( After Tax)</t>
  </si>
  <si>
    <t>% Total Bill Change before Taxes and OER</t>
  </si>
  <si>
    <t>Hydro Ottawa Limited</t>
  </si>
  <si>
    <t>PROPOSED - TARIFF OF RATES AND CHARGES</t>
  </si>
  <si>
    <t>Effective and Implementation Date January 1, 2026</t>
  </si>
  <si>
    <t>This schedule supersedes and replaces all previously</t>
  </si>
  <si>
    <t>approved schedules of Rates, Charges and Loss Factors</t>
  </si>
  <si>
    <t>EB-2024-0115</t>
  </si>
  <si>
    <t>RESIDENTIAL SERVICE CLASSIFICATION</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</si>
  <si>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</si>
  <si>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</si>
  <si>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</si>
  <si>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</si>
  <si>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</si>
  <si>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</si>
  <si>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</si>
  <si>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</si>
  <si>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</si>
  <si>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Lost Revenue Adjustment Mechanism (LRAM) Recovery - effective until December 31, 2027</t>
  </si>
  <si>
    <t>Rate Rider for Group 2 Accounts - effective until December 31, 2026</t>
  </si>
  <si>
    <t>Smart Metering Entity Charge</t>
  </si>
  <si>
    <t>Low Voltage Service Rate</t>
  </si>
  <si>
    <t>$/kWh</t>
  </si>
  <si>
    <t>Rate Rider for Disposition of Deferral/Variance Accounts</t>
  </si>
  <si>
    <t>Rate Rider for RSVA Global Adjustment</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</si>
  <si>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</si>
  <si>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</si>
  <si>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</si>
  <si>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</si>
  <si>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</si>
  <si>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</si>
  <si>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</si>
  <si>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</si>
  <si>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</si>
  <si>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</si>
  <si>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Distribution Volumetric Rate</t>
  </si>
  <si>
    <t>Rate Rider for Lost Revenue Adjustment Mechanism (LRAM) Recovery - effective until December 31, 2026</t>
  </si>
  <si>
    <t>GENERAL SERVICE 50 TO 1,499 KW SERVICE CLASSIFICATION</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</si>
  <si>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</si>
  <si>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</si>
  <si>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</si>
  <si>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</si>
  <si>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$/kW</t>
  </si>
  <si>
    <t>Rate Rider for Disposition of Deferral/Variance Accounts (exlcuding Global Adj.) NON-WMP</t>
  </si>
  <si>
    <t>Retail Transmission Rate - Network Service Rate - EV</t>
  </si>
  <si>
    <t>Retail Transmission Rate - Line and Transformation Connection Service Rate - EV</t>
  </si>
  <si>
    <t>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</si>
  <si>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</si>
  <si>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</si>
  <si>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</si>
  <si>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</si>
  <si>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</si>
  <si>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UNMETERED SCATTERED LOAD SERVICE CLASSIFICATION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</si>
  <si>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</si>
  <si>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Service Charge (per connection)</t>
  </si>
  <si>
    <t>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</si>
  <si>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</si>
  <si>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</si>
  <si>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asthe Global Adjustment and the HST.</t>
  </si>
  <si>
    <t>MONTHLY RATES AND CHARGES - Delivery Component - Approved on an Interim Basis</t>
  </si>
  <si>
    <t>General Service 50 TO 1,499 kW customer</t>
  </si>
  <si>
    <t>General Service 1,500 TO 4,999 kW customer</t>
  </si>
  <si>
    <t>General Service Large User kW customer</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</si>
  <si>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</si>
  <si>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</si>
  <si>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</si>
  <si>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</si>
  <si>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</si>
  <si>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Accounts 1595 - Effective until December 31, 2026</t>
  </si>
  <si>
    <t>NET-METERING SERVICE CLASSIFICATION</t>
  </si>
  <si>
    <t>This classification applies to an eligible electricity generation facility as defined in O. Reg. 541/05 .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</si>
  <si>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</si>
  <si>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MICROFIT AND OTHER GENERATION &lt;10kW SERVICE CLASSIFICATION</t>
  </si>
  <si>
    <t>This classification applies to an electricity generation facility contracted under the Independent Electricity System Operator's microFIT program or other generation &lt;10kW and connected to the distributor's distribution system. This charge would not apply to customers with generation who are considered a load customer within another rate classification that receive a monthly fixed service charge. Further servicing details are available in the distributor's Conditions of Service.</t>
  </si>
  <si>
    <t>FIT SERVICE AND OTHER GENERATION &gt;10kW CLASSIFICATION</t>
  </si>
  <si>
    <t>This classification applies to an electricity generation facility contracted under the Independent Electricity System Operator's FIT program or other generation &gt;10kW (but does not meet the requirements of HCI, RESOP, OTHER ENERGY RESOURCE SERVICE CLASSIFICATION) and connected to the distributor's distribution system. This charge would not apply to customers with generation who are considered a load customer within another rate classification that receive a monthly fixed service charge. Further servicing details are available in the distributor's Conditions of Service.</t>
  </si>
  <si>
    <t>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</si>
  <si>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</si>
  <si>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ALLOWANCES</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</si>
  <si>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</si>
  <si>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</si>
  <si>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</si>
  <si>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</si>
  <si>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</si>
  <si>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</si>
  <si>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Certificate for Unregistered Easements</t>
  </si>
  <si>
    <t>Duplicate invoices for previous billing</t>
  </si>
  <si>
    <t>Special billing service per hour (min 1 hour, 15 min incremental billing thereafter)</t>
  </si>
  <si>
    <t>Credit reference/credit check (plus credit agency costs)</t>
  </si>
  <si>
    <t>Unprocessed payment charge (plus bank charges)</t>
  </si>
  <si>
    <t>Account set up charge/change of occupancy charge (plus credit agency costs if applicable)</t>
  </si>
  <si>
    <t>Interval meter - field reading</t>
  </si>
  <si>
    <t>High bill investigation - if billing is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</si>
  <si>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</si>
  <si>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</si>
  <si>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</si>
  <si>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</si>
  <si>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</si>
  <si>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</si>
  <si>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</si>
  <si>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</si>
  <si>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</si>
  <si>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</si>
  <si>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
(with the exception of wireless attachments)</t>
  </si>
  <si>
    <t>Dry core transformer distribution charge</t>
  </si>
  <si>
    <t>Energy resource facility administration charge (account set-up charge separately if applicable)</t>
  </si>
  <si>
    <t>RETAIL SERVICE CHARGES (if applicable)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</si>
  <si>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</si>
  <si>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</si>
  <si>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</si>
  <si>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</si>
  <si>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</si>
  <si>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</si>
  <si>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</si>
  <si>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</si>
  <si>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</si>
  <si>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</si>
  <si>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</si>
  <si>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</si>
  <si>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</si>
  <si>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</si>
  <si>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</si>
  <si>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</si>
  <si>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Notice of switch letter charge, per letter (unless the distributor has opted out of applying the charge as</t>
  </si>
  <si>
    <t>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</si>
  <si>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</si>
  <si>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</si>
  <si>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</si>
  <si>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</si>
  <si>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</si>
  <si>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</si>
  <si>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EB-2023-0032
ORIGINAL
DATE TBD, 2023</t>
  </si>
  <si>
    <t>2024 Rate riders if balances are disposed over X years:</t>
  </si>
  <si>
    <t>effect of no '24 RR on '25 total bill</t>
  </si>
  <si>
    <t>effect of '24 RR on '25 total bill</t>
  </si>
  <si>
    <t>NOT REVIEWED/USED for UPDATE</t>
  </si>
  <si>
    <t>2024'S RATE RIDERS OVER X year(s)---&gt;</t>
  </si>
  <si>
    <t>n/a</t>
  </si>
  <si>
    <t>Excludes 2025's Grp 1 RRs</t>
  </si>
  <si>
    <t>Rates Summary 2020-2025</t>
  </si>
  <si>
    <t>SELECTED 1 YR</t>
  </si>
  <si>
    <t>2024 RR</t>
  </si>
  <si>
    <t>2025 RR</t>
  </si>
  <si>
    <t>Rate Class</t>
  </si>
  <si>
    <t>2020 Approved</t>
  </si>
  <si>
    <t>2021 Proposed</t>
  </si>
  <si>
    <t>2022 Approved</t>
  </si>
  <si>
    <t>2023 Approved</t>
  </si>
  <si>
    <t>2024 Proposed with 1 Yr '24 RR</t>
  </si>
  <si>
    <t>2025 Proposed</t>
  </si>
  <si>
    <t>Y2 '23 DVA Grp 1, excl GA</t>
  </si>
  <si>
    <t>Yr 2 DVA Grp 1 - Non -WMP</t>
  </si>
  <si>
    <t>24 DVA Grp 1, excl GA</t>
  </si>
  <si>
    <t>24 CBR</t>
  </si>
  <si>
    <t>2024 Grp 1 - non WMP</t>
  </si>
  <si>
    <t>2024 Grp 1 GA Non-RPP</t>
  </si>
  <si>
    <t>2024 LRAM</t>
  </si>
  <si>
    <t>Total '24</t>
  </si>
  <si>
    <t>2024 proposed with 2Yr '24 RR</t>
  </si>
  <si>
    <t>2024 Change</t>
  </si>
  <si>
    <t>2025 LRAM</t>
  </si>
  <si>
    <t>2025 with no '24 RRs</t>
  </si>
  <si>
    <t>2025 with '24 RRs</t>
  </si>
  <si>
    <t>2025 impact with no '24 RRs</t>
  </si>
  <si>
    <t>2025 impact with '24 RRs</t>
  </si>
  <si>
    <t>2026 with no '24 RR impact</t>
  </si>
  <si>
    <t>2026 with '24 RR impact</t>
  </si>
  <si>
    <t>check</t>
  </si>
  <si>
    <t>Residential
 (750 kWh)</t>
  </si>
  <si>
    <t>Distribution Charge</t>
  </si>
  <si>
    <t>Change in Distribution Charge</t>
  </si>
  <si>
    <t>LRAM Rate riders dropping off</t>
  </si>
  <si>
    <t>% Distribution Increase</t>
  </si>
  <si>
    <t>Change in Total Bill</t>
  </si>
  <si>
    <t>All rate riders dropping off</t>
  </si>
  <si>
    <t>% Increase of Total Bill</t>
  </si>
  <si>
    <t>#REF!</t>
  </si>
  <si>
    <t>Residential
 (232 kWh)</t>
  </si>
  <si>
    <t>General Service &lt;50kW 
(2000 kWh)</t>
  </si>
  <si>
    <t>General Service 50-1,499 kWh 
(250 KW)</t>
  </si>
  <si>
    <t>rate</t>
  </si>
  <si>
    <t>$$</t>
  </si>
  <si>
    <t>General Service 1,500-4,999 kWh
(2500 KW)</t>
  </si>
  <si>
    <t>Large Use
 (7500KW)</t>
  </si>
  <si>
    <t>Sentinel Lighting
(94 kWh)</t>
  </si>
  <si>
    <t>Street Lighting
(5196 KW)</t>
  </si>
  <si>
    <t>Street Lighting
(50 KW)</t>
  </si>
  <si>
    <t>Unmetered Scattered Load
(470 kWh)</t>
  </si>
  <si>
    <t>Effective and Implementation Date January 1, 2027</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</si>
  <si>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</si>
  <si>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Effective and Implementation Date January 1, 2028</t>
  </si>
  <si>
    <t>Effective and Implementation Date January 1, 2029</t>
  </si>
  <si>
    <t>Effective and Implementation Date January 1, 2030</t>
  </si>
  <si>
    <t>Proposed Rate</t>
  </si>
  <si>
    <t>2025F</t>
  </si>
  <si>
    <t>lookup</t>
  </si>
  <si>
    <t>Fixed</t>
  </si>
  <si>
    <t>Monthly Service Charge</t>
  </si>
  <si>
    <t>Residential</t>
  </si>
  <si>
    <t>General Service &lt; 50 kW</t>
  </si>
  <si>
    <t>General Service 50 to 1,499 KW</t>
  </si>
  <si>
    <t>General Service 1,500 to 4,999 KW</t>
  </si>
  <si>
    <t>Large User</t>
  </si>
  <si>
    <t>Street Light</t>
  </si>
  <si>
    <t>Sentinel Lights</t>
  </si>
  <si>
    <t>Unmetered Scattered Load</t>
  </si>
  <si>
    <t>Standby Power General Service 50 to 1,499 KW</t>
  </si>
  <si>
    <t>Standby Power General Service 1,500 to 4,999 KW</t>
  </si>
  <si>
    <t>Standby Power Large Use</t>
  </si>
  <si>
    <t>Variable</t>
  </si>
  <si>
    <t>Deferral/Variance Account Disposition Rate Rider</t>
  </si>
  <si>
    <t>Approved Rate Riders Year 2 for DVA Group 1 Accts excluding GA (2025)</t>
  </si>
  <si>
    <t>1550, 1551, 1584, 1586, 1595</t>
  </si>
  <si>
    <t>DVA Disposition Rate Rider Group 1 -2025</t>
  </si>
  <si>
    <t>Proposed Rate Riders for DVA Group 1 Accts excluding GA (2024)</t>
  </si>
  <si>
    <t>DVA Disposition Rate Rider Group 1 - 2024</t>
  </si>
  <si>
    <t>Deferral/Variance Account Disposition Rate Rider Group 2</t>
  </si>
  <si>
    <t xml:space="preserve">Rate Rider Calculation for Group 2 Accounts  </t>
  </si>
  <si>
    <t>per customer per month</t>
  </si>
  <si>
    <t>Approved Rate Riders Year 2 for Accounts 1595 [1568] (2026)</t>
  </si>
  <si>
    <t>LRAM Rate Rider</t>
  </si>
  <si>
    <t>Rate Rider for Disposition of Lost Revenue Adjustment Mechanism Variance Account (LRAMVA) (2027)</t>
  </si>
  <si>
    <t>Rate Rider Capacity Based Recovery Account Applicable for only for Class B</t>
  </si>
  <si>
    <t>CBR Class B Rate Riders</t>
  </si>
  <si>
    <t>NONE</t>
  </si>
  <si>
    <t>Rate Rider Calculation for PILs</t>
  </si>
  <si>
    <t>Rate Rider Calculation for Generic</t>
  </si>
  <si>
    <t>Rate Rider Calculation for RSVA - Power - GA  --  for NON-RPP Class B Customers (2023)</t>
  </si>
  <si>
    <t>GA Rate Riders</t>
  </si>
  <si>
    <t>Approved Rate Rider Year 2 for DVA Grp 1 (excluding Global Adj.) - NON-WMP (2023)</t>
  </si>
  <si>
    <t>1580 and 1588</t>
  </si>
  <si>
    <t>Total Deferral/Variance Account Rate RidersYr2</t>
  </si>
  <si>
    <t>Rate Rider Calculation for DVA Grp 1 Balances (excluding Global Adj.) - NON-WMP (2024)</t>
  </si>
  <si>
    <t>Total Deferral/Variance Account Rate Riders</t>
  </si>
  <si>
    <t>RTSR - Network</t>
  </si>
  <si>
    <t>General Service 50 to 1,499 KW - EV</t>
  </si>
  <si>
    <t>General Service 1,500 to 4,999 KW - EV</t>
  </si>
  <si>
    <t>RTSR - Line and Transformation Connection</t>
  </si>
  <si>
    <t>Wholesale Market Service Charge (WMSC)</t>
  </si>
  <si>
    <t>Rural and Remote Rate Protection (RRRP)</t>
  </si>
  <si>
    <t>Standard Supply Service Charge</t>
  </si>
  <si>
    <t>RPP Rates</t>
  </si>
  <si>
    <t>TOU - Off Peak</t>
  </si>
  <si>
    <t>TOU - Mid Peak</t>
  </si>
  <si>
    <t>TOU - On Peak</t>
  </si>
  <si>
    <t>Energy - RPP - Tier 1</t>
  </si>
  <si>
    <t>Energy - RPP - Tier 2</t>
  </si>
  <si>
    <t>Average IESO Wholesale Market Price</t>
  </si>
  <si>
    <t>Low Voltage</t>
  </si>
  <si>
    <t>Low Voltage Service Charge</t>
  </si>
  <si>
    <t>SME</t>
  </si>
  <si>
    <t>Smart Meter Entity Charge</t>
  </si>
  <si>
    <t>Provincial Government Rebate</t>
  </si>
  <si>
    <t>Provincial Rebate</t>
  </si>
  <si>
    <t>Loss Factor (Bill Impacts)</t>
  </si>
  <si>
    <t>Loss Factor (Rate Order)</t>
  </si>
  <si>
    <t>Disconnect/reconnect at meter - regular hours (new account)</t>
  </si>
  <si>
    <t>Disconnect/reconnect at meter - after regular hours (new account)</t>
  </si>
  <si>
    <t>Per Attached Table</t>
  </si>
  <si>
    <t>Service Transaction Requests (STR)</t>
  </si>
  <si>
    <t>Electronic Business Transaction (EBT) system, applied to the requesting party</t>
  </si>
  <si>
    <t>Up to twice a year</t>
  </si>
  <si>
    <t>no charge</t>
  </si>
  <si>
    <t>Notice of switch letter charge, per letter (unless the distributor has opted out of applying the charge as per the</t>
  </si>
  <si>
    <t>Ontario Energy Board's Decision and Order EB-2015-0304, issued on February 14, 2019)</t>
  </si>
  <si>
    <t>Proposed</t>
  </si>
  <si>
    <t>MicroFIT</t>
  </si>
  <si>
    <t>FIT</t>
  </si>
  <si>
    <t>HCI, RESOP, Other Energy Resource</t>
  </si>
  <si>
    <t>Net-Metering</t>
  </si>
  <si>
    <t>Tiered KWH</t>
  </si>
  <si>
    <t>Appendix 2-W</t>
  </si>
  <si>
    <t>Use "1" for Summer and "2" for Winter</t>
  </si>
  <si>
    <t>Bill Impacts</t>
  </si>
  <si>
    <t>Customer Class:</t>
  </si>
  <si>
    <t>TOU / non-TOU:</t>
  </si>
  <si>
    <t>TOU</t>
  </si>
  <si>
    <t>Consumption</t>
  </si>
  <si>
    <t>kWh</t>
  </si>
  <si>
    <t>Charge Unit</t>
  </si>
  <si>
    <t>Rate</t>
  </si>
  <si>
    <t>Volume</t>
  </si>
  <si>
    <t>Charge</t>
  </si>
  <si>
    <t>$ Change</t>
  </si>
  <si>
    <t>% Change</t>
  </si>
  <si>
    <t>($)</t>
  </si>
  <si>
    <t>Monthly</t>
  </si>
  <si>
    <t>Smart Meter Rate Adder</t>
  </si>
  <si>
    <t>per kWh</t>
  </si>
  <si>
    <t>Smart Meter Disposition Rider</t>
  </si>
  <si>
    <t>Sub-Total A (excluding pass through)</t>
  </si>
  <si>
    <t>GA Disposition Rate Rider-NonRPP</t>
  </si>
  <si>
    <t>Line Losses on Cost of Power</t>
  </si>
  <si>
    <t>Sub-Total B - Distribution (includes Sub-Total A)</t>
  </si>
  <si>
    <t>Sub-Total C - Delivery (including Sub-Total B)</t>
  </si>
  <si>
    <t>Total Bill on TOU (before Taxes)</t>
  </si>
  <si>
    <t>HST</t>
  </si>
  <si>
    <r>
      <rPr>
        <b/>
        <sz val="10"/>
        <color theme="1"/>
        <rFont val="Arial"/>
      </rPr>
      <t xml:space="preserve">Total Bill </t>
    </r>
    <r>
      <rPr>
        <sz val="10"/>
        <color theme="1"/>
        <rFont val="Arial"/>
      </rPr>
      <t>(including HST)</t>
    </r>
  </si>
  <si>
    <t>Total Bill on TOU (incl Prov. Rebate)</t>
  </si>
  <si>
    <t>Total Bill on RPP (before Taxes)</t>
  </si>
  <si>
    <r>
      <rPr>
        <b/>
        <sz val="10"/>
        <color theme="1"/>
        <rFont val="Arial"/>
      </rPr>
      <t xml:space="preserve">Total Bill </t>
    </r>
    <r>
      <rPr>
        <sz val="10"/>
        <color theme="1"/>
        <rFont val="Arial"/>
      </rPr>
      <t>(including HST)</t>
    </r>
  </si>
  <si>
    <t>Total Bill on RPP (incl Prov. Rebate)</t>
  </si>
  <si>
    <t>Loss Factor (%)</t>
  </si>
  <si>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</si>
  <si>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Note that the "Charge $" columns provide breakdowns of the amounts that each bill component contributes to the total monthly bill at the referenced </t>
  </si>
  <si>
    <t>consumption level at existing and proposed rates.</t>
  </si>
  <si>
    <t>Applicants must provide bill impacts for residential at 800 kWh and GS&lt;50kW at 2000 kWh. In addition, their filing must cover the range that is relevant</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</si>
  <si>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</si>
  <si>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</si>
  <si>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</si>
  <si>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</si>
  <si>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</si>
  <si>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</si>
  <si>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Note that cells with the highlighted color shown to the left indicate quantities that are loss adjusted.</t>
  </si>
  <si>
    <t>Hydro Ottawa has updated column Fto reflect the most recent Board Approved TOU and Tier RPP rates.</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</si>
  <si>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</si>
  <si>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</si>
  <si>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</si>
  <si>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</si>
  <si>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</si>
  <si>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</si>
  <si>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</si>
  <si>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</si>
  <si>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</si>
  <si>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 kWh</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</si>
  <si>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</si>
  <si>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</si>
  <si>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</si>
  <si>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</si>
  <si>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</si>
  <si>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</si>
  <si>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</si>
  <si>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</si>
  <si>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</si>
  <si>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</si>
  <si>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</si>
  <si>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</si>
  <si>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</si>
  <si>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</si>
  <si>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</si>
  <si>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</si>
  <si>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</si>
  <si>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</si>
  <si>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</si>
  <si>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</si>
  <si>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</si>
  <si>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</si>
  <si>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</si>
  <si>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</si>
  <si>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</si>
  <si>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</si>
  <si>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</si>
  <si>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</si>
  <si>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</si>
  <si>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</si>
  <si>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t>non-TOU</t>
  </si>
  <si>
    <t>kW</t>
  </si>
  <si>
    <t>per kW</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</si>
  <si>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</si>
  <si>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</si>
  <si>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</si>
  <si>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</si>
  <si>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</si>
  <si>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</si>
  <si>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</si>
  <si>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</si>
  <si>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</si>
  <si>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</si>
  <si>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</si>
  <si>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</si>
  <si>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</si>
  <si>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</si>
  <si>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</si>
  <si>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</si>
  <si>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</si>
  <si>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</si>
  <si>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</si>
  <si>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</si>
  <si>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</si>
  <si>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</si>
  <si>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</si>
  <si>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</si>
  <si>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</si>
  <si>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</si>
  <si>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</si>
  <si>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</si>
  <si>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</si>
  <si>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</si>
  <si>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</si>
  <si>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</si>
  <si>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</si>
  <si>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</si>
  <si>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</si>
  <si>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</si>
  <si>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</si>
  <si>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</si>
  <si>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</si>
  <si>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</si>
  <si>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</si>
  <si>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OEB's Bill impact #s</t>
  </si>
  <si>
    <t>City's #s</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</si>
  <si>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</si>
  <si>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</si>
  <si>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</si>
  <si>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</si>
  <si>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</si>
  <si>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</si>
  <si>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</si>
  <si>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</si>
  <si>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t>Rate Rider for Disposition of Capacity Based Recovery (CBR) Account Applicable for Class B Customers - effective until December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</si>
</sst>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_-&quot;$&quot;* #,##0.00_-;\-&quot;$&quot;* #,##0.00_-;_-&quot;$&quot;* &quot;-&quot;??_-;_-@"/>
    <numFmt numFmtId="166" formatCode="_-* #,##0.00_-;\-* #,##0.00_-;_-* &quot;-&quot;??_-;_-@"/>
    <numFmt numFmtId="167" formatCode="0.0000"/>
    <numFmt numFmtId="168" formatCode="0.00000"/>
    <numFmt numFmtId="169" formatCode="[$-409]mmmm\ d\,\ yyyy"/>
    <numFmt numFmtId="170" formatCode="0.0%"/>
    <numFmt numFmtId="171" formatCode="_-&quot;$&quot;* #,##0.0000_-;\-&quot;$&quot;* #,##0.0000_-;_-&quot;$&quot;* &quot;-&quot;??.000_-;_-@"/>
    <numFmt numFmtId="172" formatCode="_-&quot;$&quot;* #,##0.0000_-;\-&quot;$&quot;* #,##0.0000_-;_-&quot;$&quot;* &quot;-&quot;??.0000_-;_-@"/>
    <numFmt numFmtId="173" formatCode="_-&quot;$&quot;* #,##0.0000_-;\-&quot;$&quot;* #,##0.0000_-;_-&quot;$&quot;* &quot;-&quot;??_-;_-@"/>
    <numFmt numFmtId="174" formatCode="_-* #,##0.0_-;\-* #,##0.0_-;_-* &quot;-&quot;??_-;_-@"/>
    <numFmt numFmtId="175" formatCode="0.000000"/>
    <numFmt numFmtId="176" formatCode="&quot;$&quot;#,##0.00;[Red]\-&quot;$&quot;#,##0.00"/>
    <numFmt numFmtId="177" formatCode="#,##0.0000"/>
    <numFmt numFmtId="178" formatCode="&quot;$&quot;#,##0.00000_);[Red]\(&quot;$&quot;#,##0.00000\)"/>
    <numFmt numFmtId="179" formatCode="_-* #,##0_-;\-* #,##0_-;_-* &quot;-&quot;??_-;_-@"/>
    <numFmt numFmtId="180" formatCode="_-&quot;$&quot;* #,##0.0000_-;\-&quot;$&quot;* #,##0.0000_-;_-&quot;$&quot;* &quot;-&quot;??.00_-;_-@"/>
    <numFmt numFmtId="181" formatCode="_-&quot;$&quot;* #,##0.00000_-;\-&quot;$&quot;* #,##0.00000_-;_-&quot;$&quot;* &quot;-&quot;??_-;_-@"/>
    <numFmt numFmtId="182" formatCode="0.0000%"/>
    <numFmt numFmtId="183" formatCode="_-&quot;$&quot;* #,##0.000000_-;\-&quot;$&quot;* #,##0.000000_-;_-&quot;$&quot;* &quot;-&quot;??_-;_-@"/>
    <numFmt numFmtId="184" formatCode="_-* #,##0.0_-;\-* #,##0.0_-;_-* &quot;-&quot;??.0_-;_-@"/>
    <numFmt numFmtId="185" formatCode="_-&quot;$&quot;* #,##0.000_-;\-&quot;$&quot;* #,##0.000_-;_-&quot;$&quot;* &quot;-&quot;??_-;_-@"/>
    <numFmt numFmtId="186" formatCode="_(* #,##0.0_);_(* \(#,##0.0\);_(* &quot;-&quot;_);_(@_)"/>
  </numFmts>
  <fonts count="90">
    <font>
      <sz val="10"/>
      <color rgb="FF000000"/>
      <name val="Arial"/>
      <scheme val="minor"/>
    </font>
    <font>
      <b/>
      <sz val="11"/>
      <color rgb="FF1F1F1F"/>
      <name val="Arial"/>
    </font>
    <font>
      <b/>
      <sz val="11"/>
      <color rgb="FF005B9B"/>
      <name val="Arial"/>
    </font>
    <font>
      <sz val="10"/>
      <color rgb="FF000000"/>
      <name val="Arial"/>
    </font>
    <font>
      <sz val="9"/>
      <color rgb="FF444746"/>
      <name val="Arial"/>
    </font>
    <font>
      <sz val="10"/>
      <color theme="1"/>
      <name val="Arial"/>
    </font>
    <font>
      <sz val="12"/>
      <color theme="1"/>
      <name val="Arial"/>
    </font>
    <font>
      <b/>
      <sz val="9"/>
      <color rgb="FFFFFFFF"/>
      <name val="Arial"/>
    </font>
    <font>
      <sz val="10"/>
      <name val="Arial"/>
    </font>
    <font>
      <sz val="8"/>
      <color rgb="FFD9D9D9"/>
      <name val="Arial"/>
    </font>
    <font>
      <sz val="8"/>
      <color theme="1"/>
      <name val="Arial"/>
    </font>
    <font>
      <b/>
      <sz val="8"/>
      <color rgb="FF005B9B"/>
      <name val="Arial"/>
    </font>
    <font>
      <b/>
      <sz val="8"/>
      <color rgb="FFD9D9D9"/>
      <name val="Arial"/>
    </font>
    <font>
      <b/>
      <sz val="9"/>
      <color rgb="FF000000"/>
      <name val="Arial"/>
    </font>
    <font>
      <sz val="9"/>
      <color rgb="FF000000"/>
      <name val="Arial"/>
    </font>
    <font>
      <sz val="9"/>
      <color rgb="FFFFFFFF"/>
      <name val="Arial"/>
    </font>
    <font>
      <b/>
      <sz val="11"/>
      <color rgb="FF000000"/>
      <name val="Arial"/>
    </font>
    <font>
      <b/>
      <sz val="10"/>
      <color rgb="FF000000"/>
      <name val="Arial"/>
    </font>
    <font>
      <sz val="9"/>
      <color theme="0"/>
      <name val="Arial"/>
    </font>
    <font>
      <sz val="9"/>
      <color theme="1"/>
      <name val="Arial"/>
    </font>
    <font>
      <b/>
      <sz val="9"/>
      <color theme="1"/>
      <name val="Arial"/>
    </font>
    <font>
      <b/>
      <sz val="18"/>
      <color theme="1"/>
      <name val="Arial"/>
    </font>
    <font>
      <sz val="11"/>
      <color theme="1"/>
      <name val="Calibri"/>
    </font>
    <font>
      <b/>
      <sz val="14"/>
      <color theme="1"/>
      <name val="Arial"/>
    </font>
    <font>
      <b/>
      <sz val="12"/>
      <color theme="1"/>
      <name val="Arial"/>
    </font>
    <font>
      <b/>
      <sz val="10"/>
      <color theme="1"/>
      <name val="Arial"/>
    </font>
    <font>
      <b/>
      <sz val="8"/>
      <color theme="1"/>
      <name val="Arial"/>
    </font>
    <font>
      <sz val="14"/>
      <color theme="1"/>
      <name val="Calibri"/>
    </font>
    <font>
      <i/>
      <sz val="9"/>
      <color theme="1"/>
      <name val="Arial"/>
    </font>
    <font>
      <sz val="6"/>
      <color theme="1"/>
      <name val="Calibri"/>
    </font>
    <font>
      <b/>
      <sz val="11"/>
      <color theme="1"/>
      <name val="Calibri"/>
    </font>
    <font>
      <i/>
      <sz val="11"/>
      <color rgb="FF1155CC"/>
      <name val="Calibri"/>
    </font>
    <font>
      <sz val="10"/>
      <color rgb="FF666666"/>
      <name val="Arial"/>
    </font>
    <font>
      <sz val="9"/>
      <color theme="1"/>
      <name val="Helvetica Neue"/>
    </font>
    <font>
      <sz val="9"/>
      <color theme="1"/>
      <name val="Calibri"/>
    </font>
    <font>
      <b/>
      <sz val="11"/>
      <color rgb="FFFFFFFF"/>
      <name val="Helvetica Neue"/>
    </font>
    <font>
      <b/>
      <sz val="11"/>
      <color rgb="FF980000"/>
      <name val="Helvetica Neue"/>
    </font>
    <font>
      <sz val="11"/>
      <color rgb="FFFFFFFF"/>
      <name val="Calibri"/>
    </font>
    <font>
      <sz val="12"/>
      <color rgb="FF666666"/>
      <name val="Calibri"/>
    </font>
    <font>
      <sz val="7"/>
      <color theme="1"/>
      <name val="Calibri"/>
    </font>
    <font>
      <sz val="6"/>
      <color theme="1"/>
      <name val="Arial"/>
    </font>
    <font>
      <b/>
      <sz val="11"/>
      <color rgb="FF1155CC"/>
      <name val="Calibri"/>
    </font>
    <font>
      <sz val="10"/>
      <color rgb="FF1155CC"/>
      <name val="Arial"/>
    </font>
    <font>
      <b/>
      <sz val="13"/>
      <color theme="1"/>
      <name val="Calibri"/>
    </font>
    <font>
      <b/>
      <sz val="6"/>
      <color theme="1"/>
      <name val="Calibri"/>
    </font>
    <font>
      <b/>
      <sz val="10"/>
      <color theme="1"/>
      <name val="Helvetica Neue"/>
    </font>
    <font>
      <sz val="9"/>
      <color rgb="FF666666"/>
      <name val="Calibri"/>
    </font>
    <font>
      <b/>
      <sz val="11"/>
      <color theme="1"/>
      <name val="Helvetica Neue"/>
    </font>
    <font>
      <b/>
      <sz val="7"/>
      <color theme="1"/>
      <name val="Helvetica Neue"/>
    </font>
    <font>
      <b/>
      <sz val="6"/>
      <color theme="1"/>
      <name val="Helvetica Neue"/>
    </font>
    <font>
      <b/>
      <sz val="11"/>
      <color rgb="FF666666"/>
      <name val="Helvetica Neue"/>
    </font>
    <font>
      <sz val="11"/>
      <color theme="1"/>
      <name val="Helvetica Neue"/>
    </font>
    <font>
      <sz val="7"/>
      <color theme="1"/>
      <name val="Helvetica Neue"/>
    </font>
    <font>
      <sz val="6"/>
      <color theme="1"/>
      <name val="Helvetica Neue"/>
    </font>
    <font>
      <sz val="11"/>
      <color rgb="FF666666"/>
      <name val="Helvetica Neue"/>
    </font>
    <font>
      <sz val="11"/>
      <color theme="0"/>
      <name val="Helvetica Neue"/>
    </font>
    <font>
      <i/>
      <sz val="11"/>
      <color rgb="FFA4C2F4"/>
      <name val="Calibri"/>
    </font>
    <font>
      <sz val="11"/>
      <color rgb="FFB7B7B7"/>
      <name val="Helvetica Neue"/>
    </font>
    <font>
      <sz val="7"/>
      <color theme="1"/>
      <name val="Arial"/>
    </font>
    <font>
      <sz val="11"/>
      <color theme="1"/>
      <name val="Arial"/>
    </font>
    <font>
      <b/>
      <sz val="13"/>
      <color rgb="FF980000"/>
      <name val="Arial"/>
    </font>
    <font>
      <i/>
      <sz val="10"/>
      <color rgb="FFD9D9D9"/>
      <name val="Arial"/>
    </font>
    <font>
      <b/>
      <sz val="10"/>
      <color rgb="FF999999"/>
      <name val="Arial"/>
    </font>
    <font>
      <b/>
      <i/>
      <sz val="10"/>
      <color theme="1"/>
      <name val="Arial"/>
    </font>
    <font>
      <b/>
      <u/>
      <sz val="10"/>
      <color theme="1"/>
      <name val="Arial"/>
    </font>
    <font>
      <b/>
      <sz val="12"/>
      <color rgb="FF000000"/>
      <name val="Arial"/>
    </font>
    <font>
      <b/>
      <i/>
      <sz val="10"/>
      <color rgb="FF0000FF"/>
      <name val="Arial"/>
    </font>
    <font>
      <sz val="12"/>
      <color rgb="FF000000"/>
      <name val="Arial"/>
    </font>
    <font>
      <u/>
      <sz val="10"/>
      <color theme="1"/>
      <name val="Arial"/>
    </font>
    <font>
      <i/>
      <sz val="10"/>
      <color theme="1"/>
      <name val="Arial"/>
    </font>
    <font>
      <sz val="10"/>
      <color rgb="FF1F1F1F"/>
      <name val="Arial"/>
    </font>
    <font>
      <b/>
      <sz val="10"/>
      <color rgb="FFFFFFFF"/>
      <name val="Arial"/>
    </font>
    <font>
      <b/>
      <sz val="11"/>
      <color theme="1"/>
      <name val="Arial"/>
    </font>
    <font>
      <sz val="10"/>
      <color rgb="FFD9D9D9"/>
      <name val="Arial"/>
    </font>
    <font>
      <i/>
      <sz val="5"/>
      <color theme="1"/>
      <name val="Arial"/>
    </font>
    <font>
      <sz val="10"/>
      <color rgb="FFFF0000"/>
      <name val="Arial"/>
    </font>
    <font>
      <vertAlign val="superscript"/>
      <sz val="10"/>
      <color theme="1"/>
      <name val="Arial"/>
    </font>
    <font>
      <strike/>
      <sz val="10"/>
      <color theme="1"/>
      <name val="Arial"/>
    </font>
    <font>
      <b/>
      <strike/>
      <sz val="10"/>
      <color theme="1"/>
      <name val="Arial"/>
    </font>
    <font>
      <b/>
      <i/>
      <strike/>
      <sz val="10"/>
      <color theme="1"/>
      <name val="Arial"/>
    </font>
    <font>
      <strike/>
      <sz val="10"/>
      <color rgb="FFFF0000"/>
      <name val="Arial"/>
    </font>
    <font>
      <i/>
      <strike/>
      <sz val="9"/>
      <color theme="1"/>
      <name val="Arial"/>
    </font>
    <font>
      <strike/>
      <sz val="10"/>
      <color rgb="FF000000"/>
      <name val="Arial"/>
    </font>
    <font>
      <sz val="5"/>
      <color theme="1"/>
      <name val="Arial"/>
    </font>
    <font>
      <b/>
      <sz val="5"/>
      <color theme="1"/>
      <name val="Arial"/>
    </font>
    <font>
      <strike/>
      <sz val="5"/>
      <color theme="1"/>
      <name val="Arial"/>
    </font>
    <font>
      <sz val="5"/>
      <color rgb="FF000000"/>
      <name val="Arial"/>
    </font>
    <font>
      <b/>
      <sz val="7"/>
      <color theme="1"/>
      <name val="Arial"/>
    </font>
    <font>
      <i/>
      <sz val="7"/>
      <color theme="1"/>
      <name val="Arial"/>
    </font>
    <font>
      <sz val="10"/>
      <color rgb="FF000000"/>
      <name val="Arial"/>
      <scheme val="minor"/>
    </font>
  </fonts>
  <fills count="20">
    <fill>
      <patternFill patternType="none"/>
    </fill>
    <fill>
      <patternFill patternType="gray125"/>
    </fill>
    <fill>
      <patternFill patternType="solid">
        <fgColor rgb="FFFFFFFF"/>
        <bgColor rgb="FFFFFFFF"/>
      </patternFill>
    </fill>
    <fill>
      <patternFill patternType="solid">
        <fgColor rgb="FF005B9B"/>
        <bgColor rgb="FF005B9B"/>
      </patternFill>
    </fill>
    <fill>
      <patternFill patternType="solid">
        <fgColor theme="0"/>
        <bgColor theme="0"/>
      </patternFill>
    </fill>
    <fill>
      <patternFill patternType="solid">
        <fgColor rgb="FFFFFF00"/>
        <bgColor rgb="FFFFFF00"/>
      </patternFill>
    </fill>
    <fill>
      <patternFill patternType="solid">
        <fgColor rgb="FFF2F3DA"/>
        <bgColor rgb="FFF2F3DA"/>
      </patternFill>
    </fill>
    <fill>
      <patternFill patternType="solid">
        <fgColor rgb="FFF9CB9C"/>
        <bgColor rgb="FFF9CB9C"/>
      </patternFill>
    </fill>
    <fill>
      <patternFill patternType="solid">
        <fgColor rgb="FFDAEEF3"/>
        <bgColor rgb="FFDAEEF3"/>
      </patternFill>
    </fill>
    <fill>
      <patternFill patternType="solid">
        <fgColor rgb="FFF4CCCC"/>
        <bgColor rgb="FFF4CCCC"/>
      </patternFill>
    </fill>
    <fill>
      <patternFill patternType="solid">
        <fgColor rgb="FFB8CCE4"/>
        <bgColor rgb="FFB8CCE4"/>
      </patternFill>
    </fill>
    <fill>
      <patternFill patternType="solid">
        <fgColor rgb="FFC2D69B"/>
        <bgColor rgb="FFC2D69B"/>
      </patternFill>
    </fill>
    <fill>
      <patternFill patternType="solid">
        <fgColor rgb="FFD9D2E9"/>
        <bgColor rgb="FFD9D2E9"/>
      </patternFill>
    </fill>
    <fill>
      <patternFill patternType="solid">
        <fgColor rgb="FFFFF2CC"/>
        <bgColor rgb="FFFFF2CC"/>
      </patternFill>
    </fill>
    <fill>
      <patternFill patternType="solid">
        <fgColor rgb="FFFFFF99"/>
        <bgColor rgb="FFFFFF99"/>
      </patternFill>
    </fill>
    <fill>
      <patternFill patternType="solid">
        <fgColor rgb="FFEAF1DD"/>
        <bgColor rgb="FFEAF1DD"/>
      </patternFill>
    </fill>
    <fill>
      <patternFill patternType="solid">
        <fgColor rgb="FFDBE5F1"/>
        <bgColor rgb="FFDBE5F1"/>
      </patternFill>
    </fill>
    <fill>
      <patternFill patternType="solid">
        <fgColor rgb="FFF2F2F2"/>
        <bgColor rgb="FFF2F2F2"/>
      </patternFill>
    </fill>
    <fill>
      <patternFill patternType="solid">
        <fgColor rgb="FF7F7F7F"/>
        <bgColor rgb="FF7F7F7F"/>
      </patternFill>
    </fill>
    <fill>
      <patternFill patternType="solid">
        <fgColor rgb="FFFDE9D9"/>
        <bgColor rgb="FFFDE9D9"/>
      </patternFill>
    </fill>
  </fills>
  <borders count="111">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ck">
        <color rgb="FF000000"/>
      </left>
      <right style="medium">
        <color rgb="FF000000"/>
      </right>
      <top style="thick">
        <color rgb="FF000000"/>
      </top>
      <bottom/>
      <diagonal/>
    </border>
    <border>
      <left style="medium">
        <color rgb="FF000000"/>
      </left>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right/>
      <top style="thick">
        <color rgb="FF000000"/>
      </top>
      <bottom/>
      <diagonal/>
    </border>
    <border>
      <left style="thin">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diagonal/>
    </border>
    <border>
      <left/>
      <right style="thick">
        <color rgb="FF000000"/>
      </right>
      <top style="thick">
        <color rgb="FF000000"/>
      </top>
      <bottom/>
      <diagonal/>
    </border>
    <border>
      <left style="thick">
        <color rgb="FF000000"/>
      </left>
      <right style="medium">
        <color rgb="FF000000"/>
      </right>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right style="thick">
        <color rgb="FF000000"/>
      </right>
      <top/>
      <bottom/>
      <diagonal/>
    </border>
    <border>
      <left style="thick">
        <color rgb="FF000000"/>
      </left>
      <right style="medium">
        <color rgb="FF000000"/>
      </right>
      <top/>
      <bottom style="thick">
        <color rgb="FF000000"/>
      </bottom>
      <diagonal/>
    </border>
    <border>
      <left style="medium">
        <color rgb="FF000000"/>
      </left>
      <right/>
      <top style="thin">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rgb="FF000000"/>
      </left>
      <right/>
      <top style="thin">
        <color rgb="FF000000"/>
      </top>
      <bottom style="thick">
        <color rgb="FF000000"/>
      </bottom>
      <diagonal/>
    </border>
    <border>
      <left/>
      <right style="thin">
        <color rgb="FF000000"/>
      </right>
      <top style="thick">
        <color rgb="FF000000"/>
      </top>
      <bottom style="thin">
        <color rgb="FF000000"/>
      </bottom>
      <diagonal/>
    </border>
    <border>
      <left/>
      <right style="medium">
        <color rgb="FF000000"/>
      </right>
      <top style="thick">
        <color rgb="FF000000"/>
      </top>
      <bottom style="thin">
        <color rgb="FF000000"/>
      </bottom>
      <diagonal/>
    </border>
    <border>
      <left/>
      <right/>
      <top style="thick">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ck">
        <color rgb="FF000000"/>
      </bottom>
      <diagonal/>
    </border>
    <border>
      <left/>
      <right style="thin">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s>
  <cellStyleXfs count="2">
    <xf numFmtId="0" fontId="0" fillId="0" borderId="0"/>
    <xf numFmtId="9" fontId="89" fillId="0" borderId="0" applyFont="0" applyFill="0" applyBorder="0" applyAlignment="0" applyProtection="0"/>
  </cellStyleXfs>
  <cellXfs count="652">
    <xf numFmtId="0" fontId="0" fillId="0" borderId="0" xfId="0" applyFont="1" applyAlignment="1"/>
    <xf numFmtId="0" fontId="1" fillId="2" borderId="1" xfId="0" applyFont="1" applyFill="1" applyBorder="1"/>
    <xf numFmtId="0" fontId="2" fillId="0" borderId="0" xfId="0" applyFont="1" applyAlignment="1">
      <alignment horizontal="center"/>
    </xf>
    <xf numFmtId="0" fontId="3" fillId="0" borderId="0" xfId="0" applyFont="1"/>
    <xf numFmtId="0" fontId="4" fillId="0" borderId="0" xfId="0" applyFont="1" applyAlignment="1">
      <alignment vertical="center" wrapText="1"/>
    </xf>
    <xf numFmtId="0" fontId="5" fillId="0" borderId="0" xfId="0" applyFont="1" applyAlignment="1">
      <alignment horizontal="center"/>
    </xf>
    <xf numFmtId="0" fontId="6" fillId="0" borderId="0" xfId="0" applyFont="1"/>
    <xf numFmtId="0" fontId="7" fillId="3" borderId="2" xfId="0" applyFont="1" applyFill="1" applyBorder="1" applyAlignment="1">
      <alignment horizontal="center" vertical="center" wrapText="1"/>
    </xf>
    <xf numFmtId="49" fontId="9" fillId="0" borderId="0" xfId="0" applyNumberFormat="1" applyFont="1" applyAlignment="1">
      <alignment horizontal="right"/>
    </xf>
    <xf numFmtId="0" fontId="10" fillId="0" borderId="0" xfId="0" applyFont="1"/>
    <xf numFmtId="0" fontId="11" fillId="0" borderId="0" xfId="0" applyFont="1" applyAlignment="1">
      <alignment horizontal="center"/>
    </xf>
    <xf numFmtId="49" fontId="12" fillId="0" borderId="0" xfId="0" applyNumberFormat="1" applyFont="1" applyAlignment="1">
      <alignment horizontal="center"/>
    </xf>
    <xf numFmtId="0" fontId="10" fillId="0" borderId="0" xfId="0" applyFont="1" applyAlignment="1">
      <alignment horizontal="center"/>
    </xf>
    <xf numFmtId="0" fontId="5" fillId="0" borderId="7" xfId="0" applyFont="1" applyBorder="1"/>
    <xf numFmtId="0" fontId="7" fillId="0" borderId="0" xfId="0" applyFont="1" applyAlignment="1">
      <alignment horizontal="center" vertical="center" wrapText="1"/>
    </xf>
    <xf numFmtId="0" fontId="7" fillId="3"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12" xfId="0" applyFont="1" applyBorder="1" applyAlignment="1">
      <alignment horizontal="left" wrapText="1"/>
    </xf>
    <xf numFmtId="164" fontId="14" fillId="0" borderId="13" xfId="0" applyNumberFormat="1" applyFont="1" applyBorder="1" applyAlignment="1">
      <alignment horizontal="right" wrapText="1"/>
    </xf>
    <xf numFmtId="164" fontId="14" fillId="0" borderId="0" xfId="0" applyNumberFormat="1" applyFont="1" applyAlignment="1">
      <alignment horizontal="right" wrapText="1"/>
    </xf>
    <xf numFmtId="8" fontId="3" fillId="0" borderId="0" xfId="0" applyNumberFormat="1" applyFont="1"/>
    <xf numFmtId="8" fontId="6" fillId="0" borderId="0" xfId="0" applyNumberFormat="1" applyFont="1"/>
    <xf numFmtId="164" fontId="3" fillId="0" borderId="0" xfId="0" applyNumberFormat="1" applyFont="1"/>
    <xf numFmtId="164" fontId="15" fillId="4" borderId="12" xfId="0" applyNumberFormat="1" applyFont="1" applyFill="1" applyBorder="1" applyAlignment="1">
      <alignment horizontal="right" wrapText="1"/>
    </xf>
    <xf numFmtId="164" fontId="14" fillId="0" borderId="12" xfId="0" applyNumberFormat="1" applyFont="1" applyBorder="1" applyAlignment="1">
      <alignment horizontal="right" wrapText="1"/>
    </xf>
    <xf numFmtId="0" fontId="13" fillId="0" borderId="12" xfId="0" applyFont="1" applyBorder="1" applyAlignment="1">
      <alignment horizontal="left" wrapText="1"/>
    </xf>
    <xf numFmtId="10" fontId="15" fillId="4" borderId="12" xfId="0" applyNumberFormat="1" applyFont="1" applyFill="1" applyBorder="1" applyAlignment="1">
      <alignment horizontal="right" wrapText="1"/>
    </xf>
    <xf numFmtId="10" fontId="16" fillId="0" borderId="12" xfId="0" applyNumberFormat="1" applyFont="1" applyBorder="1" applyAlignment="1">
      <alignment horizontal="right" wrapText="1"/>
    </xf>
    <xf numFmtId="10" fontId="17" fillId="0" borderId="12" xfId="0" applyNumberFormat="1" applyFont="1" applyBorder="1" applyAlignment="1">
      <alignment horizontal="right" wrapText="1"/>
    </xf>
    <xf numFmtId="10" fontId="17" fillId="0" borderId="0" xfId="0" applyNumberFormat="1" applyFont="1" applyAlignment="1">
      <alignment horizontal="right" wrapText="1"/>
    </xf>
    <xf numFmtId="10" fontId="3" fillId="0" borderId="0" xfId="0" applyNumberFormat="1" applyFont="1"/>
    <xf numFmtId="10" fontId="6" fillId="0" borderId="0" xfId="0" applyNumberFormat="1" applyFont="1"/>
    <xf numFmtId="10" fontId="14" fillId="0" borderId="0" xfId="0" applyNumberFormat="1" applyFont="1" applyAlignment="1">
      <alignment horizontal="right" wrapText="1"/>
    </xf>
    <xf numFmtId="10" fontId="14" fillId="0" borderId="12" xfId="0" applyNumberFormat="1" applyFont="1" applyBorder="1" applyAlignment="1">
      <alignment horizontal="right" wrapText="1"/>
    </xf>
    <xf numFmtId="0" fontId="13" fillId="0" borderId="10" xfId="0" applyFont="1" applyBorder="1" applyAlignment="1">
      <alignment horizontal="left" wrapText="1"/>
    </xf>
    <xf numFmtId="0" fontId="13" fillId="0" borderId="11" xfId="0" applyFont="1" applyBorder="1" applyAlignment="1">
      <alignment horizontal="left" wrapText="1"/>
    </xf>
    <xf numFmtId="164" fontId="18" fillId="0" borderId="12" xfId="0" applyNumberFormat="1" applyFont="1" applyBorder="1" applyAlignment="1">
      <alignment horizontal="right" wrapText="1"/>
    </xf>
    <xf numFmtId="10" fontId="18" fillId="0" borderId="12" xfId="0" applyNumberFormat="1" applyFont="1" applyBorder="1" applyAlignment="1">
      <alignment horizontal="right" wrapText="1"/>
    </xf>
    <xf numFmtId="0" fontId="13" fillId="0" borderId="10" xfId="0" applyFont="1" applyBorder="1" applyAlignment="1">
      <alignment horizontal="left"/>
    </xf>
    <xf numFmtId="0" fontId="13" fillId="0" borderId="11" xfId="0" applyFont="1" applyBorder="1" applyAlignment="1">
      <alignment horizontal="left"/>
    </xf>
    <xf numFmtId="164" fontId="19" fillId="0" borderId="15" xfId="0" applyNumberFormat="1" applyFont="1" applyBorder="1" applyAlignment="1">
      <alignment horizontal="right" wrapText="1"/>
    </xf>
    <xf numFmtId="164" fontId="15" fillId="2" borderId="16" xfId="0" applyNumberFormat="1" applyFont="1" applyFill="1" applyBorder="1" applyAlignment="1">
      <alignment horizontal="right" wrapText="1"/>
    </xf>
    <xf numFmtId="10" fontId="15" fillId="2" borderId="16" xfId="0" applyNumberFormat="1" applyFont="1" applyFill="1" applyBorder="1" applyAlignment="1">
      <alignment horizontal="right" wrapText="1"/>
    </xf>
    <xf numFmtId="10" fontId="19" fillId="0" borderId="15" xfId="0" applyNumberFormat="1" applyFont="1" applyBorder="1" applyAlignment="1">
      <alignment horizontal="right" wrapText="1"/>
    </xf>
    <xf numFmtId="10" fontId="20" fillId="0" borderId="15" xfId="0" applyNumberFormat="1" applyFont="1" applyBorder="1" applyAlignment="1">
      <alignment horizontal="right" wrapText="1"/>
    </xf>
    <xf numFmtId="165" fontId="3" fillId="0" borderId="12" xfId="0" applyNumberFormat="1" applyFont="1" applyBorder="1"/>
    <xf numFmtId="0" fontId="14" fillId="0" borderId="10" xfId="0" applyFont="1" applyBorder="1" applyAlignment="1">
      <alignment horizontal="left" wrapText="1"/>
    </xf>
    <xf numFmtId="164" fontId="15" fillId="2" borderId="12" xfId="0" applyNumberFormat="1" applyFont="1" applyFill="1" applyBorder="1" applyAlignment="1">
      <alignment horizontal="right" wrapText="1"/>
    </xf>
    <xf numFmtId="164" fontId="14" fillId="0" borderId="10" xfId="0" applyNumberFormat="1" applyFont="1" applyBorder="1" applyAlignment="1">
      <alignment horizontal="right" wrapText="1"/>
    </xf>
    <xf numFmtId="164" fontId="19" fillId="0" borderId="7" xfId="0" applyNumberFormat="1" applyFont="1" applyBorder="1" applyAlignment="1">
      <alignment horizontal="right" wrapText="1"/>
    </xf>
    <xf numFmtId="0" fontId="13" fillId="0" borderId="13" xfId="0" applyFont="1" applyBorder="1"/>
    <xf numFmtId="0" fontId="5" fillId="0" borderId="0" xfId="0" applyFont="1"/>
    <xf numFmtId="0" fontId="22" fillId="4" borderId="20" xfId="0" applyFont="1" applyFill="1" applyBorder="1"/>
    <xf numFmtId="0" fontId="19" fillId="4" borderId="20" xfId="0" applyFont="1" applyFill="1" applyBorder="1" applyAlignment="1">
      <alignment horizontal="left" vertical="top" wrapText="1"/>
    </xf>
    <xf numFmtId="0" fontId="19" fillId="4" borderId="20" xfId="0" applyFont="1" applyFill="1" applyBorder="1" applyAlignment="1">
      <alignment horizontal="right" vertical="top" wrapText="1"/>
    </xf>
    <xf numFmtId="0" fontId="25" fillId="4" borderId="20" xfId="0" applyFont="1" applyFill="1" applyBorder="1" applyAlignment="1">
      <alignment horizontal="left" vertical="top"/>
    </xf>
    <xf numFmtId="0" fontId="19" fillId="4" borderId="20" xfId="0" applyFont="1" applyFill="1" applyBorder="1" applyAlignment="1">
      <alignment horizontal="left" vertical="top"/>
    </xf>
    <xf numFmtId="0" fontId="19" fillId="4" borderId="20" xfId="0" applyFont="1" applyFill="1" applyBorder="1" applyAlignment="1">
      <alignment horizontal="right" vertical="top"/>
    </xf>
    <xf numFmtId="0" fontId="25" fillId="4" borderId="20" xfId="0" applyFont="1" applyFill="1" applyBorder="1" applyAlignment="1">
      <alignment horizontal="left"/>
    </xf>
    <xf numFmtId="0" fontId="19" fillId="4" borderId="20" xfId="0" applyFont="1" applyFill="1" applyBorder="1" applyAlignment="1">
      <alignment horizontal="left"/>
    </xf>
    <xf numFmtId="0" fontId="19" fillId="4" borderId="20" xfId="0" applyFont="1" applyFill="1" applyBorder="1" applyAlignment="1">
      <alignment horizontal="right"/>
    </xf>
    <xf numFmtId="0" fontId="10" fillId="4" borderId="20" xfId="0" applyFont="1" applyFill="1" applyBorder="1"/>
    <xf numFmtId="0" fontId="5" fillId="0" borderId="20" xfId="0" applyFont="1" applyBorder="1"/>
    <xf numFmtId="0" fontId="10" fillId="4" borderId="20" xfId="0" applyFont="1" applyFill="1" applyBorder="1" applyAlignment="1">
      <alignment horizontal="left"/>
    </xf>
    <xf numFmtId="166" fontId="10" fillId="4" borderId="20" xfId="0" applyNumberFormat="1" applyFont="1" applyFill="1" applyBorder="1" applyAlignment="1">
      <alignment horizontal="right"/>
    </xf>
    <xf numFmtId="167" fontId="10" fillId="4" borderId="20" xfId="0" applyNumberFormat="1" applyFont="1" applyFill="1" applyBorder="1" applyAlignment="1">
      <alignment horizontal="right"/>
    </xf>
    <xf numFmtId="2" fontId="10" fillId="4" borderId="20" xfId="0" applyNumberFormat="1" applyFont="1" applyFill="1" applyBorder="1" applyAlignment="1">
      <alignment horizontal="right"/>
    </xf>
    <xf numFmtId="168" fontId="10" fillId="4" borderId="20" xfId="0" applyNumberFormat="1" applyFont="1" applyFill="1" applyBorder="1" applyAlignment="1">
      <alignment horizontal="right"/>
    </xf>
    <xf numFmtId="0" fontId="10" fillId="4" borderId="20" xfId="0" applyFont="1" applyFill="1" applyBorder="1" applyAlignment="1">
      <alignment horizontal="right"/>
    </xf>
    <xf numFmtId="0" fontId="25" fillId="4" borderId="20" xfId="0" applyFont="1" applyFill="1" applyBorder="1"/>
    <xf numFmtId="0" fontId="27" fillId="4" borderId="20" xfId="0" applyFont="1" applyFill="1" applyBorder="1"/>
    <xf numFmtId="0" fontId="5" fillId="4" borderId="20" xfId="0" applyFont="1" applyFill="1" applyBorder="1" applyAlignment="1">
      <alignment horizontal="right"/>
    </xf>
    <xf numFmtId="0" fontId="10" fillId="4" borderId="20" xfId="0" applyFont="1" applyFill="1" applyBorder="1" applyAlignment="1">
      <alignment wrapText="1"/>
    </xf>
    <xf numFmtId="0" fontId="28" fillId="4" borderId="20" xfId="0" applyFont="1" applyFill="1" applyBorder="1" applyAlignment="1">
      <alignment horizontal="left" vertical="top" wrapText="1"/>
    </xf>
    <xf numFmtId="0" fontId="28" fillId="4" borderId="20" xfId="0" applyFont="1" applyFill="1" applyBorder="1" applyAlignment="1">
      <alignment horizontal="right" vertical="top" wrapText="1"/>
    </xf>
    <xf numFmtId="0" fontId="10" fillId="0" borderId="20" xfId="0" applyFont="1" applyBorder="1"/>
    <xf numFmtId="0" fontId="10" fillId="0" borderId="20" xfId="0" applyFont="1" applyBorder="1" applyAlignment="1">
      <alignment horizontal="left"/>
    </xf>
    <xf numFmtId="0" fontId="22" fillId="0" borderId="20" xfId="0" applyFont="1" applyBorder="1"/>
    <xf numFmtId="0" fontId="25" fillId="4" borderId="20" xfId="0" applyFont="1" applyFill="1" applyBorder="1" applyAlignment="1">
      <alignment wrapText="1"/>
    </xf>
    <xf numFmtId="0" fontId="5" fillId="0" borderId="20" xfId="0" applyFont="1" applyBorder="1" applyAlignment="1">
      <alignment wrapText="1"/>
    </xf>
    <xf numFmtId="0" fontId="5" fillId="4" borderId="20" xfId="0" applyFont="1" applyFill="1" applyBorder="1" applyAlignment="1">
      <alignment horizontal="right" wrapText="1"/>
    </xf>
    <xf numFmtId="0" fontId="25" fillId="4" borderId="20" xfId="0" applyFont="1" applyFill="1" applyBorder="1" applyAlignment="1">
      <alignment horizontal="left" wrapText="1"/>
    </xf>
    <xf numFmtId="0" fontId="19" fillId="4" borderId="20" xfId="0" applyFont="1" applyFill="1" applyBorder="1" applyAlignment="1">
      <alignment horizontal="left" wrapText="1"/>
    </xf>
    <xf numFmtId="0" fontId="19" fillId="4" borderId="20" xfId="0" applyFont="1" applyFill="1" applyBorder="1" applyAlignment="1">
      <alignment horizontal="right" wrapText="1"/>
    </xf>
    <xf numFmtId="0" fontId="10" fillId="4" borderId="20" xfId="0" applyFont="1" applyFill="1" applyBorder="1" applyAlignment="1">
      <alignment horizontal="left" wrapText="1"/>
    </xf>
    <xf numFmtId="166" fontId="10" fillId="4" borderId="20" xfId="0" applyNumberFormat="1" applyFont="1" applyFill="1" applyBorder="1" applyAlignment="1">
      <alignment horizontal="right" wrapText="1"/>
    </xf>
    <xf numFmtId="167" fontId="10" fillId="4" borderId="20" xfId="0" applyNumberFormat="1" applyFont="1" applyFill="1" applyBorder="1" applyAlignment="1">
      <alignment horizontal="right" wrapText="1"/>
    </xf>
    <xf numFmtId="0" fontId="10" fillId="4" borderId="20" xfId="0" applyFont="1" applyFill="1" applyBorder="1" applyAlignment="1">
      <alignment horizontal="right" wrapText="1"/>
    </xf>
    <xf numFmtId="0" fontId="10" fillId="4" borderId="20" xfId="0" applyFont="1" applyFill="1" applyBorder="1" applyAlignment="1">
      <alignment vertical="top"/>
    </xf>
    <xf numFmtId="0" fontId="10" fillId="4" borderId="20" xfId="0" applyFont="1" applyFill="1" applyBorder="1" applyAlignment="1">
      <alignment horizontal="left" vertical="top"/>
    </xf>
    <xf numFmtId="167" fontId="10" fillId="4" borderId="20" xfId="0" applyNumberFormat="1" applyFont="1" applyFill="1" applyBorder="1" applyAlignment="1">
      <alignment horizontal="right" vertical="top"/>
    </xf>
    <xf numFmtId="0" fontId="10" fillId="4" borderId="20" xfId="0" applyFont="1" applyFill="1" applyBorder="1" applyAlignment="1">
      <alignment horizontal="right" vertical="top"/>
    </xf>
    <xf numFmtId="8" fontId="10" fillId="0" borderId="20" xfId="0" applyNumberFormat="1" applyFont="1" applyBorder="1" applyAlignment="1">
      <alignment horizontal="right"/>
    </xf>
    <xf numFmtId="0" fontId="10" fillId="4" borderId="21" xfId="0" applyFont="1" applyFill="1" applyBorder="1"/>
    <xf numFmtId="0" fontId="5" fillId="0" borderId="18" xfId="0" applyFont="1" applyBorder="1"/>
    <xf numFmtId="0" fontId="10" fillId="4" borderId="22" xfId="0" applyFont="1" applyFill="1" applyBorder="1" applyAlignment="1">
      <alignment horizontal="left"/>
    </xf>
    <xf numFmtId="2" fontId="10" fillId="4" borderId="23" xfId="0" applyNumberFormat="1" applyFont="1" applyFill="1" applyBorder="1" applyAlignment="1">
      <alignment horizontal="right"/>
    </xf>
    <xf numFmtId="8" fontId="10" fillId="4" borderId="20" xfId="0" applyNumberFormat="1" applyFont="1" applyFill="1" applyBorder="1" applyAlignment="1">
      <alignment horizontal="right"/>
    </xf>
    <xf numFmtId="0" fontId="5" fillId="4" borderId="20" xfId="0" applyFont="1" applyFill="1" applyBorder="1" applyAlignment="1">
      <alignment horizontal="left" wrapText="1"/>
    </xf>
    <xf numFmtId="15" fontId="23" fillId="4" borderId="20" xfId="0" applyNumberFormat="1" applyFont="1" applyFill="1" applyBorder="1" applyAlignment="1">
      <alignment horizontal="left"/>
    </xf>
    <xf numFmtId="0" fontId="5" fillId="4" borderId="20" xfId="0" applyFont="1" applyFill="1" applyBorder="1"/>
    <xf numFmtId="169" fontId="10" fillId="4" borderId="20" xfId="0" applyNumberFormat="1" applyFont="1" applyFill="1" applyBorder="1" applyAlignment="1">
      <alignment horizontal="left"/>
    </xf>
    <xf numFmtId="15" fontId="20" fillId="4" borderId="20" xfId="0" applyNumberFormat="1" applyFont="1" applyFill="1" applyBorder="1" applyAlignment="1">
      <alignment horizontal="left" vertical="top" wrapText="1"/>
    </xf>
    <xf numFmtId="15" fontId="25" fillId="4" borderId="20" xfId="0" applyNumberFormat="1" applyFont="1" applyFill="1" applyBorder="1" applyAlignment="1">
      <alignment horizontal="left"/>
    </xf>
    <xf numFmtId="6" fontId="10" fillId="4" borderId="20" xfId="0" applyNumberFormat="1" applyFont="1" applyFill="1" applyBorder="1" applyAlignment="1">
      <alignment horizontal="right"/>
    </xf>
    <xf numFmtId="0" fontId="10" fillId="4" borderId="20" xfId="0" applyFont="1" applyFill="1" applyBorder="1" applyAlignment="1">
      <alignment horizontal="left" vertical="center"/>
    </xf>
    <xf numFmtId="8" fontId="10" fillId="4" borderId="20" xfId="0" applyNumberFormat="1" applyFont="1" applyFill="1" applyBorder="1" applyAlignment="1">
      <alignment horizontal="right" vertical="top"/>
    </xf>
    <xf numFmtId="2" fontId="10" fillId="4" borderId="20" xfId="0" applyNumberFormat="1" applyFont="1" applyFill="1" applyBorder="1" applyAlignment="1">
      <alignment horizontal="right" vertical="top"/>
    </xf>
    <xf numFmtId="0" fontId="10" fillId="4" borderId="20" xfId="0" applyFont="1" applyFill="1" applyBorder="1" applyAlignment="1">
      <alignment vertical="center"/>
    </xf>
    <xf numFmtId="0" fontId="23" fillId="4" borderId="20" xfId="0" applyFont="1" applyFill="1" applyBorder="1" applyAlignment="1">
      <alignment horizontal="left"/>
    </xf>
    <xf numFmtId="0" fontId="27" fillId="4" borderId="20" xfId="0" applyFont="1" applyFill="1" applyBorder="1" applyAlignment="1">
      <alignment horizontal="center"/>
    </xf>
    <xf numFmtId="0" fontId="27" fillId="4" borderId="20" xfId="0" applyFont="1" applyFill="1" applyBorder="1" applyAlignment="1">
      <alignment horizontal="right"/>
    </xf>
    <xf numFmtId="0" fontId="22" fillId="4" borderId="20" xfId="0" applyFont="1" applyFill="1" applyBorder="1" applyAlignment="1">
      <alignment horizontal="right"/>
    </xf>
    <xf numFmtId="0" fontId="3" fillId="4" borderId="20" xfId="0" applyFont="1" applyFill="1" applyBorder="1" applyAlignment="1">
      <alignment horizontal="right"/>
    </xf>
    <xf numFmtId="0" fontId="22" fillId="5" borderId="1" xfId="0" applyFont="1" applyFill="1" applyBorder="1" applyAlignment="1">
      <alignment horizontal="right" vertical="top" wrapText="1"/>
    </xf>
    <xf numFmtId="0" fontId="29" fillId="5" borderId="1" xfId="0" applyFont="1" applyFill="1" applyBorder="1" applyAlignment="1">
      <alignment horizontal="right" vertical="top" wrapText="1"/>
    </xf>
    <xf numFmtId="0" fontId="22" fillId="0" borderId="0" xfId="0" applyFont="1"/>
    <xf numFmtId="0" fontId="30" fillId="2" borderId="1" xfId="0" applyFont="1" applyFill="1" applyBorder="1"/>
    <xf numFmtId="0" fontId="22" fillId="2" borderId="1" xfId="0" applyFont="1" applyFill="1" applyBorder="1"/>
    <xf numFmtId="167" fontId="31" fillId="0" borderId="0" xfId="0" applyNumberFormat="1" applyFont="1"/>
    <xf numFmtId="0" fontId="32" fillId="0" borderId="0" xfId="0" applyFont="1"/>
    <xf numFmtId="165" fontId="33" fillId="6" borderId="12" xfId="0" applyNumberFormat="1" applyFont="1" applyFill="1" applyBorder="1" applyAlignment="1">
      <alignment vertical="center" wrapText="1"/>
    </xf>
    <xf numFmtId="0" fontId="34" fillId="0" borderId="0" xfId="0" applyFont="1" applyAlignment="1">
      <alignment horizontal="center" vertical="center"/>
    </xf>
    <xf numFmtId="0" fontId="35" fillId="2" borderId="1" xfId="0" applyFont="1" applyFill="1" applyBorder="1" applyAlignment="1">
      <alignment horizontal="center" vertical="center" wrapText="1"/>
    </xf>
    <xf numFmtId="0" fontId="37" fillId="2" borderId="1" xfId="0" applyFont="1" applyFill="1" applyBorder="1"/>
    <xf numFmtId="0" fontId="38" fillId="0" borderId="0" xfId="0" applyFont="1"/>
    <xf numFmtId="0" fontId="34" fillId="0" borderId="0" xfId="0" applyFont="1" applyAlignment="1">
      <alignment horizontal="center"/>
    </xf>
    <xf numFmtId="0" fontId="22" fillId="0" borderId="0" xfId="0" applyFont="1" applyAlignment="1">
      <alignment vertical="center"/>
    </xf>
    <xf numFmtId="0" fontId="39" fillId="0" borderId="0" xfId="0" applyFont="1" applyAlignment="1">
      <alignment vertical="center"/>
    </xf>
    <xf numFmtId="0" fontId="40" fillId="0" borderId="0" xfId="0" applyFont="1"/>
    <xf numFmtId="0" fontId="41" fillId="0" borderId="0" xfId="0" applyFont="1" applyAlignment="1">
      <alignment horizontal="right" vertical="center"/>
    </xf>
    <xf numFmtId="0" fontId="5" fillId="0" borderId="0" xfId="0" applyFont="1" applyAlignment="1">
      <alignment vertical="center"/>
    </xf>
    <xf numFmtId="0" fontId="42" fillId="0" borderId="0" xfId="0" applyFont="1" applyAlignment="1">
      <alignment horizontal="center" vertical="center"/>
    </xf>
    <xf numFmtId="0" fontId="38" fillId="0" borderId="0" xfId="0" applyFont="1" applyAlignment="1">
      <alignment vertical="center"/>
    </xf>
    <xf numFmtId="0" fontId="34" fillId="0" borderId="0" xfId="0" applyFont="1" applyAlignment="1">
      <alignment horizontal="center" vertical="center" wrapText="1"/>
    </xf>
    <xf numFmtId="0" fontId="43" fillId="0" borderId="27" xfId="0" applyFont="1" applyBorder="1" applyAlignment="1">
      <alignment horizontal="left"/>
    </xf>
    <xf numFmtId="0" fontId="43" fillId="0" borderId="28" xfId="0" applyFont="1" applyBorder="1" applyAlignment="1">
      <alignment horizontal="left"/>
    </xf>
    <xf numFmtId="0" fontId="30" fillId="0" borderId="28" xfId="0" applyFont="1" applyBorder="1" applyAlignment="1">
      <alignment horizontal="left"/>
    </xf>
    <xf numFmtId="0" fontId="34" fillId="0" borderId="29" xfId="0" applyFont="1" applyBorder="1" applyAlignment="1">
      <alignment horizontal="center"/>
    </xf>
    <xf numFmtId="0" fontId="44" fillId="0" borderId="29" xfId="0" applyFont="1" applyBorder="1" applyAlignment="1">
      <alignment horizontal="left"/>
    </xf>
    <xf numFmtId="0" fontId="45" fillId="0" borderId="12" xfId="0" applyFont="1" applyBorder="1" applyAlignment="1">
      <alignment horizontal="center" vertical="center" wrapText="1"/>
    </xf>
    <xf numFmtId="0" fontId="46" fillId="0" borderId="0" xfId="0" applyFont="1" applyAlignment="1">
      <alignment horizontal="center"/>
    </xf>
    <xf numFmtId="0" fontId="47" fillId="0" borderId="30" xfId="0" applyFont="1" applyBorder="1" applyAlignment="1">
      <alignment horizontal="center" vertical="center" wrapText="1"/>
    </xf>
    <xf numFmtId="0" fontId="47" fillId="0" borderId="31" xfId="0" applyFont="1" applyBorder="1" applyAlignment="1">
      <alignment horizontal="center" vertical="center" wrapText="1"/>
    </xf>
    <xf numFmtId="0" fontId="48" fillId="0" borderId="31" xfId="0" applyFont="1" applyBorder="1" applyAlignment="1">
      <alignment horizontal="center" vertical="center" wrapText="1"/>
    </xf>
    <xf numFmtId="0" fontId="47" fillId="7" borderId="32" xfId="0" applyFont="1" applyFill="1" applyBorder="1" applyAlignment="1">
      <alignment horizontal="center" vertical="center" wrapText="1"/>
    </xf>
    <xf numFmtId="0" fontId="49" fillId="0" borderId="31" xfId="0" applyFont="1" applyBorder="1" applyAlignment="1">
      <alignment horizontal="center" vertical="center" wrapText="1"/>
    </xf>
    <xf numFmtId="0" fontId="45" fillId="0" borderId="33" xfId="0" applyFont="1" applyBorder="1" applyAlignment="1">
      <alignment horizontal="center" vertical="center" wrapText="1"/>
    </xf>
    <xf numFmtId="0" fontId="45" fillId="0" borderId="33" xfId="0" quotePrefix="1" applyFont="1" applyBorder="1" applyAlignment="1">
      <alignment horizontal="center" vertical="center" wrapText="1"/>
    </xf>
    <xf numFmtId="0" fontId="50" fillId="7" borderId="32" xfId="0" applyFont="1" applyFill="1" applyBorder="1" applyAlignment="1">
      <alignment horizontal="center" vertical="center" wrapText="1"/>
    </xf>
    <xf numFmtId="0" fontId="45" fillId="0" borderId="30" xfId="0" applyFont="1" applyBorder="1" applyAlignment="1">
      <alignment horizontal="center" vertical="center" wrapText="1"/>
    </xf>
    <xf numFmtId="0" fontId="45" fillId="0" borderId="31" xfId="0" applyFont="1" applyBorder="1" applyAlignment="1">
      <alignment horizontal="center" vertical="center" wrapText="1"/>
    </xf>
    <xf numFmtId="0" fontId="51" fillId="0" borderId="35" xfId="0" applyFont="1" applyBorder="1" applyAlignment="1">
      <alignment vertical="center" wrapText="1"/>
    </xf>
    <xf numFmtId="165" fontId="52" fillId="0" borderId="36" xfId="0" applyNumberFormat="1" applyFont="1" applyBorder="1" applyAlignment="1">
      <alignment vertical="center" wrapText="1"/>
    </xf>
    <xf numFmtId="165" fontId="52" fillId="0" borderId="37" xfId="0" applyNumberFormat="1" applyFont="1" applyBorder="1" applyAlignment="1">
      <alignment vertical="center" wrapText="1"/>
    </xf>
    <xf numFmtId="165" fontId="51" fillId="0" borderId="37" xfId="0" applyNumberFormat="1" applyFont="1" applyBorder="1" applyAlignment="1">
      <alignment vertical="center" wrapText="1"/>
    </xf>
    <xf numFmtId="165" fontId="53" fillId="0" borderId="38" xfId="0" applyNumberFormat="1" applyFont="1" applyBorder="1" applyAlignment="1">
      <alignment vertical="center" wrapText="1"/>
    </xf>
    <xf numFmtId="0" fontId="22" fillId="0" borderId="39" xfId="0" applyFont="1" applyBorder="1"/>
    <xf numFmtId="0" fontId="5" fillId="0" borderId="39" xfId="0" applyFont="1" applyBorder="1"/>
    <xf numFmtId="164" fontId="34" fillId="0" borderId="39" xfId="0" applyNumberFormat="1" applyFont="1" applyBorder="1" applyAlignment="1">
      <alignment horizontal="center"/>
    </xf>
    <xf numFmtId="165" fontId="54" fillId="0" borderId="40" xfId="0" applyNumberFormat="1" applyFont="1" applyBorder="1" applyAlignment="1">
      <alignment vertical="center" wrapText="1"/>
    </xf>
    <xf numFmtId="165" fontId="51" fillId="0" borderId="41" xfId="0" applyNumberFormat="1" applyFont="1" applyBorder="1" applyAlignment="1">
      <alignment vertical="center" wrapText="1"/>
    </xf>
    <xf numFmtId="0" fontId="34" fillId="0" borderId="39" xfId="0" applyFont="1" applyBorder="1" applyAlignment="1">
      <alignment horizontal="center" vertical="center"/>
    </xf>
    <xf numFmtId="164" fontId="34" fillId="0" borderId="42" xfId="0" applyNumberFormat="1" applyFont="1" applyBorder="1" applyAlignment="1">
      <alignment horizontal="center"/>
    </xf>
    <xf numFmtId="164" fontId="34" fillId="0" borderId="43" xfId="0" applyNumberFormat="1" applyFont="1" applyBorder="1" applyAlignment="1">
      <alignment horizontal="center"/>
    </xf>
    <xf numFmtId="164" fontId="34" fillId="0" borderId="0" xfId="0" applyNumberFormat="1" applyFont="1" applyAlignment="1">
      <alignment horizontal="center"/>
    </xf>
    <xf numFmtId="0" fontId="51" fillId="0" borderId="45" xfId="0" applyFont="1" applyBorder="1" applyAlignment="1">
      <alignment vertical="center" wrapText="1"/>
    </xf>
    <xf numFmtId="165" fontId="52" fillId="0" borderId="46" xfId="0" applyNumberFormat="1" applyFont="1" applyBorder="1" applyAlignment="1">
      <alignment vertical="center" wrapText="1"/>
    </xf>
    <xf numFmtId="165" fontId="52" fillId="0" borderId="13" xfId="0" applyNumberFormat="1" applyFont="1" applyBorder="1" applyAlignment="1">
      <alignment vertical="center" wrapText="1"/>
    </xf>
    <xf numFmtId="165" fontId="55" fillId="2" borderId="9" xfId="0" applyNumberFormat="1" applyFont="1" applyFill="1" applyBorder="1" applyAlignment="1">
      <alignment vertical="center" wrapText="1"/>
    </xf>
    <xf numFmtId="165" fontId="51" fillId="0" borderId="13" xfId="0" applyNumberFormat="1" applyFont="1" applyBorder="1" applyAlignment="1">
      <alignment vertical="center" wrapText="1"/>
    </xf>
    <xf numFmtId="165" fontId="53" fillId="0" borderId="47" xfId="0" applyNumberFormat="1" applyFont="1" applyBorder="1" applyAlignment="1">
      <alignment vertical="center" wrapText="1"/>
    </xf>
    <xf numFmtId="167" fontId="22" fillId="0" borderId="0" xfId="0" applyNumberFormat="1" applyFont="1"/>
    <xf numFmtId="165" fontId="54" fillId="0" borderId="48" xfId="0" applyNumberFormat="1" applyFont="1" applyBorder="1" applyAlignment="1">
      <alignment vertical="center" wrapText="1"/>
    </xf>
    <xf numFmtId="165" fontId="51" fillId="0" borderId="49" xfId="0" applyNumberFormat="1" applyFont="1" applyBorder="1" applyAlignment="1">
      <alignment vertical="center" wrapText="1"/>
    </xf>
    <xf numFmtId="167" fontId="5" fillId="0" borderId="0" xfId="0" applyNumberFormat="1" applyFont="1"/>
    <xf numFmtId="165" fontId="51" fillId="6" borderId="50" xfId="0" applyNumberFormat="1" applyFont="1" applyFill="1" applyBorder="1" applyAlignment="1">
      <alignment vertical="center" wrapText="1"/>
    </xf>
    <xf numFmtId="165" fontId="51" fillId="6" borderId="12" xfId="0" applyNumberFormat="1" applyFont="1" applyFill="1" applyBorder="1" applyAlignment="1">
      <alignment vertical="center" wrapText="1"/>
    </xf>
    <xf numFmtId="165" fontId="51" fillId="6" borderId="51" xfId="0" applyNumberFormat="1" applyFont="1" applyFill="1" applyBorder="1" applyAlignment="1">
      <alignment vertical="center" wrapText="1"/>
    </xf>
    <xf numFmtId="0" fontId="51" fillId="0" borderId="52" xfId="0" applyFont="1" applyBorder="1" applyAlignment="1">
      <alignment vertical="center" wrapText="1"/>
    </xf>
    <xf numFmtId="0" fontId="52" fillId="0" borderId="50" xfId="0" applyFont="1" applyBorder="1" applyAlignment="1">
      <alignment vertical="center" wrapText="1"/>
    </xf>
    <xf numFmtId="10" fontId="52" fillId="8" borderId="12" xfId="0" applyNumberFormat="1" applyFont="1" applyFill="1" applyBorder="1" applyAlignment="1">
      <alignment vertical="center" wrapText="1"/>
    </xf>
    <xf numFmtId="170" fontId="52" fillId="8" borderId="12" xfId="0" applyNumberFormat="1" applyFont="1" applyFill="1" applyBorder="1" applyAlignment="1">
      <alignment vertical="center" wrapText="1"/>
    </xf>
    <xf numFmtId="10" fontId="55" fillId="2" borderId="12" xfId="0" applyNumberFormat="1" applyFont="1" applyFill="1" applyBorder="1" applyAlignment="1">
      <alignment vertical="center" wrapText="1"/>
    </xf>
    <xf numFmtId="10" fontId="51" fillId="8" borderId="12" xfId="0" applyNumberFormat="1" applyFont="1" applyFill="1" applyBorder="1" applyAlignment="1">
      <alignment vertical="center" wrapText="1"/>
    </xf>
    <xf numFmtId="10" fontId="53" fillId="8" borderId="53" xfId="0" applyNumberFormat="1" applyFont="1" applyFill="1" applyBorder="1" applyAlignment="1">
      <alignment vertical="center" wrapText="1"/>
    </xf>
    <xf numFmtId="165" fontId="22" fillId="0" borderId="0" xfId="0" applyNumberFormat="1" applyFont="1"/>
    <xf numFmtId="10" fontId="54" fillId="8" borderId="54" xfId="0" applyNumberFormat="1" applyFont="1" applyFill="1" applyBorder="1" applyAlignment="1">
      <alignment vertical="center" wrapText="1"/>
    </xf>
    <xf numFmtId="10" fontId="51" fillId="8" borderId="55" xfId="0" applyNumberFormat="1" applyFont="1" applyFill="1" applyBorder="1" applyAlignment="1">
      <alignment vertical="center" wrapText="1"/>
    </xf>
    <xf numFmtId="165" fontId="5" fillId="0" borderId="0" xfId="0" applyNumberFormat="1" applyFont="1"/>
    <xf numFmtId="164" fontId="34" fillId="0" borderId="56" xfId="0" applyNumberFormat="1" applyFont="1" applyBorder="1" applyAlignment="1">
      <alignment horizontal="center"/>
    </xf>
    <xf numFmtId="164" fontId="34" fillId="0" borderId="57" xfId="0" applyNumberFormat="1" applyFont="1" applyBorder="1" applyAlignment="1">
      <alignment horizontal="center"/>
    </xf>
    <xf numFmtId="165" fontId="52" fillId="0" borderId="12" xfId="0" applyNumberFormat="1" applyFont="1" applyBorder="1" applyAlignment="1">
      <alignment vertical="center" wrapText="1"/>
    </xf>
    <xf numFmtId="165" fontId="55" fillId="2" borderId="12" xfId="0" applyNumberFormat="1" applyFont="1" applyFill="1" applyBorder="1" applyAlignment="1">
      <alignment vertical="center" wrapText="1"/>
    </xf>
    <xf numFmtId="165" fontId="51" fillId="0" borderId="12" xfId="0" applyNumberFormat="1" applyFont="1" applyBorder="1" applyAlignment="1">
      <alignment vertical="center" wrapText="1"/>
    </xf>
    <xf numFmtId="165" fontId="53" fillId="0" borderId="53" xfId="0" applyNumberFormat="1" applyFont="1" applyBorder="1" applyAlignment="1">
      <alignment vertical="center" wrapText="1"/>
    </xf>
    <xf numFmtId="171" fontId="56" fillId="0" borderId="0" xfId="0" applyNumberFormat="1" applyFont="1"/>
    <xf numFmtId="172" fontId="56" fillId="0" borderId="0" xfId="0" applyNumberFormat="1" applyFont="1"/>
    <xf numFmtId="165" fontId="54" fillId="0" borderId="10" xfId="0" applyNumberFormat="1" applyFont="1" applyBorder="1" applyAlignment="1">
      <alignment vertical="center" wrapText="1"/>
    </xf>
    <xf numFmtId="165" fontId="51" fillId="0" borderId="55" xfId="0" applyNumberFormat="1" applyFont="1" applyBorder="1" applyAlignment="1">
      <alignment vertical="center" wrapText="1"/>
    </xf>
    <xf numFmtId="0" fontId="51" fillId="0" borderId="59" xfId="0" applyFont="1" applyBorder="1" applyAlignment="1">
      <alignment vertical="center" wrapText="1"/>
    </xf>
    <xf numFmtId="0" fontId="52" fillId="0" borderId="60" xfId="0" applyFont="1" applyBorder="1" applyAlignment="1">
      <alignment vertical="center" wrapText="1"/>
    </xf>
    <xf numFmtId="10" fontId="52" fillId="0" borderId="61" xfId="0" applyNumberFormat="1" applyFont="1" applyBorder="1" applyAlignment="1">
      <alignment vertical="center" wrapText="1"/>
    </xf>
    <xf numFmtId="10" fontId="55" fillId="2" borderId="61" xfId="0" applyNumberFormat="1" applyFont="1" applyFill="1" applyBorder="1" applyAlignment="1">
      <alignment vertical="center" wrapText="1"/>
    </xf>
    <xf numFmtId="10" fontId="51" fillId="0" borderId="61" xfId="0" applyNumberFormat="1" applyFont="1" applyBorder="1" applyAlignment="1">
      <alignment vertical="center" wrapText="1"/>
    </xf>
    <xf numFmtId="10" fontId="53" fillId="0" borderId="62" xfId="0" applyNumberFormat="1" applyFont="1" applyBorder="1" applyAlignment="1">
      <alignment vertical="center" wrapText="1"/>
    </xf>
    <xf numFmtId="0" fontId="22" fillId="0" borderId="63" xfId="0" applyFont="1" applyBorder="1"/>
    <xf numFmtId="165" fontId="56" fillId="0" borderId="63" xfId="0" applyNumberFormat="1" applyFont="1" applyBorder="1"/>
    <xf numFmtId="10" fontId="54" fillId="0" borderId="64" xfId="0" applyNumberFormat="1" applyFont="1" applyBorder="1" applyAlignment="1">
      <alignment vertical="center" wrapText="1"/>
    </xf>
    <xf numFmtId="10" fontId="51" fillId="0" borderId="65" xfId="0" applyNumberFormat="1" applyFont="1" applyBorder="1" applyAlignment="1">
      <alignment vertical="center" wrapText="1"/>
    </xf>
    <xf numFmtId="0" fontId="5" fillId="0" borderId="63" xfId="0" applyFont="1" applyBorder="1"/>
    <xf numFmtId="10" fontId="57" fillId="0" borderId="61" xfId="0" applyNumberFormat="1" applyFont="1" applyBorder="1" applyAlignment="1">
      <alignment vertical="center" wrapText="1"/>
    </xf>
    <xf numFmtId="164" fontId="34" fillId="0" borderId="63" xfId="0" applyNumberFormat="1" applyFont="1" applyBorder="1" applyAlignment="1">
      <alignment horizontal="center"/>
    </xf>
    <xf numFmtId="164" fontId="34" fillId="0" borderId="66" xfId="0" applyNumberFormat="1" applyFont="1" applyBorder="1" applyAlignment="1">
      <alignment horizontal="center"/>
    </xf>
    <xf numFmtId="164" fontId="34" fillId="0" borderId="67" xfId="0" applyNumberFormat="1" applyFont="1" applyBorder="1" applyAlignment="1">
      <alignment horizontal="center"/>
    </xf>
    <xf numFmtId="173" fontId="5" fillId="0" borderId="0" xfId="0" applyNumberFormat="1" applyFont="1"/>
    <xf numFmtId="164" fontId="34" fillId="0" borderId="69" xfId="0" applyNumberFormat="1" applyFont="1" applyBorder="1" applyAlignment="1">
      <alignment horizontal="center"/>
    </xf>
    <xf numFmtId="165" fontId="51" fillId="6" borderId="53" xfId="0" applyNumberFormat="1" applyFont="1" applyFill="1" applyBorder="1" applyAlignment="1">
      <alignment vertical="center" wrapText="1"/>
    </xf>
    <xf numFmtId="0" fontId="51" fillId="0" borderId="71" xfId="0" applyFont="1" applyBorder="1" applyAlignment="1">
      <alignment vertical="center" wrapText="1"/>
    </xf>
    <xf numFmtId="0" fontId="52" fillId="0" borderId="72" xfId="0" applyFont="1" applyBorder="1" applyAlignment="1">
      <alignment vertical="center" wrapText="1"/>
    </xf>
    <xf numFmtId="10" fontId="52" fillId="0" borderId="33" xfId="0" applyNumberFormat="1" applyFont="1" applyBorder="1" applyAlignment="1">
      <alignment vertical="center" wrapText="1"/>
    </xf>
    <xf numFmtId="10" fontId="55" fillId="2" borderId="2" xfId="0" applyNumberFormat="1" applyFont="1" applyFill="1" applyBorder="1" applyAlignment="1">
      <alignment vertical="center" wrapText="1"/>
    </xf>
    <xf numFmtId="10" fontId="51" fillId="0" borderId="33" xfId="0" applyNumberFormat="1" applyFont="1" applyBorder="1" applyAlignment="1">
      <alignment vertical="center" wrapText="1"/>
    </xf>
    <xf numFmtId="10" fontId="53" fillId="0" borderId="73" xfId="0" applyNumberFormat="1" applyFont="1" applyBorder="1" applyAlignment="1">
      <alignment vertical="center" wrapText="1"/>
    </xf>
    <xf numFmtId="165" fontId="56" fillId="0" borderId="0" xfId="0" applyNumberFormat="1" applyFont="1"/>
    <xf numFmtId="10" fontId="54" fillId="0" borderId="74" xfId="0" applyNumberFormat="1" applyFont="1" applyBorder="1" applyAlignment="1">
      <alignment vertical="center" wrapText="1"/>
    </xf>
    <xf numFmtId="10" fontId="51" fillId="0" borderId="75" xfId="0" applyNumberFormat="1" applyFont="1" applyBorder="1" applyAlignment="1">
      <alignment vertical="center" wrapText="1"/>
    </xf>
    <xf numFmtId="10" fontId="57" fillId="0" borderId="33" xfId="0" applyNumberFormat="1" applyFont="1" applyBorder="1" applyAlignment="1">
      <alignment vertical="center" wrapText="1"/>
    </xf>
    <xf numFmtId="173" fontId="5" fillId="0" borderId="39" xfId="0" applyNumberFormat="1" applyFont="1" applyBorder="1"/>
    <xf numFmtId="165" fontId="51" fillId="9" borderId="12" xfId="0" applyNumberFormat="1" applyFont="1" applyFill="1" applyBorder="1" applyAlignment="1">
      <alignment vertical="center" wrapText="1"/>
    </xf>
    <xf numFmtId="0" fontId="31" fillId="0" borderId="0" xfId="0" applyFont="1"/>
    <xf numFmtId="0" fontId="31" fillId="0" borderId="63" xfId="0" applyFont="1" applyBorder="1"/>
    <xf numFmtId="165" fontId="31" fillId="0" borderId="63" xfId="0" applyNumberFormat="1" applyFont="1" applyBorder="1"/>
    <xf numFmtId="10" fontId="51" fillId="9" borderId="61" xfId="0" applyNumberFormat="1" applyFont="1" applyFill="1" applyBorder="1" applyAlignment="1">
      <alignment vertical="center" wrapText="1"/>
    </xf>
    <xf numFmtId="10" fontId="54" fillId="9" borderId="76" xfId="0" applyNumberFormat="1" applyFont="1" applyFill="1" applyBorder="1" applyAlignment="1">
      <alignment vertical="center" wrapText="1"/>
    </xf>
    <xf numFmtId="10" fontId="51" fillId="9" borderId="65" xfId="0" applyNumberFormat="1" applyFont="1" applyFill="1" applyBorder="1" applyAlignment="1">
      <alignment vertical="center" wrapText="1"/>
    </xf>
    <xf numFmtId="165" fontId="52" fillId="0" borderId="36" xfId="0" applyNumberFormat="1" applyFont="1" applyBorder="1" applyAlignment="1">
      <alignment horizontal="right" wrapText="1"/>
    </xf>
    <xf numFmtId="165" fontId="52" fillId="0" borderId="77" xfId="0" applyNumberFormat="1" applyFont="1" applyBorder="1" applyAlignment="1">
      <alignment horizontal="right" wrapText="1"/>
    </xf>
    <xf numFmtId="165" fontId="51" fillId="0" borderId="77" xfId="0" applyNumberFormat="1" applyFont="1" applyBorder="1" applyAlignment="1">
      <alignment horizontal="right" wrapText="1"/>
    </xf>
    <xf numFmtId="165" fontId="53" fillId="0" borderId="78" xfId="0" applyNumberFormat="1" applyFont="1" applyBorder="1" applyAlignment="1">
      <alignment horizontal="right" wrapText="1"/>
    </xf>
    <xf numFmtId="165" fontId="54" fillId="0" borderId="79" xfId="0" applyNumberFormat="1" applyFont="1" applyBorder="1" applyAlignment="1">
      <alignment horizontal="right" wrapText="1"/>
    </xf>
    <xf numFmtId="165" fontId="51" fillId="0" borderId="41" xfId="0" applyNumberFormat="1" applyFont="1" applyBorder="1" applyAlignment="1">
      <alignment horizontal="right" wrapText="1"/>
    </xf>
    <xf numFmtId="165" fontId="58" fillId="0" borderId="46" xfId="0" applyNumberFormat="1" applyFont="1" applyBorder="1"/>
    <xf numFmtId="165" fontId="52" fillId="0" borderId="15" xfId="0" applyNumberFormat="1" applyFont="1" applyBorder="1" applyAlignment="1">
      <alignment horizontal="right" wrapText="1"/>
    </xf>
    <xf numFmtId="165" fontId="51" fillId="0" borderId="15" xfId="0" applyNumberFormat="1" applyFont="1" applyBorder="1" applyAlignment="1">
      <alignment horizontal="right" wrapText="1"/>
    </xf>
    <xf numFmtId="165" fontId="53" fillId="0" borderId="80" xfId="0" applyNumberFormat="1" applyFont="1" applyBorder="1" applyAlignment="1">
      <alignment horizontal="right" wrapText="1"/>
    </xf>
    <xf numFmtId="165" fontId="54" fillId="0" borderId="81" xfId="0" applyNumberFormat="1" applyFont="1" applyBorder="1" applyAlignment="1">
      <alignment horizontal="right" wrapText="1"/>
    </xf>
    <xf numFmtId="165" fontId="51" fillId="0" borderId="49" xfId="0" applyNumberFormat="1" applyFont="1" applyBorder="1" applyAlignment="1">
      <alignment horizontal="right" wrapText="1"/>
    </xf>
    <xf numFmtId="0" fontId="58" fillId="0" borderId="46" xfId="0" applyFont="1" applyBorder="1"/>
    <xf numFmtId="10" fontId="52" fillId="8" borderId="16" xfId="0" applyNumberFormat="1" applyFont="1" applyFill="1" applyBorder="1" applyAlignment="1">
      <alignment horizontal="right" wrapText="1"/>
    </xf>
    <xf numFmtId="10" fontId="51" fillId="8" borderId="16" xfId="0" applyNumberFormat="1" applyFont="1" applyFill="1" applyBorder="1" applyAlignment="1">
      <alignment horizontal="right" wrapText="1"/>
    </xf>
    <xf numFmtId="10" fontId="53" fillId="8" borderId="82" xfId="0" applyNumberFormat="1" applyFont="1" applyFill="1" applyBorder="1" applyAlignment="1">
      <alignment horizontal="right" wrapText="1"/>
    </xf>
    <xf numFmtId="10" fontId="54" fillId="8" borderId="83" xfId="0" applyNumberFormat="1" applyFont="1" applyFill="1" applyBorder="1" applyAlignment="1">
      <alignment horizontal="right" wrapText="1"/>
    </xf>
    <xf numFmtId="10" fontId="51" fillId="8" borderId="84" xfId="0" applyNumberFormat="1" applyFont="1" applyFill="1" applyBorder="1" applyAlignment="1">
      <alignment horizontal="right" wrapText="1"/>
    </xf>
    <xf numFmtId="0" fontId="58" fillId="0" borderId="85" xfId="0" applyFont="1" applyBorder="1"/>
    <xf numFmtId="10" fontId="52" fillId="0" borderId="86" xfId="0" applyNumberFormat="1" applyFont="1" applyBorder="1" applyAlignment="1">
      <alignment horizontal="right" wrapText="1"/>
    </xf>
    <xf numFmtId="10" fontId="53" fillId="0" borderId="87" xfId="0" applyNumberFormat="1" applyFont="1" applyBorder="1" applyAlignment="1">
      <alignment horizontal="right" wrapText="1"/>
    </xf>
    <xf numFmtId="0" fontId="51" fillId="0" borderId="78" xfId="0" applyFont="1" applyBorder="1" applyAlignment="1">
      <alignment wrapText="1"/>
    </xf>
    <xf numFmtId="165" fontId="58" fillId="0" borderId="77" xfId="0" applyNumberFormat="1" applyFont="1" applyBorder="1"/>
    <xf numFmtId="165" fontId="40" fillId="0" borderId="78" xfId="0" applyNumberFormat="1" applyFont="1" applyBorder="1"/>
    <xf numFmtId="0" fontId="51" fillId="0" borderId="80" xfId="0" applyFont="1" applyBorder="1" applyAlignment="1">
      <alignment wrapText="1"/>
    </xf>
    <xf numFmtId="165" fontId="58" fillId="0" borderId="15" xfId="0" applyNumberFormat="1" applyFont="1" applyBorder="1"/>
    <xf numFmtId="165" fontId="40" fillId="0" borderId="80" xfId="0" applyNumberFormat="1" applyFont="1" applyBorder="1"/>
    <xf numFmtId="0" fontId="58" fillId="0" borderId="15" xfId="0" applyFont="1" applyBorder="1"/>
    <xf numFmtId="10" fontId="58" fillId="8" borderId="16" xfId="0" applyNumberFormat="1" applyFont="1" applyFill="1" applyBorder="1"/>
    <xf numFmtId="10" fontId="40" fillId="8" borderId="82" xfId="0" applyNumberFormat="1" applyFont="1" applyFill="1" applyBorder="1"/>
    <xf numFmtId="0" fontId="51" fillId="0" borderId="87" xfId="0" applyFont="1" applyBorder="1" applyAlignment="1">
      <alignment wrapText="1"/>
    </xf>
    <xf numFmtId="0" fontId="58" fillId="0" borderId="86" xfId="0" applyFont="1" applyBorder="1"/>
    <xf numFmtId="10" fontId="58" fillId="0" borderId="86" xfId="0" applyNumberFormat="1" applyFont="1" applyBorder="1"/>
    <xf numFmtId="10" fontId="40" fillId="0" borderId="87" xfId="0" applyNumberFormat="1" applyFont="1" applyBorder="1"/>
    <xf numFmtId="10" fontId="22" fillId="0" borderId="0" xfId="0" applyNumberFormat="1" applyFont="1"/>
    <xf numFmtId="10" fontId="22" fillId="0" borderId="63" xfId="0" applyNumberFormat="1" applyFont="1" applyBorder="1"/>
    <xf numFmtId="0" fontId="34" fillId="0" borderId="63" xfId="0" applyFont="1" applyBorder="1" applyAlignment="1">
      <alignment horizontal="center"/>
    </xf>
    <xf numFmtId="0" fontId="34" fillId="0" borderId="66" xfId="0" applyFont="1" applyBorder="1" applyAlignment="1">
      <alignment horizontal="center"/>
    </xf>
    <xf numFmtId="0" fontId="34" fillId="0" borderId="67" xfId="0" applyFont="1" applyBorder="1" applyAlignment="1">
      <alignment horizontal="center"/>
    </xf>
    <xf numFmtId="0" fontId="39" fillId="0" borderId="0" xfId="0" applyFont="1"/>
    <xf numFmtId="10" fontId="39" fillId="0" borderId="0" xfId="0" applyNumberFormat="1" applyFont="1"/>
    <xf numFmtId="10" fontId="29" fillId="0" borderId="0" xfId="0" applyNumberFormat="1" applyFont="1"/>
    <xf numFmtId="0" fontId="29" fillId="0" borderId="0" xfId="0" applyFont="1"/>
    <xf numFmtId="0" fontId="30" fillId="0" borderId="0" xfId="0" applyFont="1"/>
    <xf numFmtId="10" fontId="58" fillId="0" borderId="0" xfId="0" applyNumberFormat="1" applyFont="1"/>
    <xf numFmtId="10" fontId="59" fillId="0" borderId="0" xfId="0" applyNumberFormat="1" applyFont="1"/>
    <xf numFmtId="10" fontId="40" fillId="0" borderId="0" xfId="0" applyNumberFormat="1" applyFont="1"/>
    <xf numFmtId="166" fontId="10" fillId="0" borderId="20" xfId="0" applyNumberFormat="1" applyFont="1" applyBorder="1" applyAlignment="1">
      <alignment horizontal="right"/>
    </xf>
    <xf numFmtId="167" fontId="10" fillId="0" borderId="20" xfId="0" applyNumberFormat="1" applyFont="1" applyBorder="1" applyAlignment="1">
      <alignment horizontal="right"/>
    </xf>
    <xf numFmtId="2" fontId="10" fillId="0" borderId="20" xfId="0" applyNumberFormat="1" applyFont="1" applyBorder="1" applyAlignment="1">
      <alignment horizontal="right"/>
    </xf>
    <xf numFmtId="168" fontId="10" fillId="0" borderId="20" xfId="0" applyNumberFormat="1" applyFont="1" applyBorder="1" applyAlignment="1">
      <alignment horizontal="right"/>
    </xf>
    <xf numFmtId="0" fontId="10" fillId="0" borderId="20" xfId="0" applyFont="1" applyBorder="1" applyAlignment="1">
      <alignment horizontal="right"/>
    </xf>
    <xf numFmtId="0" fontId="27" fillId="0" borderId="20" xfId="0" applyFont="1" applyBorder="1"/>
    <xf numFmtId="0" fontId="10" fillId="0" borderId="20" xfId="0" applyFont="1" applyBorder="1" applyAlignment="1">
      <alignment wrapText="1"/>
    </xf>
    <xf numFmtId="0" fontId="10" fillId="0" borderId="20" xfId="0" applyFont="1" applyBorder="1" applyAlignment="1">
      <alignment horizontal="left" wrapText="1"/>
    </xf>
    <xf numFmtId="166" fontId="10" fillId="0" borderId="20" xfId="0" applyNumberFormat="1" applyFont="1" applyBorder="1" applyAlignment="1">
      <alignment horizontal="right" wrapText="1"/>
    </xf>
    <xf numFmtId="167" fontId="10" fillId="0" borderId="20" xfId="0" applyNumberFormat="1" applyFont="1" applyBorder="1" applyAlignment="1">
      <alignment horizontal="right" wrapText="1"/>
    </xf>
    <xf numFmtId="167" fontId="10" fillId="0" borderId="20" xfId="0" applyNumberFormat="1" applyFont="1" applyBorder="1" applyAlignment="1">
      <alignment horizontal="right" vertical="top"/>
    </xf>
    <xf numFmtId="0" fontId="10" fillId="0" borderId="20" xfId="0" applyFont="1" applyBorder="1" applyAlignment="1">
      <alignment horizontal="right" vertical="top"/>
    </xf>
    <xf numFmtId="0" fontId="10" fillId="4" borderId="21" xfId="0" applyFont="1" applyFill="1" applyBorder="1" applyAlignment="1">
      <alignment horizontal="left" wrapText="1"/>
    </xf>
    <xf numFmtId="0" fontId="10" fillId="4" borderId="23" xfId="0" applyFont="1" applyFill="1" applyBorder="1" applyAlignment="1">
      <alignment horizontal="right"/>
    </xf>
    <xf numFmtId="0" fontId="5" fillId="0" borderId="19" xfId="0" applyFont="1" applyBorder="1"/>
    <xf numFmtId="0" fontId="5" fillId="0" borderId="20" xfId="0" applyFont="1" applyBorder="1" applyAlignment="1">
      <alignment horizontal="right"/>
    </xf>
    <xf numFmtId="6" fontId="10" fillId="0" borderId="20" xfId="0" applyNumberFormat="1" applyFont="1" applyBorder="1" applyAlignment="1">
      <alignment horizontal="right"/>
    </xf>
    <xf numFmtId="8" fontId="10" fillId="0" borderId="20" xfId="0" applyNumberFormat="1" applyFont="1" applyBorder="1" applyAlignment="1">
      <alignment horizontal="right" vertical="top"/>
    </xf>
    <xf numFmtId="0" fontId="60" fillId="0" borderId="20" xfId="0" applyFont="1" applyBorder="1"/>
    <xf numFmtId="0" fontId="19" fillId="0" borderId="20" xfId="0" applyFont="1" applyBorder="1" applyAlignment="1">
      <alignment horizontal="right"/>
    </xf>
    <xf numFmtId="0" fontId="3" fillId="0" borderId="20" xfId="0" applyFont="1" applyBorder="1"/>
    <xf numFmtId="0" fontId="3" fillId="0" borderId="20" xfId="0" applyFont="1" applyBorder="1" applyAlignment="1">
      <alignment horizontal="right"/>
    </xf>
    <xf numFmtId="167" fontId="3" fillId="0" borderId="0" xfId="0" applyNumberFormat="1" applyFont="1"/>
    <xf numFmtId="0" fontId="25" fillId="0" borderId="0" xfId="0" applyFont="1"/>
    <xf numFmtId="0" fontId="61" fillId="0" borderId="0" xfId="0" applyFont="1"/>
    <xf numFmtId="0" fontId="17" fillId="0" borderId="0" xfId="0" applyFont="1" applyAlignment="1">
      <alignment horizontal="center"/>
    </xf>
    <xf numFmtId="0" fontId="25" fillId="0" borderId="0" xfId="0" applyFont="1" applyAlignment="1">
      <alignment horizontal="center"/>
    </xf>
    <xf numFmtId="0" fontId="25" fillId="10" borderId="1" xfId="0" applyFont="1" applyFill="1" applyBorder="1"/>
    <xf numFmtId="0" fontId="5" fillId="10" borderId="1" xfId="0" applyFont="1" applyFill="1" applyBorder="1"/>
    <xf numFmtId="174" fontId="3" fillId="10" borderId="1" xfId="0" applyNumberFormat="1" applyFont="1" applyFill="1" applyBorder="1"/>
    <xf numFmtId="174" fontId="5" fillId="10" borderId="1" xfId="0" applyNumberFormat="1" applyFont="1" applyFill="1" applyBorder="1"/>
    <xf numFmtId="0" fontId="3" fillId="10" borderId="1" xfId="0" applyFont="1" applyFill="1" applyBorder="1"/>
    <xf numFmtId="174" fontId="3" fillId="0" borderId="0" xfId="0" applyNumberFormat="1" applyFont="1"/>
    <xf numFmtId="174" fontId="5" fillId="0" borderId="0" xfId="0" applyNumberFormat="1" applyFont="1"/>
    <xf numFmtId="0" fontId="24" fillId="0" borderId="0" xfId="0" applyFont="1"/>
    <xf numFmtId="0" fontId="17" fillId="0" borderId="0" xfId="0" applyFont="1" applyAlignment="1">
      <alignment horizontal="right"/>
    </xf>
    <xf numFmtId="0" fontId="25" fillId="0" borderId="0" xfId="0" applyFont="1" applyAlignment="1">
      <alignment horizontal="right"/>
    </xf>
    <xf numFmtId="0" fontId="5" fillId="0" borderId="0" xfId="0" applyFont="1" applyAlignment="1">
      <alignment vertical="top"/>
    </xf>
    <xf numFmtId="166" fontId="3" fillId="0" borderId="0" xfId="0" applyNumberFormat="1" applyFont="1"/>
    <xf numFmtId="166" fontId="25" fillId="0" borderId="0" xfId="0" applyNumberFormat="1" applyFont="1" applyAlignment="1"/>
    <xf numFmtId="4" fontId="3" fillId="0" borderId="0" xfId="0" applyNumberFormat="1" applyFont="1"/>
    <xf numFmtId="166" fontId="62" fillId="0" borderId="0" xfId="0" applyNumberFormat="1" applyFont="1" applyAlignment="1"/>
    <xf numFmtId="0" fontId="25" fillId="0" borderId="0" xfId="0" applyFont="1" applyAlignment="1"/>
    <xf numFmtId="167" fontId="25" fillId="0" borderId="0" xfId="0" applyNumberFormat="1" applyFont="1" applyAlignment="1"/>
    <xf numFmtId="167" fontId="62" fillId="0" borderId="0" xfId="0" applyNumberFormat="1" applyFont="1" applyAlignment="1"/>
    <xf numFmtId="10" fontId="5" fillId="0" borderId="0" xfId="0" applyNumberFormat="1" applyFont="1"/>
    <xf numFmtId="0" fontId="5" fillId="0" borderId="0" xfId="0" applyFont="1" applyAlignment="1">
      <alignment wrapText="1"/>
    </xf>
    <xf numFmtId="167" fontId="5" fillId="11" borderId="1" xfId="0" applyNumberFormat="1" applyFont="1" applyFill="1" applyBorder="1" applyAlignment="1"/>
    <xf numFmtId="175" fontId="5" fillId="0" borderId="0" xfId="0" applyNumberFormat="1" applyFont="1"/>
    <xf numFmtId="176" fontId="5" fillId="0" borderId="0" xfId="0" applyNumberFormat="1" applyFont="1"/>
    <xf numFmtId="0" fontId="63" fillId="0" borderId="0" xfId="0" applyFont="1"/>
    <xf numFmtId="164" fontId="5" fillId="0" borderId="0" xfId="0" applyNumberFormat="1" applyFont="1"/>
    <xf numFmtId="167" fontId="5" fillId="11" borderId="1" xfId="0" applyNumberFormat="1" applyFont="1" applyFill="1" applyBorder="1" applyAlignment="1">
      <alignment horizontal="right"/>
    </xf>
    <xf numFmtId="2" fontId="5" fillId="0" borderId="0" xfId="0" applyNumberFormat="1" applyFont="1"/>
    <xf numFmtId="0" fontId="64" fillId="0" borderId="0" xfId="0" applyFont="1"/>
    <xf numFmtId="168" fontId="5" fillId="0" borderId="0" xfId="0" applyNumberFormat="1" applyFont="1"/>
    <xf numFmtId="0" fontId="65" fillId="0" borderId="0" xfId="0" applyFont="1"/>
    <xf numFmtId="167" fontId="5" fillId="0" borderId="0" xfId="0" applyNumberFormat="1" applyFont="1" applyAlignment="1"/>
    <xf numFmtId="0" fontId="3" fillId="11" borderId="1" xfId="0" applyFont="1" applyFill="1" applyBorder="1" applyAlignment="1"/>
    <xf numFmtId="0" fontId="3" fillId="11" borderId="1" xfId="0" applyFont="1" applyFill="1" applyBorder="1"/>
    <xf numFmtId="0" fontId="17" fillId="0" borderId="0" xfId="0" applyFont="1"/>
    <xf numFmtId="0" fontId="66" fillId="0" borderId="0" xfId="0" applyFont="1"/>
    <xf numFmtId="0" fontId="24" fillId="5" borderId="1" xfId="0" applyFont="1" applyFill="1" applyBorder="1"/>
    <xf numFmtId="0" fontId="5" fillId="4" borderId="1" xfId="0" applyFont="1" applyFill="1" applyBorder="1"/>
    <xf numFmtId="0" fontId="67" fillId="4" borderId="1" xfId="0" applyFont="1" applyFill="1" applyBorder="1"/>
    <xf numFmtId="177" fontId="5" fillId="0" borderId="0" xfId="0" applyNumberFormat="1" applyFont="1"/>
    <xf numFmtId="175" fontId="3" fillId="0" borderId="0" xfId="0" applyNumberFormat="1" applyFont="1"/>
    <xf numFmtId="167" fontId="5" fillId="11" borderId="1" xfId="0" applyNumberFormat="1" applyFont="1" applyFill="1" applyBorder="1"/>
    <xf numFmtId="0" fontId="68" fillId="0" borderId="0" xfId="0" applyFont="1"/>
    <xf numFmtId="167" fontId="3" fillId="11" borderId="1" xfId="0" applyNumberFormat="1" applyFont="1" applyFill="1" applyBorder="1" applyAlignment="1"/>
    <xf numFmtId="167" fontId="3" fillId="11" borderId="0" xfId="0" applyNumberFormat="1" applyFont="1" applyFill="1" applyAlignment="1"/>
    <xf numFmtId="167" fontId="5" fillId="11" borderId="0" xfId="0" applyNumberFormat="1" applyFont="1" applyFill="1" applyAlignment="1"/>
    <xf numFmtId="168" fontId="3" fillId="0" borderId="0" xfId="0" applyNumberFormat="1" applyFont="1"/>
    <xf numFmtId="0" fontId="69" fillId="0" borderId="0" xfId="0" applyFont="1"/>
    <xf numFmtId="0" fontId="25" fillId="12" borderId="1" xfId="0" applyFont="1" applyFill="1" applyBorder="1" applyAlignment="1">
      <alignment horizontal="center"/>
    </xf>
    <xf numFmtId="10" fontId="25" fillId="12" borderId="1" xfId="0" applyNumberFormat="1" applyFont="1" applyFill="1" applyBorder="1" applyAlignment="1">
      <alignment horizontal="right"/>
    </xf>
    <xf numFmtId="167" fontId="3" fillId="0" borderId="0" xfId="0" applyNumberFormat="1" applyFont="1" applyAlignment="1"/>
    <xf numFmtId="0" fontId="70" fillId="2" borderId="1" xfId="0" applyFont="1" applyFill="1" applyBorder="1"/>
    <xf numFmtId="0" fontId="3" fillId="11" borderId="0" xfId="0" applyFont="1" applyFill="1" applyAlignment="1"/>
    <xf numFmtId="178" fontId="5" fillId="0" borderId="0" xfId="0" applyNumberFormat="1" applyFont="1"/>
    <xf numFmtId="2" fontId="3" fillId="0" borderId="0" xfId="0" applyNumberFormat="1" applyFont="1"/>
    <xf numFmtId="170" fontId="3" fillId="0" borderId="0" xfId="0" applyNumberFormat="1" applyFont="1"/>
    <xf numFmtId="170" fontId="5" fillId="0" borderId="0" xfId="0" applyNumberFormat="1" applyFont="1"/>
    <xf numFmtId="0" fontId="25" fillId="13" borderId="1" xfId="0" applyFont="1" applyFill="1" applyBorder="1"/>
    <xf numFmtId="9" fontId="3" fillId="0" borderId="0" xfId="0" applyNumberFormat="1" applyFont="1"/>
    <xf numFmtId="9" fontId="5" fillId="0" borderId="0" xfId="0" applyNumberFormat="1" applyFont="1"/>
    <xf numFmtId="8" fontId="5" fillId="0" borderId="0" xfId="0" applyNumberFormat="1" applyFont="1" applyAlignment="1"/>
    <xf numFmtId="10" fontId="5" fillId="0" borderId="0" xfId="0" applyNumberFormat="1" applyFont="1" applyAlignment="1"/>
    <xf numFmtId="43" fontId="5" fillId="0" borderId="0" xfId="0" applyNumberFormat="1" applyFont="1"/>
    <xf numFmtId="15" fontId="25" fillId="4" borderId="1" xfId="0" applyNumberFormat="1" applyFont="1" applyFill="1" applyBorder="1" applyAlignment="1">
      <alignment horizontal="left"/>
    </xf>
    <xf numFmtId="15" fontId="24" fillId="4" borderId="1" xfId="0" applyNumberFormat="1" applyFont="1" applyFill="1" applyBorder="1" applyAlignment="1">
      <alignment horizontal="left"/>
    </xf>
    <xf numFmtId="8" fontId="5" fillId="0" borderId="0" xfId="0" applyNumberFormat="1" applyFont="1"/>
    <xf numFmtId="0" fontId="3" fillId="0" borderId="0" xfId="0" applyFont="1" applyAlignment="1">
      <alignment wrapText="1"/>
    </xf>
    <xf numFmtId="0" fontId="71" fillId="0" borderId="0" xfId="0" applyFont="1" applyAlignment="1">
      <alignment horizontal="center" wrapText="1"/>
    </xf>
    <xf numFmtId="0" fontId="23" fillId="0" borderId="0" xfId="0" applyFont="1"/>
    <xf numFmtId="0" fontId="72" fillId="14" borderId="88" xfId="0" applyFont="1" applyFill="1" applyBorder="1" applyAlignment="1">
      <alignment horizontal="center" vertical="center"/>
    </xf>
    <xf numFmtId="0" fontId="24" fillId="15" borderId="1" xfId="0" applyFont="1" applyFill="1" applyBorder="1" applyAlignment="1">
      <alignment horizontal="left" vertical="center"/>
    </xf>
    <xf numFmtId="0" fontId="24" fillId="0" borderId="0" xfId="0" applyFont="1" applyAlignment="1">
      <alignment horizontal="left" vertical="center"/>
    </xf>
    <xf numFmtId="0" fontId="5" fillId="0" borderId="0" xfId="0" applyFont="1" applyAlignment="1">
      <alignment horizontal="right"/>
    </xf>
    <xf numFmtId="0" fontId="24" fillId="0" borderId="0" xfId="0" applyFont="1" applyAlignment="1">
      <alignment horizontal="center"/>
    </xf>
    <xf numFmtId="0" fontId="6" fillId="16" borderId="1" xfId="0" applyFont="1" applyFill="1" applyBorder="1" applyAlignment="1">
      <alignment horizontal="center"/>
    </xf>
    <xf numFmtId="179" fontId="25" fillId="15" borderId="12" xfId="0" applyNumberFormat="1" applyFont="1" applyFill="1" applyBorder="1"/>
    <xf numFmtId="0" fontId="73" fillId="0" borderId="0" xfId="0" applyFont="1" applyAlignment="1">
      <alignment horizontal="right"/>
    </xf>
    <xf numFmtId="0" fontId="25" fillId="0" borderId="0" xfId="0" applyFont="1" applyAlignment="1">
      <alignment horizontal="center" wrapText="1"/>
    </xf>
    <xf numFmtId="0" fontId="25" fillId="0" borderId="33" xfId="0" applyFont="1" applyBorder="1" applyAlignment="1">
      <alignment horizontal="center"/>
    </xf>
    <xf numFmtId="0" fontId="25" fillId="0" borderId="92" xfId="0" applyFont="1" applyBorder="1" applyAlignment="1">
      <alignment horizontal="center"/>
    </xf>
    <xf numFmtId="0" fontId="25" fillId="0" borderId="93" xfId="0" applyFont="1" applyBorder="1" applyAlignment="1">
      <alignment horizontal="center"/>
    </xf>
    <xf numFmtId="0" fontId="25" fillId="0" borderId="13" xfId="0" quotePrefix="1" applyFont="1" applyBorder="1" applyAlignment="1">
      <alignment horizontal="center"/>
    </xf>
    <xf numFmtId="0" fontId="25" fillId="0" borderId="15" xfId="0" applyFont="1" applyBorder="1" applyAlignment="1">
      <alignment horizontal="center"/>
    </xf>
    <xf numFmtId="0" fontId="25" fillId="0" borderId="15" xfId="0" quotePrefix="1" applyFont="1" applyBorder="1" applyAlignment="1">
      <alignment horizontal="center"/>
    </xf>
    <xf numFmtId="0" fontId="74" fillId="0" borderId="0" xfId="0" applyFont="1" applyAlignment="1">
      <alignment vertical="top"/>
    </xf>
    <xf numFmtId="0" fontId="5" fillId="16" borderId="1" xfId="0" applyFont="1" applyFill="1" applyBorder="1" applyAlignment="1">
      <alignment vertical="top"/>
    </xf>
    <xf numFmtId="165" fontId="5" fillId="15" borderId="95" xfId="0" applyNumberFormat="1" applyFont="1" applyFill="1" applyBorder="1" applyAlignment="1">
      <alignment vertical="top"/>
    </xf>
    <xf numFmtId="179" fontId="5" fillId="0" borderId="93" xfId="0" applyNumberFormat="1" applyFont="1" applyBorder="1" applyAlignment="1">
      <alignment vertical="center"/>
    </xf>
    <xf numFmtId="44" fontId="5" fillId="0" borderId="93" xfId="0" applyNumberFormat="1" applyFont="1" applyBorder="1" applyAlignment="1">
      <alignment vertical="center"/>
    </xf>
    <xf numFmtId="165" fontId="5" fillId="0" borderId="93" xfId="0" applyNumberFormat="1" applyFont="1" applyBorder="1" applyAlignment="1">
      <alignment vertical="center"/>
    </xf>
    <xf numFmtId="165" fontId="5" fillId="0" borderId="94" xfId="0" applyNumberFormat="1" applyFont="1" applyBorder="1" applyAlignment="1">
      <alignment vertical="center"/>
    </xf>
    <xf numFmtId="10" fontId="5" fillId="0" borderId="93" xfId="0" applyNumberFormat="1" applyFont="1" applyBorder="1" applyAlignment="1">
      <alignment vertical="center"/>
    </xf>
    <xf numFmtId="10" fontId="5" fillId="0" borderId="0" xfId="0" applyNumberFormat="1" applyFont="1" applyAlignment="1">
      <alignment vertical="center"/>
    </xf>
    <xf numFmtId="0" fontId="5" fillId="15" borderId="1" xfId="0" applyFont="1" applyFill="1" applyBorder="1" applyAlignment="1">
      <alignment vertical="top"/>
    </xf>
    <xf numFmtId="0" fontId="25" fillId="17" borderId="54" xfId="0" applyFont="1" applyFill="1" applyBorder="1" applyAlignment="1">
      <alignment vertical="top"/>
    </xf>
    <xf numFmtId="0" fontId="25" fillId="17" borderId="96" xfId="0" applyFont="1" applyFill="1" applyBorder="1" applyAlignment="1">
      <alignment vertical="top"/>
    </xf>
    <xf numFmtId="173" fontId="25" fillId="17" borderId="12" xfId="0" applyNumberFormat="1" applyFont="1" applyFill="1" applyBorder="1" applyAlignment="1">
      <alignment vertical="top"/>
    </xf>
    <xf numFmtId="0" fontId="25" fillId="17" borderId="97" xfId="0" applyFont="1" applyFill="1" applyBorder="1" applyAlignment="1">
      <alignment vertical="center"/>
    </xf>
    <xf numFmtId="165" fontId="25" fillId="17" borderId="97" xfId="0" applyNumberFormat="1" applyFont="1" applyFill="1" applyBorder="1" applyAlignment="1">
      <alignment vertical="center"/>
    </xf>
    <xf numFmtId="0" fontId="25" fillId="17" borderId="1" xfId="0" applyFont="1" applyFill="1" applyBorder="1" applyAlignment="1">
      <alignment vertical="center"/>
    </xf>
    <xf numFmtId="165" fontId="25" fillId="17" borderId="12" xfId="0" applyNumberFormat="1" applyFont="1" applyFill="1" applyBorder="1" applyAlignment="1">
      <alignment vertical="center"/>
    </xf>
    <xf numFmtId="10" fontId="25" fillId="17" borderId="97" xfId="0" applyNumberFormat="1" applyFont="1" applyFill="1" applyBorder="1" applyAlignment="1">
      <alignment vertical="center"/>
    </xf>
    <xf numFmtId="10" fontId="25" fillId="17" borderId="1" xfId="0" applyNumberFormat="1" applyFont="1" applyFill="1" applyBorder="1" applyAlignment="1">
      <alignment vertical="center"/>
    </xf>
    <xf numFmtId="173" fontId="5" fillId="15" borderId="95" xfId="0" applyNumberFormat="1" applyFont="1" applyFill="1" applyBorder="1" applyAlignment="1">
      <alignment vertical="top"/>
    </xf>
    <xf numFmtId="41" fontId="5" fillId="0" borderId="93" xfId="0" applyNumberFormat="1" applyFont="1" applyBorder="1" applyAlignment="1">
      <alignment vertical="center"/>
    </xf>
    <xf numFmtId="180" fontId="5" fillId="0" borderId="93" xfId="0" applyNumberFormat="1" applyFont="1" applyBorder="1" applyAlignment="1">
      <alignment vertical="center"/>
    </xf>
    <xf numFmtId="0" fontId="5" fillId="0" borderId="94" xfId="0" applyFont="1" applyBorder="1" applyAlignment="1">
      <alignment vertical="center"/>
    </xf>
    <xf numFmtId="181" fontId="5" fillId="15" borderId="95" xfId="0" applyNumberFormat="1" applyFont="1" applyFill="1" applyBorder="1" applyAlignment="1">
      <alignment vertical="top"/>
    </xf>
    <xf numFmtId="41" fontId="5" fillId="14" borderId="98" xfId="0" applyNumberFormat="1" applyFont="1" applyFill="1" applyBorder="1" applyAlignment="1">
      <alignment vertical="center"/>
    </xf>
    <xf numFmtId="173" fontId="5" fillId="4" borderId="95" xfId="0" applyNumberFormat="1" applyFont="1" applyFill="1" applyBorder="1" applyAlignment="1">
      <alignment vertical="center"/>
    </xf>
    <xf numFmtId="41" fontId="5" fillId="14" borderId="95" xfId="0" applyNumberFormat="1" applyFont="1" applyFill="1" applyBorder="1" applyAlignment="1">
      <alignment vertical="center"/>
    </xf>
    <xf numFmtId="0" fontId="5" fillId="17" borderId="96" xfId="0" applyFont="1" applyFill="1" applyBorder="1"/>
    <xf numFmtId="0" fontId="5" fillId="17" borderId="12" xfId="0" applyFont="1" applyFill="1" applyBorder="1"/>
    <xf numFmtId="41" fontId="5" fillId="17" borderId="97" xfId="0" applyNumberFormat="1" applyFont="1" applyFill="1" applyBorder="1" applyAlignment="1">
      <alignment vertical="center"/>
    </xf>
    <xf numFmtId="0" fontId="5" fillId="17" borderId="1" xfId="0" applyFont="1" applyFill="1" applyBorder="1" applyAlignment="1">
      <alignment vertical="center"/>
    </xf>
    <xf numFmtId="0" fontId="5" fillId="16" borderId="1" xfId="0" applyFont="1" applyFill="1" applyBorder="1" applyAlignment="1">
      <alignment vertical="center"/>
    </xf>
    <xf numFmtId="0" fontId="5" fillId="17" borderId="96" xfId="0" applyFont="1" applyFill="1" applyBorder="1" applyAlignment="1">
      <alignment vertical="top"/>
    </xf>
    <xf numFmtId="0" fontId="5" fillId="17" borderId="12" xfId="0" applyFont="1" applyFill="1" applyBorder="1" applyAlignment="1">
      <alignment vertical="top"/>
    </xf>
    <xf numFmtId="41" fontId="25" fillId="17" borderId="97" xfId="0" applyNumberFormat="1" applyFont="1" applyFill="1" applyBorder="1" applyAlignment="1">
      <alignment vertical="center"/>
    </xf>
    <xf numFmtId="173" fontId="5" fillId="0" borderId="94" xfId="0" applyNumberFormat="1" applyFont="1" applyBorder="1" applyAlignment="1">
      <alignment vertical="top"/>
    </xf>
    <xf numFmtId="41" fontId="3" fillId="14" borderId="95" xfId="0" applyNumberFormat="1" applyFont="1" applyFill="1" applyBorder="1" applyAlignment="1">
      <alignment horizontal="right" vertical="center" wrapText="1"/>
    </xf>
    <xf numFmtId="173" fontId="5" fillId="0" borderId="7" xfId="0" applyNumberFormat="1" applyFont="1" applyBorder="1" applyAlignment="1">
      <alignment vertical="top"/>
    </xf>
    <xf numFmtId="41" fontId="3" fillId="14" borderId="9" xfId="0" applyNumberFormat="1" applyFont="1" applyFill="1" applyBorder="1" applyAlignment="1">
      <alignment horizontal="right" vertical="center" wrapText="1"/>
    </xf>
    <xf numFmtId="0" fontId="5" fillId="18" borderId="99" xfId="0" applyFont="1" applyFill="1" applyBorder="1"/>
    <xf numFmtId="0" fontId="5" fillId="18" borderId="100" xfId="0" applyFont="1" applyFill="1" applyBorder="1" applyAlignment="1">
      <alignment vertical="top"/>
    </xf>
    <xf numFmtId="173" fontId="5" fillId="18" borderId="101" xfId="0" applyNumberFormat="1" applyFont="1" applyFill="1" applyBorder="1" applyAlignment="1">
      <alignment vertical="top"/>
    </xf>
    <xf numFmtId="0" fontId="5" fillId="18" borderId="101" xfId="0" applyFont="1" applyFill="1" applyBorder="1" applyAlignment="1">
      <alignment vertical="center"/>
    </xf>
    <xf numFmtId="165" fontId="5" fillId="18" borderId="100" xfId="0" applyNumberFormat="1" applyFont="1" applyFill="1" applyBorder="1" applyAlignment="1">
      <alignment vertical="center"/>
    </xf>
    <xf numFmtId="0" fontId="5" fillId="18" borderId="102" xfId="0" applyFont="1" applyFill="1" applyBorder="1" applyAlignment="1">
      <alignment vertical="center"/>
    </xf>
    <xf numFmtId="0" fontId="5" fillId="18" borderId="100" xfId="0" applyFont="1" applyFill="1" applyBorder="1" applyAlignment="1">
      <alignment vertical="center"/>
    </xf>
    <xf numFmtId="165" fontId="5" fillId="18" borderId="101" xfId="0" applyNumberFormat="1" applyFont="1" applyFill="1" applyBorder="1" applyAlignment="1">
      <alignment vertical="center"/>
    </xf>
    <xf numFmtId="10" fontId="5" fillId="18" borderId="103" xfId="0" applyNumberFormat="1" applyFont="1" applyFill="1" applyBorder="1" applyAlignment="1">
      <alignment vertical="center"/>
    </xf>
    <xf numFmtId="10" fontId="5" fillId="18" borderId="1" xfId="0" applyNumberFormat="1" applyFont="1" applyFill="1" applyBorder="1" applyAlignment="1">
      <alignment vertical="center"/>
    </xf>
    <xf numFmtId="0" fontId="25" fillId="0" borderId="0" xfId="0" applyFont="1" applyAlignment="1">
      <alignment vertical="top"/>
    </xf>
    <xf numFmtId="9" fontId="5" fillId="0" borderId="94" xfId="0" applyNumberFormat="1" applyFont="1" applyBorder="1" applyAlignment="1">
      <alignment vertical="top"/>
    </xf>
    <xf numFmtId="9" fontId="25" fillId="0" borderId="94" xfId="0" applyNumberFormat="1" applyFont="1" applyBorder="1" applyAlignment="1">
      <alignment vertical="center"/>
    </xf>
    <xf numFmtId="165" fontId="25" fillId="0" borderId="7" xfId="0" applyNumberFormat="1" applyFont="1" applyBorder="1" applyAlignment="1">
      <alignment vertical="center"/>
    </xf>
    <xf numFmtId="165" fontId="25" fillId="0" borderId="94" xfId="0" applyNumberFormat="1" applyFont="1" applyBorder="1" applyAlignment="1">
      <alignment vertical="center"/>
    </xf>
    <xf numFmtId="0" fontId="25" fillId="0" borderId="0" xfId="0" applyFont="1" applyAlignment="1">
      <alignment vertical="center"/>
    </xf>
    <xf numFmtId="10" fontId="25" fillId="0" borderId="93" xfId="0" applyNumberFormat="1" applyFont="1" applyBorder="1" applyAlignment="1">
      <alignment vertical="center"/>
    </xf>
    <xf numFmtId="10" fontId="25" fillId="0" borderId="0" xfId="0" applyNumberFormat="1" applyFont="1" applyAlignment="1">
      <alignment vertical="center"/>
    </xf>
    <xf numFmtId="0" fontId="5" fillId="0" borderId="0" xfId="0" applyFont="1" applyAlignment="1">
      <alignment horizontal="left" vertical="top"/>
    </xf>
    <xf numFmtId="9" fontId="5" fillId="0" borderId="94" xfId="0" applyNumberFormat="1" applyFont="1" applyBorder="1" applyAlignment="1">
      <alignment vertical="center"/>
    </xf>
    <xf numFmtId="0" fontId="25" fillId="0" borderId="0" xfId="0" applyFont="1" applyAlignment="1">
      <alignment horizontal="left" vertical="top"/>
    </xf>
    <xf numFmtId="0" fontId="5" fillId="0" borderId="94" xfId="0" applyFont="1" applyBorder="1" applyAlignment="1">
      <alignment vertical="top"/>
    </xf>
    <xf numFmtId="170" fontId="5" fillId="0" borderId="94" xfId="0" applyNumberFormat="1" applyFont="1" applyBorder="1" applyAlignment="1">
      <alignment vertical="top"/>
    </xf>
    <xf numFmtId="165" fontId="75" fillId="0" borderId="94" xfId="0" applyNumberFormat="1" applyFont="1" applyBorder="1" applyAlignment="1">
      <alignment vertical="center"/>
    </xf>
    <xf numFmtId="170" fontId="5" fillId="0" borderId="94" xfId="0" applyNumberFormat="1" applyFont="1" applyBorder="1" applyAlignment="1">
      <alignment vertical="center"/>
    </xf>
    <xf numFmtId="10" fontId="75" fillId="0" borderId="93" xfId="0" applyNumberFormat="1" applyFont="1" applyBorder="1" applyAlignment="1">
      <alignment vertical="center"/>
    </xf>
    <xf numFmtId="10" fontId="75" fillId="0" borderId="0" xfId="0" applyNumberFormat="1" applyFont="1" applyAlignment="1">
      <alignment vertical="center"/>
    </xf>
    <xf numFmtId="0" fontId="5" fillId="19" borderId="1" xfId="0" applyFont="1" applyFill="1" applyBorder="1" applyAlignment="1">
      <alignment vertical="top"/>
    </xf>
    <xf numFmtId="0" fontId="5" fillId="19" borderId="9" xfId="0" applyFont="1" applyFill="1" applyBorder="1" applyAlignment="1">
      <alignment vertical="top"/>
    </xf>
    <xf numFmtId="0" fontId="25" fillId="19" borderId="9" xfId="0" applyFont="1" applyFill="1" applyBorder="1" applyAlignment="1">
      <alignment vertical="center"/>
    </xf>
    <xf numFmtId="165" fontId="25" fillId="19" borderId="16" xfId="0" applyNumberFormat="1" applyFont="1" applyFill="1" applyBorder="1" applyAlignment="1">
      <alignment vertical="center"/>
    </xf>
    <xf numFmtId="0" fontId="25" fillId="19" borderId="83" xfId="0" applyFont="1" applyFill="1" applyBorder="1" applyAlignment="1">
      <alignment vertical="center"/>
    </xf>
    <xf numFmtId="165" fontId="25" fillId="19" borderId="9" xfId="0" applyNumberFormat="1" applyFont="1" applyFill="1" applyBorder="1" applyAlignment="1">
      <alignment vertical="center"/>
    </xf>
    <xf numFmtId="10" fontId="25" fillId="19" borderId="16" xfId="0" applyNumberFormat="1" applyFont="1" applyFill="1" applyBorder="1" applyAlignment="1">
      <alignment vertical="center"/>
    </xf>
    <xf numFmtId="10" fontId="25" fillId="19" borderId="1" xfId="0" applyNumberFormat="1" applyFont="1" applyFill="1" applyBorder="1" applyAlignment="1">
      <alignment vertical="center"/>
    </xf>
    <xf numFmtId="0" fontId="5" fillId="19" borderId="95" xfId="0" applyFont="1" applyFill="1" applyBorder="1" applyAlignment="1">
      <alignment vertical="top"/>
    </xf>
    <xf numFmtId="0" fontId="25" fillId="19" borderId="95" xfId="0" applyFont="1" applyFill="1" applyBorder="1" applyAlignment="1">
      <alignment vertical="center"/>
    </xf>
    <xf numFmtId="165" fontId="25" fillId="19" borderId="98" xfId="0" applyNumberFormat="1" applyFont="1" applyFill="1" applyBorder="1" applyAlignment="1">
      <alignment vertical="center"/>
    </xf>
    <xf numFmtId="0" fontId="25" fillId="19" borderId="1" xfId="0" applyFont="1" applyFill="1" applyBorder="1" applyAlignment="1">
      <alignment vertical="center"/>
    </xf>
    <xf numFmtId="165" fontId="25" fillId="19" borderId="95" xfId="0" applyNumberFormat="1" applyFont="1" applyFill="1" applyBorder="1" applyAlignment="1">
      <alignment vertical="center"/>
    </xf>
    <xf numFmtId="10" fontId="25" fillId="19" borderId="98" xfId="0" applyNumberFormat="1" applyFont="1" applyFill="1" applyBorder="1" applyAlignment="1">
      <alignment vertical="center"/>
    </xf>
    <xf numFmtId="173" fontId="5" fillId="18" borderId="104" xfId="0" applyNumberFormat="1" applyFont="1" applyFill="1" applyBorder="1" applyAlignment="1">
      <alignment vertical="top"/>
    </xf>
    <xf numFmtId="0" fontId="5" fillId="18" borderId="104" xfId="0" applyFont="1" applyFill="1" applyBorder="1" applyAlignment="1">
      <alignment vertical="center"/>
    </xf>
    <xf numFmtId="165" fontId="5" fillId="18" borderId="104" xfId="0" applyNumberFormat="1" applyFont="1" applyFill="1" applyBorder="1" applyAlignment="1">
      <alignment vertical="center"/>
    </xf>
    <xf numFmtId="182" fontId="5" fillId="15" borderId="12" xfId="0" applyNumberFormat="1" applyFont="1" applyFill="1" applyBorder="1"/>
    <xf numFmtId="0" fontId="76" fillId="0" borderId="0" xfId="0" applyFont="1"/>
    <xf numFmtId="0" fontId="5" fillId="14" borderId="1" xfId="0" applyFont="1" applyFill="1" applyBorder="1"/>
    <xf numFmtId="37" fontId="5" fillId="14" borderId="95" xfId="0" applyNumberFormat="1" applyFont="1" applyFill="1" applyBorder="1" applyAlignment="1">
      <alignment vertical="center"/>
    </xf>
    <xf numFmtId="0" fontId="25" fillId="0" borderId="94" xfId="0" applyFont="1" applyBorder="1" applyAlignment="1">
      <alignment vertical="center"/>
    </xf>
    <xf numFmtId="0" fontId="25" fillId="0" borderId="13" xfId="0" applyFont="1" applyBorder="1" applyAlignment="1">
      <alignment horizontal="center"/>
    </xf>
    <xf numFmtId="0" fontId="5" fillId="15" borderId="1" xfId="0" applyFont="1" applyFill="1" applyBorder="1" applyAlignment="1">
      <alignment vertical="top" wrapText="1"/>
    </xf>
    <xf numFmtId="0" fontId="5" fillId="0" borderId="7" xfId="0" applyFont="1" applyBorder="1" applyAlignment="1">
      <alignment vertical="center"/>
    </xf>
    <xf numFmtId="0" fontId="25" fillId="17" borderId="54" xfId="0" applyFont="1" applyFill="1" applyBorder="1" applyAlignment="1">
      <alignment vertical="top" wrapText="1"/>
    </xf>
    <xf numFmtId="0" fontId="5" fillId="0" borderId="0" xfId="0" applyFont="1" applyAlignment="1">
      <alignment vertical="center" wrapText="1"/>
    </xf>
    <xf numFmtId="0" fontId="5" fillId="0" borderId="0" xfId="0" applyFont="1" applyAlignment="1">
      <alignment vertical="top" wrapText="1"/>
    </xf>
    <xf numFmtId="9" fontId="5" fillId="0" borderId="0" xfId="0" applyNumberFormat="1" applyFont="1" applyAlignment="1">
      <alignment vertical="center"/>
    </xf>
    <xf numFmtId="165" fontId="5" fillId="0" borderId="7" xfId="0" applyNumberFormat="1" applyFont="1" applyBorder="1" applyAlignment="1">
      <alignment vertical="center"/>
    </xf>
    <xf numFmtId="0" fontId="25" fillId="0" borderId="0" xfId="0" applyFont="1" applyAlignment="1">
      <alignment horizontal="left" vertical="top" wrapText="1"/>
    </xf>
    <xf numFmtId="165" fontId="75" fillId="0" borderId="7" xfId="0" applyNumberFormat="1" applyFont="1" applyBorder="1" applyAlignment="1">
      <alignment vertical="center"/>
    </xf>
    <xf numFmtId="0" fontId="5" fillId="19" borderId="83" xfId="0" applyFont="1" applyFill="1" applyBorder="1" applyAlignment="1">
      <alignment vertical="center"/>
    </xf>
    <xf numFmtId="165" fontId="25" fillId="19" borderId="105" xfId="0" applyNumberFormat="1" applyFont="1" applyFill="1" applyBorder="1" applyAlignment="1">
      <alignment vertical="center"/>
    </xf>
    <xf numFmtId="0" fontId="5" fillId="19" borderId="1" xfId="0" applyFont="1" applyFill="1" applyBorder="1" applyAlignment="1">
      <alignment vertical="center"/>
    </xf>
    <xf numFmtId="165" fontId="25" fillId="19" borderId="106" xfId="0" applyNumberFormat="1" applyFont="1" applyFill="1" applyBorder="1" applyAlignment="1">
      <alignment vertical="center"/>
    </xf>
    <xf numFmtId="165" fontId="5" fillId="18" borderId="107" xfId="0" applyNumberFormat="1" applyFont="1" applyFill="1" applyBorder="1" applyAlignment="1">
      <alignment vertical="center"/>
    </xf>
    <xf numFmtId="165" fontId="5" fillId="0" borderId="93" xfId="0" applyNumberFormat="1" applyFont="1" applyBorder="1" applyAlignment="1">
      <alignment horizontal="right" vertical="center"/>
    </xf>
    <xf numFmtId="0" fontId="24" fillId="15" borderId="1" xfId="0" applyFont="1" applyFill="1" applyBorder="1" applyAlignment="1">
      <alignment horizontal="center" vertical="center"/>
    </xf>
    <xf numFmtId="0" fontId="25" fillId="17" borderId="12" xfId="0" applyFont="1" applyFill="1" applyBorder="1" applyAlignment="1">
      <alignment vertical="center"/>
    </xf>
    <xf numFmtId="0" fontId="5" fillId="17" borderId="12" xfId="0" applyFont="1" applyFill="1" applyBorder="1" applyAlignment="1">
      <alignment vertical="center"/>
    </xf>
    <xf numFmtId="165" fontId="25" fillId="0" borderId="14" xfId="0" applyNumberFormat="1" applyFont="1" applyBorder="1" applyAlignment="1">
      <alignment vertical="center"/>
    </xf>
    <xf numFmtId="0" fontId="5" fillId="18" borderId="108" xfId="0" applyFont="1" applyFill="1" applyBorder="1"/>
    <xf numFmtId="0" fontId="5" fillId="18" borderId="109" xfId="0" applyFont="1" applyFill="1" applyBorder="1" applyAlignment="1">
      <alignment vertical="top"/>
    </xf>
    <xf numFmtId="0" fontId="24" fillId="15" borderId="1" xfId="0" applyFont="1" applyFill="1" applyBorder="1" applyAlignment="1">
      <alignment vertical="center"/>
    </xf>
    <xf numFmtId="0" fontId="5" fillId="15" borderId="1" xfId="0" applyFont="1" applyFill="1" applyBorder="1"/>
    <xf numFmtId="179" fontId="5" fillId="14" borderId="95" xfId="0" applyNumberFormat="1" applyFont="1" applyFill="1" applyBorder="1" applyAlignment="1">
      <alignment vertical="center"/>
    </xf>
    <xf numFmtId="1" fontId="5" fillId="14" borderId="95" xfId="0" applyNumberFormat="1" applyFont="1" applyFill="1" applyBorder="1" applyAlignment="1">
      <alignment vertical="center"/>
    </xf>
    <xf numFmtId="183" fontId="5" fillId="15" borderId="95" xfId="0" applyNumberFormat="1" applyFont="1" applyFill="1" applyBorder="1" applyAlignment="1">
      <alignment vertical="top"/>
    </xf>
    <xf numFmtId="173" fontId="5" fillId="0" borderId="93" xfId="0" applyNumberFormat="1" applyFont="1" applyBorder="1" applyAlignment="1">
      <alignment vertical="center"/>
    </xf>
    <xf numFmtId="1" fontId="5" fillId="4" borderId="95" xfId="0" applyNumberFormat="1" applyFont="1" applyFill="1" applyBorder="1" applyAlignment="1">
      <alignment vertical="center"/>
    </xf>
    <xf numFmtId="165" fontId="75" fillId="11" borderId="98" xfId="0" applyNumberFormat="1" applyFont="1" applyFill="1" applyBorder="1" applyAlignment="1">
      <alignment vertical="center"/>
    </xf>
    <xf numFmtId="0" fontId="77" fillId="0" borderId="0" xfId="0" applyFont="1"/>
    <xf numFmtId="0" fontId="78" fillId="0" borderId="0" xfId="0" applyFont="1" applyAlignment="1">
      <alignment vertical="top"/>
    </xf>
    <xf numFmtId="0" fontId="77" fillId="0" borderId="0" xfId="0" applyFont="1" applyAlignment="1">
      <alignment vertical="top"/>
    </xf>
    <xf numFmtId="9" fontId="77" fillId="0" borderId="94" xfId="0" applyNumberFormat="1" applyFont="1" applyBorder="1" applyAlignment="1">
      <alignment vertical="top"/>
    </xf>
    <xf numFmtId="9" fontId="77" fillId="0" borderId="0" xfId="0" applyNumberFormat="1" applyFont="1" applyAlignment="1">
      <alignment vertical="center"/>
    </xf>
    <xf numFmtId="165" fontId="78" fillId="0" borderId="7" xfId="0" applyNumberFormat="1" applyFont="1" applyBorder="1" applyAlignment="1">
      <alignment vertical="center"/>
    </xf>
    <xf numFmtId="0" fontId="78" fillId="0" borderId="94" xfId="0" applyFont="1" applyBorder="1" applyAlignment="1">
      <alignment vertical="center"/>
    </xf>
    <xf numFmtId="9" fontId="78" fillId="0" borderId="94" xfId="0" applyNumberFormat="1" applyFont="1" applyBorder="1" applyAlignment="1">
      <alignment vertical="center"/>
    </xf>
    <xf numFmtId="0" fontId="78" fillId="0" borderId="0" xfId="0" applyFont="1" applyAlignment="1">
      <alignment vertical="center"/>
    </xf>
    <xf numFmtId="165" fontId="78" fillId="0" borderId="94" xfId="0" applyNumberFormat="1" applyFont="1" applyBorder="1" applyAlignment="1">
      <alignment vertical="center"/>
    </xf>
    <xf numFmtId="10" fontId="78" fillId="0" borderId="93" xfId="0" applyNumberFormat="1" applyFont="1" applyBorder="1" applyAlignment="1">
      <alignment vertical="center"/>
    </xf>
    <xf numFmtId="10" fontId="78" fillId="0" borderId="0" xfId="0" applyNumberFormat="1" applyFont="1" applyAlignment="1">
      <alignment vertical="center"/>
    </xf>
    <xf numFmtId="0" fontId="77" fillId="0" borderId="0" xfId="0" applyFont="1" applyAlignment="1">
      <alignment horizontal="left" vertical="top"/>
    </xf>
    <xf numFmtId="165" fontId="77" fillId="0" borderId="7" xfId="0" applyNumberFormat="1" applyFont="1" applyBorder="1" applyAlignment="1">
      <alignment vertical="center"/>
    </xf>
    <xf numFmtId="0" fontId="77" fillId="0" borderId="94" xfId="0" applyFont="1" applyBorder="1" applyAlignment="1">
      <alignment vertical="center"/>
    </xf>
    <xf numFmtId="9" fontId="77" fillId="0" borderId="94" xfId="0" applyNumberFormat="1" applyFont="1" applyBorder="1" applyAlignment="1">
      <alignment vertical="center"/>
    </xf>
    <xf numFmtId="165" fontId="77" fillId="0" borderId="93" xfId="0" applyNumberFormat="1" applyFont="1" applyBorder="1" applyAlignment="1">
      <alignment vertical="center"/>
    </xf>
    <xf numFmtId="0" fontId="77" fillId="0" borderId="0" xfId="0" applyFont="1" applyAlignment="1">
      <alignment vertical="center"/>
    </xf>
    <xf numFmtId="165" fontId="77" fillId="0" borderId="94" xfId="0" applyNumberFormat="1" applyFont="1" applyBorder="1" applyAlignment="1">
      <alignment vertical="center"/>
    </xf>
    <xf numFmtId="10" fontId="77" fillId="0" borderId="93" xfId="0" applyNumberFormat="1" applyFont="1" applyBorder="1" applyAlignment="1">
      <alignment vertical="center"/>
    </xf>
    <xf numFmtId="10" fontId="77" fillId="0" borderId="0" xfId="0" applyNumberFormat="1" applyFont="1" applyAlignment="1">
      <alignment vertical="center"/>
    </xf>
    <xf numFmtId="0" fontId="78" fillId="0" borderId="0" xfId="0" applyFont="1" applyAlignment="1">
      <alignment horizontal="left" vertical="top"/>
    </xf>
    <xf numFmtId="0" fontId="77" fillId="0" borderId="94" xfId="0" applyFont="1" applyBorder="1" applyAlignment="1">
      <alignment vertical="top"/>
    </xf>
    <xf numFmtId="165" fontId="80" fillId="0" borderId="7" xfId="0" applyNumberFormat="1" applyFont="1" applyBorder="1" applyAlignment="1">
      <alignment vertical="center"/>
    </xf>
    <xf numFmtId="165" fontId="80" fillId="11" borderId="98" xfId="0" applyNumberFormat="1" applyFont="1" applyFill="1" applyBorder="1" applyAlignment="1">
      <alignment vertical="center"/>
    </xf>
    <xf numFmtId="165" fontId="80" fillId="0" borderId="94" xfId="0" applyNumberFormat="1" applyFont="1" applyBorder="1" applyAlignment="1">
      <alignment vertical="center"/>
    </xf>
    <xf numFmtId="10" fontId="80" fillId="0" borderId="93" xfId="0" applyNumberFormat="1" applyFont="1" applyBorder="1" applyAlignment="1">
      <alignment vertical="center"/>
    </xf>
    <xf numFmtId="10" fontId="80" fillId="0" borderId="0" xfId="0" applyNumberFormat="1" applyFont="1" applyAlignment="1">
      <alignment vertical="center"/>
    </xf>
    <xf numFmtId="0" fontId="77" fillId="19" borderId="1" xfId="0" applyFont="1" applyFill="1" applyBorder="1" applyAlignment="1">
      <alignment vertical="top"/>
    </xf>
    <xf numFmtId="0" fontId="77" fillId="19" borderId="95" xfId="0" applyFont="1" applyFill="1" applyBorder="1" applyAlignment="1">
      <alignment vertical="top"/>
    </xf>
    <xf numFmtId="0" fontId="77" fillId="19" borderId="1" xfId="0" applyFont="1" applyFill="1" applyBorder="1" applyAlignment="1">
      <alignment vertical="center"/>
    </xf>
    <xf numFmtId="165" fontId="78" fillId="19" borderId="106" xfId="0" applyNumberFormat="1" applyFont="1" applyFill="1" applyBorder="1" applyAlignment="1">
      <alignment vertical="center"/>
    </xf>
    <xf numFmtId="0" fontId="78" fillId="19" borderId="95" xfId="0" applyFont="1" applyFill="1" applyBorder="1" applyAlignment="1">
      <alignment vertical="center"/>
    </xf>
    <xf numFmtId="165" fontId="78" fillId="19" borderId="98" xfId="0" applyNumberFormat="1" applyFont="1" applyFill="1" applyBorder="1" applyAlignment="1">
      <alignment vertical="center"/>
    </xf>
    <xf numFmtId="0" fontId="78" fillId="19" borderId="1" xfId="0" applyFont="1" applyFill="1" applyBorder="1" applyAlignment="1">
      <alignment vertical="center"/>
    </xf>
    <xf numFmtId="165" fontId="78" fillId="19" borderId="95" xfId="0" applyNumberFormat="1" applyFont="1" applyFill="1" applyBorder="1" applyAlignment="1">
      <alignment vertical="center"/>
    </xf>
    <xf numFmtId="10" fontId="78" fillId="19" borderId="98" xfId="0" applyNumberFormat="1" applyFont="1" applyFill="1" applyBorder="1" applyAlignment="1">
      <alignment vertical="center"/>
    </xf>
    <xf numFmtId="10" fontId="78" fillId="19" borderId="1" xfId="0" applyNumberFormat="1" applyFont="1" applyFill="1" applyBorder="1" applyAlignment="1">
      <alignment vertical="center"/>
    </xf>
    <xf numFmtId="0" fontId="28" fillId="0" borderId="0" xfId="0" applyFont="1"/>
    <xf numFmtId="0" fontId="81" fillId="0" borderId="0" xfId="0" applyFont="1"/>
    <xf numFmtId="0" fontId="82" fillId="0" borderId="0" xfId="0" applyFont="1"/>
    <xf numFmtId="0" fontId="78" fillId="0" borderId="0" xfId="0" applyFont="1" applyAlignment="1">
      <alignment horizontal="left" vertical="top" wrapText="1"/>
    </xf>
    <xf numFmtId="0" fontId="83" fillId="0" borderId="0" xfId="0" applyFont="1"/>
    <xf numFmtId="0" fontId="84" fillId="0" borderId="0" xfId="0" applyFont="1"/>
    <xf numFmtId="0" fontId="84" fillId="17" borderId="96" xfId="0" applyFont="1" applyFill="1" applyBorder="1" applyAlignment="1">
      <alignment vertical="top"/>
    </xf>
    <xf numFmtId="173" fontId="5" fillId="4" borderId="95" xfId="0" applyNumberFormat="1" applyFont="1" applyFill="1" applyBorder="1" applyAlignment="1">
      <alignment vertical="top"/>
    </xf>
    <xf numFmtId="0" fontId="83" fillId="17" borderId="96" xfId="0" applyFont="1" applyFill="1" applyBorder="1"/>
    <xf numFmtId="0" fontId="83" fillId="17" borderId="96" xfId="0" applyFont="1" applyFill="1" applyBorder="1" applyAlignment="1">
      <alignment vertical="top"/>
    </xf>
    <xf numFmtId="0" fontId="83" fillId="18" borderId="100" xfId="0" applyFont="1" applyFill="1" applyBorder="1" applyAlignment="1">
      <alignment vertical="top"/>
    </xf>
    <xf numFmtId="0" fontId="83" fillId="0" borderId="0" xfId="0" applyFont="1" applyAlignment="1">
      <alignment vertical="top"/>
    </xf>
    <xf numFmtId="0" fontId="85" fillId="0" borderId="0" xfId="0" applyFont="1" applyAlignment="1">
      <alignment vertical="top"/>
    </xf>
    <xf numFmtId="0" fontId="86" fillId="0" borderId="0" xfId="0" applyFont="1"/>
    <xf numFmtId="184" fontId="25" fillId="15" borderId="12" xfId="0" applyNumberFormat="1" applyFont="1" applyFill="1" applyBorder="1"/>
    <xf numFmtId="0" fontId="20" fillId="0" borderId="0" xfId="0" applyFont="1" applyAlignment="1">
      <alignment horizontal="center"/>
    </xf>
    <xf numFmtId="185" fontId="5" fillId="15" borderId="95" xfId="0" applyNumberFormat="1" applyFont="1" applyFill="1" applyBorder="1" applyAlignment="1">
      <alignment vertical="top"/>
    </xf>
    <xf numFmtId="186" fontId="5" fillId="0" borderId="93" xfId="0" applyNumberFormat="1" applyFont="1" applyBorder="1" applyAlignment="1">
      <alignment vertical="center"/>
    </xf>
    <xf numFmtId="180" fontId="5" fillId="15" borderId="95" xfId="0" applyNumberFormat="1" applyFont="1" applyFill="1" applyBorder="1" applyAlignment="1">
      <alignment vertical="top"/>
    </xf>
    <xf numFmtId="0" fontId="3" fillId="0" borderId="0" xfId="0" applyFont="1" applyAlignment="1">
      <alignment horizontal="right" vertical="center" wrapText="1"/>
    </xf>
    <xf numFmtId="0" fontId="67" fillId="0" borderId="0" xfId="0" applyFont="1" applyAlignment="1">
      <alignment vertical="center"/>
    </xf>
    <xf numFmtId="0" fontId="67" fillId="0" borderId="0" xfId="0" applyFont="1"/>
    <xf numFmtId="0" fontId="67" fillId="0" borderId="0" xfId="0" applyFont="1" applyAlignment="1">
      <alignment wrapText="1"/>
    </xf>
    <xf numFmtId="3" fontId="5" fillId="14" borderId="95" xfId="0" applyNumberFormat="1" applyFont="1" applyFill="1" applyBorder="1" applyAlignment="1">
      <alignment vertical="center"/>
    </xf>
    <xf numFmtId="3" fontId="5" fillId="0" borderId="94" xfId="0" applyNumberFormat="1" applyFont="1" applyBorder="1" applyAlignment="1">
      <alignment vertical="center"/>
    </xf>
    <xf numFmtId="0" fontId="3" fillId="13" borderId="110" xfId="0" applyFont="1" applyFill="1" applyBorder="1" applyAlignment="1">
      <alignment horizontal="right" vertical="center" wrapText="1"/>
    </xf>
    <xf numFmtId="0" fontId="58" fillId="0" borderId="0" xfId="0" applyFont="1"/>
    <xf numFmtId="0" fontId="87" fillId="0" borderId="0" xfId="0" applyFont="1"/>
    <xf numFmtId="0" fontId="88" fillId="0" borderId="0" xfId="0" applyFont="1" applyAlignment="1">
      <alignment vertical="top"/>
    </xf>
    <xf numFmtId="0" fontId="87" fillId="17" borderId="96" xfId="0" applyFont="1" applyFill="1" applyBorder="1" applyAlignment="1">
      <alignment vertical="top"/>
    </xf>
    <xf numFmtId="0" fontId="58" fillId="0" borderId="0" xfId="0" applyFont="1" applyAlignment="1">
      <alignment vertical="top"/>
    </xf>
    <xf numFmtId="0" fontId="58" fillId="17" borderId="96" xfId="0" applyFont="1" applyFill="1" applyBorder="1"/>
    <xf numFmtId="0" fontId="58" fillId="17" borderId="96" xfId="0" applyFont="1" applyFill="1" applyBorder="1" applyAlignment="1">
      <alignment vertical="top"/>
    </xf>
    <xf numFmtId="0" fontId="58" fillId="18" borderId="100" xfId="0" applyFont="1" applyFill="1" applyBorder="1" applyAlignment="1">
      <alignment vertical="top"/>
    </xf>
    <xf numFmtId="180" fontId="5" fillId="15" borderId="95" xfId="0" applyNumberFormat="1" applyFont="1" applyFill="1" applyBorder="1" applyAlignment="1">
      <alignment horizontal="right" vertical="top"/>
    </xf>
    <xf numFmtId="0" fontId="0" fillId="0" borderId="0" xfId="0" applyFont="1" applyAlignment="1"/>
    <xf numFmtId="8" fontId="5" fillId="0" borderId="0" xfId="0" applyNumberFormat="1" applyFont="1" applyAlignment="1">
      <alignment horizontal="center"/>
    </xf>
    <xf numFmtId="8" fontId="0" fillId="0" borderId="0" xfId="0" applyNumberFormat="1" applyFont="1" applyAlignment="1"/>
    <xf numFmtId="10" fontId="5" fillId="0" borderId="0" xfId="0" applyNumberFormat="1" applyFont="1" applyAlignment="1">
      <alignment horizontal="center"/>
    </xf>
    <xf numFmtId="10" fontId="0" fillId="0" borderId="0" xfId="0" applyNumberFormat="1" applyFont="1" applyAlignment="1"/>
    <xf numFmtId="10" fontId="10" fillId="4" borderId="20" xfId="1" applyNumberFormat="1" applyFont="1" applyFill="1" applyBorder="1" applyAlignment="1">
      <alignment horizontal="right"/>
    </xf>
    <xf numFmtId="10" fontId="10" fillId="0" borderId="20" xfId="1" applyNumberFormat="1" applyFont="1" applyBorder="1" applyAlignment="1">
      <alignment horizontal="right"/>
    </xf>
    <xf numFmtId="0" fontId="2" fillId="3" borderId="6" xfId="0" applyFont="1" applyFill="1" applyBorder="1" applyAlignment="1">
      <alignment horizontal="center" vertical="center" wrapText="1"/>
    </xf>
    <xf numFmtId="0" fontId="8" fillId="0" borderId="8" xfId="0" applyFont="1" applyBorder="1"/>
    <xf numFmtId="0" fontId="13" fillId="0" borderId="10" xfId="0" applyFont="1" applyBorder="1" applyAlignment="1">
      <alignment horizontal="left" vertical="center" wrapText="1"/>
    </xf>
    <xf numFmtId="0" fontId="8" fillId="0" borderId="11" xfId="0" applyFont="1" applyBorder="1"/>
    <xf numFmtId="0" fontId="8" fillId="0" borderId="14" xfId="0" applyFont="1" applyBorder="1"/>
    <xf numFmtId="0" fontId="7" fillId="3"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21" fillId="4" borderId="17" xfId="0" applyFont="1" applyFill="1" applyBorder="1" applyAlignment="1">
      <alignment horizontal="center" vertical="top" wrapText="1"/>
    </xf>
    <xf numFmtId="0" fontId="8" fillId="0" borderId="18" xfId="0" applyFont="1" applyBorder="1"/>
    <xf numFmtId="0" fontId="8" fillId="0" borderId="19" xfId="0" applyFont="1" applyBorder="1"/>
    <xf numFmtId="0" fontId="23" fillId="4" borderId="17" xfId="0" applyFont="1" applyFill="1" applyBorder="1" applyAlignment="1">
      <alignment horizontal="center" vertical="top" wrapText="1"/>
    </xf>
    <xf numFmtId="0" fontId="24" fillId="4" borderId="17" xfId="0" applyFont="1" applyFill="1" applyBorder="1" applyAlignment="1">
      <alignment horizontal="center" vertical="top" wrapText="1"/>
    </xf>
    <xf numFmtId="0" fontId="25" fillId="4" borderId="17" xfId="0" applyFont="1" applyFill="1" applyBorder="1" applyAlignment="1">
      <alignment horizontal="center" vertical="top" wrapText="1"/>
    </xf>
    <xf numFmtId="0" fontId="26" fillId="4" borderId="17" xfId="0" applyFont="1" applyFill="1" applyBorder="1" applyAlignment="1">
      <alignment horizontal="right" vertical="top" wrapText="1"/>
    </xf>
    <xf numFmtId="0" fontId="23" fillId="4" borderId="17" xfId="0" applyFont="1" applyFill="1" applyBorder="1" applyAlignment="1">
      <alignment horizontal="left" vertical="top" wrapText="1"/>
    </xf>
    <xf numFmtId="0" fontId="19" fillId="4" borderId="17" xfId="0" applyFont="1" applyFill="1" applyBorder="1" applyAlignment="1">
      <alignment horizontal="left" vertical="top" wrapText="1"/>
    </xf>
    <xf numFmtId="0" fontId="25" fillId="4" borderId="17" xfId="0" applyFont="1" applyFill="1" applyBorder="1" applyAlignment="1">
      <alignment horizontal="left" vertical="top"/>
    </xf>
    <xf numFmtId="0" fontId="25" fillId="4" borderId="17" xfId="0" applyFont="1" applyFill="1" applyBorder="1" applyAlignment="1">
      <alignment horizontal="left"/>
    </xf>
    <xf numFmtId="0" fontId="28" fillId="4" borderId="17" xfId="0" applyFont="1" applyFill="1" applyBorder="1" applyAlignment="1">
      <alignment horizontal="left" vertical="top" wrapText="1"/>
    </xf>
    <xf numFmtId="0" fontId="10" fillId="4" borderId="17" xfId="0" applyFont="1" applyFill="1" applyBorder="1" applyAlignment="1">
      <alignment horizontal="left" wrapText="1"/>
    </xf>
    <xf numFmtId="0" fontId="19" fillId="4" borderId="24" xfId="0" applyFont="1" applyFill="1" applyBorder="1" applyAlignment="1">
      <alignment horizontal="left" vertical="top" wrapText="1"/>
    </xf>
    <xf numFmtId="0" fontId="19" fillId="4" borderId="25" xfId="0" applyFont="1" applyFill="1" applyBorder="1" applyAlignment="1">
      <alignment horizontal="left" vertical="top" wrapText="1"/>
    </xf>
    <xf numFmtId="0" fontId="8" fillId="0" borderId="26" xfId="0" applyFont="1" applyBorder="1"/>
    <xf numFmtId="15" fontId="20" fillId="4" borderId="17" xfId="0" applyNumberFormat="1" applyFont="1" applyFill="1" applyBorder="1" applyAlignment="1">
      <alignment horizontal="left" vertical="top" wrapText="1"/>
    </xf>
    <xf numFmtId="0" fontId="10" fillId="4" borderId="17" xfId="0" applyFont="1" applyFill="1" applyBorder="1" applyAlignment="1">
      <alignment horizontal="left" vertical="top" wrapText="1"/>
    </xf>
    <xf numFmtId="0" fontId="51" fillId="0" borderId="34" xfId="0" applyFont="1" applyBorder="1" applyAlignment="1">
      <alignment horizontal="center" vertical="center" wrapText="1"/>
    </xf>
    <xf numFmtId="0" fontId="8" fillId="0" borderId="44" xfId="0" applyFont="1" applyBorder="1"/>
    <xf numFmtId="0" fontId="8" fillId="0" borderId="58" xfId="0" applyFont="1" applyBorder="1"/>
    <xf numFmtId="0" fontId="36" fillId="2" borderId="25" xfId="0" applyFont="1" applyFill="1" applyBorder="1" applyAlignment="1">
      <alignment horizontal="center" vertical="center" wrapText="1"/>
    </xf>
    <xf numFmtId="0" fontId="34" fillId="0" borderId="0" xfId="0" applyFont="1" applyAlignment="1">
      <alignment horizontal="center" vertical="center" wrapText="1"/>
    </xf>
    <xf numFmtId="0" fontId="0" fillId="0" borderId="0" xfId="0" applyFont="1" applyAlignment="1"/>
    <xf numFmtId="0" fontId="51" fillId="0" borderId="68" xfId="0" applyFont="1" applyBorder="1" applyAlignment="1">
      <alignment horizontal="center" vertical="center" wrapText="1"/>
    </xf>
    <xf numFmtId="0" fontId="8" fillId="0" borderId="68" xfId="0" applyFont="1" applyBorder="1"/>
    <xf numFmtId="0" fontId="8" fillId="0" borderId="70" xfId="0" applyFont="1" applyBorder="1"/>
    <xf numFmtId="0" fontId="20" fillId="0" borderId="10" xfId="0" applyFont="1" applyBorder="1" applyAlignment="1">
      <alignment horizontal="center"/>
    </xf>
    <xf numFmtId="0" fontId="25" fillId="0" borderId="94" xfId="0" applyFont="1" applyBorder="1" applyAlignment="1">
      <alignment horizontal="center" wrapText="1"/>
    </xf>
    <xf numFmtId="0" fontId="8" fillId="0" borderId="13" xfId="0" applyFont="1" applyBorder="1"/>
    <xf numFmtId="0" fontId="25" fillId="0" borderId="93" xfId="0" applyFont="1" applyBorder="1" applyAlignment="1">
      <alignment horizontal="center" wrapText="1"/>
    </xf>
    <xf numFmtId="0" fontId="8" fillId="0" borderId="15" xfId="0" applyFont="1" applyBorder="1"/>
    <xf numFmtId="0" fontId="63" fillId="0" borderId="0" xfId="0" applyFont="1" applyAlignment="1">
      <alignment horizontal="left" vertical="top" wrapText="1"/>
    </xf>
    <xf numFmtId="0" fontId="25" fillId="0" borderId="10" xfId="0" applyFont="1" applyBorder="1" applyAlignment="1">
      <alignment horizontal="center"/>
    </xf>
    <xf numFmtId="0" fontId="25" fillId="19" borderId="25" xfId="0" applyFont="1" applyFill="1" applyBorder="1" applyAlignment="1">
      <alignment horizontal="left" vertical="top" wrapText="1"/>
    </xf>
    <xf numFmtId="0" fontId="25" fillId="0" borderId="0" xfId="0" applyFont="1" applyAlignment="1">
      <alignment horizontal="center" wrapText="1"/>
    </xf>
    <xf numFmtId="0" fontId="16" fillId="0" borderId="27" xfId="0" applyFont="1" applyBorder="1" applyAlignment="1">
      <alignment horizontal="center"/>
    </xf>
    <xf numFmtId="0" fontId="8" fillId="0" borderId="28" xfId="0" applyFont="1" applyBorder="1"/>
    <xf numFmtId="0" fontId="8" fillId="0" borderId="29" xfId="0" applyFont="1" applyBorder="1"/>
    <xf numFmtId="0" fontId="25" fillId="0" borderId="89" xfId="0" applyFont="1" applyBorder="1" applyAlignment="1">
      <alignment horizontal="center"/>
    </xf>
    <xf numFmtId="0" fontId="8" fillId="0" borderId="90" xfId="0" applyFont="1" applyBorder="1"/>
    <xf numFmtId="0" fontId="8" fillId="0" borderId="91" xfId="0" applyFont="1" applyBorder="1"/>
    <xf numFmtId="0" fontId="25" fillId="0" borderId="27" xfId="0" applyFont="1" applyBorder="1" applyAlignment="1">
      <alignment horizontal="center"/>
    </xf>
    <xf numFmtId="0" fontId="78" fillId="19" borderId="25" xfId="0" applyFont="1" applyFill="1" applyBorder="1" applyAlignment="1">
      <alignment horizontal="left" vertical="top" wrapText="1"/>
    </xf>
    <xf numFmtId="0" fontId="79" fillId="0" borderId="0" xfId="0" applyFont="1" applyAlignment="1">
      <alignment horizontal="left" vertical="top" wrapText="1"/>
    </xf>
    <xf numFmtId="0" fontId="78" fillId="19" borderId="25" xfId="0" applyFont="1" applyFill="1" applyBorder="1" applyAlignment="1">
      <alignment horizontal="left" vertical="top"/>
    </xf>
    <xf numFmtId="0" fontId="25" fillId="0" borderId="94" xfId="0" applyFont="1" applyBorder="1" applyAlignment="1">
      <alignment horizontal="center"/>
    </xf>
    <xf numFmtId="0" fontId="25" fillId="0" borderId="93" xfId="0" applyFont="1" applyBorder="1" applyAlignment="1">
      <alignment horizontal="center"/>
    </xf>
    <xf numFmtId="0" fontId="25" fillId="0" borderId="0" xfId="0" applyFont="1" applyAlignment="1">
      <alignment horizontal="center"/>
    </xf>
    <xf numFmtId="0" fontId="63" fillId="0" borderId="0" xfId="0" applyFont="1" applyAlignment="1">
      <alignment horizontal="left" vertical="top"/>
    </xf>
    <xf numFmtId="0" fontId="25" fillId="19" borderId="25" xfId="0" applyFont="1" applyFill="1" applyBorder="1" applyAlignment="1">
      <alignment horizontal="left" vertical="top"/>
    </xf>
    <xf numFmtId="0" fontId="79" fillId="0" borderId="0" xfId="0" applyFont="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customschemas.google.com/relationships/workbookmetadata" Target="metadata"/><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lissac/.syncclient/1695214435882/melissaladouceur@hydroottawa.com/1nvtimzx6n9kIZzoiF-o-bxagCY61Ua2j/Attachment%208-5-1(A)%20-%20OEB%20Workform%20-%202025%20Current%20and%202026%20Proposed%20Tariff%20of%20Rates%20and%20Charge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0"/>
  <sheetViews>
    <sheetView tabSelected="1" workbookViewId="0">
      <pane ySplit="7" topLeftCell="A8" activePane="bottomLeft" state="frozen"/>
      <selection pane="bottomLeft" activeCell="L23" sqref="L23"/>
    </sheetView>
  </sheetViews>
  <sheetFormatPr defaultColWidth="12.5703125" defaultRowHeight="15" customHeight="1"/>
  <cols>
    <col min="1" max="1" width="41" customWidth="1"/>
    <col min="2" max="2" width="12.140625" customWidth="1"/>
    <col min="3" max="3" width="16.42578125" customWidth="1"/>
    <col min="4" max="4" width="12.7109375" customWidth="1"/>
    <col min="5" max="6" width="12.85546875" customWidth="1"/>
    <col min="7" max="7" width="13.42578125" customWidth="1"/>
    <col min="8" max="8" width="6.85546875" customWidth="1"/>
    <col min="9" max="9" width="11.85546875" customWidth="1"/>
    <col min="10" max="10" width="2" customWidth="1"/>
    <col min="11" max="11" width="10.28515625" customWidth="1"/>
    <col min="12" max="12" width="14.42578125" customWidth="1"/>
    <col min="13" max="18" width="12.42578125" customWidth="1"/>
  </cols>
  <sheetData>
    <row r="1" spans="1:23" ht="12" customHeight="1">
      <c r="A1" s="1"/>
      <c r="B1" s="2"/>
      <c r="C1" s="3"/>
      <c r="D1" s="3"/>
      <c r="E1" s="3"/>
      <c r="F1" s="3"/>
      <c r="G1" s="3"/>
      <c r="I1" s="4"/>
      <c r="K1" s="5"/>
      <c r="M1" s="6"/>
    </row>
    <row r="2" spans="1:23" ht="12" customHeight="1">
      <c r="A2" s="7"/>
      <c r="B2" s="597" t="s">
        <v>0</v>
      </c>
      <c r="C2" s="598"/>
      <c r="D2" s="598"/>
      <c r="E2" s="599"/>
      <c r="F2" s="7"/>
      <c r="G2" s="7"/>
      <c r="I2" s="3"/>
      <c r="K2" s="5"/>
      <c r="M2" s="6"/>
    </row>
    <row r="3" spans="1:23" ht="12" customHeight="1">
      <c r="A3" s="3"/>
      <c r="B3" s="3"/>
      <c r="C3" s="3"/>
      <c r="D3" s="3"/>
      <c r="E3" s="3"/>
      <c r="F3" s="3"/>
      <c r="G3" s="3"/>
      <c r="I3" s="3"/>
      <c r="K3" s="5"/>
      <c r="M3" s="6"/>
    </row>
    <row r="4" spans="1:23" ht="12" customHeight="1">
      <c r="A4" s="2"/>
      <c r="B4" s="8" t="str">
        <f t="shared" ref="B4:G4" si="0">B5&amp;"%"</f>
        <v>2025A%</v>
      </c>
      <c r="C4" s="8" t="str">
        <f t="shared" si="0"/>
        <v>2026F%</v>
      </c>
      <c r="D4" s="8" t="str">
        <f t="shared" si="0"/>
        <v>2027F%</v>
      </c>
      <c r="E4" s="8" t="str">
        <f t="shared" si="0"/>
        <v>2028F%</v>
      </c>
      <c r="F4" s="8" t="str">
        <f t="shared" si="0"/>
        <v>2029F%</v>
      </c>
      <c r="G4" s="8" t="str">
        <f t="shared" si="0"/>
        <v>2030F%</v>
      </c>
      <c r="H4" s="9"/>
      <c r="I4" s="8"/>
      <c r="K4" s="5"/>
      <c r="M4" s="6"/>
    </row>
    <row r="5" spans="1:23" ht="12" customHeight="1">
      <c r="A5" s="10"/>
      <c r="B5" s="11" t="s">
        <v>1</v>
      </c>
      <c r="C5" s="11" t="s">
        <v>2</v>
      </c>
      <c r="D5" s="11" t="s">
        <v>3</v>
      </c>
      <c r="E5" s="11" t="s">
        <v>4</v>
      </c>
      <c r="F5" s="11" t="s">
        <v>5</v>
      </c>
      <c r="G5" s="11" t="s">
        <v>6</v>
      </c>
      <c r="H5" s="9"/>
      <c r="I5" s="11"/>
      <c r="J5" s="9"/>
      <c r="K5" s="12"/>
      <c r="L5" s="9"/>
      <c r="M5" s="6"/>
      <c r="N5" s="9"/>
      <c r="O5" s="9"/>
      <c r="P5" s="9"/>
      <c r="Q5" s="9"/>
      <c r="R5" s="9"/>
    </row>
    <row r="6" spans="1:23" ht="12" customHeight="1">
      <c r="A6" s="592"/>
      <c r="B6" s="7" t="s">
        <v>7</v>
      </c>
      <c r="C6" s="7" t="s">
        <v>8</v>
      </c>
      <c r="D6" s="7" t="s">
        <v>8</v>
      </c>
      <c r="E6" s="7" t="s">
        <v>8</v>
      </c>
      <c r="F6" s="7" t="s">
        <v>8</v>
      </c>
      <c r="G6" s="7" t="s">
        <v>8</v>
      </c>
      <c r="H6" s="13"/>
      <c r="I6" s="14"/>
      <c r="K6" s="5"/>
      <c r="M6" s="6"/>
    </row>
    <row r="7" spans="1:23" ht="12" customHeight="1">
      <c r="A7" s="593"/>
      <c r="B7" s="15" t="str">
        <f>'Proposed Rates'!E4</f>
        <v>2025F</v>
      </c>
      <c r="C7" s="15" t="str">
        <f>'Proposed Rates'!F4</f>
        <v>2026F</v>
      </c>
      <c r="D7" s="15" t="str">
        <f>'Proposed Rates'!G4</f>
        <v>2027F</v>
      </c>
      <c r="E7" s="15" t="str">
        <f>'Proposed Rates'!H4</f>
        <v>2028F</v>
      </c>
      <c r="F7" s="15" t="str">
        <f>'Proposed Rates'!I4</f>
        <v>2029F</v>
      </c>
      <c r="G7" s="15" t="str">
        <f>'Proposed Rates'!J4</f>
        <v>2030F</v>
      </c>
      <c r="H7" s="13"/>
      <c r="I7" s="14"/>
      <c r="K7" s="5"/>
      <c r="M7" s="6"/>
    </row>
    <row r="8" spans="1:23" ht="12" customHeight="1">
      <c r="A8" s="16" t="s">
        <v>9</v>
      </c>
      <c r="B8" s="17"/>
      <c r="C8" s="17"/>
      <c r="D8" s="17"/>
      <c r="E8" s="17"/>
      <c r="F8" s="17"/>
      <c r="G8" s="17"/>
      <c r="H8" s="13"/>
      <c r="K8" s="5"/>
      <c r="M8" s="6"/>
    </row>
    <row r="9" spans="1:23" ht="12" customHeight="1">
      <c r="A9" s="18" t="s">
        <v>10</v>
      </c>
      <c r="B9" s="19">
        <f>HLOOKUP(B$5,'Res (750)'!$11:$29,19,FALSE)</f>
        <v>34.51</v>
      </c>
      <c r="C9" s="19">
        <f>HLOOKUP(C$5,'Res (750)'!$11:$29,19,FALSE)</f>
        <v>40.04</v>
      </c>
      <c r="D9" s="19">
        <f>HLOOKUP(D$5,'Res (750)'!$11:$29,19,FALSE)</f>
        <v>42.64</v>
      </c>
      <c r="E9" s="19">
        <f>HLOOKUP(E$5,'Res (750)'!$11:$29,19,FALSE)</f>
        <v>45.47</v>
      </c>
      <c r="F9" s="19">
        <f>HLOOKUP(F$5,'Res (750)'!$11:$29,19,FALSE)</f>
        <v>46.98</v>
      </c>
      <c r="G9" s="19">
        <f>HLOOKUP(G$5,'Res (750)'!$11:$29,19,FALSE)</f>
        <v>48.36</v>
      </c>
      <c r="H9" s="13"/>
      <c r="I9" s="20"/>
      <c r="K9" s="586"/>
      <c r="L9" s="21"/>
      <c r="M9" s="22"/>
      <c r="N9" s="21"/>
      <c r="O9" s="21"/>
      <c r="P9" s="21"/>
      <c r="Q9" s="21"/>
      <c r="R9" s="21"/>
      <c r="S9" s="21"/>
      <c r="T9" s="21"/>
      <c r="U9" s="23"/>
      <c r="V9" s="23"/>
      <c r="W9" s="23"/>
    </row>
    <row r="10" spans="1:23" ht="12" customHeight="1">
      <c r="A10" s="18" t="s">
        <v>11</v>
      </c>
      <c r="B10" s="24"/>
      <c r="C10" s="25">
        <f t="shared" ref="C10:G10" si="1">C9-B9</f>
        <v>5.5300000000000011</v>
      </c>
      <c r="D10" s="25">
        <f t="shared" si="1"/>
        <v>2.6000000000000014</v>
      </c>
      <c r="E10" s="25">
        <f t="shared" si="1"/>
        <v>2.8299999999999983</v>
      </c>
      <c r="F10" s="25">
        <f t="shared" si="1"/>
        <v>1.509999999999998</v>
      </c>
      <c r="G10" s="25">
        <f t="shared" si="1"/>
        <v>1.3800000000000026</v>
      </c>
      <c r="H10" s="13"/>
      <c r="I10" s="20"/>
      <c r="K10" s="586"/>
      <c r="L10" s="21"/>
      <c r="M10" s="22"/>
      <c r="N10" s="21"/>
      <c r="O10" s="21"/>
      <c r="P10" s="21"/>
      <c r="Q10" s="21"/>
      <c r="R10" s="21"/>
      <c r="S10" s="21"/>
      <c r="T10" s="21"/>
      <c r="U10" s="23"/>
      <c r="V10" s="23"/>
      <c r="W10" s="23"/>
    </row>
    <row r="11" spans="1:23" ht="12" customHeight="1">
      <c r="A11" s="26" t="s">
        <v>12</v>
      </c>
      <c r="B11" s="27"/>
      <c r="C11" s="28">
        <f t="shared" ref="C11:G11" si="2">C10/B9</f>
        <v>0.16024340770791079</v>
      </c>
      <c r="D11" s="29">
        <f t="shared" si="2"/>
        <v>6.4935064935064971E-2</v>
      </c>
      <c r="E11" s="29">
        <f t="shared" si="2"/>
        <v>6.6369606003752302E-2</v>
      </c>
      <c r="F11" s="29">
        <f t="shared" si="2"/>
        <v>3.3208709038926719E-2</v>
      </c>
      <c r="G11" s="29">
        <f t="shared" si="2"/>
        <v>2.9374201787994946E-2</v>
      </c>
      <c r="H11" s="13"/>
      <c r="I11" s="30"/>
      <c r="K11" s="588"/>
      <c r="L11" s="31"/>
      <c r="M11" s="32"/>
      <c r="N11" s="31"/>
      <c r="O11" s="31"/>
      <c r="P11" s="21"/>
      <c r="Q11" s="21"/>
      <c r="R11" s="21"/>
      <c r="S11" s="21"/>
      <c r="T11" s="21"/>
      <c r="U11" s="23"/>
      <c r="V11" s="23"/>
      <c r="W11" s="23"/>
    </row>
    <row r="12" spans="1:23" ht="12" customHeight="1">
      <c r="A12" s="18" t="s">
        <v>13</v>
      </c>
      <c r="B12" s="27"/>
      <c r="C12" s="25">
        <f>'Res (750)'!N50</f>
        <v>6.178871499999957</v>
      </c>
      <c r="D12" s="25">
        <f>'Res (750)'!U50</f>
        <v>2.75</v>
      </c>
      <c r="E12" s="25">
        <f>'Res (750)'!AB50</f>
        <v>2.8477490000000216</v>
      </c>
      <c r="F12" s="25">
        <f>'Res (750)'!AI50</f>
        <v>1.5199999999999818</v>
      </c>
      <c r="G12" s="25">
        <f>'Res (750)'!AP50</f>
        <v>1.3900000000000148</v>
      </c>
      <c r="H12" s="13"/>
      <c r="I12" s="33"/>
      <c r="K12" s="588"/>
      <c r="L12" s="589"/>
      <c r="M12" s="589"/>
      <c r="N12" s="589"/>
      <c r="O12" s="589"/>
      <c r="P12" s="31"/>
      <c r="Q12" s="31"/>
      <c r="R12" s="31"/>
      <c r="S12" s="31"/>
      <c r="T12" s="31"/>
      <c r="U12" s="23"/>
      <c r="V12" s="23"/>
      <c r="W12" s="23"/>
    </row>
    <row r="13" spans="1:23" ht="12" customHeight="1">
      <c r="A13" s="18" t="s">
        <v>14</v>
      </c>
      <c r="B13" s="27"/>
      <c r="C13" s="34">
        <f>HLOOKUP(C$4,'Res (750)'!$A$11:$AR$60,40,FALSE)</f>
        <v>4.0097694785944028E-2</v>
      </c>
      <c r="D13" s="34">
        <f>HLOOKUP(D$4,'Res (750)'!$A$11:$AR$60,40,FALSE)</f>
        <v>1.7158084501644466E-2</v>
      </c>
      <c r="E13" s="34">
        <f>HLOOKUP(E$4,'Res (750)'!$A$11:$AR$60,40,FALSE)</f>
        <v>1.7468248491370755E-2</v>
      </c>
      <c r="F13" s="34">
        <f>HLOOKUP(F$4,'Res (750)'!$A$11:$AR$60,40,FALSE)</f>
        <v>9.1636897234945967E-3</v>
      </c>
      <c r="G13" s="34">
        <f>HLOOKUP(G$4,'Res (750)'!$A$11:$AR$60,40,FALSE)</f>
        <v>8.3038591139783218E-3</v>
      </c>
      <c r="H13" s="13"/>
      <c r="I13" s="33"/>
      <c r="K13" s="5"/>
      <c r="L13" s="31"/>
      <c r="M13" s="32"/>
      <c r="N13" s="31"/>
      <c r="O13" s="31"/>
      <c r="P13" s="31"/>
      <c r="Q13" s="31"/>
      <c r="R13" s="31"/>
      <c r="S13" s="31"/>
      <c r="T13" s="31"/>
      <c r="U13" s="23"/>
      <c r="V13" s="23"/>
      <c r="W13" s="23"/>
    </row>
    <row r="14" spans="1:23" ht="12" customHeight="1">
      <c r="A14" s="35" t="s">
        <v>15</v>
      </c>
      <c r="B14" s="36"/>
      <c r="C14" s="36"/>
      <c r="D14" s="36"/>
      <c r="E14" s="36"/>
      <c r="F14" s="36"/>
      <c r="G14" s="36"/>
      <c r="H14" s="13"/>
      <c r="U14" s="23"/>
      <c r="V14" s="23"/>
      <c r="W14" s="23"/>
    </row>
    <row r="15" spans="1:23" ht="12" customHeight="1">
      <c r="A15" s="18" t="s">
        <v>10</v>
      </c>
      <c r="B15" s="19">
        <f>HLOOKUP(B$5,'SC (2000)'!11:29,19,FALSE)</f>
        <v>85.93</v>
      </c>
      <c r="C15" s="19">
        <f>HLOOKUP(C$5,'SC (2000)'!11:29,19,FALSE)</f>
        <v>96.740000000000009</v>
      </c>
      <c r="D15" s="19">
        <f>HLOOKUP(D$5,'SC (2000)'!11:29,19,FALSE)</f>
        <v>102.21000000000001</v>
      </c>
      <c r="E15" s="19">
        <f>HLOOKUP(E$5,'SC (2000)'!11:29,19,FALSE)</f>
        <v>108.89000000000001</v>
      </c>
      <c r="F15" s="19">
        <f>HLOOKUP(F$5,'SC (2000)'!11:29,19,FALSE)</f>
        <v>110.86</v>
      </c>
      <c r="G15" s="19">
        <f>HLOOKUP(G$5,'SC (2000)'!11:29,19,FALSE)</f>
        <v>112.49999999999999</v>
      </c>
      <c r="H15" s="13"/>
      <c r="I15" s="20"/>
      <c r="K15" s="586"/>
      <c r="L15" s="587"/>
      <c r="M15" s="587"/>
      <c r="N15" s="587"/>
      <c r="O15" s="587"/>
      <c r="P15" s="21"/>
      <c r="Q15" s="21"/>
      <c r="R15" s="21"/>
      <c r="S15" s="21"/>
      <c r="T15" s="21"/>
      <c r="U15" s="23"/>
      <c r="V15" s="23"/>
      <c r="W15" s="23"/>
    </row>
    <row r="16" spans="1:23" ht="12" customHeight="1">
      <c r="A16" s="18" t="s">
        <v>11</v>
      </c>
      <c r="B16" s="37"/>
      <c r="C16" s="25">
        <f t="shared" ref="C16:G16" si="3">C15-B15</f>
        <v>10.810000000000002</v>
      </c>
      <c r="D16" s="25">
        <f t="shared" si="3"/>
        <v>5.4699999999999989</v>
      </c>
      <c r="E16" s="25">
        <f t="shared" si="3"/>
        <v>6.6800000000000068</v>
      </c>
      <c r="F16" s="25">
        <f t="shared" si="3"/>
        <v>1.9699999999999847</v>
      </c>
      <c r="G16" s="25">
        <f t="shared" si="3"/>
        <v>1.6399999999999864</v>
      </c>
      <c r="H16" s="13"/>
      <c r="I16" s="20"/>
      <c r="K16" s="586"/>
      <c r="L16" s="21"/>
      <c r="M16" s="22"/>
      <c r="N16" s="21"/>
      <c r="O16" s="21"/>
      <c r="P16" s="21"/>
      <c r="Q16" s="21"/>
      <c r="R16" s="21"/>
      <c r="S16" s="21"/>
      <c r="T16" s="21"/>
      <c r="U16" s="23"/>
      <c r="V16" s="23"/>
      <c r="W16" s="23"/>
    </row>
    <row r="17" spans="1:23" ht="12" customHeight="1">
      <c r="A17" s="26" t="s">
        <v>12</v>
      </c>
      <c r="B17" s="38"/>
      <c r="C17" s="29">
        <f t="shared" ref="C17:G17" si="4">C16/B15</f>
        <v>0.12580006982427558</v>
      </c>
      <c r="D17" s="29">
        <f t="shared" si="4"/>
        <v>5.6543311970229465E-2</v>
      </c>
      <c r="E17" s="29">
        <f t="shared" si="4"/>
        <v>6.5355640348302574E-2</v>
      </c>
      <c r="F17" s="29">
        <f t="shared" si="4"/>
        <v>1.8091652125998572E-2</v>
      </c>
      <c r="G17" s="29">
        <f t="shared" si="4"/>
        <v>1.4793433158939079E-2</v>
      </c>
      <c r="H17" s="13"/>
      <c r="I17" s="30"/>
      <c r="K17" s="588"/>
      <c r="L17" s="31"/>
      <c r="M17" s="32"/>
      <c r="N17" s="31"/>
      <c r="O17" s="31"/>
      <c r="P17" s="21"/>
      <c r="Q17" s="21"/>
      <c r="R17" s="21"/>
      <c r="S17" s="21"/>
      <c r="T17" s="21"/>
      <c r="U17" s="23"/>
      <c r="V17" s="23"/>
      <c r="W17" s="23"/>
    </row>
    <row r="18" spans="1:23" ht="12" customHeight="1">
      <c r="A18" s="18" t="s">
        <v>13</v>
      </c>
      <c r="B18" s="38"/>
      <c r="C18" s="25">
        <f>'SC (2000)'!N50</f>
        <v>4.4685399999999618</v>
      </c>
      <c r="D18" s="25">
        <f>'SC (2000)'!U50</f>
        <v>5.6699999999999591</v>
      </c>
      <c r="E18" s="25">
        <f>'SC (2000)'!AB50</f>
        <v>6.6900000000000546</v>
      </c>
      <c r="F18" s="25">
        <f>'SC (2000)'!AI50</f>
        <v>1.9800000000000182</v>
      </c>
      <c r="G18" s="25">
        <f>'SC (2000)'!AP50</f>
        <v>1.6499999999999773</v>
      </c>
      <c r="H18" s="13"/>
      <c r="I18" s="33"/>
      <c r="K18" s="588"/>
      <c r="L18" s="31"/>
      <c r="M18" s="32"/>
      <c r="N18" s="31"/>
      <c r="O18" s="31"/>
      <c r="P18" s="31"/>
      <c r="Q18" s="31"/>
      <c r="R18" s="31"/>
      <c r="S18" s="31"/>
      <c r="T18" s="31"/>
      <c r="U18" s="23"/>
      <c r="V18" s="23"/>
      <c r="W18" s="23"/>
    </row>
    <row r="19" spans="1:23" ht="12" customHeight="1">
      <c r="A19" s="18" t="s">
        <v>14</v>
      </c>
      <c r="B19" s="38"/>
      <c r="C19" s="34">
        <f>HLOOKUP(C$4,'SC (2000)'!$A$11:$AR$60,40,FALSE)</f>
        <v>1.111465934656298E-2</v>
      </c>
      <c r="D19" s="34">
        <f>HLOOKUP(D$4,'SC (2000)'!$A$11:$AR$60,40,FALSE)</f>
        <v>1.3948039180223996E-2</v>
      </c>
      <c r="E19" s="34">
        <f>HLOOKUP(E$4,'SC (2000)'!$A$11:$AR$60,40,FALSE)</f>
        <v>1.6230822107006757E-2</v>
      </c>
      <c r="F19" s="34">
        <f>HLOOKUP(F$4,'SC (2000)'!$A$11:$AR$60,40,FALSE)</f>
        <v>4.727017688824919E-3</v>
      </c>
      <c r="G19" s="34">
        <f>HLOOKUP(G$4,'SC (2000)'!$A$11:$AR$60,40,FALSE)</f>
        <v>3.9206484328602152E-3</v>
      </c>
      <c r="H19" s="13"/>
      <c r="I19" s="33"/>
      <c r="K19" s="5"/>
      <c r="U19" s="23"/>
      <c r="V19" s="23"/>
      <c r="W19" s="23"/>
    </row>
    <row r="20" spans="1:23" ht="12" customHeight="1">
      <c r="A20" s="35" t="s">
        <v>16</v>
      </c>
      <c r="B20" s="36"/>
      <c r="C20" s="36"/>
      <c r="D20" s="36"/>
      <c r="E20" s="36"/>
      <c r="F20" s="36"/>
      <c r="G20" s="36"/>
      <c r="H20" s="13"/>
      <c r="U20" s="23"/>
      <c r="V20" s="23"/>
      <c r="W20" s="23"/>
    </row>
    <row r="21" spans="1:23" ht="12" customHeight="1">
      <c r="A21" s="18" t="s">
        <v>10</v>
      </c>
      <c r="B21" s="19">
        <f>HLOOKUP(B$5,'&gt;50 (185)'!$11:$30,19,FALSE)</f>
        <v>1366.9059999999999</v>
      </c>
      <c r="C21" s="19">
        <f>HLOOKUP(C$5,'&gt;50 (185)'!$11:$30,19,FALSE)</f>
        <v>1650.6405</v>
      </c>
      <c r="D21" s="19">
        <f>HLOOKUP(D$5,'&gt;50 (185)'!$11:$30,19,FALSE)</f>
        <v>1762.9169999999997</v>
      </c>
      <c r="E21" s="19">
        <f>HLOOKUP(E$5,'&gt;50 (185)'!$11:$30,19,FALSE)</f>
        <v>1874.2314999999999</v>
      </c>
      <c r="F21" s="19">
        <f>HLOOKUP(F$5,'&gt;50 (185)'!$11:$30,19,FALSE)</f>
        <v>1936.2065</v>
      </c>
      <c r="G21" s="19">
        <f>HLOOKUP(G$5,'&gt;50 (185)'!$11:$30,19,FALSE)</f>
        <v>1992.9830000000002</v>
      </c>
      <c r="H21" s="13"/>
      <c r="I21" s="20"/>
      <c r="K21" s="586"/>
      <c r="L21" s="21"/>
      <c r="M21" s="22"/>
      <c r="N21" s="21"/>
      <c r="O21" s="21"/>
      <c r="P21" s="21"/>
      <c r="Q21" s="21"/>
      <c r="R21" s="21"/>
      <c r="S21" s="21"/>
      <c r="T21" s="21"/>
      <c r="U21" s="23"/>
      <c r="V21" s="23"/>
      <c r="W21" s="23"/>
    </row>
    <row r="22" spans="1:23" ht="12" customHeight="1">
      <c r="A22" s="18" t="s">
        <v>11</v>
      </c>
      <c r="B22" s="37"/>
      <c r="C22" s="25">
        <f t="shared" ref="C22:G22" si="5">C21-B21</f>
        <v>283.73450000000003</v>
      </c>
      <c r="D22" s="25">
        <f t="shared" si="5"/>
        <v>112.27649999999971</v>
      </c>
      <c r="E22" s="25">
        <f t="shared" si="5"/>
        <v>111.31450000000018</v>
      </c>
      <c r="F22" s="25">
        <f t="shared" si="5"/>
        <v>61.975000000000136</v>
      </c>
      <c r="G22" s="25">
        <f t="shared" si="5"/>
        <v>56.776500000000169</v>
      </c>
      <c r="H22" s="13"/>
      <c r="I22" s="20"/>
      <c r="K22" s="586"/>
      <c r="L22" s="587"/>
      <c r="M22" s="587"/>
      <c r="N22" s="587"/>
      <c r="O22" s="587"/>
      <c r="P22" s="21"/>
      <c r="Q22" s="21"/>
      <c r="R22" s="21"/>
      <c r="S22" s="21"/>
      <c r="T22" s="21"/>
      <c r="U22" s="23"/>
      <c r="V22" s="23"/>
      <c r="W22" s="23"/>
    </row>
    <row r="23" spans="1:23" ht="12" customHeight="1">
      <c r="A23" s="26" t="s">
        <v>12</v>
      </c>
      <c r="B23" s="38"/>
      <c r="C23" s="29">
        <f t="shared" ref="C23:G23" si="6">C22/B21</f>
        <v>0.20757425894684786</v>
      </c>
      <c r="D23" s="29">
        <f t="shared" si="6"/>
        <v>6.801995952480247E-2</v>
      </c>
      <c r="E23" s="29">
        <f t="shared" si="6"/>
        <v>6.3142223939073816E-2</v>
      </c>
      <c r="F23" s="29">
        <f t="shared" si="6"/>
        <v>3.3066886347817834E-2</v>
      </c>
      <c r="G23" s="29">
        <f t="shared" si="6"/>
        <v>2.9323576798239326E-2</v>
      </c>
      <c r="H23" s="13"/>
      <c r="I23" s="30"/>
      <c r="K23" s="588"/>
      <c r="L23" s="31"/>
      <c r="M23" s="32"/>
      <c r="N23" s="31"/>
      <c r="O23" s="31"/>
      <c r="P23" s="21"/>
      <c r="Q23" s="21"/>
      <c r="R23" s="21"/>
      <c r="S23" s="21"/>
      <c r="T23" s="21"/>
      <c r="U23" s="23"/>
      <c r="V23" s="23"/>
      <c r="W23" s="23"/>
    </row>
    <row r="24" spans="1:23" ht="12" customHeight="1">
      <c r="A24" s="18" t="s">
        <v>13</v>
      </c>
      <c r="B24" s="38"/>
      <c r="C24" s="25">
        <f>'&gt;50 (185)'!N52</f>
        <v>137.74475416000314</v>
      </c>
      <c r="D24" s="25">
        <f>'&gt;50 (185)'!U52</f>
        <v>-215.77399999999943</v>
      </c>
      <c r="E24" s="25">
        <f>'&gt;50 (185)'!AB52</f>
        <v>111.36814999999842</v>
      </c>
      <c r="F24" s="25">
        <f>'&gt;50 (185)'!AI52</f>
        <v>62.047150000002148</v>
      </c>
      <c r="G24" s="25">
        <f>'&gt;50 (185)'!AP52</f>
        <v>56.857899999999063</v>
      </c>
      <c r="H24" s="13"/>
      <c r="I24" s="33"/>
      <c r="K24" s="588"/>
      <c r="L24" s="31"/>
      <c r="M24" s="32"/>
      <c r="N24" s="31"/>
      <c r="O24" s="31"/>
      <c r="P24" s="31"/>
      <c r="Q24" s="31"/>
      <c r="R24" s="31"/>
      <c r="S24" s="31"/>
      <c r="T24" s="31"/>
      <c r="U24" s="23"/>
      <c r="V24" s="23"/>
      <c r="W24" s="23"/>
    </row>
    <row r="25" spans="1:23" ht="12" customHeight="1">
      <c r="A25" s="18" t="s">
        <v>14</v>
      </c>
      <c r="B25" s="38"/>
      <c r="C25" s="34">
        <f>HLOOKUP(C$4,'&gt;50 (185)'!$11:$56,42,FALSE)</f>
        <v>1.1623210227237269E-2</v>
      </c>
      <c r="D25" s="34">
        <f>HLOOKUP(D$4,'&gt;50 (185)'!$11:$56,42,FALSE)</f>
        <v>-1.7998294433273446E-2</v>
      </c>
      <c r="E25" s="34">
        <f>HLOOKUP(E$4,'&gt;50 (185)'!$11:$56,42,FALSE)</f>
        <v>9.4597792702099583E-3</v>
      </c>
      <c r="F25" s="34">
        <f>HLOOKUP(F$4,'&gt;50 (185)'!$11:$56,42,FALSE)</f>
        <v>5.2209894513945646E-3</v>
      </c>
      <c r="G25" s="34">
        <f>HLOOKUP(G$4,'&gt;50 (185)'!$11:$56,42,FALSE)</f>
        <v>4.7594880954916294E-3</v>
      </c>
      <c r="H25" s="13"/>
      <c r="I25" s="33"/>
      <c r="K25" s="5"/>
      <c r="L25" s="31"/>
      <c r="M25" s="32"/>
      <c r="N25" s="31"/>
      <c r="O25" s="31"/>
      <c r="P25" s="31"/>
      <c r="Q25" s="31"/>
      <c r="R25" s="31"/>
      <c r="S25" s="31"/>
      <c r="T25" s="31"/>
      <c r="U25" s="23"/>
      <c r="V25" s="23"/>
      <c r="W25" s="23"/>
    </row>
    <row r="26" spans="1:23" ht="12" customHeight="1">
      <c r="A26" s="39" t="s">
        <v>17</v>
      </c>
      <c r="B26" s="40"/>
      <c r="C26" s="40"/>
      <c r="D26" s="40"/>
      <c r="E26" s="40"/>
      <c r="F26" s="40"/>
      <c r="G26" s="40"/>
      <c r="H26" s="13"/>
      <c r="U26" s="23"/>
      <c r="V26" s="23"/>
      <c r="W26" s="23"/>
    </row>
    <row r="27" spans="1:23" ht="12" customHeight="1">
      <c r="A27" s="18" t="s">
        <v>10</v>
      </c>
      <c r="B27" s="19">
        <f>HLOOKUP(B$5,'&gt;1500(1925)'!11:29,19,FALSE)</f>
        <v>16219.022499999999</v>
      </c>
      <c r="C27" s="19">
        <f>HLOOKUP(C$5,'&gt;1500(1925)'!11:29,19,FALSE)</f>
        <v>17848.535</v>
      </c>
      <c r="D27" s="19">
        <f>HLOOKUP(D$5,'&gt;1500(1925)'!11:29,19,FALSE)</f>
        <v>19797.597500000003</v>
      </c>
      <c r="E27" s="19">
        <f>HLOOKUP(E$5,'&gt;1500(1925)'!11:29,19,FALSE)</f>
        <v>21144.327499999999</v>
      </c>
      <c r="F27" s="19">
        <f>HLOOKUP(F$5,'&gt;1500(1925)'!11:29,19,FALSE)</f>
        <v>21861.197499999998</v>
      </c>
      <c r="G27" s="19">
        <f>HLOOKUP(G$5,'&gt;1500(1925)'!11:29,19,FALSE)</f>
        <v>22518.0075</v>
      </c>
      <c r="H27" s="13"/>
      <c r="I27" s="20"/>
      <c r="K27" s="586"/>
      <c r="L27" s="587"/>
      <c r="M27" s="587"/>
      <c r="N27" s="587"/>
      <c r="O27" s="587"/>
      <c r="P27" s="21"/>
      <c r="Q27" s="21"/>
      <c r="R27" s="21"/>
      <c r="S27" s="21"/>
      <c r="T27" s="21"/>
      <c r="U27" s="23"/>
      <c r="V27" s="23"/>
      <c r="W27" s="23"/>
    </row>
    <row r="28" spans="1:23" ht="12" customHeight="1">
      <c r="A28" s="18" t="s">
        <v>11</v>
      </c>
      <c r="B28" s="37"/>
      <c r="C28" s="25">
        <f t="shared" ref="C28:G28" si="7">C27-B27</f>
        <v>1629.5125000000007</v>
      </c>
      <c r="D28" s="25">
        <f t="shared" si="7"/>
        <v>1949.0625000000036</v>
      </c>
      <c r="E28" s="25">
        <f t="shared" si="7"/>
        <v>1346.7299999999959</v>
      </c>
      <c r="F28" s="25">
        <f t="shared" si="7"/>
        <v>716.86999999999898</v>
      </c>
      <c r="G28" s="25">
        <f t="shared" si="7"/>
        <v>656.81000000000131</v>
      </c>
      <c r="H28" s="13"/>
      <c r="I28" s="20"/>
      <c r="K28" s="586"/>
      <c r="L28" s="21"/>
      <c r="M28" s="22"/>
      <c r="N28" s="21"/>
      <c r="O28" s="21"/>
      <c r="P28" s="21"/>
      <c r="Q28" s="21"/>
      <c r="R28" s="21"/>
      <c r="S28" s="21"/>
      <c r="T28" s="21"/>
      <c r="U28" s="23"/>
      <c r="V28" s="23"/>
      <c r="W28" s="23"/>
    </row>
    <row r="29" spans="1:23" ht="12" customHeight="1">
      <c r="A29" s="26" t="s">
        <v>12</v>
      </c>
      <c r="B29" s="38"/>
      <c r="C29" s="29">
        <f t="shared" ref="C29:G29" si="8">C28/B27</f>
        <v>0.10046921754994796</v>
      </c>
      <c r="D29" s="29">
        <f t="shared" si="8"/>
        <v>0.10920013883492419</v>
      </c>
      <c r="E29" s="29">
        <f t="shared" si="8"/>
        <v>6.8024920700604993E-2</v>
      </c>
      <c r="F29" s="29">
        <f t="shared" si="8"/>
        <v>3.3903655720428992E-2</v>
      </c>
      <c r="G29" s="29">
        <f t="shared" si="8"/>
        <v>3.0044557257213441E-2</v>
      </c>
      <c r="H29" s="13"/>
      <c r="I29" s="30"/>
      <c r="K29" s="588"/>
      <c r="L29" s="589"/>
      <c r="M29" s="589"/>
      <c r="N29" s="589"/>
      <c r="O29" s="589"/>
      <c r="P29" s="21"/>
      <c r="Q29" s="21"/>
      <c r="R29" s="21"/>
      <c r="S29" s="21"/>
      <c r="T29" s="21"/>
      <c r="U29" s="23"/>
      <c r="V29" s="23"/>
      <c r="W29" s="23"/>
    </row>
    <row r="30" spans="1:23" ht="12" customHeight="1">
      <c r="A30" s="18" t="s">
        <v>13</v>
      </c>
      <c r="B30" s="38"/>
      <c r="C30" s="25">
        <f>'&gt;1500(1925)'!N52</f>
        <v>-775.93125120000332</v>
      </c>
      <c r="D30" s="25">
        <f>'&gt;1500(1925)'!U52</f>
        <v>-1899.4200000000128</v>
      </c>
      <c r="E30" s="25">
        <f>'&gt;1500(1925)'!AB52</f>
        <v>1347.2882500000123</v>
      </c>
      <c r="F30" s="25">
        <f>'&gt;1500(2500)'!AI52</f>
        <v>931.97500000000582</v>
      </c>
      <c r="G30" s="25">
        <f>'&gt;1500(2500)'!AP52</f>
        <v>854.07500000001164</v>
      </c>
      <c r="H30" s="13"/>
      <c r="I30" s="33"/>
      <c r="K30" s="588"/>
      <c r="L30" s="31"/>
      <c r="M30" s="32"/>
      <c r="N30" s="31"/>
      <c r="O30" s="31"/>
      <c r="P30" s="31"/>
      <c r="Q30" s="31"/>
      <c r="R30" s="31"/>
      <c r="S30" s="31"/>
      <c r="T30" s="31"/>
      <c r="U30" s="23"/>
      <c r="V30" s="23"/>
      <c r="W30" s="23"/>
    </row>
    <row r="31" spans="1:23" ht="12" customHeight="1">
      <c r="A31" s="18" t="s">
        <v>14</v>
      </c>
      <c r="B31" s="38"/>
      <c r="C31" s="34">
        <f>HLOOKUP(C$4,'&gt;1500(1925)'!$11:$56,42,FALSE)</f>
        <v>-5.648666612540338E-3</v>
      </c>
      <c r="D31" s="34">
        <f>HLOOKUP(D$4,'&gt;1500(1925)'!$11:$56,42,FALSE)</f>
        <v>-1.3906051889821983E-2</v>
      </c>
      <c r="E31" s="34">
        <f>HLOOKUP(E$4,'&gt;1500(1925)'!$11:$56,42,FALSE)</f>
        <v>1.0002880206587864E-2</v>
      </c>
      <c r="F31" s="34">
        <f>HLOOKUP(F$4,'&gt;1500(1925)'!$11:$56,42,FALSE)</f>
        <v>5.2751756016654744E-3</v>
      </c>
      <c r="G31" s="34">
        <f>HLOOKUP(G$4,'&gt;1500(1925)'!$11:$56,42,FALSE)</f>
        <v>4.8088774537239235E-3</v>
      </c>
      <c r="H31" s="13"/>
      <c r="I31" s="33"/>
      <c r="K31" s="5"/>
      <c r="L31" s="21"/>
      <c r="M31" s="22"/>
      <c r="N31" s="21"/>
      <c r="O31" s="21"/>
      <c r="P31" s="21"/>
      <c r="Q31" s="21"/>
      <c r="R31" s="21"/>
      <c r="S31" s="21"/>
      <c r="T31" s="21"/>
      <c r="U31" s="23"/>
      <c r="V31" s="23"/>
      <c r="W31" s="23"/>
    </row>
    <row r="32" spans="1:23" ht="12" customHeight="1">
      <c r="A32" s="35" t="s">
        <v>18</v>
      </c>
      <c r="B32" s="36"/>
      <c r="C32" s="36"/>
      <c r="D32" s="36"/>
      <c r="E32" s="36"/>
      <c r="F32" s="36"/>
      <c r="G32" s="36"/>
      <c r="H32" s="13"/>
      <c r="U32" s="23"/>
      <c r="V32" s="23"/>
      <c r="W32" s="23"/>
    </row>
    <row r="33" spans="1:23" ht="12" customHeight="1">
      <c r="A33" s="18" t="s">
        <v>10</v>
      </c>
      <c r="B33" s="19">
        <f>HLOOKUP(B$5,'LU(7500)'!$11:$56,19,FALSE)</f>
        <v>61692.18</v>
      </c>
      <c r="C33" s="19">
        <f>HLOOKUP(C$5,'LU(7500)'!$11:$56,19,FALSE)</f>
        <v>71820.179999999993</v>
      </c>
      <c r="D33" s="19">
        <f>HLOOKUP(D$5,'LU(7500)'!$11:$56,19,FALSE)</f>
        <v>81726.179999999993</v>
      </c>
      <c r="E33" s="19">
        <f>HLOOKUP(E$5,'LU(7500)'!$11:$56,19,FALSE)</f>
        <v>87224.43</v>
      </c>
      <c r="F33" s="19">
        <f>HLOOKUP(F$5,'LU(7500)'!$11:$56,19,FALSE)</f>
        <v>93425.43</v>
      </c>
      <c r="G33" s="19">
        <f>HLOOKUP(G$5,'LU(7500)'!$11:$56,19,FALSE)</f>
        <v>99415.679999999993</v>
      </c>
      <c r="H33" s="13"/>
      <c r="I33" s="20"/>
      <c r="K33" s="586"/>
      <c r="L33" s="21"/>
      <c r="M33" s="22"/>
      <c r="N33" s="21"/>
      <c r="O33" s="21"/>
      <c r="P33" s="21"/>
      <c r="Q33" s="21"/>
      <c r="R33" s="21"/>
      <c r="S33" s="21"/>
      <c r="T33" s="21"/>
      <c r="U33" s="23"/>
      <c r="V33" s="23"/>
      <c r="W33" s="23"/>
    </row>
    <row r="34" spans="1:23" ht="12" customHeight="1">
      <c r="A34" s="18" t="s">
        <v>11</v>
      </c>
      <c r="B34" s="37"/>
      <c r="C34" s="25">
        <f t="shared" ref="C34:G34" si="9">C33-B33</f>
        <v>10127.999999999993</v>
      </c>
      <c r="D34" s="25">
        <f t="shared" si="9"/>
        <v>9906</v>
      </c>
      <c r="E34" s="25">
        <f t="shared" si="9"/>
        <v>5498.25</v>
      </c>
      <c r="F34" s="25">
        <f t="shared" si="9"/>
        <v>6201</v>
      </c>
      <c r="G34" s="25">
        <f t="shared" si="9"/>
        <v>5990.25</v>
      </c>
      <c r="H34" s="13"/>
      <c r="I34" s="20"/>
      <c r="K34" s="586"/>
      <c r="L34" s="587"/>
      <c r="M34" s="587"/>
      <c r="N34" s="587"/>
      <c r="O34" s="587"/>
      <c r="P34" s="21"/>
      <c r="Q34" s="21"/>
      <c r="R34" s="21"/>
      <c r="S34" s="21"/>
      <c r="T34" s="21"/>
      <c r="U34" s="23"/>
      <c r="V34" s="23"/>
      <c r="W34" s="23"/>
    </row>
    <row r="35" spans="1:23" ht="12" customHeight="1">
      <c r="A35" s="26" t="s">
        <v>12</v>
      </c>
      <c r="B35" s="38"/>
      <c r="C35" s="29">
        <f t="shared" ref="C35:G35" si="10">C34/B33</f>
        <v>0.16416991586291801</v>
      </c>
      <c r="D35" s="29">
        <f t="shared" si="10"/>
        <v>0.13792780803389801</v>
      </c>
      <c r="E35" s="29">
        <f t="shared" si="10"/>
        <v>6.7276483496475678E-2</v>
      </c>
      <c r="F35" s="29">
        <f t="shared" si="10"/>
        <v>7.1092468016128049E-2</v>
      </c>
      <c r="G35" s="29">
        <f t="shared" si="10"/>
        <v>6.4117981581674283E-2</v>
      </c>
      <c r="H35" s="13"/>
      <c r="I35" s="30"/>
      <c r="K35" s="588"/>
      <c r="L35" s="31"/>
      <c r="M35" s="32"/>
      <c r="N35" s="31"/>
      <c r="O35" s="31"/>
      <c r="P35" s="21"/>
      <c r="Q35" s="21"/>
      <c r="R35" s="21"/>
      <c r="S35" s="21"/>
      <c r="T35" s="21"/>
      <c r="U35" s="23"/>
      <c r="V35" s="23"/>
      <c r="W35" s="23"/>
    </row>
    <row r="36" spans="1:23" ht="12" customHeight="1">
      <c r="A36" s="18" t="s">
        <v>13</v>
      </c>
      <c r="B36" s="37"/>
      <c r="C36" s="25">
        <f>'LU(7500)'!N52</f>
        <v>2820.4739999998128</v>
      </c>
      <c r="D36" s="25">
        <f>'LU(7500)'!U52</f>
        <v>-7229.9249999999302</v>
      </c>
      <c r="E36" s="25">
        <f>'LU(7500)'!AB52</f>
        <v>5500.7999999999302</v>
      </c>
      <c r="F36" s="25">
        <f>'LU(7500)'!AI52</f>
        <v>6204.375</v>
      </c>
      <c r="G36" s="25">
        <f>'LU(7500)'!AP52</f>
        <v>5994.0750000000698</v>
      </c>
      <c r="H36" s="13"/>
      <c r="I36" s="33"/>
      <c r="K36" s="588"/>
      <c r="L36" s="589"/>
      <c r="M36" s="589"/>
      <c r="N36" s="589"/>
      <c r="O36" s="589"/>
      <c r="P36" s="31"/>
      <c r="Q36" s="31"/>
      <c r="R36" s="31"/>
      <c r="S36" s="31"/>
      <c r="T36" s="31"/>
      <c r="U36" s="23"/>
      <c r="V36" s="23"/>
      <c r="W36" s="23"/>
    </row>
    <row r="37" spans="1:23" ht="12" customHeight="1">
      <c r="A37" s="18" t="s">
        <v>14</v>
      </c>
      <c r="B37" s="38"/>
      <c r="C37" s="34">
        <f>HLOOKUP(C$4,'LU(7500)'!$11:$56,42,FALSE)</f>
        <v>4.7770363407278627E-3</v>
      </c>
      <c r="D37" s="34">
        <f>HLOOKUP(D$4,'LU(7500)'!$11:$56,42,FALSE)</f>
        <v>-1.2187104518666749E-2</v>
      </c>
      <c r="E37" s="34">
        <f>HLOOKUP(E$4,'LU(7500)'!$11:$56,42,FALSE)</f>
        <v>9.3868074036141912E-3</v>
      </c>
      <c r="F37" s="34">
        <f>HLOOKUP(F$4,'LU(7500)'!$11:$56,42,FALSE)</f>
        <v>1.0488960916698441E-2</v>
      </c>
      <c r="G37" s="34">
        <f>HLOOKUP(G$4,'LU(7500)'!$11:$56,42,FALSE)</f>
        <v>1.0028247113984005E-2</v>
      </c>
      <c r="H37" s="13"/>
      <c r="I37" s="33"/>
      <c r="K37" s="5"/>
      <c r="L37" s="21"/>
      <c r="M37" s="22"/>
      <c r="N37" s="21"/>
      <c r="O37" s="21"/>
      <c r="P37" s="21"/>
      <c r="Q37" s="21"/>
      <c r="R37" s="21"/>
      <c r="S37" s="21"/>
      <c r="T37" s="21"/>
      <c r="U37" s="23"/>
      <c r="V37" s="23"/>
      <c r="W37" s="23"/>
    </row>
    <row r="38" spans="1:23" ht="12" customHeight="1">
      <c r="A38" s="39" t="s">
        <v>19</v>
      </c>
      <c r="B38" s="40"/>
      <c r="C38" s="40"/>
      <c r="D38" s="40"/>
      <c r="E38" s="40"/>
      <c r="F38" s="40"/>
      <c r="G38" s="40"/>
      <c r="H38" s="13"/>
      <c r="U38" s="23"/>
      <c r="V38" s="23"/>
      <c r="W38" s="23"/>
    </row>
    <row r="39" spans="1:23" ht="12" customHeight="1">
      <c r="A39" s="18" t="s">
        <v>10</v>
      </c>
      <c r="B39" s="19">
        <f>HLOOKUP(B$5,'SN (.4)'!$11:$56,19,FALSE)</f>
        <v>20.191879999999998</v>
      </c>
      <c r="C39" s="19">
        <f>HLOOKUP(C$5,'SN (.4)'!$11:$56,19,FALSE)</f>
        <v>23.437480000000001</v>
      </c>
      <c r="D39" s="19">
        <f>HLOOKUP(D$5,'SN (.4)'!$11:$56,19,FALSE)</f>
        <v>25.092280000000002</v>
      </c>
      <c r="E39" s="19">
        <f>HLOOKUP(E$5,'SN (.4)'!$11:$56,19,FALSE)</f>
        <v>26.755880000000001</v>
      </c>
      <c r="F39" s="19">
        <f>HLOOKUP(F$5,'SN (.4)'!$11:$56,19,FALSE)</f>
        <v>27.64076</v>
      </c>
      <c r="G39" s="19">
        <f>HLOOKUP(G$5,'SN (.4)'!$11:$56,19,FALSE)</f>
        <v>28.456560000000003</v>
      </c>
      <c r="H39" s="13"/>
      <c r="I39" s="20"/>
      <c r="K39" s="586"/>
      <c r="L39" s="21"/>
      <c r="M39" s="22"/>
      <c r="N39" s="21"/>
      <c r="O39" s="21"/>
      <c r="P39" s="21"/>
      <c r="Q39" s="21"/>
      <c r="R39" s="21"/>
      <c r="S39" s="21"/>
      <c r="T39" s="21"/>
      <c r="U39" s="23"/>
      <c r="V39" s="23"/>
      <c r="W39" s="23"/>
    </row>
    <row r="40" spans="1:23" ht="12" customHeight="1">
      <c r="A40" s="18" t="s">
        <v>11</v>
      </c>
      <c r="B40" s="37"/>
      <c r="C40" s="25">
        <f t="shared" ref="C40:G40" si="11">C39-B39</f>
        <v>3.2456000000000031</v>
      </c>
      <c r="D40" s="25">
        <f t="shared" si="11"/>
        <v>1.6548000000000016</v>
      </c>
      <c r="E40" s="25">
        <f t="shared" si="11"/>
        <v>1.6635999999999989</v>
      </c>
      <c r="F40" s="25">
        <f t="shared" si="11"/>
        <v>0.884879999999999</v>
      </c>
      <c r="G40" s="25">
        <f t="shared" si="11"/>
        <v>0.81580000000000297</v>
      </c>
      <c r="H40" s="13"/>
      <c r="I40" s="20"/>
      <c r="K40" s="586"/>
      <c r="L40" s="21"/>
      <c r="M40" s="22"/>
      <c r="N40" s="21"/>
      <c r="O40" s="21"/>
      <c r="P40" s="21"/>
      <c r="Q40" s="21"/>
      <c r="R40" s="21"/>
      <c r="S40" s="21"/>
      <c r="T40" s="21"/>
      <c r="U40" s="23"/>
      <c r="V40" s="23"/>
      <c r="W40" s="23"/>
    </row>
    <row r="41" spans="1:23" ht="12" customHeight="1">
      <c r="A41" s="26" t="s">
        <v>12</v>
      </c>
      <c r="B41" s="38"/>
      <c r="C41" s="29">
        <f t="shared" ref="C41:G41" si="12">C40/B39</f>
        <v>0.16073788077187481</v>
      </c>
      <c r="D41" s="29">
        <f t="shared" si="12"/>
        <v>7.0604860249480816E-2</v>
      </c>
      <c r="E41" s="29">
        <f t="shared" si="12"/>
        <v>6.6299276112015276E-2</v>
      </c>
      <c r="F41" s="29">
        <f t="shared" si="12"/>
        <v>3.3072356431558182E-2</v>
      </c>
      <c r="G41" s="29">
        <f t="shared" si="12"/>
        <v>2.9514383830256584E-2</v>
      </c>
      <c r="H41" s="13"/>
      <c r="I41" s="30"/>
      <c r="K41" s="588"/>
      <c r="L41" s="589"/>
      <c r="M41" s="589"/>
      <c r="N41" s="589"/>
      <c r="O41" s="589"/>
      <c r="P41" s="21"/>
      <c r="Q41" s="21"/>
      <c r="R41" s="21"/>
      <c r="S41" s="21"/>
      <c r="T41" s="21"/>
      <c r="U41" s="23"/>
      <c r="V41" s="23"/>
      <c r="W41" s="23"/>
    </row>
    <row r="42" spans="1:23" ht="12" customHeight="1">
      <c r="A42" s="18" t="s">
        <v>13</v>
      </c>
      <c r="B42" s="37"/>
      <c r="C42" s="25">
        <f>'SN (.4)'!N52</f>
        <v>1.3725769119999995</v>
      </c>
      <c r="D42" s="25">
        <f>'SN (.4)'!U52</f>
        <v>1.6786840000000041</v>
      </c>
      <c r="E42" s="25">
        <f>'SN (.4)'!AB52</f>
        <v>1.6636239999999987</v>
      </c>
      <c r="F42" s="25">
        <f>'SN (.4)'!AI52</f>
        <v>0.88490799999999581</v>
      </c>
      <c r="G42" s="25">
        <f>'SN (.4)'!AP52</f>
        <v>0.81583200000000033</v>
      </c>
      <c r="H42" s="13"/>
      <c r="I42" s="33"/>
      <c r="K42" s="588"/>
      <c r="L42" s="31"/>
      <c r="M42" s="32"/>
      <c r="N42" s="31"/>
      <c r="O42" s="31"/>
      <c r="P42" s="31"/>
      <c r="Q42" s="31"/>
      <c r="R42" s="31"/>
      <c r="S42" s="31"/>
      <c r="T42" s="31"/>
      <c r="U42" s="23"/>
      <c r="V42" s="23"/>
      <c r="W42" s="23"/>
    </row>
    <row r="43" spans="1:23" ht="12" customHeight="1">
      <c r="A43" s="18" t="s">
        <v>14</v>
      </c>
      <c r="B43" s="38"/>
      <c r="C43" s="34">
        <f>HLOOKUP(C$4,'SN (.4)'!$11:$56,42,FALSE)</f>
        <v>3.8417758523588655E-2</v>
      </c>
      <c r="D43" s="34">
        <f>HLOOKUP(D$4,'SN (.4)'!$11:$56,42,FALSE)</f>
        <v>4.5247248786768328E-2</v>
      </c>
      <c r="E43" s="34">
        <f>HLOOKUP(E$4,'SN (.4)'!$11:$56,42,FALSE)</f>
        <v>4.2900205283071875E-2</v>
      </c>
      <c r="F43" s="34">
        <f>HLOOKUP(F$4,'SN (.4)'!$11:$56,42,FALSE)</f>
        <v>2.1880616872207052E-2</v>
      </c>
      <c r="G43" s="34">
        <f>HLOOKUP(G$4,'SN (.4)'!$11:$56,42,FALSE)</f>
        <v>1.974067574078148E-2</v>
      </c>
      <c r="H43" s="13"/>
      <c r="I43" s="33"/>
      <c r="K43" s="5"/>
      <c r="U43" s="23"/>
      <c r="V43" s="23"/>
      <c r="W43" s="23"/>
    </row>
    <row r="44" spans="1:23" ht="12" customHeight="1">
      <c r="A44" s="39" t="s">
        <v>20</v>
      </c>
      <c r="B44" s="40"/>
      <c r="C44" s="40"/>
      <c r="D44" s="40"/>
      <c r="E44" s="40"/>
      <c r="F44" s="40"/>
      <c r="G44" s="40"/>
      <c r="H44" s="13"/>
      <c r="U44" s="23"/>
      <c r="V44" s="23"/>
      <c r="W44" s="23"/>
    </row>
    <row r="45" spans="1:23" ht="12" customHeight="1">
      <c r="A45" s="18" t="s">
        <v>10</v>
      </c>
      <c r="B45" s="19">
        <f>HLOOKUP(B$5,'StLght(50)'!$11:$56,19,FALSE)</f>
        <v>928.88499999999999</v>
      </c>
      <c r="C45" s="19">
        <f>HLOOKUP(C$5,'StLght(50)'!$11:$56,19,FALSE)</f>
        <v>947.04499999999996</v>
      </c>
      <c r="D45" s="19">
        <f>HLOOKUP(D$5,'StLght(50)'!$11:$56,19,FALSE)</f>
        <v>710.90499999999997</v>
      </c>
      <c r="E45" s="19">
        <f>HLOOKUP(E$5,'StLght(50)'!$11:$56,19,FALSE)</f>
        <v>751.52</v>
      </c>
      <c r="F45" s="19">
        <f>HLOOKUP(F$5,'StLght(50)'!$11:$56,19,FALSE)</f>
        <v>756.10500000000002</v>
      </c>
      <c r="G45" s="19">
        <f>HLOOKUP(G$5,'StLght(50)'!$11:$56,19,FALSE)</f>
        <v>762.33999999999992</v>
      </c>
      <c r="H45" s="13"/>
      <c r="I45" s="20"/>
      <c r="K45" s="586"/>
      <c r="L45" s="21"/>
      <c r="M45" s="22"/>
      <c r="N45" s="21"/>
      <c r="O45" s="21"/>
      <c r="P45" s="21"/>
      <c r="Q45" s="21"/>
      <c r="R45" s="21"/>
      <c r="S45" s="21"/>
      <c r="T45" s="21"/>
      <c r="U45" s="23"/>
      <c r="V45" s="23"/>
      <c r="W45" s="23"/>
    </row>
    <row r="46" spans="1:23" ht="12" customHeight="1">
      <c r="A46" s="18" t="s">
        <v>11</v>
      </c>
      <c r="B46" s="37"/>
      <c r="C46" s="25">
        <f t="shared" ref="C46:G46" si="13">C45-B45</f>
        <v>18.159999999999968</v>
      </c>
      <c r="D46" s="25">
        <f t="shared" si="13"/>
        <v>-236.14</v>
      </c>
      <c r="E46" s="25">
        <f t="shared" si="13"/>
        <v>40.615000000000009</v>
      </c>
      <c r="F46" s="25">
        <f t="shared" si="13"/>
        <v>4.5850000000000364</v>
      </c>
      <c r="G46" s="25">
        <f t="shared" si="13"/>
        <v>6.2349999999999</v>
      </c>
      <c r="H46" s="13"/>
      <c r="I46" s="20"/>
      <c r="K46" s="586"/>
      <c r="L46" s="21"/>
      <c r="M46" s="22"/>
      <c r="N46" s="21"/>
      <c r="O46" s="21"/>
      <c r="P46" s="21"/>
      <c r="Q46" s="21"/>
      <c r="R46" s="21"/>
      <c r="S46" s="21"/>
      <c r="T46" s="21"/>
      <c r="U46" s="23"/>
      <c r="V46" s="23"/>
      <c r="W46" s="23"/>
    </row>
    <row r="47" spans="1:23" ht="12" customHeight="1">
      <c r="A47" s="26" t="s">
        <v>12</v>
      </c>
      <c r="B47" s="38"/>
      <c r="C47" s="29">
        <f t="shared" ref="C47:G47" si="14">C46/B45</f>
        <v>1.9550321083880103E-2</v>
      </c>
      <c r="D47" s="29">
        <f t="shared" si="14"/>
        <v>-0.2493440121641527</v>
      </c>
      <c r="E47" s="29">
        <f t="shared" si="14"/>
        <v>5.7131402930068027E-2</v>
      </c>
      <c r="F47" s="29">
        <f t="shared" si="14"/>
        <v>6.1009687034277683E-3</v>
      </c>
      <c r="G47" s="29">
        <f t="shared" si="14"/>
        <v>8.246209190522347E-3</v>
      </c>
      <c r="H47" s="13"/>
      <c r="I47" s="30"/>
      <c r="K47" s="588"/>
      <c r="L47" s="31"/>
      <c r="M47" s="32"/>
      <c r="N47" s="31"/>
      <c r="O47" s="31"/>
      <c r="P47" s="21"/>
      <c r="Q47" s="21"/>
      <c r="R47" s="21"/>
      <c r="S47" s="21"/>
      <c r="T47" s="21"/>
      <c r="U47" s="23"/>
      <c r="V47" s="23"/>
      <c r="W47" s="23"/>
    </row>
    <row r="48" spans="1:23" ht="12" customHeight="1">
      <c r="A48" s="18" t="s">
        <v>13</v>
      </c>
      <c r="B48" s="37"/>
      <c r="C48" s="25">
        <f>'StLght(50)'!N52</f>
        <v>-114.53200588000027</v>
      </c>
      <c r="D48" s="25">
        <f>'StLght(50)'!U52</f>
        <v>-310.83399999999983</v>
      </c>
      <c r="E48" s="25">
        <f>'StLght(50)'!AB52</f>
        <v>40.621999999999844</v>
      </c>
      <c r="F48" s="25">
        <f>'StLght(50)'!AI52</f>
        <v>4.5940000000000509</v>
      </c>
      <c r="G48" s="25">
        <f>'StLght(50)'!AP52</f>
        <v>6.2454999999999927</v>
      </c>
      <c r="H48" s="13"/>
      <c r="I48" s="33"/>
      <c r="K48" s="588"/>
      <c r="L48" s="589"/>
      <c r="M48" s="589"/>
      <c r="N48" s="589"/>
      <c r="O48" s="589"/>
      <c r="P48" s="31"/>
      <c r="Q48" s="31"/>
      <c r="R48" s="31"/>
      <c r="S48" s="31"/>
      <c r="T48" s="31"/>
      <c r="U48" s="23"/>
      <c r="V48" s="23"/>
      <c r="W48" s="23"/>
    </row>
    <row r="49" spans="1:23" ht="12" customHeight="1">
      <c r="A49" s="18" t="s">
        <v>14</v>
      </c>
      <c r="B49" s="38"/>
      <c r="C49" s="34">
        <f>HLOOKUP(C$4,'StLght(50)'!$11:$56,42,FALSE)</f>
        <v>-3.436595371903825E-2</v>
      </c>
      <c r="D49" s="34">
        <f>HLOOKUP(D$4,'StLght(50)'!$11:$56,42,FALSE)</f>
        <v>-9.6586734115235121E-2</v>
      </c>
      <c r="E49" s="34">
        <f>HLOOKUP(E$4,'StLght(50)'!$11:$56,42,FALSE)</f>
        <v>1.3972168118617824E-2</v>
      </c>
      <c r="F49" s="34">
        <f>HLOOKUP(F$4,'StLght(50)'!$11:$56,42,FALSE)</f>
        <v>1.5583587977327118E-3</v>
      </c>
      <c r="G49" s="34">
        <f>HLOOKUP(G$4,'StLght(50)'!$11:$56,42,FALSE)</f>
        <v>2.1152778373974171E-3</v>
      </c>
      <c r="H49" s="13"/>
      <c r="I49" s="33"/>
      <c r="K49" s="5"/>
      <c r="L49" s="31"/>
      <c r="M49" s="32"/>
      <c r="N49" s="31"/>
      <c r="O49" s="31"/>
      <c r="P49" s="31"/>
      <c r="Q49" s="31"/>
      <c r="R49" s="31"/>
      <c r="S49" s="31"/>
      <c r="T49" s="31"/>
      <c r="U49" s="23"/>
      <c r="V49" s="23"/>
      <c r="W49" s="23"/>
    </row>
    <row r="50" spans="1:23" ht="12" customHeight="1">
      <c r="A50" s="39" t="s">
        <v>21</v>
      </c>
      <c r="B50" s="40"/>
      <c r="C50" s="40"/>
      <c r="D50" s="40"/>
      <c r="E50" s="40"/>
      <c r="F50" s="40"/>
      <c r="G50" s="40"/>
      <c r="H50" s="13"/>
      <c r="U50" s="23"/>
      <c r="V50" s="23"/>
      <c r="W50" s="23"/>
    </row>
    <row r="51" spans="1:23" ht="12" customHeight="1">
      <c r="A51" s="18" t="s">
        <v>10</v>
      </c>
      <c r="B51" s="19">
        <f>HLOOKUP(B$5,'USL (470)'!$11:$56,19,FALSE)</f>
        <v>22.975999999999999</v>
      </c>
      <c r="C51" s="19">
        <f>HLOOKUP(C$5,'USL (470)'!$11:$56,19,FALSE)</f>
        <v>26.247</v>
      </c>
      <c r="D51" s="19">
        <f>HLOOKUP(D$5,'USL (470)'!$11:$56,19,FALSE)</f>
        <v>28.195</v>
      </c>
      <c r="E51" s="19">
        <f>HLOOKUP(E$5,'USL (470)'!$11:$56,19,FALSE)</f>
        <v>30.044</v>
      </c>
      <c r="F51" s="19">
        <f>HLOOKUP(F$5,'USL (470)'!$11:$56,19,FALSE)</f>
        <v>30.934999999999999</v>
      </c>
      <c r="G51" s="19">
        <f>HLOOKUP(G$5,'USL (470)'!$11:$56,19,FALSE)</f>
        <v>31.393999999999998</v>
      </c>
      <c r="H51" s="13"/>
      <c r="I51" s="20"/>
      <c r="K51" s="586"/>
      <c r="L51" s="587"/>
      <c r="M51" s="587"/>
      <c r="N51" s="587"/>
      <c r="O51" s="587"/>
      <c r="P51" s="21"/>
      <c r="Q51" s="21"/>
      <c r="R51" s="21"/>
      <c r="S51" s="21"/>
      <c r="T51" s="21"/>
      <c r="U51" s="23"/>
      <c r="V51" s="23"/>
      <c r="W51" s="23"/>
    </row>
    <row r="52" spans="1:23" ht="12" customHeight="1">
      <c r="A52" s="18" t="s">
        <v>11</v>
      </c>
      <c r="B52" s="37"/>
      <c r="C52" s="25">
        <f t="shared" ref="C52:G52" si="15">C51-B51</f>
        <v>3.2710000000000008</v>
      </c>
      <c r="D52" s="25">
        <f t="shared" si="15"/>
        <v>1.9480000000000004</v>
      </c>
      <c r="E52" s="25">
        <f t="shared" si="15"/>
        <v>1.8490000000000002</v>
      </c>
      <c r="F52" s="25">
        <f t="shared" si="15"/>
        <v>0.89099999999999824</v>
      </c>
      <c r="G52" s="25">
        <f t="shared" si="15"/>
        <v>0.45899999999999963</v>
      </c>
      <c r="H52" s="13"/>
      <c r="I52" s="20"/>
      <c r="K52" s="586"/>
      <c r="L52" s="21"/>
      <c r="M52" s="22"/>
      <c r="N52" s="21"/>
      <c r="O52" s="21"/>
      <c r="P52" s="21"/>
      <c r="Q52" s="21"/>
      <c r="R52" s="21"/>
      <c r="S52" s="21"/>
      <c r="T52" s="21"/>
      <c r="U52" s="23"/>
      <c r="V52" s="23"/>
      <c r="W52" s="23"/>
    </row>
    <row r="53" spans="1:23" ht="12" customHeight="1">
      <c r="A53" s="26" t="s">
        <v>12</v>
      </c>
      <c r="B53" s="38"/>
      <c r="C53" s="29">
        <f t="shared" ref="C53:G53" si="16">C52/B51</f>
        <v>0.14236594707520894</v>
      </c>
      <c r="D53" s="29">
        <f t="shared" si="16"/>
        <v>7.4218005867337233E-2</v>
      </c>
      <c r="E53" s="29">
        <f t="shared" si="16"/>
        <v>6.5579003369391736E-2</v>
      </c>
      <c r="F53" s="29">
        <f t="shared" si="16"/>
        <v>2.9656503794434769E-2</v>
      </c>
      <c r="G53" s="29">
        <f t="shared" si="16"/>
        <v>1.4837562631323731E-2</v>
      </c>
      <c r="H53" s="13"/>
      <c r="I53" s="30"/>
      <c r="K53" s="588"/>
      <c r="L53" s="31"/>
      <c r="M53" s="32"/>
      <c r="N53" s="31"/>
      <c r="O53" s="31"/>
      <c r="P53" s="21"/>
      <c r="Q53" s="21"/>
      <c r="R53" s="21"/>
      <c r="S53" s="21"/>
      <c r="T53" s="21"/>
      <c r="U53" s="23"/>
      <c r="V53" s="23"/>
      <c r="W53" s="23"/>
    </row>
    <row r="54" spans="1:23" ht="12" customHeight="1">
      <c r="A54" s="18" t="s">
        <v>13</v>
      </c>
      <c r="B54" s="37"/>
      <c r="C54" s="25">
        <f>'USL (470)'!N52</f>
        <v>-0.70397518000001469</v>
      </c>
      <c r="D54" s="25">
        <f>'USL (470)'!U52</f>
        <v>1.9950000000000045</v>
      </c>
      <c r="E54" s="25">
        <f>'USL (470)'!AB52</f>
        <v>1.8489999999999895</v>
      </c>
      <c r="F54" s="25">
        <f>'USL (470)'!AI52</f>
        <v>0.89099999999999113</v>
      </c>
      <c r="G54" s="25">
        <f>'USL (470)'!AP52</f>
        <v>0.45900000000000318</v>
      </c>
      <c r="H54" s="13"/>
      <c r="I54" s="33"/>
      <c r="K54" s="588"/>
      <c r="L54" s="31"/>
      <c r="M54" s="32"/>
      <c r="N54" s="31"/>
      <c r="O54" s="31"/>
      <c r="P54" s="31"/>
      <c r="Q54" s="31"/>
      <c r="R54" s="31"/>
      <c r="S54" s="31"/>
      <c r="T54" s="31"/>
      <c r="U54" s="23"/>
      <c r="V54" s="23"/>
      <c r="W54" s="23"/>
    </row>
    <row r="55" spans="1:23" ht="12" customHeight="1">
      <c r="A55" s="18" t="s">
        <v>14</v>
      </c>
      <c r="B55" s="38"/>
      <c r="C55" s="34">
        <f>HLOOKUP(C$4,'USL (470)'!$11:$56,42,FALSE)</f>
        <v>-7.227563668723372E-3</v>
      </c>
      <c r="D55" s="34">
        <f>HLOOKUP(D$4,'USL (470)'!$11:$56,42,FALSE)</f>
        <v>2.0631355755952187E-2</v>
      </c>
      <c r="E55" s="34">
        <f>HLOOKUP(E$4,'USL (470)'!$11:$56,42,FALSE)</f>
        <v>1.873496441085885E-2</v>
      </c>
      <c r="F55" s="34">
        <f>HLOOKUP(F$4,'USL (470)'!$11:$56,42,FALSE)</f>
        <v>8.8620144392184061E-3</v>
      </c>
      <c r="G55" s="34">
        <f>HLOOKUP(G$4,'USL (470)'!$11:$56,42,FALSE)</f>
        <v>4.5251779731202198E-3</v>
      </c>
      <c r="H55" s="13"/>
      <c r="I55" s="33"/>
      <c r="K55" s="5"/>
      <c r="L55" s="31"/>
      <c r="M55" s="32"/>
      <c r="N55" s="31"/>
      <c r="O55" s="31"/>
      <c r="P55" s="31"/>
      <c r="R55" s="23"/>
      <c r="S55" s="23"/>
      <c r="T55" s="23"/>
      <c r="U55" s="23"/>
      <c r="V55" s="23"/>
      <c r="W55" s="23"/>
    </row>
    <row r="56" spans="1:23" ht="12" customHeight="1">
      <c r="A56" s="3"/>
      <c r="B56" s="3"/>
      <c r="C56" s="3"/>
      <c r="D56" s="3"/>
      <c r="E56" s="3"/>
      <c r="F56" s="3"/>
      <c r="G56" s="3"/>
      <c r="K56" s="5"/>
      <c r="M56" s="6"/>
    </row>
    <row r="57" spans="1:23" ht="12" customHeight="1">
      <c r="A57" s="3"/>
      <c r="B57" s="3"/>
      <c r="C57" s="3"/>
      <c r="D57" s="3"/>
      <c r="E57" s="3"/>
      <c r="F57" s="3"/>
      <c r="G57" s="3"/>
      <c r="K57" s="5"/>
      <c r="M57" s="6"/>
    </row>
    <row r="58" spans="1:23" ht="12" customHeight="1">
      <c r="A58" s="3"/>
      <c r="B58" s="3"/>
      <c r="C58" s="3"/>
      <c r="D58" s="3"/>
      <c r="E58" s="3"/>
      <c r="F58" s="3"/>
      <c r="G58" s="3"/>
      <c r="K58" s="5"/>
      <c r="M58" s="6"/>
    </row>
    <row r="59" spans="1:23" ht="12" customHeight="1">
      <c r="A59" s="3"/>
      <c r="B59" s="3"/>
      <c r="C59" s="3"/>
      <c r="D59" s="3"/>
      <c r="E59" s="3"/>
      <c r="F59" s="3"/>
      <c r="G59" s="3"/>
      <c r="K59" s="5"/>
      <c r="M59" s="6"/>
    </row>
    <row r="60" spans="1:23" ht="12" customHeight="1">
      <c r="A60" s="3"/>
      <c r="B60" s="3"/>
      <c r="C60" s="3"/>
      <c r="D60" s="3"/>
      <c r="E60" s="3"/>
      <c r="F60" s="3"/>
      <c r="G60" s="3"/>
      <c r="K60" s="5"/>
      <c r="M60" s="6"/>
    </row>
    <row r="61" spans="1:23" ht="12" customHeight="1">
      <c r="A61" s="3"/>
      <c r="B61" s="3"/>
      <c r="C61" s="3"/>
      <c r="D61" s="3"/>
      <c r="E61" s="3"/>
      <c r="F61" s="3"/>
      <c r="G61" s="3"/>
      <c r="K61" s="5"/>
      <c r="M61" s="6"/>
    </row>
    <row r="62" spans="1:23" ht="12" customHeight="1">
      <c r="A62" s="3"/>
      <c r="B62" s="3"/>
      <c r="C62" s="3"/>
      <c r="D62" s="3"/>
      <c r="E62" s="3"/>
      <c r="F62" s="3"/>
      <c r="G62" s="3"/>
      <c r="K62" s="5"/>
      <c r="M62" s="6"/>
    </row>
    <row r="63" spans="1:23" ht="12" customHeight="1">
      <c r="A63" s="592"/>
      <c r="B63" s="7" t="s">
        <v>7</v>
      </c>
      <c r="C63" s="7" t="s">
        <v>8</v>
      </c>
      <c r="D63" s="7" t="s">
        <v>8</v>
      </c>
      <c r="E63" s="7" t="s">
        <v>8</v>
      </c>
      <c r="F63" s="7" t="s">
        <v>8</v>
      </c>
      <c r="G63" s="7" t="s">
        <v>8</v>
      </c>
      <c r="H63" s="13"/>
      <c r="K63" s="5"/>
      <c r="M63" s="6"/>
    </row>
    <row r="64" spans="1:23" ht="12" customHeight="1">
      <c r="A64" s="593"/>
      <c r="B64" s="15">
        <v>2025</v>
      </c>
      <c r="C64" s="15" t="str">
        <f t="shared" ref="C64:G64" si="17">C7</f>
        <v>2026F</v>
      </c>
      <c r="D64" s="15" t="str">
        <f t="shared" si="17"/>
        <v>2027F</v>
      </c>
      <c r="E64" s="15" t="str">
        <f t="shared" si="17"/>
        <v>2028F</v>
      </c>
      <c r="F64" s="15" t="str">
        <f t="shared" si="17"/>
        <v>2029F</v>
      </c>
      <c r="G64" s="15" t="str">
        <f t="shared" si="17"/>
        <v>2030F</v>
      </c>
      <c r="H64" s="13"/>
      <c r="K64" s="5"/>
      <c r="M64" s="6"/>
    </row>
    <row r="65" spans="1:13" ht="12" customHeight="1">
      <c r="A65" s="594" t="s">
        <v>9</v>
      </c>
      <c r="B65" s="595"/>
      <c r="C65" s="595"/>
      <c r="D65" s="595"/>
      <c r="E65" s="595"/>
      <c r="F65" s="595"/>
      <c r="G65" s="596"/>
      <c r="H65" s="13"/>
      <c r="K65" s="5"/>
      <c r="M65" s="6"/>
    </row>
    <row r="66" spans="1:13" ht="12" customHeight="1">
      <c r="A66" s="18" t="s">
        <v>10</v>
      </c>
      <c r="B66" s="41">
        <f t="shared" ref="B66:G66" si="18">B9</f>
        <v>34.51</v>
      </c>
      <c r="C66" s="41">
        <f t="shared" si="18"/>
        <v>40.04</v>
      </c>
      <c r="D66" s="41">
        <f t="shared" si="18"/>
        <v>42.64</v>
      </c>
      <c r="E66" s="41">
        <f t="shared" si="18"/>
        <v>45.47</v>
      </c>
      <c r="F66" s="41">
        <f t="shared" si="18"/>
        <v>46.98</v>
      </c>
      <c r="G66" s="41">
        <f t="shared" si="18"/>
        <v>48.36</v>
      </c>
      <c r="H66" s="13"/>
      <c r="K66" s="5"/>
      <c r="M66" s="6"/>
    </row>
    <row r="67" spans="1:13" ht="12" customHeight="1">
      <c r="A67" s="18" t="s">
        <v>11</v>
      </c>
      <c r="B67" s="42">
        <f t="shared" ref="B67:B68" si="19">B10</f>
        <v>0</v>
      </c>
      <c r="C67" s="25">
        <f t="shared" ref="C67:G67" si="20">C66-B66</f>
        <v>5.5300000000000011</v>
      </c>
      <c r="D67" s="25">
        <f t="shared" si="20"/>
        <v>2.6000000000000014</v>
      </c>
      <c r="E67" s="25">
        <f t="shared" si="20"/>
        <v>2.8299999999999983</v>
      </c>
      <c r="F67" s="25">
        <f t="shared" si="20"/>
        <v>1.509999999999998</v>
      </c>
      <c r="G67" s="25">
        <f t="shared" si="20"/>
        <v>1.3800000000000026</v>
      </c>
      <c r="H67" s="13"/>
      <c r="K67" s="5"/>
      <c r="M67" s="6"/>
    </row>
    <row r="68" spans="1:13" ht="12" customHeight="1">
      <c r="A68" s="26" t="s">
        <v>12</v>
      </c>
      <c r="B68" s="43">
        <f t="shared" si="19"/>
        <v>0</v>
      </c>
      <c r="C68" s="29">
        <f t="shared" ref="C68:G68" si="21">C67/B66</f>
        <v>0.16024340770791079</v>
      </c>
      <c r="D68" s="29">
        <f t="shared" si="21"/>
        <v>6.4935064935064971E-2</v>
      </c>
      <c r="E68" s="29">
        <f t="shared" si="21"/>
        <v>6.6369606003752302E-2</v>
      </c>
      <c r="F68" s="29">
        <f t="shared" si="21"/>
        <v>3.3208709038926719E-2</v>
      </c>
      <c r="G68" s="29">
        <f t="shared" si="21"/>
        <v>2.9374201787994946E-2</v>
      </c>
      <c r="H68" s="13"/>
      <c r="K68" s="5"/>
      <c r="M68" s="6"/>
    </row>
    <row r="69" spans="1:13" ht="12" customHeight="1">
      <c r="A69" s="18" t="s">
        <v>14</v>
      </c>
      <c r="B69" s="43">
        <f t="shared" ref="B69:G69" si="22">B13</f>
        <v>0</v>
      </c>
      <c r="C69" s="44">
        <f t="shared" si="22"/>
        <v>4.0097694785944028E-2</v>
      </c>
      <c r="D69" s="44">
        <f t="shared" si="22"/>
        <v>1.7158084501644466E-2</v>
      </c>
      <c r="E69" s="44">
        <f t="shared" si="22"/>
        <v>1.7468248491370755E-2</v>
      </c>
      <c r="F69" s="44">
        <f t="shared" si="22"/>
        <v>9.1636897234945967E-3</v>
      </c>
      <c r="G69" s="44">
        <f t="shared" si="22"/>
        <v>8.3038591139783218E-3</v>
      </c>
      <c r="H69" s="13"/>
      <c r="K69" s="5"/>
      <c r="M69" s="6"/>
    </row>
    <row r="70" spans="1:13" ht="12" customHeight="1">
      <c r="A70" s="594" t="str">
        <f>A14</f>
        <v>General Service &lt;50 kW (2000 kWh)</v>
      </c>
      <c r="B70" s="595"/>
      <c r="C70" s="595"/>
      <c r="D70" s="595"/>
      <c r="E70" s="595"/>
      <c r="F70" s="595"/>
      <c r="G70" s="596"/>
      <c r="H70" s="13"/>
      <c r="K70" s="5"/>
      <c r="M70" s="6"/>
    </row>
    <row r="71" spans="1:13" ht="12" customHeight="1">
      <c r="A71" s="18" t="s">
        <v>10</v>
      </c>
      <c r="B71" s="41">
        <f t="shared" ref="B71:G71" si="23">B15</f>
        <v>85.93</v>
      </c>
      <c r="C71" s="41">
        <f t="shared" si="23"/>
        <v>96.740000000000009</v>
      </c>
      <c r="D71" s="41">
        <f t="shared" si="23"/>
        <v>102.21000000000001</v>
      </c>
      <c r="E71" s="41">
        <f t="shared" si="23"/>
        <v>108.89000000000001</v>
      </c>
      <c r="F71" s="41">
        <f t="shared" si="23"/>
        <v>110.86</v>
      </c>
      <c r="G71" s="41">
        <f t="shared" si="23"/>
        <v>112.49999999999999</v>
      </c>
      <c r="H71" s="13"/>
      <c r="K71" s="5"/>
      <c r="M71" s="6"/>
    </row>
    <row r="72" spans="1:13" ht="12" customHeight="1">
      <c r="A72" s="18" t="s">
        <v>11</v>
      </c>
      <c r="B72" s="42">
        <f t="shared" ref="B72:G72" si="24">B16</f>
        <v>0</v>
      </c>
      <c r="C72" s="41">
        <f t="shared" si="24"/>
        <v>10.810000000000002</v>
      </c>
      <c r="D72" s="41">
        <f t="shared" si="24"/>
        <v>5.4699999999999989</v>
      </c>
      <c r="E72" s="41">
        <f t="shared" si="24"/>
        <v>6.6800000000000068</v>
      </c>
      <c r="F72" s="41">
        <f t="shared" si="24"/>
        <v>1.9699999999999847</v>
      </c>
      <c r="G72" s="41">
        <f t="shared" si="24"/>
        <v>1.6399999999999864</v>
      </c>
      <c r="H72" s="13"/>
      <c r="K72" s="5"/>
      <c r="M72" s="6"/>
    </row>
    <row r="73" spans="1:13" ht="12" customHeight="1">
      <c r="A73" s="26" t="s">
        <v>12</v>
      </c>
      <c r="B73" s="43">
        <f t="shared" ref="B73:G73" si="25">B17</f>
        <v>0</v>
      </c>
      <c r="C73" s="45">
        <f t="shared" si="25"/>
        <v>0.12580006982427558</v>
      </c>
      <c r="D73" s="45">
        <f t="shared" si="25"/>
        <v>5.6543311970229465E-2</v>
      </c>
      <c r="E73" s="45">
        <f t="shared" si="25"/>
        <v>6.5355640348302574E-2</v>
      </c>
      <c r="F73" s="45">
        <f t="shared" si="25"/>
        <v>1.8091652125998572E-2</v>
      </c>
      <c r="G73" s="45">
        <f t="shared" si="25"/>
        <v>1.4793433158939079E-2</v>
      </c>
      <c r="H73" s="13"/>
      <c r="K73" s="5"/>
      <c r="M73" s="6"/>
    </row>
    <row r="74" spans="1:13" ht="12" customHeight="1">
      <c r="A74" s="18" t="s">
        <v>14</v>
      </c>
      <c r="B74" s="43">
        <f t="shared" ref="B74:G74" si="26">B19</f>
        <v>0</v>
      </c>
      <c r="C74" s="44">
        <f t="shared" si="26"/>
        <v>1.111465934656298E-2</v>
      </c>
      <c r="D74" s="44">
        <f t="shared" si="26"/>
        <v>1.3948039180223996E-2</v>
      </c>
      <c r="E74" s="44">
        <f t="shared" si="26"/>
        <v>1.6230822107006757E-2</v>
      </c>
      <c r="F74" s="44">
        <f t="shared" si="26"/>
        <v>4.727017688824919E-3</v>
      </c>
      <c r="G74" s="44">
        <f t="shared" si="26"/>
        <v>3.9206484328602152E-3</v>
      </c>
      <c r="H74" s="13"/>
      <c r="K74" s="5"/>
      <c r="M74" s="6"/>
    </row>
    <row r="75" spans="1:13" ht="12" customHeight="1">
      <c r="A75" s="3"/>
      <c r="B75" s="3"/>
      <c r="C75" s="3"/>
      <c r="D75" s="3"/>
      <c r="E75" s="3"/>
      <c r="F75" s="3"/>
      <c r="G75" s="3"/>
      <c r="K75" s="5"/>
      <c r="M75" s="6"/>
    </row>
    <row r="76" spans="1:13" ht="12" customHeight="1">
      <c r="A76" s="3"/>
      <c r="B76" s="3"/>
      <c r="C76" s="3"/>
      <c r="D76" s="3"/>
      <c r="E76" s="3"/>
      <c r="F76" s="3"/>
      <c r="G76" s="3"/>
      <c r="K76" s="5"/>
      <c r="M76" s="6"/>
    </row>
    <row r="77" spans="1:13" ht="12" customHeight="1">
      <c r="A77" s="3"/>
      <c r="B77" s="3"/>
      <c r="C77" s="3"/>
      <c r="D77" s="3"/>
      <c r="E77" s="3"/>
      <c r="F77" s="3"/>
      <c r="G77" s="3"/>
      <c r="K77" s="5"/>
      <c r="M77" s="6"/>
    </row>
    <row r="78" spans="1:13" ht="12" customHeight="1">
      <c r="A78" s="592"/>
      <c r="B78" s="7" t="s">
        <v>7</v>
      </c>
      <c r="C78" s="7" t="s">
        <v>8</v>
      </c>
      <c r="D78" s="7" t="s">
        <v>8</v>
      </c>
      <c r="E78" s="7" t="s">
        <v>8</v>
      </c>
      <c r="F78" s="7" t="s">
        <v>8</v>
      </c>
      <c r="G78" s="7" t="s">
        <v>8</v>
      </c>
      <c r="H78" s="13"/>
      <c r="K78" s="5"/>
      <c r="M78" s="6"/>
    </row>
    <row r="79" spans="1:13" ht="12" customHeight="1">
      <c r="A79" s="593"/>
      <c r="B79" s="15">
        <f t="shared" ref="B79:G79" si="27">B64</f>
        <v>2025</v>
      </c>
      <c r="C79" s="15" t="str">
        <f t="shared" si="27"/>
        <v>2026F</v>
      </c>
      <c r="D79" s="15" t="str">
        <f t="shared" si="27"/>
        <v>2027F</v>
      </c>
      <c r="E79" s="15" t="str">
        <f t="shared" si="27"/>
        <v>2028F</v>
      </c>
      <c r="F79" s="15" t="str">
        <f t="shared" si="27"/>
        <v>2029F</v>
      </c>
      <c r="G79" s="15" t="str">
        <f t="shared" si="27"/>
        <v>2030F</v>
      </c>
      <c r="H79" s="13"/>
      <c r="K79" s="5"/>
      <c r="M79" s="6"/>
    </row>
    <row r="80" spans="1:13" ht="12" customHeight="1">
      <c r="A80" s="594" t="s">
        <v>9</v>
      </c>
      <c r="B80" s="595"/>
      <c r="C80" s="595"/>
      <c r="D80" s="595"/>
      <c r="E80" s="595"/>
      <c r="F80" s="595"/>
      <c r="G80" s="596"/>
      <c r="H80" s="13"/>
      <c r="K80" s="5"/>
      <c r="M80" s="6"/>
    </row>
    <row r="81" spans="1:13" ht="12" customHeight="1">
      <c r="A81" s="18" t="s">
        <v>10</v>
      </c>
      <c r="B81" s="46">
        <f>'Res (750)'!H15</f>
        <v>34.26</v>
      </c>
      <c r="C81" s="41">
        <f>'Res (750)'!L15</f>
        <v>40.72</v>
      </c>
      <c r="D81" s="41">
        <f>'Res (750)'!S15</f>
        <v>42.64</v>
      </c>
      <c r="E81" s="41">
        <f>'Res (750)'!Z15</f>
        <v>45.47</v>
      </c>
      <c r="F81" s="41">
        <f>'Res (750)'!AG15</f>
        <v>46.98</v>
      </c>
      <c r="G81" s="41">
        <f>'Res (750)'!AN15</f>
        <v>48.36</v>
      </c>
      <c r="H81" s="13"/>
      <c r="K81" s="5"/>
      <c r="M81" s="6"/>
    </row>
    <row r="82" spans="1:13" ht="12" customHeight="1">
      <c r="A82" s="47" t="s">
        <v>11</v>
      </c>
      <c r="B82" s="48">
        <f t="shared" ref="B82:B83" si="28">B28</f>
        <v>0</v>
      </c>
      <c r="C82" s="25">
        <f t="shared" ref="C82:G82" si="29">C81-B81</f>
        <v>6.4600000000000009</v>
      </c>
      <c r="D82" s="25">
        <f t="shared" si="29"/>
        <v>1.9200000000000017</v>
      </c>
      <c r="E82" s="25">
        <f t="shared" si="29"/>
        <v>2.8299999999999983</v>
      </c>
      <c r="F82" s="25">
        <f t="shared" si="29"/>
        <v>1.509999999999998</v>
      </c>
      <c r="G82" s="49">
        <f t="shared" si="29"/>
        <v>1.3800000000000026</v>
      </c>
      <c r="H82" s="50"/>
      <c r="K82" s="5"/>
      <c r="M82" s="6"/>
    </row>
    <row r="83" spans="1:13" ht="12" customHeight="1">
      <c r="A83" s="26" t="s">
        <v>12</v>
      </c>
      <c r="B83" s="43">
        <f t="shared" si="28"/>
        <v>0</v>
      </c>
      <c r="C83" s="29">
        <f t="shared" ref="C83:G83" si="30">C82/B81</f>
        <v>0.18855808523058964</v>
      </c>
      <c r="D83" s="29">
        <f t="shared" si="30"/>
        <v>4.7151277013752498E-2</v>
      </c>
      <c r="E83" s="29">
        <f t="shared" si="30"/>
        <v>6.6369606003752302E-2</v>
      </c>
      <c r="F83" s="29">
        <f t="shared" si="30"/>
        <v>3.3208709038926719E-2</v>
      </c>
      <c r="G83" s="29">
        <f t="shared" si="30"/>
        <v>2.9374201787994946E-2</v>
      </c>
      <c r="H83" s="13"/>
      <c r="K83" s="5"/>
      <c r="M83" s="6"/>
    </row>
    <row r="84" spans="1:13" ht="12" customHeight="1">
      <c r="A84" s="18"/>
      <c r="B84" s="43"/>
      <c r="C84" s="44"/>
      <c r="D84" s="44"/>
      <c r="E84" s="44"/>
      <c r="F84" s="44"/>
      <c r="G84" s="44"/>
      <c r="H84" s="13"/>
      <c r="K84" s="5"/>
      <c r="M84" s="6"/>
    </row>
    <row r="85" spans="1:13" ht="12" customHeight="1">
      <c r="A85" s="18" t="s">
        <v>22</v>
      </c>
      <c r="B85" s="41">
        <f t="shared" ref="B85:G85" si="31">B86-B81</f>
        <v>0.25</v>
      </c>
      <c r="C85" s="41">
        <f t="shared" si="31"/>
        <v>-0.67999999999999972</v>
      </c>
      <c r="D85" s="41">
        <f t="shared" si="31"/>
        <v>0</v>
      </c>
      <c r="E85" s="41">
        <f t="shared" si="31"/>
        <v>0</v>
      </c>
      <c r="F85" s="41">
        <f t="shared" si="31"/>
        <v>0</v>
      </c>
      <c r="G85" s="41">
        <f t="shared" si="31"/>
        <v>0</v>
      </c>
      <c r="H85" s="13"/>
      <c r="K85" s="5"/>
      <c r="M85" s="6"/>
    </row>
    <row r="86" spans="1:13" ht="12" customHeight="1">
      <c r="A86" s="18" t="s">
        <v>23</v>
      </c>
      <c r="B86" s="41">
        <f t="shared" ref="B86:G86" si="32">B66</f>
        <v>34.51</v>
      </c>
      <c r="C86" s="41">
        <f t="shared" si="32"/>
        <v>40.04</v>
      </c>
      <c r="D86" s="41">
        <f t="shared" si="32"/>
        <v>42.64</v>
      </c>
      <c r="E86" s="41">
        <f t="shared" si="32"/>
        <v>45.47</v>
      </c>
      <c r="F86" s="41">
        <f t="shared" si="32"/>
        <v>46.98</v>
      </c>
      <c r="G86" s="41">
        <f t="shared" si="32"/>
        <v>48.36</v>
      </c>
      <c r="H86" s="13"/>
      <c r="K86" s="5"/>
      <c r="M86" s="6"/>
    </row>
    <row r="87" spans="1:13" ht="12" customHeight="1">
      <c r="A87" s="18" t="s">
        <v>11</v>
      </c>
      <c r="B87" s="43"/>
      <c r="C87" s="41">
        <f t="shared" ref="C87:G87" si="33">C67</f>
        <v>5.5300000000000011</v>
      </c>
      <c r="D87" s="41">
        <f t="shared" si="33"/>
        <v>2.6000000000000014</v>
      </c>
      <c r="E87" s="41">
        <f t="shared" si="33"/>
        <v>2.8299999999999983</v>
      </c>
      <c r="F87" s="41">
        <f t="shared" si="33"/>
        <v>1.509999999999998</v>
      </c>
      <c r="G87" s="41">
        <f t="shared" si="33"/>
        <v>1.3800000000000026</v>
      </c>
      <c r="H87" s="13"/>
      <c r="K87" s="5"/>
      <c r="M87" s="6"/>
    </row>
    <row r="88" spans="1:13" ht="12" customHeight="1">
      <c r="A88" s="26" t="s">
        <v>12</v>
      </c>
      <c r="B88" s="43"/>
      <c r="C88" s="45">
        <f t="shared" ref="C88:G88" si="34">C68</f>
        <v>0.16024340770791079</v>
      </c>
      <c r="D88" s="45">
        <f t="shared" si="34"/>
        <v>6.4935064935064971E-2</v>
      </c>
      <c r="E88" s="45">
        <f t="shared" si="34"/>
        <v>6.6369606003752302E-2</v>
      </c>
      <c r="F88" s="45">
        <f t="shared" si="34"/>
        <v>3.3208709038926719E-2</v>
      </c>
      <c r="G88" s="45">
        <f t="shared" si="34"/>
        <v>2.9374201787994946E-2</v>
      </c>
      <c r="H88" s="13"/>
      <c r="K88" s="5"/>
      <c r="M88" s="6"/>
    </row>
    <row r="89" spans="1:13" ht="12" customHeight="1">
      <c r="A89" s="18"/>
      <c r="B89" s="43"/>
      <c r="C89" s="44"/>
      <c r="D89" s="44"/>
      <c r="E89" s="44"/>
      <c r="F89" s="44"/>
      <c r="G89" s="44"/>
      <c r="H89" s="13"/>
      <c r="K89" s="5"/>
      <c r="M89" s="6"/>
    </row>
    <row r="90" spans="1:13" ht="12" customHeight="1">
      <c r="A90" s="51" t="s">
        <v>24</v>
      </c>
      <c r="B90" s="41">
        <f>'Res (750)'!H54</f>
        <v>137.91540940250002</v>
      </c>
      <c r="C90" s="41">
        <f>'Res (750)'!L54</f>
        <v>143.44549939500001</v>
      </c>
      <c r="D90" s="41">
        <f>'Res (750)'!S54</f>
        <v>145.90674939499999</v>
      </c>
      <c r="E90" s="41">
        <f>'Res (750)'!Z54</f>
        <v>148.45548475000001</v>
      </c>
      <c r="F90" s="41">
        <f>'Res (750)'!AG54</f>
        <v>149.81588474999998</v>
      </c>
      <c r="G90" s="41">
        <f>'Res (750)'!AN54</f>
        <v>151.05993475</v>
      </c>
      <c r="H90" s="13"/>
      <c r="K90" s="5"/>
      <c r="M90" s="6"/>
    </row>
    <row r="91" spans="1:13" ht="12" customHeight="1">
      <c r="A91" s="51"/>
      <c r="B91" s="43"/>
      <c r="C91" s="41">
        <f t="shared" ref="C91:G91" si="35">C90-B90</f>
        <v>5.5300899924999953</v>
      </c>
      <c r="D91" s="41">
        <f t="shared" si="35"/>
        <v>2.4612499999999784</v>
      </c>
      <c r="E91" s="41">
        <f t="shared" si="35"/>
        <v>2.5487353550000194</v>
      </c>
      <c r="F91" s="41">
        <f t="shared" si="35"/>
        <v>1.3603999999999701</v>
      </c>
      <c r="G91" s="41">
        <f t="shared" si="35"/>
        <v>1.2440500000000156</v>
      </c>
      <c r="H91" s="13"/>
      <c r="K91" s="5"/>
      <c r="M91" s="6"/>
    </row>
    <row r="92" spans="1:13" ht="12" customHeight="1">
      <c r="A92" s="18" t="s">
        <v>14</v>
      </c>
      <c r="B92" s="43">
        <f t="shared" ref="B92:B93" si="36">B31</f>
        <v>0</v>
      </c>
      <c r="C92" s="44">
        <f t="shared" ref="C92:G92" si="37">C91/B90</f>
        <v>4.0097694785944278E-2</v>
      </c>
      <c r="D92" s="44">
        <f t="shared" si="37"/>
        <v>1.7158084501644313E-2</v>
      </c>
      <c r="E92" s="44">
        <f t="shared" si="37"/>
        <v>1.7468248491370755E-2</v>
      </c>
      <c r="F92" s="44">
        <f t="shared" si="37"/>
        <v>9.1636897234945031E-3</v>
      </c>
      <c r="G92" s="44">
        <f t="shared" si="37"/>
        <v>8.3038591139783374E-3</v>
      </c>
      <c r="H92" s="13"/>
      <c r="K92" s="5"/>
      <c r="M92" s="6"/>
    </row>
    <row r="93" spans="1:13" ht="12" customHeight="1">
      <c r="A93" s="18" t="s">
        <v>25</v>
      </c>
      <c r="B93" s="43">
        <f t="shared" si="36"/>
        <v>0</v>
      </c>
      <c r="C93" s="44">
        <f t="shared" ref="C93:G93" si="38">C13</f>
        <v>4.0097694785944028E-2</v>
      </c>
      <c r="D93" s="44">
        <f t="shared" si="38"/>
        <v>1.7158084501644466E-2</v>
      </c>
      <c r="E93" s="44">
        <f t="shared" si="38"/>
        <v>1.7468248491370755E-2</v>
      </c>
      <c r="F93" s="44">
        <f t="shared" si="38"/>
        <v>9.1636897234945967E-3</v>
      </c>
      <c r="G93" s="44">
        <f t="shared" si="38"/>
        <v>8.3038591139783218E-3</v>
      </c>
      <c r="H93" s="13"/>
      <c r="K93" s="5"/>
      <c r="M93" s="6"/>
    </row>
    <row r="94" spans="1:13" ht="12" customHeight="1">
      <c r="A94" s="3"/>
      <c r="B94" s="3"/>
      <c r="C94" s="3"/>
      <c r="D94" s="3"/>
      <c r="E94" s="3"/>
      <c r="F94" s="3"/>
      <c r="G94" s="3"/>
      <c r="K94" s="5"/>
      <c r="M94" s="6"/>
    </row>
    <row r="95" spans="1:13" ht="12" customHeight="1">
      <c r="A95" s="3"/>
      <c r="B95" s="3"/>
      <c r="C95" s="3"/>
      <c r="D95" s="3"/>
      <c r="E95" s="3"/>
      <c r="F95" s="3"/>
      <c r="G95" s="3"/>
      <c r="K95" s="5"/>
      <c r="M95" s="6"/>
    </row>
    <row r="96" spans="1:13" ht="12" customHeight="1">
      <c r="A96" s="3"/>
      <c r="B96" s="3"/>
      <c r="C96" s="3"/>
      <c r="D96" s="3"/>
      <c r="E96" s="3"/>
      <c r="F96" s="3"/>
      <c r="G96" s="3"/>
      <c r="K96" s="5"/>
      <c r="M96" s="6"/>
    </row>
    <row r="97" spans="1:13" ht="12" customHeight="1">
      <c r="A97" s="3"/>
      <c r="B97" s="3"/>
      <c r="C97" s="3"/>
      <c r="D97" s="3"/>
      <c r="E97" s="3"/>
      <c r="F97" s="3"/>
      <c r="G97" s="3"/>
      <c r="K97" s="5"/>
      <c r="M97" s="6"/>
    </row>
    <row r="98" spans="1:13" ht="12" customHeight="1">
      <c r="A98" s="3"/>
      <c r="B98" s="3"/>
      <c r="C98" s="3"/>
      <c r="D98" s="3"/>
      <c r="E98" s="3"/>
      <c r="F98" s="3"/>
      <c r="G98" s="3"/>
      <c r="K98" s="5"/>
      <c r="M98" s="6"/>
    </row>
    <row r="99" spans="1:13" ht="12" customHeight="1">
      <c r="A99" s="3"/>
      <c r="B99" s="3"/>
      <c r="C99" s="3"/>
      <c r="D99" s="3"/>
      <c r="E99" s="3"/>
      <c r="F99" s="3"/>
      <c r="G99" s="3"/>
      <c r="K99" s="5"/>
      <c r="M99" s="6"/>
    </row>
    <row r="100" spans="1:13" ht="12" customHeight="1">
      <c r="A100" s="3"/>
      <c r="B100" s="3"/>
      <c r="C100" s="3"/>
      <c r="D100" s="3"/>
      <c r="E100" s="3"/>
      <c r="F100" s="3"/>
      <c r="G100" s="3"/>
      <c r="K100" s="5"/>
      <c r="M100" s="6"/>
    </row>
    <row r="101" spans="1:13" ht="12" customHeight="1">
      <c r="A101" s="3"/>
      <c r="B101" s="3"/>
      <c r="C101" s="3"/>
      <c r="D101" s="3"/>
      <c r="E101" s="3"/>
      <c r="F101" s="3"/>
      <c r="G101" s="3"/>
      <c r="K101" s="5"/>
      <c r="M101" s="6"/>
    </row>
    <row r="102" spans="1:13" ht="12" customHeight="1">
      <c r="A102" s="3"/>
      <c r="B102" s="3"/>
      <c r="C102" s="3"/>
      <c r="D102" s="3"/>
      <c r="E102" s="3"/>
      <c r="F102" s="3"/>
      <c r="G102" s="3"/>
      <c r="K102" s="5"/>
      <c r="M102" s="6"/>
    </row>
    <row r="103" spans="1:13" ht="12" customHeight="1">
      <c r="A103" s="3"/>
      <c r="B103" s="3"/>
      <c r="C103" s="3"/>
      <c r="D103" s="3"/>
      <c r="E103" s="3"/>
      <c r="F103" s="3"/>
      <c r="G103" s="3"/>
      <c r="K103" s="5"/>
      <c r="M103" s="6"/>
    </row>
    <row r="104" spans="1:13" ht="12" customHeight="1">
      <c r="A104" s="3"/>
      <c r="B104" s="3"/>
      <c r="C104" s="3"/>
      <c r="D104" s="3"/>
      <c r="E104" s="3"/>
      <c r="F104" s="3"/>
      <c r="G104" s="3"/>
      <c r="K104" s="5"/>
      <c r="M104" s="6"/>
    </row>
    <row r="105" spans="1:13" ht="12" customHeight="1">
      <c r="A105" s="3"/>
      <c r="B105" s="3"/>
      <c r="C105" s="3"/>
      <c r="D105" s="3"/>
      <c r="E105" s="3"/>
      <c r="F105" s="3"/>
      <c r="G105" s="3"/>
      <c r="K105" s="5"/>
      <c r="M105" s="6"/>
    </row>
    <row r="106" spans="1:13" ht="12" customHeight="1">
      <c r="A106" s="3"/>
      <c r="B106" s="3"/>
      <c r="C106" s="3"/>
      <c r="D106" s="3"/>
      <c r="E106" s="3"/>
      <c r="F106" s="3"/>
      <c r="G106" s="3"/>
      <c r="K106" s="5"/>
      <c r="M106" s="6"/>
    </row>
    <row r="107" spans="1:13" ht="12" customHeight="1">
      <c r="A107" s="3"/>
      <c r="B107" s="3"/>
      <c r="C107" s="3"/>
      <c r="D107" s="3"/>
      <c r="E107" s="3"/>
      <c r="F107" s="3"/>
      <c r="G107" s="3"/>
      <c r="K107" s="5"/>
      <c r="M107" s="6"/>
    </row>
    <row r="108" spans="1:13" ht="12" customHeight="1">
      <c r="A108" s="3"/>
      <c r="B108" s="3"/>
      <c r="C108" s="3"/>
      <c r="D108" s="3"/>
      <c r="E108" s="3"/>
      <c r="F108" s="3"/>
      <c r="G108" s="3"/>
      <c r="K108" s="5"/>
      <c r="M108" s="6"/>
    </row>
    <row r="109" spans="1:13" ht="12" customHeight="1">
      <c r="A109" s="3"/>
      <c r="B109" s="3"/>
      <c r="C109" s="3"/>
      <c r="D109" s="3"/>
      <c r="E109" s="3"/>
      <c r="F109" s="3"/>
      <c r="G109" s="3"/>
      <c r="K109" s="5"/>
      <c r="M109" s="6"/>
    </row>
    <row r="110" spans="1:13" ht="12" customHeight="1">
      <c r="A110" s="3"/>
      <c r="B110" s="3"/>
      <c r="C110" s="3"/>
      <c r="D110" s="3"/>
      <c r="E110" s="3"/>
      <c r="F110" s="3"/>
      <c r="G110" s="3"/>
      <c r="K110" s="5"/>
      <c r="M110" s="6"/>
    </row>
    <row r="111" spans="1:13" ht="12" customHeight="1">
      <c r="A111" s="3"/>
      <c r="B111" s="3"/>
      <c r="C111" s="3"/>
      <c r="D111" s="3"/>
      <c r="E111" s="3"/>
      <c r="F111" s="3"/>
      <c r="G111" s="3"/>
      <c r="K111" s="5"/>
      <c r="M111" s="6"/>
    </row>
    <row r="112" spans="1:13" ht="12" customHeight="1">
      <c r="A112" s="3"/>
      <c r="B112" s="3"/>
      <c r="C112" s="3"/>
      <c r="D112" s="3"/>
      <c r="E112" s="3"/>
      <c r="F112" s="3"/>
      <c r="G112" s="3"/>
      <c r="K112" s="5"/>
      <c r="M112" s="6"/>
    </row>
    <row r="113" spans="1:18" ht="12" customHeight="1">
      <c r="A113" s="3"/>
      <c r="B113" s="3"/>
      <c r="C113" s="3"/>
      <c r="D113" s="3"/>
      <c r="E113" s="3"/>
      <c r="F113" s="3"/>
      <c r="G113" s="3"/>
      <c r="K113" s="5"/>
      <c r="M113" s="6"/>
    </row>
    <row r="114" spans="1:18" ht="12" customHeight="1">
      <c r="A114" s="3"/>
      <c r="B114" s="3"/>
      <c r="C114" s="3"/>
      <c r="D114" s="3"/>
      <c r="E114" s="3"/>
      <c r="F114" s="3"/>
      <c r="G114" s="3"/>
      <c r="K114" s="5"/>
      <c r="M114" s="6"/>
    </row>
    <row r="115" spans="1:18" ht="12" customHeight="1">
      <c r="A115" s="3"/>
      <c r="B115" s="3"/>
      <c r="C115" s="3"/>
      <c r="D115" s="3"/>
      <c r="E115" s="3"/>
      <c r="F115" s="3"/>
      <c r="G115" s="3"/>
      <c r="K115" s="5"/>
      <c r="M115" s="6"/>
    </row>
    <row r="116" spans="1:18" ht="12" customHeight="1">
      <c r="A116" s="3"/>
      <c r="B116" s="3"/>
      <c r="C116" s="3"/>
      <c r="D116" s="3"/>
      <c r="E116" s="3"/>
      <c r="F116" s="3"/>
      <c r="G116" s="3"/>
      <c r="K116" s="5"/>
      <c r="M116" s="6"/>
    </row>
    <row r="117" spans="1:18" ht="12" customHeight="1">
      <c r="A117" s="3"/>
      <c r="B117" s="3"/>
      <c r="C117" s="3"/>
      <c r="D117" s="3"/>
      <c r="E117" s="3"/>
      <c r="F117" s="3"/>
      <c r="G117" s="3"/>
      <c r="K117" s="5"/>
      <c r="M117" s="6"/>
    </row>
    <row r="118" spans="1:18" ht="12" customHeight="1">
      <c r="A118" s="3"/>
      <c r="B118" s="3"/>
      <c r="C118" s="3"/>
      <c r="D118" s="3"/>
      <c r="E118" s="3"/>
      <c r="F118" s="3"/>
      <c r="G118" s="3"/>
      <c r="K118" s="5"/>
      <c r="M118" s="6"/>
    </row>
    <row r="119" spans="1:18" ht="12" customHeight="1">
      <c r="A119" s="3"/>
      <c r="B119" s="3"/>
      <c r="C119" s="3"/>
      <c r="D119" s="3"/>
      <c r="E119" s="3"/>
      <c r="F119" s="3"/>
      <c r="G119" s="3"/>
      <c r="K119" s="5"/>
      <c r="M119" s="6"/>
    </row>
    <row r="120" spans="1:18" ht="12" customHeight="1">
      <c r="A120" s="3"/>
      <c r="B120" s="3"/>
      <c r="C120" s="3"/>
      <c r="D120" s="3"/>
      <c r="E120" s="3"/>
      <c r="F120" s="3"/>
      <c r="G120" s="3"/>
      <c r="K120" s="5"/>
      <c r="M120" s="6"/>
    </row>
    <row r="121" spans="1:18" ht="12" customHeight="1">
      <c r="A121" s="3"/>
      <c r="B121" s="3"/>
      <c r="C121" s="3"/>
      <c r="D121" s="3"/>
      <c r="E121" s="3"/>
      <c r="F121" s="3"/>
      <c r="G121" s="3"/>
      <c r="K121" s="5"/>
      <c r="M121" s="6"/>
    </row>
    <row r="122" spans="1:18" ht="12" customHeight="1">
      <c r="A122" s="3"/>
      <c r="B122" s="3"/>
      <c r="C122" s="3"/>
      <c r="D122" s="3"/>
      <c r="E122" s="3"/>
      <c r="F122" s="3"/>
      <c r="G122" s="3"/>
      <c r="K122" s="5"/>
      <c r="M122" s="6"/>
    </row>
    <row r="123" spans="1:18" ht="12" customHeight="1">
      <c r="A123" s="52"/>
      <c r="B123" s="52"/>
      <c r="C123" s="52"/>
      <c r="D123" s="52"/>
      <c r="E123" s="52"/>
      <c r="F123" s="52"/>
      <c r="G123" s="52"/>
      <c r="H123" s="52"/>
      <c r="J123" s="52"/>
      <c r="K123" s="5"/>
      <c r="L123" s="52"/>
      <c r="M123" s="6"/>
      <c r="N123" s="52"/>
      <c r="O123" s="52"/>
      <c r="P123" s="52"/>
      <c r="Q123" s="52"/>
      <c r="R123" s="52"/>
    </row>
    <row r="124" spans="1:18" ht="12" customHeight="1">
      <c r="A124" s="3"/>
      <c r="B124" s="3"/>
      <c r="C124" s="3"/>
      <c r="D124" s="3"/>
      <c r="E124" s="3"/>
      <c r="F124" s="3"/>
      <c r="G124" s="3"/>
      <c r="K124" s="5"/>
      <c r="M124" s="6"/>
    </row>
    <row r="125" spans="1:18" ht="12" customHeight="1">
      <c r="A125" s="3"/>
      <c r="B125" s="3"/>
      <c r="C125" s="3"/>
      <c r="D125" s="3"/>
      <c r="E125" s="3"/>
      <c r="F125" s="3"/>
      <c r="G125" s="3"/>
      <c r="K125" s="5"/>
      <c r="M125" s="6"/>
    </row>
    <row r="126" spans="1:18" ht="12" customHeight="1">
      <c r="A126" s="3"/>
      <c r="B126" s="3"/>
      <c r="C126" s="3"/>
      <c r="D126" s="3"/>
      <c r="E126" s="3"/>
      <c r="F126" s="3"/>
      <c r="G126" s="3"/>
      <c r="K126" s="5"/>
      <c r="M126" s="6"/>
    </row>
    <row r="127" spans="1:18" ht="12" customHeight="1">
      <c r="A127" s="3"/>
      <c r="B127" s="3"/>
      <c r="C127" s="3"/>
      <c r="D127" s="3"/>
      <c r="E127" s="3"/>
      <c r="F127" s="3"/>
      <c r="G127" s="3"/>
      <c r="K127" s="5"/>
      <c r="M127" s="6"/>
    </row>
    <row r="128" spans="1:18" ht="12" customHeight="1">
      <c r="A128" s="3"/>
      <c r="B128" s="3"/>
      <c r="C128" s="3"/>
      <c r="D128" s="3"/>
      <c r="E128" s="3"/>
      <c r="F128" s="3"/>
      <c r="G128" s="3"/>
      <c r="K128" s="5"/>
      <c r="M128" s="6"/>
    </row>
    <row r="129" spans="1:13" ht="12" customHeight="1">
      <c r="A129" s="3"/>
      <c r="B129" s="3"/>
      <c r="C129" s="3"/>
      <c r="D129" s="3"/>
      <c r="E129" s="3"/>
      <c r="F129" s="3"/>
      <c r="G129" s="3"/>
      <c r="K129" s="5"/>
      <c r="M129" s="6"/>
    </row>
    <row r="130" spans="1:13" ht="12" customHeight="1">
      <c r="A130" s="3"/>
      <c r="B130" s="3"/>
      <c r="C130" s="3"/>
      <c r="D130" s="3"/>
      <c r="E130" s="3"/>
      <c r="F130" s="3"/>
      <c r="G130" s="3"/>
      <c r="K130" s="5"/>
      <c r="M130" s="6"/>
    </row>
    <row r="131" spans="1:13" ht="12" customHeight="1">
      <c r="A131" s="3"/>
      <c r="B131" s="3"/>
      <c r="C131" s="3"/>
      <c r="D131" s="3"/>
      <c r="E131" s="3"/>
      <c r="F131" s="3"/>
      <c r="G131" s="3"/>
      <c r="K131" s="5"/>
      <c r="M131" s="6"/>
    </row>
    <row r="132" spans="1:13" ht="12" customHeight="1">
      <c r="A132" s="3"/>
      <c r="B132" s="3"/>
      <c r="C132" s="3"/>
      <c r="D132" s="3"/>
      <c r="E132" s="3"/>
      <c r="F132" s="3"/>
      <c r="G132" s="3"/>
      <c r="K132" s="5"/>
      <c r="M132" s="6"/>
    </row>
    <row r="133" spans="1:13" ht="12" customHeight="1">
      <c r="A133" s="3"/>
      <c r="B133" s="3"/>
      <c r="C133" s="3"/>
      <c r="D133" s="3"/>
      <c r="E133" s="3"/>
      <c r="F133" s="3"/>
      <c r="G133" s="3"/>
      <c r="K133" s="5"/>
      <c r="M133" s="6"/>
    </row>
    <row r="134" spans="1:13" ht="12" customHeight="1">
      <c r="A134" s="3"/>
      <c r="B134" s="3"/>
      <c r="C134" s="3"/>
      <c r="D134" s="3"/>
      <c r="E134" s="3"/>
      <c r="F134" s="3"/>
      <c r="G134" s="3"/>
      <c r="K134" s="5"/>
      <c r="M134" s="6"/>
    </row>
    <row r="135" spans="1:13" ht="12" customHeight="1">
      <c r="A135" s="3"/>
      <c r="B135" s="3"/>
      <c r="C135" s="3"/>
      <c r="D135" s="3"/>
      <c r="E135" s="3"/>
      <c r="F135" s="3"/>
      <c r="G135" s="3"/>
      <c r="K135" s="5"/>
      <c r="M135" s="6"/>
    </row>
    <row r="136" spans="1:13" ht="12" customHeight="1">
      <c r="A136" s="3"/>
      <c r="B136" s="3"/>
      <c r="C136" s="3"/>
      <c r="D136" s="3"/>
      <c r="E136" s="3"/>
      <c r="F136" s="3"/>
      <c r="G136" s="3"/>
      <c r="K136" s="5"/>
      <c r="M136" s="6"/>
    </row>
    <row r="137" spans="1:13" ht="12" customHeight="1">
      <c r="A137" s="3"/>
      <c r="B137" s="3"/>
      <c r="C137" s="3"/>
      <c r="D137" s="3"/>
      <c r="E137" s="3"/>
      <c r="F137" s="3"/>
      <c r="G137" s="3"/>
      <c r="K137" s="5"/>
      <c r="M137" s="6"/>
    </row>
    <row r="138" spans="1:13" ht="12" customHeight="1">
      <c r="A138" s="3"/>
      <c r="B138" s="3"/>
      <c r="C138" s="3"/>
      <c r="D138" s="3"/>
      <c r="E138" s="3"/>
      <c r="F138" s="3"/>
      <c r="G138" s="3"/>
      <c r="K138" s="5"/>
      <c r="M138" s="6"/>
    </row>
    <row r="139" spans="1:13" ht="12" customHeight="1">
      <c r="A139" s="3"/>
      <c r="B139" s="3"/>
      <c r="C139" s="3"/>
      <c r="D139" s="3"/>
      <c r="E139" s="3"/>
      <c r="F139" s="3"/>
      <c r="G139" s="3"/>
      <c r="K139" s="5"/>
      <c r="M139" s="6"/>
    </row>
    <row r="140" spans="1:13" ht="12" customHeight="1">
      <c r="A140" s="3"/>
      <c r="B140" s="3"/>
      <c r="C140" s="3"/>
      <c r="D140" s="3"/>
      <c r="E140" s="3"/>
      <c r="F140" s="3"/>
      <c r="G140" s="3"/>
      <c r="K140" s="5"/>
      <c r="M140" s="6"/>
    </row>
    <row r="141" spans="1:13" ht="12" customHeight="1">
      <c r="A141" s="3"/>
      <c r="B141" s="3"/>
      <c r="C141" s="3"/>
      <c r="D141" s="3"/>
      <c r="E141" s="3"/>
      <c r="F141" s="3"/>
      <c r="G141" s="3"/>
      <c r="K141" s="5"/>
      <c r="M141" s="6"/>
    </row>
    <row r="142" spans="1:13" ht="12" customHeight="1">
      <c r="A142" s="3"/>
      <c r="B142" s="3"/>
      <c r="C142" s="3"/>
      <c r="D142" s="3"/>
      <c r="E142" s="3"/>
      <c r="F142" s="3"/>
      <c r="G142" s="3"/>
      <c r="K142" s="5"/>
      <c r="M142" s="6"/>
    </row>
    <row r="143" spans="1:13" ht="12" customHeight="1">
      <c r="A143" s="3"/>
      <c r="B143" s="3"/>
      <c r="C143" s="3"/>
      <c r="D143" s="3"/>
      <c r="E143" s="3"/>
      <c r="F143" s="3"/>
      <c r="G143" s="3"/>
      <c r="K143" s="5"/>
      <c r="M143" s="6"/>
    </row>
    <row r="144" spans="1:13" ht="12" customHeight="1">
      <c r="A144" s="3"/>
      <c r="B144" s="3"/>
      <c r="C144" s="3"/>
      <c r="D144" s="3"/>
      <c r="E144" s="3"/>
      <c r="F144" s="3"/>
      <c r="G144" s="3"/>
      <c r="K144" s="5"/>
      <c r="M144" s="6"/>
    </row>
    <row r="145" spans="1:13" ht="12" customHeight="1">
      <c r="A145" s="3"/>
      <c r="B145" s="3"/>
      <c r="C145" s="3"/>
      <c r="D145" s="3"/>
      <c r="E145" s="3"/>
      <c r="F145" s="3"/>
      <c r="G145" s="3"/>
      <c r="K145" s="5"/>
      <c r="M145" s="6"/>
    </row>
    <row r="146" spans="1:13" ht="12" customHeight="1">
      <c r="A146" s="3"/>
      <c r="B146" s="3"/>
      <c r="C146" s="3"/>
      <c r="D146" s="3"/>
      <c r="E146" s="3"/>
      <c r="F146" s="3"/>
      <c r="G146" s="3"/>
      <c r="K146" s="5"/>
      <c r="M146" s="6"/>
    </row>
    <row r="147" spans="1:13" ht="12" customHeight="1">
      <c r="A147" s="3"/>
      <c r="B147" s="3"/>
      <c r="C147" s="3"/>
      <c r="D147" s="3"/>
      <c r="E147" s="3"/>
      <c r="F147" s="3"/>
      <c r="G147" s="3"/>
      <c r="K147" s="5"/>
      <c r="M147" s="6"/>
    </row>
    <row r="148" spans="1:13" ht="12" customHeight="1">
      <c r="A148" s="3"/>
      <c r="B148" s="3"/>
      <c r="C148" s="3"/>
      <c r="D148" s="3"/>
      <c r="E148" s="3"/>
      <c r="F148" s="3"/>
      <c r="G148" s="3"/>
      <c r="K148" s="5"/>
      <c r="M148" s="6"/>
    </row>
    <row r="149" spans="1:13" ht="12" customHeight="1">
      <c r="A149" s="3"/>
      <c r="B149" s="3"/>
      <c r="C149" s="3"/>
      <c r="D149" s="3"/>
      <c r="E149" s="3"/>
      <c r="F149" s="3"/>
      <c r="G149" s="3"/>
      <c r="K149" s="5"/>
      <c r="M149" s="6"/>
    </row>
    <row r="150" spans="1:13" ht="12" customHeight="1">
      <c r="A150" s="3"/>
      <c r="B150" s="3"/>
      <c r="C150" s="3"/>
      <c r="D150" s="3"/>
      <c r="E150" s="3"/>
      <c r="F150" s="3"/>
      <c r="G150" s="3"/>
      <c r="K150" s="5"/>
      <c r="M150" s="6"/>
    </row>
    <row r="151" spans="1:13" ht="12" customHeight="1">
      <c r="A151" s="3"/>
      <c r="B151" s="3"/>
      <c r="C151" s="3"/>
      <c r="D151" s="3"/>
      <c r="E151" s="3"/>
      <c r="F151" s="3"/>
      <c r="G151" s="3"/>
      <c r="K151" s="5"/>
      <c r="M151" s="6"/>
    </row>
    <row r="152" spans="1:13" ht="12" customHeight="1">
      <c r="A152" s="3"/>
      <c r="B152" s="3"/>
      <c r="C152" s="3"/>
      <c r="D152" s="3"/>
      <c r="E152" s="3"/>
      <c r="F152" s="3"/>
      <c r="G152" s="3"/>
      <c r="K152" s="5"/>
      <c r="M152" s="6"/>
    </row>
    <row r="153" spans="1:13" ht="12" customHeight="1">
      <c r="A153" s="3"/>
      <c r="B153" s="3"/>
      <c r="C153" s="3"/>
      <c r="D153" s="3"/>
      <c r="E153" s="3"/>
      <c r="F153" s="3"/>
      <c r="G153" s="3"/>
      <c r="K153" s="5"/>
      <c r="M153" s="6"/>
    </row>
    <row r="154" spans="1:13" ht="12" customHeight="1">
      <c r="A154" s="3"/>
      <c r="B154" s="3"/>
      <c r="C154" s="3"/>
      <c r="D154" s="3"/>
      <c r="E154" s="3"/>
      <c r="F154" s="3"/>
      <c r="G154" s="3"/>
      <c r="K154" s="5"/>
      <c r="M154" s="6"/>
    </row>
    <row r="155" spans="1:13" ht="12" customHeight="1">
      <c r="A155" s="3"/>
      <c r="B155" s="3"/>
      <c r="C155" s="3"/>
      <c r="D155" s="3"/>
      <c r="E155" s="3"/>
      <c r="F155" s="3"/>
      <c r="G155" s="3"/>
      <c r="K155" s="5"/>
      <c r="M155" s="6"/>
    </row>
    <row r="156" spans="1:13" ht="12" customHeight="1">
      <c r="A156" s="3"/>
      <c r="B156" s="3"/>
      <c r="C156" s="3"/>
      <c r="D156" s="3"/>
      <c r="E156" s="3"/>
      <c r="F156" s="3"/>
      <c r="G156" s="3"/>
      <c r="K156" s="5"/>
      <c r="M156" s="6"/>
    </row>
    <row r="157" spans="1:13" ht="12" customHeight="1">
      <c r="A157" s="3"/>
      <c r="B157" s="3"/>
      <c r="C157" s="3"/>
      <c r="D157" s="3"/>
      <c r="E157" s="3"/>
      <c r="F157" s="3"/>
      <c r="G157" s="3"/>
      <c r="K157" s="5"/>
      <c r="M157" s="6"/>
    </row>
    <row r="158" spans="1:13" ht="12" customHeight="1">
      <c r="A158" s="3"/>
      <c r="B158" s="3"/>
      <c r="C158" s="3"/>
      <c r="D158" s="3"/>
      <c r="E158" s="3"/>
      <c r="F158" s="3"/>
      <c r="G158" s="3"/>
      <c r="K158" s="5"/>
      <c r="M158" s="6"/>
    </row>
    <row r="159" spans="1:13" ht="12" customHeight="1">
      <c r="A159" s="3"/>
      <c r="B159" s="3"/>
      <c r="C159" s="3"/>
      <c r="D159" s="3"/>
      <c r="E159" s="3"/>
      <c r="F159" s="3"/>
      <c r="G159" s="3"/>
      <c r="K159" s="5"/>
      <c r="M159" s="6"/>
    </row>
    <row r="160" spans="1:13" ht="12" customHeight="1">
      <c r="A160" s="3"/>
      <c r="B160" s="3"/>
      <c r="C160" s="3"/>
      <c r="D160" s="3"/>
      <c r="E160" s="3"/>
      <c r="F160" s="3"/>
      <c r="G160" s="3"/>
      <c r="K160" s="5"/>
      <c r="M160" s="6"/>
    </row>
    <row r="161" spans="1:13" ht="12" customHeight="1">
      <c r="A161" s="3"/>
      <c r="B161" s="3"/>
      <c r="C161" s="3"/>
      <c r="D161" s="3"/>
      <c r="E161" s="3"/>
      <c r="F161" s="3"/>
      <c r="G161" s="3"/>
      <c r="K161" s="5"/>
      <c r="M161" s="6"/>
    </row>
    <row r="162" spans="1:13" ht="12" customHeight="1">
      <c r="A162" s="3"/>
      <c r="B162" s="3"/>
      <c r="C162" s="3"/>
      <c r="D162" s="3"/>
      <c r="E162" s="3"/>
      <c r="F162" s="3"/>
      <c r="G162" s="3"/>
      <c r="K162" s="5"/>
      <c r="M162" s="6"/>
    </row>
    <row r="163" spans="1:13" ht="12" customHeight="1">
      <c r="A163" s="3"/>
      <c r="B163" s="3"/>
      <c r="C163" s="3"/>
      <c r="D163" s="3"/>
      <c r="E163" s="3"/>
      <c r="F163" s="3"/>
      <c r="G163" s="3"/>
      <c r="K163" s="5"/>
      <c r="M163" s="6"/>
    </row>
    <row r="164" spans="1:13" ht="12" customHeight="1">
      <c r="A164" s="3"/>
      <c r="B164" s="3"/>
      <c r="C164" s="3"/>
      <c r="D164" s="3"/>
      <c r="E164" s="3"/>
      <c r="F164" s="3"/>
      <c r="G164" s="3"/>
      <c r="K164" s="5"/>
      <c r="M164" s="6"/>
    </row>
    <row r="165" spans="1:13" ht="12" customHeight="1">
      <c r="A165" s="3"/>
      <c r="B165" s="3"/>
      <c r="C165" s="3"/>
      <c r="D165" s="3"/>
      <c r="E165" s="3"/>
      <c r="F165" s="3"/>
      <c r="G165" s="3"/>
      <c r="K165" s="5"/>
      <c r="M165" s="6"/>
    </row>
    <row r="166" spans="1:13" ht="12" customHeight="1">
      <c r="A166" s="3"/>
      <c r="B166" s="3"/>
      <c r="C166" s="3"/>
      <c r="D166" s="3"/>
      <c r="E166" s="3"/>
      <c r="F166" s="3"/>
      <c r="G166" s="3"/>
      <c r="K166" s="5"/>
      <c r="M166" s="6"/>
    </row>
    <row r="167" spans="1:13" ht="12" customHeight="1">
      <c r="A167" s="3"/>
      <c r="B167" s="3"/>
      <c r="C167" s="3"/>
      <c r="D167" s="3"/>
      <c r="E167" s="3"/>
      <c r="F167" s="3"/>
      <c r="G167" s="3"/>
      <c r="K167" s="5"/>
      <c r="M167" s="6"/>
    </row>
    <row r="168" spans="1:13" ht="12" customHeight="1">
      <c r="A168" s="3"/>
      <c r="B168" s="3"/>
      <c r="C168" s="3"/>
      <c r="D168" s="3"/>
      <c r="E168" s="3"/>
      <c r="F168" s="3"/>
      <c r="G168" s="3"/>
      <c r="K168" s="5"/>
      <c r="M168" s="6"/>
    </row>
    <row r="169" spans="1:13" ht="12" customHeight="1">
      <c r="A169" s="3"/>
      <c r="B169" s="3"/>
      <c r="C169" s="3"/>
      <c r="D169" s="3"/>
      <c r="E169" s="3"/>
      <c r="F169" s="3"/>
      <c r="G169" s="3"/>
      <c r="K169" s="5"/>
      <c r="M169" s="6"/>
    </row>
    <row r="170" spans="1:13" ht="12" customHeight="1">
      <c r="A170" s="3"/>
      <c r="B170" s="3"/>
      <c r="C170" s="3"/>
      <c r="D170" s="3"/>
      <c r="E170" s="3"/>
      <c r="F170" s="3"/>
      <c r="G170" s="3"/>
      <c r="K170" s="5"/>
      <c r="M170" s="6"/>
    </row>
    <row r="171" spans="1:13" ht="12" customHeight="1">
      <c r="A171" s="3"/>
      <c r="B171" s="3"/>
      <c r="C171" s="3"/>
      <c r="D171" s="3"/>
      <c r="E171" s="3"/>
      <c r="F171" s="3"/>
      <c r="G171" s="3"/>
      <c r="K171" s="5"/>
      <c r="M171" s="6"/>
    </row>
    <row r="172" spans="1:13" ht="12" customHeight="1">
      <c r="A172" s="3"/>
      <c r="B172" s="3"/>
      <c r="C172" s="3"/>
      <c r="D172" s="3"/>
      <c r="E172" s="3"/>
      <c r="F172" s="3"/>
      <c r="G172" s="3"/>
      <c r="K172" s="5"/>
      <c r="M172" s="6"/>
    </row>
    <row r="173" spans="1:13" ht="12" customHeight="1">
      <c r="A173" s="3"/>
      <c r="B173" s="3"/>
      <c r="C173" s="3"/>
      <c r="D173" s="3"/>
      <c r="E173" s="3"/>
      <c r="F173" s="3"/>
      <c r="G173" s="3"/>
      <c r="K173" s="5"/>
      <c r="M173" s="6"/>
    </row>
    <row r="174" spans="1:13" ht="12" customHeight="1">
      <c r="A174" s="3"/>
      <c r="B174" s="3"/>
      <c r="C174" s="3"/>
      <c r="D174" s="3"/>
      <c r="E174" s="3"/>
      <c r="F174" s="3"/>
      <c r="G174" s="3"/>
      <c r="K174" s="5"/>
      <c r="M174" s="6"/>
    </row>
    <row r="175" spans="1:13" ht="12" customHeight="1">
      <c r="A175" s="3"/>
      <c r="B175" s="3"/>
      <c r="C175" s="3"/>
      <c r="D175" s="3"/>
      <c r="E175" s="3"/>
      <c r="F175" s="3"/>
      <c r="G175" s="3"/>
      <c r="K175" s="5"/>
      <c r="M175" s="6"/>
    </row>
    <row r="176" spans="1:13" ht="12" customHeight="1">
      <c r="A176" s="3"/>
      <c r="B176" s="3"/>
      <c r="C176" s="3"/>
      <c r="D176" s="3"/>
      <c r="E176" s="3"/>
      <c r="F176" s="3"/>
      <c r="G176" s="3"/>
      <c r="K176" s="5"/>
      <c r="M176" s="6"/>
    </row>
    <row r="177" spans="1:13" ht="12" customHeight="1">
      <c r="A177" s="3"/>
      <c r="B177" s="3"/>
      <c r="C177" s="3"/>
      <c r="D177" s="3"/>
      <c r="E177" s="3"/>
      <c r="F177" s="3"/>
      <c r="G177" s="3"/>
      <c r="K177" s="5"/>
      <c r="M177" s="6"/>
    </row>
    <row r="178" spans="1:13" ht="12" customHeight="1">
      <c r="A178" s="3"/>
      <c r="B178" s="3"/>
      <c r="C178" s="3"/>
      <c r="D178" s="3"/>
      <c r="E178" s="3"/>
      <c r="F178" s="3"/>
      <c r="G178" s="3"/>
      <c r="K178" s="5"/>
      <c r="M178" s="6"/>
    </row>
    <row r="179" spans="1:13" ht="12" customHeight="1">
      <c r="A179" s="3"/>
      <c r="B179" s="3"/>
      <c r="C179" s="3"/>
      <c r="D179" s="3"/>
      <c r="E179" s="3"/>
      <c r="F179" s="3"/>
      <c r="G179" s="3"/>
      <c r="K179" s="5"/>
      <c r="M179" s="6"/>
    </row>
    <row r="180" spans="1:13" ht="12" customHeight="1">
      <c r="A180" s="3"/>
      <c r="B180" s="3"/>
      <c r="C180" s="3"/>
      <c r="D180" s="3"/>
      <c r="E180" s="3"/>
      <c r="F180" s="3"/>
      <c r="G180" s="3"/>
      <c r="K180" s="5"/>
      <c r="M180" s="6"/>
    </row>
    <row r="181" spans="1:13" ht="12" customHeight="1">
      <c r="A181" s="3"/>
      <c r="B181" s="3"/>
      <c r="C181" s="3"/>
      <c r="D181" s="3"/>
      <c r="E181" s="3"/>
      <c r="F181" s="3"/>
      <c r="G181" s="3"/>
      <c r="K181" s="5"/>
      <c r="M181" s="6"/>
    </row>
    <row r="182" spans="1:13" ht="12" customHeight="1">
      <c r="A182" s="3"/>
      <c r="B182" s="3"/>
      <c r="C182" s="3"/>
      <c r="D182" s="3"/>
      <c r="E182" s="3"/>
      <c r="F182" s="3"/>
      <c r="G182" s="3"/>
      <c r="K182" s="5"/>
      <c r="M182" s="6"/>
    </row>
    <row r="183" spans="1:13" ht="12" customHeight="1">
      <c r="A183" s="3"/>
      <c r="B183" s="3"/>
      <c r="C183" s="3"/>
      <c r="D183" s="3"/>
      <c r="E183" s="3"/>
      <c r="F183" s="3"/>
      <c r="G183" s="3"/>
      <c r="K183" s="5"/>
      <c r="M183" s="6"/>
    </row>
    <row r="184" spans="1:13" ht="12" customHeight="1">
      <c r="A184" s="3"/>
      <c r="B184" s="3"/>
      <c r="C184" s="3"/>
      <c r="D184" s="3"/>
      <c r="E184" s="3"/>
      <c r="F184" s="3"/>
      <c r="G184" s="3"/>
      <c r="K184" s="5"/>
      <c r="M184" s="6"/>
    </row>
    <row r="185" spans="1:13" ht="12" customHeight="1">
      <c r="A185" s="3"/>
      <c r="B185" s="3"/>
      <c r="C185" s="3"/>
      <c r="D185" s="3"/>
      <c r="E185" s="3"/>
      <c r="F185" s="3"/>
      <c r="G185" s="3"/>
      <c r="K185" s="5"/>
      <c r="M185" s="6"/>
    </row>
    <row r="186" spans="1:13" ht="12" customHeight="1">
      <c r="A186" s="3"/>
      <c r="B186" s="3"/>
      <c r="C186" s="3"/>
      <c r="D186" s="3"/>
      <c r="E186" s="3"/>
      <c r="F186" s="3"/>
      <c r="G186" s="3"/>
      <c r="K186" s="5"/>
      <c r="M186" s="6"/>
    </row>
    <row r="187" spans="1:13" ht="12" customHeight="1">
      <c r="A187" s="3"/>
      <c r="B187" s="3"/>
      <c r="C187" s="3"/>
      <c r="D187" s="3"/>
      <c r="E187" s="3"/>
      <c r="F187" s="3"/>
      <c r="G187" s="3"/>
      <c r="K187" s="5"/>
      <c r="M187" s="6"/>
    </row>
    <row r="188" spans="1:13" ht="12" customHeight="1">
      <c r="A188" s="3"/>
      <c r="B188" s="3"/>
      <c r="C188" s="3"/>
      <c r="D188" s="3"/>
      <c r="E188" s="3"/>
      <c r="F188" s="3"/>
      <c r="G188" s="3"/>
      <c r="K188" s="5"/>
      <c r="M188" s="6"/>
    </row>
    <row r="189" spans="1:13" ht="12" customHeight="1">
      <c r="A189" s="3"/>
      <c r="B189" s="3"/>
      <c r="C189" s="3"/>
      <c r="D189" s="3"/>
      <c r="E189" s="3"/>
      <c r="F189" s="3"/>
      <c r="G189" s="3"/>
      <c r="K189" s="5"/>
      <c r="M189" s="6"/>
    </row>
    <row r="190" spans="1:13" ht="12" customHeight="1">
      <c r="A190" s="3"/>
      <c r="B190" s="3"/>
      <c r="C190" s="3"/>
      <c r="D190" s="3"/>
      <c r="E190" s="3"/>
      <c r="F190" s="3"/>
      <c r="G190" s="3"/>
      <c r="K190" s="5"/>
      <c r="M190" s="6"/>
    </row>
    <row r="191" spans="1:13" ht="12" customHeight="1">
      <c r="A191" s="3"/>
      <c r="B191" s="3"/>
      <c r="C191" s="3"/>
      <c r="D191" s="3"/>
      <c r="E191" s="3"/>
      <c r="F191" s="3"/>
      <c r="G191" s="3"/>
      <c r="K191" s="5"/>
      <c r="M191" s="6"/>
    </row>
    <row r="192" spans="1:13" ht="12" customHeight="1">
      <c r="A192" s="3"/>
      <c r="B192" s="3"/>
      <c r="C192" s="3"/>
      <c r="D192" s="3"/>
      <c r="E192" s="3"/>
      <c r="F192" s="3"/>
      <c r="G192" s="3"/>
      <c r="K192" s="5"/>
      <c r="M192" s="6"/>
    </row>
    <row r="193" spans="1:13" ht="12" customHeight="1">
      <c r="A193" s="3"/>
      <c r="B193" s="3"/>
      <c r="C193" s="3"/>
      <c r="D193" s="3"/>
      <c r="E193" s="3"/>
      <c r="F193" s="3"/>
      <c r="G193" s="3"/>
      <c r="K193" s="5"/>
      <c r="M193" s="6"/>
    </row>
    <row r="194" spans="1:13" ht="12" customHeight="1">
      <c r="A194" s="3"/>
      <c r="B194" s="3"/>
      <c r="C194" s="3"/>
      <c r="D194" s="3"/>
      <c r="E194" s="3"/>
      <c r="F194" s="3"/>
      <c r="G194" s="3"/>
      <c r="K194" s="5"/>
      <c r="M194" s="6"/>
    </row>
    <row r="195" spans="1:13" ht="12" customHeight="1">
      <c r="A195" s="3"/>
      <c r="B195" s="3"/>
      <c r="C195" s="3"/>
      <c r="D195" s="3"/>
      <c r="E195" s="3"/>
      <c r="F195" s="3"/>
      <c r="G195" s="3"/>
      <c r="K195" s="5"/>
      <c r="M195" s="6"/>
    </row>
    <row r="196" spans="1:13" ht="12" customHeight="1">
      <c r="A196" s="3"/>
      <c r="B196" s="3"/>
      <c r="C196" s="3"/>
      <c r="D196" s="3"/>
      <c r="E196" s="3"/>
      <c r="F196" s="3"/>
      <c r="G196" s="3"/>
      <c r="K196" s="5"/>
      <c r="M196" s="6"/>
    </row>
    <row r="197" spans="1:13" ht="12" customHeight="1">
      <c r="A197" s="3"/>
      <c r="B197" s="3"/>
      <c r="C197" s="3"/>
      <c r="D197" s="3"/>
      <c r="E197" s="3"/>
      <c r="F197" s="3"/>
      <c r="G197" s="3"/>
      <c r="K197" s="5"/>
      <c r="M197" s="6"/>
    </row>
    <row r="198" spans="1:13" ht="12" customHeight="1">
      <c r="A198" s="3"/>
      <c r="B198" s="3"/>
      <c r="C198" s="3"/>
      <c r="D198" s="3"/>
      <c r="E198" s="3"/>
      <c r="F198" s="3"/>
      <c r="G198" s="3"/>
      <c r="K198" s="5"/>
      <c r="M198" s="6"/>
    </row>
    <row r="199" spans="1:13" ht="12" customHeight="1">
      <c r="A199" s="3"/>
      <c r="B199" s="3"/>
      <c r="C199" s="3"/>
      <c r="D199" s="3"/>
      <c r="E199" s="3"/>
      <c r="F199" s="3"/>
      <c r="G199" s="3"/>
      <c r="K199" s="5"/>
      <c r="M199" s="6"/>
    </row>
    <row r="200" spans="1:13" ht="12" customHeight="1">
      <c r="A200" s="3"/>
      <c r="B200" s="3"/>
      <c r="C200" s="3"/>
      <c r="D200" s="3"/>
      <c r="E200" s="3"/>
      <c r="F200" s="3"/>
      <c r="G200" s="3"/>
      <c r="K200" s="5"/>
      <c r="M200" s="6"/>
    </row>
    <row r="201" spans="1:13" ht="12" customHeight="1">
      <c r="A201" s="3"/>
      <c r="B201" s="3"/>
      <c r="C201" s="3"/>
      <c r="D201" s="3"/>
      <c r="E201" s="3"/>
      <c r="F201" s="3"/>
      <c r="G201" s="3"/>
      <c r="K201" s="5"/>
      <c r="M201" s="6"/>
    </row>
    <row r="202" spans="1:13" ht="12" customHeight="1">
      <c r="A202" s="3"/>
      <c r="B202" s="3"/>
      <c r="C202" s="3"/>
      <c r="D202" s="3"/>
      <c r="E202" s="3"/>
      <c r="F202" s="3"/>
      <c r="G202" s="3"/>
      <c r="K202" s="5"/>
      <c r="M202" s="6"/>
    </row>
    <row r="203" spans="1:13" ht="12" customHeight="1">
      <c r="A203" s="3"/>
      <c r="B203" s="3"/>
      <c r="C203" s="3"/>
      <c r="D203" s="3"/>
      <c r="E203" s="3"/>
      <c r="F203" s="3"/>
      <c r="G203" s="3"/>
      <c r="K203" s="5"/>
      <c r="M203" s="6"/>
    </row>
    <row r="204" spans="1:13" ht="12" customHeight="1">
      <c r="A204" s="3"/>
      <c r="B204" s="3"/>
      <c r="C204" s="3"/>
      <c r="D204" s="3"/>
      <c r="E204" s="3"/>
      <c r="F204" s="3"/>
      <c r="G204" s="3"/>
      <c r="K204" s="5"/>
      <c r="M204" s="6"/>
    </row>
    <row r="205" spans="1:13" ht="12" customHeight="1">
      <c r="A205" s="3"/>
      <c r="B205" s="3"/>
      <c r="C205" s="3"/>
      <c r="D205" s="3"/>
      <c r="E205" s="3"/>
      <c r="F205" s="3"/>
      <c r="G205" s="3"/>
      <c r="K205" s="5"/>
      <c r="M205" s="6"/>
    </row>
    <row r="206" spans="1:13" ht="12" customHeight="1">
      <c r="A206" s="3"/>
      <c r="B206" s="3"/>
      <c r="C206" s="3"/>
      <c r="D206" s="3"/>
      <c r="E206" s="3"/>
      <c r="F206" s="3"/>
      <c r="G206" s="3"/>
      <c r="K206" s="5"/>
      <c r="M206" s="6"/>
    </row>
    <row r="207" spans="1:13" ht="12" customHeight="1">
      <c r="A207" s="3"/>
      <c r="B207" s="3"/>
      <c r="C207" s="3"/>
      <c r="D207" s="3"/>
      <c r="E207" s="3"/>
      <c r="F207" s="3"/>
      <c r="G207" s="3"/>
      <c r="K207" s="5"/>
      <c r="M207" s="6"/>
    </row>
    <row r="208" spans="1:13" ht="12" customHeight="1">
      <c r="A208" s="3"/>
      <c r="B208" s="3"/>
      <c r="C208" s="3"/>
      <c r="D208" s="3"/>
      <c r="E208" s="3"/>
      <c r="F208" s="3"/>
      <c r="G208" s="3"/>
      <c r="K208" s="5"/>
      <c r="M208" s="6"/>
    </row>
    <row r="209" spans="1:13" ht="12" customHeight="1">
      <c r="A209" s="3"/>
      <c r="B209" s="3"/>
      <c r="C209" s="3"/>
      <c r="D209" s="3"/>
      <c r="E209" s="3"/>
      <c r="F209" s="3"/>
      <c r="G209" s="3"/>
      <c r="K209" s="5"/>
      <c r="M209" s="6"/>
    </row>
    <row r="210" spans="1:13" ht="12" customHeight="1">
      <c r="A210" s="3"/>
      <c r="B210" s="3"/>
      <c r="C210" s="3"/>
      <c r="D210" s="3"/>
      <c r="E210" s="3"/>
      <c r="F210" s="3"/>
      <c r="G210" s="3"/>
      <c r="K210" s="5"/>
      <c r="M210" s="6"/>
    </row>
    <row r="211" spans="1:13" ht="12" customHeight="1">
      <c r="A211" s="3"/>
      <c r="B211" s="3"/>
      <c r="C211" s="3"/>
      <c r="D211" s="3"/>
      <c r="E211" s="3"/>
      <c r="F211" s="3"/>
      <c r="G211" s="3"/>
      <c r="K211" s="5"/>
      <c r="M211" s="6"/>
    </row>
    <row r="212" spans="1:13" ht="12" customHeight="1">
      <c r="A212" s="3"/>
      <c r="B212" s="3"/>
      <c r="C212" s="3"/>
      <c r="D212" s="3"/>
      <c r="E212" s="3"/>
      <c r="F212" s="3"/>
      <c r="G212" s="3"/>
      <c r="K212" s="5"/>
      <c r="M212" s="6"/>
    </row>
    <row r="213" spans="1:13" ht="12" customHeight="1">
      <c r="A213" s="3"/>
      <c r="B213" s="3"/>
      <c r="C213" s="3"/>
      <c r="D213" s="3"/>
      <c r="E213" s="3"/>
      <c r="F213" s="3"/>
      <c r="G213" s="3"/>
      <c r="K213" s="5"/>
      <c r="M213" s="6"/>
    </row>
    <row r="214" spans="1:13" ht="12" customHeight="1">
      <c r="A214" s="3"/>
      <c r="B214" s="3"/>
      <c r="C214" s="3"/>
      <c r="D214" s="3"/>
      <c r="E214" s="3"/>
      <c r="F214" s="3"/>
      <c r="G214" s="3"/>
      <c r="K214" s="5"/>
      <c r="M214" s="6"/>
    </row>
    <row r="215" spans="1:13" ht="12" customHeight="1">
      <c r="A215" s="3"/>
      <c r="B215" s="3"/>
      <c r="C215" s="3"/>
      <c r="D215" s="3"/>
      <c r="E215" s="3"/>
      <c r="F215" s="3"/>
      <c r="G215" s="3"/>
      <c r="K215" s="5"/>
      <c r="M215" s="6"/>
    </row>
    <row r="216" spans="1:13" ht="12" customHeight="1">
      <c r="A216" s="3"/>
      <c r="B216" s="3"/>
      <c r="C216" s="3"/>
      <c r="D216" s="3"/>
      <c r="E216" s="3"/>
      <c r="F216" s="3"/>
      <c r="G216" s="3"/>
      <c r="K216" s="5"/>
      <c r="M216" s="6"/>
    </row>
    <row r="217" spans="1:13" ht="12" customHeight="1">
      <c r="A217" s="3"/>
      <c r="B217" s="3"/>
      <c r="C217" s="3"/>
      <c r="D217" s="3"/>
      <c r="E217" s="3"/>
      <c r="F217" s="3"/>
      <c r="G217" s="3"/>
      <c r="K217" s="5"/>
      <c r="M217" s="6"/>
    </row>
    <row r="218" spans="1:13" ht="12" customHeight="1">
      <c r="A218" s="3"/>
      <c r="B218" s="3"/>
      <c r="C218" s="3"/>
      <c r="D218" s="3"/>
      <c r="E218" s="3"/>
      <c r="F218" s="3"/>
      <c r="G218" s="3"/>
      <c r="K218" s="5"/>
      <c r="M218" s="6"/>
    </row>
    <row r="219" spans="1:13" ht="12" customHeight="1">
      <c r="A219" s="3"/>
      <c r="B219" s="3"/>
      <c r="C219" s="3"/>
      <c r="D219" s="3"/>
      <c r="E219" s="3"/>
      <c r="F219" s="3"/>
      <c r="G219" s="3"/>
      <c r="K219" s="5"/>
      <c r="M219" s="6"/>
    </row>
    <row r="220" spans="1:13" ht="12" customHeight="1">
      <c r="A220" s="3"/>
      <c r="B220" s="3"/>
      <c r="C220" s="3"/>
      <c r="D220" s="3"/>
      <c r="E220" s="3"/>
      <c r="F220" s="3"/>
      <c r="G220" s="3"/>
      <c r="K220" s="5"/>
      <c r="M220" s="6"/>
    </row>
    <row r="221" spans="1:13" ht="12" customHeight="1">
      <c r="A221" s="3"/>
      <c r="B221" s="3"/>
      <c r="C221" s="3"/>
      <c r="D221" s="3"/>
      <c r="E221" s="3"/>
      <c r="F221" s="3"/>
      <c r="G221" s="3"/>
      <c r="K221" s="5"/>
      <c r="M221" s="6"/>
    </row>
    <row r="222" spans="1:13" ht="12" customHeight="1">
      <c r="A222" s="3"/>
      <c r="B222" s="3"/>
      <c r="C222" s="3"/>
      <c r="D222" s="3"/>
      <c r="E222" s="3"/>
      <c r="F222" s="3"/>
      <c r="G222" s="3"/>
      <c r="K222" s="5"/>
      <c r="M222" s="6"/>
    </row>
    <row r="223" spans="1:13" ht="12" customHeight="1">
      <c r="A223" s="3"/>
      <c r="B223" s="3"/>
      <c r="C223" s="3"/>
      <c r="D223" s="3"/>
      <c r="E223" s="3"/>
      <c r="F223" s="3"/>
      <c r="G223" s="3"/>
      <c r="K223" s="5"/>
      <c r="M223" s="6"/>
    </row>
    <row r="224" spans="1:13" ht="12" customHeight="1">
      <c r="A224" s="3"/>
      <c r="B224" s="3"/>
      <c r="C224" s="3"/>
      <c r="D224" s="3"/>
      <c r="E224" s="3"/>
      <c r="F224" s="3"/>
      <c r="G224" s="3"/>
      <c r="K224" s="5"/>
      <c r="M224" s="6"/>
    </row>
    <row r="225" spans="1:13" ht="12" customHeight="1">
      <c r="A225" s="3"/>
      <c r="B225" s="3"/>
      <c r="C225" s="3"/>
      <c r="D225" s="3"/>
      <c r="E225" s="3"/>
      <c r="F225" s="3"/>
      <c r="G225" s="3"/>
      <c r="K225" s="5"/>
      <c r="M225" s="6"/>
    </row>
    <row r="226" spans="1:13" ht="12" customHeight="1">
      <c r="A226" s="3"/>
      <c r="B226" s="3"/>
      <c r="C226" s="3"/>
      <c r="D226" s="3"/>
      <c r="E226" s="3"/>
      <c r="F226" s="3"/>
      <c r="G226" s="3"/>
      <c r="K226" s="5"/>
      <c r="M226" s="6"/>
    </row>
    <row r="227" spans="1:13" ht="12" customHeight="1">
      <c r="A227" s="3"/>
      <c r="B227" s="3"/>
      <c r="C227" s="3"/>
      <c r="D227" s="3"/>
      <c r="E227" s="3"/>
      <c r="F227" s="3"/>
      <c r="G227" s="3"/>
      <c r="K227" s="5"/>
      <c r="M227" s="6"/>
    </row>
    <row r="228" spans="1:13" ht="12" customHeight="1">
      <c r="A228" s="3"/>
      <c r="B228" s="3"/>
      <c r="C228" s="3"/>
      <c r="D228" s="3"/>
      <c r="E228" s="3"/>
      <c r="F228" s="3"/>
      <c r="G228" s="3"/>
      <c r="K228" s="5"/>
      <c r="M228" s="6"/>
    </row>
    <row r="229" spans="1:13" ht="12" customHeight="1">
      <c r="A229" s="3"/>
      <c r="B229" s="3"/>
      <c r="C229" s="3"/>
      <c r="D229" s="3"/>
      <c r="E229" s="3"/>
      <c r="F229" s="3"/>
      <c r="G229" s="3"/>
      <c r="K229" s="5"/>
      <c r="M229" s="6"/>
    </row>
    <row r="230" spans="1:13" ht="12" customHeight="1">
      <c r="A230" s="3"/>
      <c r="B230" s="3"/>
      <c r="C230" s="3"/>
      <c r="D230" s="3"/>
      <c r="E230" s="3"/>
      <c r="F230" s="3"/>
      <c r="G230" s="3"/>
      <c r="K230" s="5"/>
      <c r="M230" s="6"/>
    </row>
    <row r="231" spans="1:13" ht="12" customHeight="1">
      <c r="A231" s="3"/>
      <c r="B231" s="3"/>
      <c r="C231" s="3"/>
      <c r="D231" s="3"/>
      <c r="E231" s="3"/>
      <c r="F231" s="3"/>
      <c r="G231" s="3"/>
      <c r="K231" s="5"/>
      <c r="M231" s="6"/>
    </row>
    <row r="232" spans="1:13" ht="12" customHeight="1">
      <c r="A232" s="3"/>
      <c r="B232" s="3"/>
      <c r="C232" s="3"/>
      <c r="D232" s="3"/>
      <c r="E232" s="3"/>
      <c r="F232" s="3"/>
      <c r="G232" s="3"/>
      <c r="K232" s="5"/>
      <c r="M232" s="6"/>
    </row>
    <row r="233" spans="1:13" ht="12" customHeight="1">
      <c r="A233" s="3"/>
      <c r="B233" s="3"/>
      <c r="C233" s="3"/>
      <c r="D233" s="3"/>
      <c r="E233" s="3"/>
      <c r="F233" s="3"/>
      <c r="G233" s="3"/>
      <c r="K233" s="5"/>
      <c r="M233" s="6"/>
    </row>
    <row r="234" spans="1:13" ht="12" customHeight="1">
      <c r="A234" s="3"/>
      <c r="B234" s="3"/>
      <c r="C234" s="3"/>
      <c r="D234" s="3"/>
      <c r="E234" s="3"/>
      <c r="F234" s="3"/>
      <c r="G234" s="3"/>
      <c r="K234" s="5"/>
      <c r="M234" s="6"/>
    </row>
    <row r="235" spans="1:13" ht="12" customHeight="1">
      <c r="A235" s="3"/>
      <c r="B235" s="3"/>
      <c r="C235" s="3"/>
      <c r="D235" s="3"/>
      <c r="E235" s="3"/>
      <c r="F235" s="3"/>
      <c r="G235" s="3"/>
      <c r="K235" s="5"/>
      <c r="M235" s="6"/>
    </row>
    <row r="236" spans="1:13" ht="12" customHeight="1">
      <c r="A236" s="3"/>
      <c r="B236" s="3"/>
      <c r="C236" s="3"/>
      <c r="D236" s="3"/>
      <c r="E236" s="3"/>
      <c r="F236" s="3"/>
      <c r="G236" s="3"/>
      <c r="K236" s="5"/>
      <c r="M236" s="6"/>
    </row>
    <row r="237" spans="1:13" ht="12" customHeight="1">
      <c r="A237" s="3"/>
      <c r="B237" s="3"/>
      <c r="C237" s="3"/>
      <c r="D237" s="3"/>
      <c r="E237" s="3"/>
      <c r="F237" s="3"/>
      <c r="G237" s="3"/>
      <c r="K237" s="5"/>
      <c r="M237" s="6"/>
    </row>
    <row r="238" spans="1:13" ht="12" customHeight="1">
      <c r="A238" s="3"/>
      <c r="B238" s="3"/>
      <c r="C238" s="3"/>
      <c r="D238" s="3"/>
      <c r="E238" s="3"/>
      <c r="F238" s="3"/>
      <c r="G238" s="3"/>
      <c r="K238" s="5"/>
      <c r="M238" s="6"/>
    </row>
    <row r="239" spans="1:13" ht="12" customHeight="1">
      <c r="A239" s="3"/>
      <c r="B239" s="3"/>
      <c r="C239" s="3"/>
      <c r="D239" s="3"/>
      <c r="E239" s="3"/>
      <c r="F239" s="3"/>
      <c r="G239" s="3"/>
      <c r="K239" s="5"/>
      <c r="M239" s="6"/>
    </row>
    <row r="240" spans="1:13" ht="12" customHeight="1">
      <c r="A240" s="3"/>
      <c r="B240" s="3"/>
      <c r="C240" s="3"/>
      <c r="D240" s="3"/>
      <c r="E240" s="3"/>
      <c r="F240" s="3"/>
      <c r="G240" s="3"/>
      <c r="K240" s="5"/>
      <c r="M240" s="6"/>
    </row>
    <row r="241" spans="1:13" ht="12" customHeight="1">
      <c r="A241" s="3"/>
      <c r="B241" s="3"/>
      <c r="C241" s="3"/>
      <c r="D241" s="3"/>
      <c r="E241" s="3"/>
      <c r="F241" s="3"/>
      <c r="G241" s="3"/>
      <c r="K241" s="5"/>
      <c r="M241" s="6"/>
    </row>
    <row r="242" spans="1:13" ht="12" customHeight="1">
      <c r="A242" s="3"/>
      <c r="B242" s="3"/>
      <c r="C242" s="3"/>
      <c r="D242" s="3"/>
      <c r="E242" s="3"/>
      <c r="F242" s="3"/>
      <c r="G242" s="3"/>
      <c r="K242" s="5"/>
      <c r="M242" s="6"/>
    </row>
    <row r="243" spans="1:13" ht="12" customHeight="1">
      <c r="A243" s="3"/>
      <c r="B243" s="3"/>
      <c r="C243" s="3"/>
      <c r="D243" s="3"/>
      <c r="E243" s="3"/>
      <c r="F243" s="3"/>
      <c r="G243" s="3"/>
      <c r="K243" s="5"/>
      <c r="M243" s="6"/>
    </row>
    <row r="244" spans="1:13" ht="12" customHeight="1">
      <c r="A244" s="3"/>
      <c r="B244" s="3"/>
      <c r="C244" s="3"/>
      <c r="D244" s="3"/>
      <c r="E244" s="3"/>
      <c r="F244" s="3"/>
      <c r="G244" s="3"/>
      <c r="K244" s="5"/>
      <c r="M244" s="6"/>
    </row>
    <row r="245" spans="1:13" ht="12" customHeight="1">
      <c r="A245" s="3"/>
      <c r="B245" s="3"/>
      <c r="C245" s="3"/>
      <c r="D245" s="3"/>
      <c r="E245" s="3"/>
      <c r="F245" s="3"/>
      <c r="G245" s="3"/>
      <c r="K245" s="5"/>
      <c r="M245" s="6"/>
    </row>
    <row r="246" spans="1:13" ht="12" customHeight="1">
      <c r="A246" s="3"/>
      <c r="B246" s="3"/>
      <c r="C246" s="3"/>
      <c r="D246" s="3"/>
      <c r="E246" s="3"/>
      <c r="F246" s="3"/>
      <c r="G246" s="3"/>
      <c r="K246" s="5"/>
      <c r="M246" s="6"/>
    </row>
    <row r="247" spans="1:13" ht="12" customHeight="1">
      <c r="A247" s="3"/>
      <c r="B247" s="3"/>
      <c r="C247" s="3"/>
      <c r="D247" s="3"/>
      <c r="E247" s="3"/>
      <c r="F247" s="3"/>
      <c r="G247" s="3"/>
      <c r="K247" s="5"/>
      <c r="M247" s="6"/>
    </row>
    <row r="248" spans="1:13" ht="12" customHeight="1">
      <c r="A248" s="3"/>
      <c r="B248" s="3"/>
      <c r="C248" s="3"/>
      <c r="D248" s="3"/>
      <c r="E248" s="3"/>
      <c r="F248" s="3"/>
      <c r="G248" s="3"/>
      <c r="K248" s="5"/>
      <c r="M248" s="6"/>
    </row>
    <row r="249" spans="1:13" ht="12" customHeight="1">
      <c r="A249" s="3"/>
      <c r="B249" s="3"/>
      <c r="C249" s="3"/>
      <c r="D249" s="3"/>
      <c r="E249" s="3"/>
      <c r="F249" s="3"/>
      <c r="G249" s="3"/>
      <c r="K249" s="5"/>
      <c r="M249" s="6"/>
    </row>
    <row r="250" spans="1:13" ht="12" customHeight="1">
      <c r="A250" s="3"/>
      <c r="B250" s="3"/>
      <c r="C250" s="3"/>
      <c r="D250" s="3"/>
      <c r="E250" s="3"/>
      <c r="F250" s="3"/>
      <c r="G250" s="3"/>
      <c r="K250" s="5"/>
      <c r="M250" s="6"/>
    </row>
    <row r="251" spans="1:13" ht="12" customHeight="1">
      <c r="A251" s="3"/>
      <c r="B251" s="3"/>
      <c r="C251" s="3"/>
      <c r="D251" s="3"/>
      <c r="E251" s="3"/>
      <c r="F251" s="3"/>
      <c r="G251" s="3"/>
      <c r="K251" s="5"/>
      <c r="M251" s="6"/>
    </row>
    <row r="252" spans="1:13" ht="12" customHeight="1">
      <c r="A252" s="3"/>
      <c r="B252" s="3"/>
      <c r="C252" s="3"/>
      <c r="D252" s="3"/>
      <c r="E252" s="3"/>
      <c r="F252" s="3"/>
      <c r="G252" s="3"/>
      <c r="K252" s="5"/>
      <c r="M252" s="6"/>
    </row>
    <row r="253" spans="1:13" ht="12" customHeight="1">
      <c r="A253" s="3"/>
      <c r="B253" s="3"/>
      <c r="C253" s="3"/>
      <c r="D253" s="3"/>
      <c r="E253" s="3"/>
      <c r="F253" s="3"/>
      <c r="G253" s="3"/>
      <c r="K253" s="5"/>
      <c r="M253" s="6"/>
    </row>
    <row r="254" spans="1:13" ht="12" customHeight="1">
      <c r="A254" s="3"/>
      <c r="B254" s="3"/>
      <c r="C254" s="3"/>
      <c r="D254" s="3"/>
      <c r="E254" s="3"/>
      <c r="F254" s="3"/>
      <c r="G254" s="3"/>
      <c r="K254" s="5"/>
      <c r="M254" s="6"/>
    </row>
    <row r="255" spans="1:13" ht="12" customHeight="1">
      <c r="A255" s="3"/>
      <c r="B255" s="3"/>
      <c r="C255" s="3"/>
      <c r="D255" s="3"/>
      <c r="E255" s="3"/>
      <c r="F255" s="3"/>
      <c r="G255" s="3"/>
      <c r="K255" s="5"/>
      <c r="M255" s="6"/>
    </row>
    <row r="256" spans="1:13" ht="12" customHeight="1">
      <c r="A256" s="3"/>
      <c r="B256" s="3"/>
      <c r="C256" s="3"/>
      <c r="D256" s="3"/>
      <c r="E256" s="3"/>
      <c r="F256" s="3"/>
      <c r="G256" s="3"/>
      <c r="K256" s="5"/>
      <c r="M256" s="6"/>
    </row>
    <row r="257" spans="1:13" ht="12" customHeight="1">
      <c r="A257" s="3"/>
      <c r="B257" s="3"/>
      <c r="C257" s="3"/>
      <c r="D257" s="3"/>
      <c r="E257" s="3"/>
      <c r="F257" s="3"/>
      <c r="G257" s="3"/>
      <c r="K257" s="5"/>
      <c r="M257" s="6"/>
    </row>
    <row r="258" spans="1:13" ht="12" customHeight="1">
      <c r="A258" s="3"/>
      <c r="B258" s="3"/>
      <c r="C258" s="3"/>
      <c r="D258" s="3"/>
      <c r="E258" s="3"/>
      <c r="F258" s="3"/>
      <c r="G258" s="3"/>
      <c r="K258" s="5"/>
      <c r="M258" s="6"/>
    </row>
    <row r="259" spans="1:13" ht="12" customHeight="1">
      <c r="A259" s="3"/>
      <c r="B259" s="3"/>
      <c r="C259" s="3"/>
      <c r="D259" s="3"/>
      <c r="E259" s="3"/>
      <c r="F259" s="3"/>
      <c r="G259" s="3"/>
      <c r="K259" s="5"/>
      <c r="M259" s="6"/>
    </row>
    <row r="260" spans="1:13" ht="12" customHeight="1">
      <c r="A260" s="3"/>
      <c r="B260" s="3"/>
      <c r="C260" s="3"/>
      <c r="D260" s="3"/>
      <c r="E260" s="3"/>
      <c r="F260" s="3"/>
      <c r="G260" s="3"/>
      <c r="K260" s="5"/>
      <c r="M260" s="6"/>
    </row>
    <row r="261" spans="1:13" ht="12" customHeight="1">
      <c r="A261" s="3"/>
      <c r="B261" s="3"/>
      <c r="C261" s="3"/>
      <c r="D261" s="3"/>
      <c r="E261" s="3"/>
      <c r="F261" s="3"/>
      <c r="G261" s="3"/>
      <c r="K261" s="5"/>
      <c r="M261" s="6"/>
    </row>
    <row r="262" spans="1:13" ht="12" customHeight="1">
      <c r="A262" s="3"/>
      <c r="B262" s="3"/>
      <c r="C262" s="3"/>
      <c r="D262" s="3"/>
      <c r="E262" s="3"/>
      <c r="F262" s="3"/>
      <c r="G262" s="3"/>
      <c r="K262" s="5"/>
      <c r="M262" s="6"/>
    </row>
    <row r="263" spans="1:13" ht="12" customHeight="1">
      <c r="A263" s="3"/>
      <c r="B263" s="3"/>
      <c r="C263" s="3"/>
      <c r="D263" s="3"/>
      <c r="E263" s="3"/>
      <c r="F263" s="3"/>
      <c r="G263" s="3"/>
      <c r="K263" s="5"/>
      <c r="M263" s="6"/>
    </row>
    <row r="264" spans="1:13" ht="12" customHeight="1">
      <c r="A264" s="3"/>
      <c r="B264" s="3"/>
      <c r="C264" s="3"/>
      <c r="D264" s="3"/>
      <c r="E264" s="3"/>
      <c r="F264" s="3"/>
      <c r="G264" s="3"/>
      <c r="K264" s="5"/>
      <c r="M264" s="6"/>
    </row>
    <row r="265" spans="1:13" ht="12" customHeight="1">
      <c r="A265" s="3"/>
      <c r="B265" s="3"/>
      <c r="C265" s="3"/>
      <c r="D265" s="3"/>
      <c r="E265" s="3"/>
      <c r="F265" s="3"/>
      <c r="G265" s="3"/>
      <c r="K265" s="5"/>
      <c r="M265" s="6"/>
    </row>
    <row r="266" spans="1:13" ht="12" customHeight="1">
      <c r="A266" s="3"/>
      <c r="B266" s="3"/>
      <c r="C266" s="3"/>
      <c r="D266" s="3"/>
      <c r="E266" s="3"/>
      <c r="F266" s="3"/>
      <c r="G266" s="3"/>
      <c r="K266" s="5"/>
      <c r="M266" s="6"/>
    </row>
    <row r="267" spans="1:13" ht="12" customHeight="1">
      <c r="A267" s="3"/>
      <c r="B267" s="3"/>
      <c r="C267" s="3"/>
      <c r="D267" s="3"/>
      <c r="E267" s="3"/>
      <c r="F267" s="3"/>
      <c r="G267" s="3"/>
      <c r="K267" s="5"/>
      <c r="M267" s="6"/>
    </row>
    <row r="268" spans="1:13" ht="12" customHeight="1">
      <c r="A268" s="3"/>
      <c r="B268" s="3"/>
      <c r="C268" s="3"/>
      <c r="D268" s="3"/>
      <c r="E268" s="3"/>
      <c r="F268" s="3"/>
      <c r="G268" s="3"/>
      <c r="K268" s="5"/>
      <c r="M268" s="6"/>
    </row>
    <row r="269" spans="1:13" ht="12" customHeight="1">
      <c r="A269" s="3"/>
      <c r="B269" s="3"/>
      <c r="C269" s="3"/>
      <c r="D269" s="3"/>
      <c r="E269" s="3"/>
      <c r="F269" s="3"/>
      <c r="G269" s="3"/>
      <c r="K269" s="5"/>
      <c r="M269" s="6"/>
    </row>
    <row r="270" spans="1:13" ht="12" customHeight="1">
      <c r="A270" s="3"/>
      <c r="B270" s="3"/>
      <c r="C270" s="3"/>
      <c r="D270" s="3"/>
      <c r="E270" s="3"/>
      <c r="F270" s="3"/>
      <c r="G270" s="3"/>
      <c r="K270" s="5"/>
      <c r="M270" s="6"/>
    </row>
    <row r="271" spans="1:13" ht="12" customHeight="1">
      <c r="A271" s="3"/>
      <c r="B271" s="3"/>
      <c r="C271" s="3"/>
      <c r="D271" s="3"/>
      <c r="E271" s="3"/>
      <c r="F271" s="3"/>
      <c r="G271" s="3"/>
      <c r="K271" s="5"/>
      <c r="M271" s="6"/>
    </row>
    <row r="272" spans="1:13" ht="12" customHeight="1">
      <c r="A272" s="3"/>
      <c r="B272" s="3"/>
      <c r="C272" s="3"/>
      <c r="D272" s="3"/>
      <c r="E272" s="3"/>
      <c r="F272" s="3"/>
      <c r="G272" s="3"/>
      <c r="K272" s="5"/>
      <c r="M272" s="6"/>
    </row>
    <row r="273" spans="1:13" ht="12" customHeight="1">
      <c r="A273" s="3"/>
      <c r="B273" s="3"/>
      <c r="C273" s="3"/>
      <c r="D273" s="3"/>
      <c r="E273" s="3"/>
      <c r="F273" s="3"/>
      <c r="G273" s="3"/>
      <c r="K273" s="5"/>
      <c r="M273" s="6"/>
    </row>
    <row r="274" spans="1:13" ht="12" customHeight="1">
      <c r="A274" s="3"/>
      <c r="B274" s="3"/>
      <c r="C274" s="3"/>
      <c r="D274" s="3"/>
      <c r="E274" s="3"/>
      <c r="F274" s="3"/>
      <c r="G274" s="3"/>
      <c r="K274" s="5"/>
      <c r="M274" s="6"/>
    </row>
    <row r="275" spans="1:13" ht="12" customHeight="1">
      <c r="A275" s="3"/>
      <c r="B275" s="3"/>
      <c r="C275" s="3"/>
      <c r="D275" s="3"/>
      <c r="E275" s="3"/>
      <c r="F275" s="3"/>
      <c r="G275" s="3"/>
      <c r="K275" s="5"/>
      <c r="M275" s="6"/>
    </row>
    <row r="276" spans="1:13" ht="12" customHeight="1">
      <c r="A276" s="3"/>
      <c r="B276" s="3"/>
      <c r="C276" s="3"/>
      <c r="D276" s="3"/>
      <c r="E276" s="3"/>
      <c r="F276" s="3"/>
      <c r="G276" s="3"/>
      <c r="K276" s="5"/>
      <c r="M276" s="6"/>
    </row>
    <row r="277" spans="1:13" ht="12" customHeight="1">
      <c r="A277" s="3"/>
      <c r="B277" s="3"/>
      <c r="C277" s="3"/>
      <c r="D277" s="3"/>
      <c r="E277" s="3"/>
      <c r="F277" s="3"/>
      <c r="G277" s="3"/>
      <c r="K277" s="5"/>
      <c r="M277" s="6"/>
    </row>
    <row r="278" spans="1:13" ht="12" customHeight="1">
      <c r="A278" s="3"/>
      <c r="B278" s="3"/>
      <c r="C278" s="3"/>
      <c r="D278" s="3"/>
      <c r="E278" s="3"/>
      <c r="F278" s="3"/>
      <c r="G278" s="3"/>
      <c r="K278" s="5"/>
      <c r="M278" s="6"/>
    </row>
    <row r="279" spans="1:13" ht="12" customHeight="1">
      <c r="A279" s="3"/>
      <c r="B279" s="3"/>
      <c r="C279" s="3"/>
      <c r="D279" s="3"/>
      <c r="E279" s="3"/>
      <c r="F279" s="3"/>
      <c r="G279" s="3"/>
      <c r="K279" s="5"/>
      <c r="M279" s="6"/>
    </row>
    <row r="280" spans="1:13" ht="12" customHeight="1">
      <c r="A280" s="3"/>
      <c r="B280" s="3"/>
      <c r="C280" s="3"/>
      <c r="D280" s="3"/>
      <c r="E280" s="3"/>
      <c r="F280" s="3"/>
      <c r="G280" s="3"/>
      <c r="K280" s="5"/>
      <c r="M280" s="6"/>
    </row>
    <row r="281" spans="1:13" ht="12" customHeight="1">
      <c r="A281" s="3"/>
      <c r="B281" s="3"/>
      <c r="C281" s="3"/>
      <c r="D281" s="3"/>
      <c r="E281" s="3"/>
      <c r="F281" s="3"/>
      <c r="G281" s="3"/>
      <c r="K281" s="5"/>
      <c r="M281" s="6"/>
    </row>
    <row r="282" spans="1:13" ht="12" customHeight="1">
      <c r="A282" s="3"/>
      <c r="B282" s="3"/>
      <c r="C282" s="3"/>
      <c r="D282" s="3"/>
      <c r="E282" s="3"/>
      <c r="F282" s="3"/>
      <c r="G282" s="3"/>
      <c r="K282" s="5"/>
      <c r="M282" s="6"/>
    </row>
    <row r="283" spans="1:13" ht="12" customHeight="1">
      <c r="A283" s="3"/>
      <c r="B283" s="3"/>
      <c r="C283" s="3"/>
      <c r="D283" s="3"/>
      <c r="E283" s="3"/>
      <c r="F283" s="3"/>
      <c r="G283" s="3"/>
      <c r="K283" s="5"/>
      <c r="M283" s="6"/>
    </row>
    <row r="284" spans="1:13" ht="12" customHeight="1">
      <c r="A284" s="3"/>
      <c r="B284" s="3"/>
      <c r="C284" s="3"/>
      <c r="D284" s="3"/>
      <c r="E284" s="3"/>
      <c r="F284" s="3"/>
      <c r="G284" s="3"/>
      <c r="K284" s="5"/>
      <c r="M284" s="6"/>
    </row>
    <row r="285" spans="1:13" ht="12" customHeight="1">
      <c r="A285" s="3"/>
      <c r="B285" s="3"/>
      <c r="C285" s="3"/>
      <c r="D285" s="3"/>
      <c r="E285" s="3"/>
      <c r="F285" s="3"/>
      <c r="G285" s="3"/>
      <c r="K285" s="5"/>
      <c r="M285" s="6"/>
    </row>
    <row r="286" spans="1:13" ht="12" customHeight="1">
      <c r="A286" s="3"/>
      <c r="B286" s="3"/>
      <c r="C286" s="3"/>
      <c r="D286" s="3"/>
      <c r="E286" s="3"/>
      <c r="F286" s="3"/>
      <c r="G286" s="3"/>
      <c r="K286" s="5"/>
      <c r="M286" s="6"/>
    </row>
    <row r="287" spans="1:13" ht="12" customHeight="1">
      <c r="A287" s="3"/>
      <c r="B287" s="3"/>
      <c r="C287" s="3"/>
      <c r="D287" s="3"/>
      <c r="E287" s="3"/>
      <c r="F287" s="3"/>
      <c r="G287" s="3"/>
      <c r="K287" s="5"/>
      <c r="M287" s="6"/>
    </row>
    <row r="288" spans="1:13" ht="12" customHeight="1">
      <c r="A288" s="3"/>
      <c r="B288" s="3"/>
      <c r="C288" s="3"/>
      <c r="D288" s="3"/>
      <c r="E288" s="3"/>
      <c r="F288" s="3"/>
      <c r="G288" s="3"/>
      <c r="K288" s="5"/>
      <c r="M288" s="6"/>
    </row>
    <row r="289" spans="1:13" ht="12" customHeight="1">
      <c r="A289" s="3"/>
      <c r="B289" s="3"/>
      <c r="C289" s="3"/>
      <c r="D289" s="3"/>
      <c r="E289" s="3"/>
      <c r="F289" s="3"/>
      <c r="G289" s="3"/>
      <c r="K289" s="5"/>
      <c r="M289" s="6"/>
    </row>
    <row r="290" spans="1:13" ht="12" customHeight="1">
      <c r="A290" s="3"/>
      <c r="B290" s="3"/>
      <c r="C290" s="3"/>
      <c r="D290" s="3"/>
      <c r="E290" s="3"/>
      <c r="F290" s="3"/>
      <c r="G290" s="3"/>
      <c r="K290" s="5"/>
      <c r="M290" s="6"/>
    </row>
    <row r="291" spans="1:13" ht="12" customHeight="1">
      <c r="A291" s="3"/>
      <c r="B291" s="3"/>
      <c r="C291" s="3"/>
      <c r="D291" s="3"/>
      <c r="E291" s="3"/>
      <c r="F291" s="3"/>
      <c r="G291" s="3"/>
      <c r="K291" s="5"/>
      <c r="M291" s="6"/>
    </row>
    <row r="292" spans="1:13" ht="12" customHeight="1">
      <c r="A292" s="3"/>
      <c r="B292" s="3"/>
      <c r="C292" s="3"/>
      <c r="D292" s="3"/>
      <c r="E292" s="3"/>
      <c r="F292" s="3"/>
      <c r="G292" s="3"/>
      <c r="K292" s="5"/>
      <c r="M292" s="6"/>
    </row>
    <row r="293" spans="1:13" ht="12" customHeight="1">
      <c r="A293" s="3"/>
      <c r="B293" s="3"/>
      <c r="C293" s="3"/>
      <c r="D293" s="3"/>
      <c r="E293" s="3"/>
      <c r="F293" s="3"/>
      <c r="G293" s="3"/>
      <c r="K293" s="5"/>
      <c r="M293" s="6"/>
    </row>
    <row r="294" spans="1:13" ht="15.75" customHeight="1">
      <c r="A294" s="3"/>
      <c r="B294" s="3"/>
      <c r="C294" s="3"/>
      <c r="D294" s="3"/>
      <c r="E294" s="3"/>
      <c r="F294" s="3"/>
      <c r="G294" s="3"/>
    </row>
    <row r="295" spans="1:13" ht="15.75" customHeight="1">
      <c r="A295" s="3"/>
      <c r="B295" s="3"/>
      <c r="C295" s="3"/>
      <c r="D295" s="3"/>
      <c r="E295" s="3"/>
      <c r="F295" s="3"/>
      <c r="G295" s="3"/>
    </row>
    <row r="296" spans="1:13" ht="15.75" customHeight="1">
      <c r="A296" s="3"/>
      <c r="B296" s="3"/>
      <c r="C296" s="3"/>
      <c r="D296" s="3"/>
      <c r="E296" s="3"/>
      <c r="F296" s="3"/>
      <c r="G296" s="3"/>
    </row>
    <row r="297" spans="1:13" ht="15.75" customHeight="1">
      <c r="A297" s="3"/>
      <c r="B297" s="3"/>
      <c r="C297" s="3"/>
      <c r="D297" s="3"/>
      <c r="E297" s="3"/>
      <c r="F297" s="3"/>
      <c r="G297" s="3"/>
    </row>
    <row r="298" spans="1:13" ht="15.75" customHeight="1">
      <c r="A298" s="3"/>
      <c r="B298" s="3"/>
      <c r="C298" s="3"/>
      <c r="D298" s="3"/>
      <c r="E298" s="3"/>
      <c r="F298" s="3"/>
      <c r="G298" s="3"/>
    </row>
    <row r="299" spans="1:13" ht="15.75" customHeight="1">
      <c r="A299" s="3"/>
      <c r="B299" s="3"/>
      <c r="C299" s="3"/>
      <c r="D299" s="3"/>
      <c r="E299" s="3"/>
      <c r="F299" s="3"/>
      <c r="G299" s="3"/>
    </row>
    <row r="300" spans="1:13" ht="15.75" customHeight="1">
      <c r="A300" s="3"/>
      <c r="B300" s="3"/>
      <c r="C300" s="3"/>
      <c r="D300" s="3"/>
      <c r="E300" s="3"/>
      <c r="F300" s="3"/>
      <c r="G300" s="3"/>
    </row>
    <row r="301" spans="1:13" ht="15.75" customHeight="1">
      <c r="A301" s="3"/>
      <c r="B301" s="3"/>
      <c r="C301" s="3"/>
      <c r="D301" s="3"/>
      <c r="E301" s="3"/>
      <c r="F301" s="3"/>
      <c r="G301" s="3"/>
    </row>
    <row r="302" spans="1:13" ht="15.75" customHeight="1">
      <c r="A302" s="3"/>
      <c r="B302" s="3"/>
      <c r="C302" s="3"/>
      <c r="D302" s="3"/>
      <c r="E302" s="3"/>
      <c r="F302" s="3"/>
      <c r="G302" s="3"/>
    </row>
    <row r="303" spans="1:13" ht="15.75" customHeight="1">
      <c r="A303" s="3"/>
      <c r="B303" s="3"/>
      <c r="C303" s="3"/>
      <c r="D303" s="3"/>
      <c r="E303" s="3"/>
      <c r="F303" s="3"/>
      <c r="G303" s="3"/>
    </row>
    <row r="304" spans="1:13" ht="15.75" customHeight="1">
      <c r="A304" s="3"/>
      <c r="B304" s="3"/>
      <c r="C304" s="3"/>
      <c r="D304" s="3"/>
      <c r="E304" s="3"/>
      <c r="F304" s="3"/>
      <c r="G304" s="3"/>
    </row>
    <row r="305" spans="1:7" ht="15.75" customHeight="1">
      <c r="A305" s="3"/>
      <c r="B305" s="3"/>
      <c r="C305" s="3"/>
      <c r="D305" s="3"/>
      <c r="E305" s="3"/>
      <c r="F305" s="3"/>
      <c r="G305" s="3"/>
    </row>
    <row r="306" spans="1:7" ht="15.75" customHeight="1">
      <c r="A306" s="3"/>
      <c r="B306" s="3"/>
      <c r="C306" s="3"/>
      <c r="D306" s="3"/>
      <c r="E306" s="3"/>
      <c r="F306" s="3"/>
      <c r="G306" s="3"/>
    </row>
    <row r="307" spans="1:7" ht="15.75" customHeight="1">
      <c r="A307" s="3"/>
      <c r="B307" s="3"/>
      <c r="C307" s="3"/>
      <c r="D307" s="3"/>
      <c r="E307" s="3"/>
      <c r="F307" s="3"/>
      <c r="G307" s="3"/>
    </row>
    <row r="308" spans="1:7" ht="15.75" customHeight="1">
      <c r="A308" s="3"/>
      <c r="B308" s="3"/>
      <c r="C308" s="3"/>
      <c r="D308" s="3"/>
      <c r="E308" s="3"/>
      <c r="F308" s="3"/>
      <c r="G308" s="3"/>
    </row>
    <row r="309" spans="1:7" ht="15.75" customHeight="1">
      <c r="A309" s="3"/>
      <c r="B309" s="3"/>
      <c r="C309" s="3"/>
      <c r="D309" s="3"/>
      <c r="E309" s="3"/>
      <c r="F309" s="3"/>
      <c r="G309" s="3"/>
    </row>
    <row r="310" spans="1:7" ht="15.75" customHeight="1">
      <c r="A310" s="3"/>
      <c r="B310" s="3"/>
      <c r="C310" s="3"/>
      <c r="D310" s="3"/>
      <c r="E310" s="3"/>
      <c r="F310" s="3"/>
      <c r="G310" s="3"/>
    </row>
    <row r="311" spans="1:7" ht="15.75" customHeight="1">
      <c r="A311" s="3"/>
      <c r="B311" s="3"/>
      <c r="C311" s="3"/>
      <c r="D311" s="3"/>
      <c r="E311" s="3"/>
      <c r="F311" s="3"/>
      <c r="G311" s="3"/>
    </row>
    <row r="312" spans="1:7" ht="15.75" customHeight="1">
      <c r="A312" s="3"/>
      <c r="B312" s="3"/>
      <c r="C312" s="3"/>
      <c r="D312" s="3"/>
      <c r="E312" s="3"/>
      <c r="F312" s="3"/>
      <c r="G312" s="3"/>
    </row>
    <row r="313" spans="1:7" ht="15.75" customHeight="1">
      <c r="A313" s="3"/>
      <c r="B313" s="3"/>
      <c r="C313" s="3"/>
      <c r="D313" s="3"/>
      <c r="E313" s="3"/>
      <c r="F313" s="3"/>
      <c r="G313" s="3"/>
    </row>
    <row r="314" spans="1:7" ht="15.75" customHeight="1">
      <c r="A314" s="3"/>
      <c r="B314" s="3"/>
      <c r="C314" s="3"/>
      <c r="D314" s="3"/>
      <c r="E314" s="3"/>
      <c r="F314" s="3"/>
      <c r="G314" s="3"/>
    </row>
    <row r="315" spans="1:7" ht="15.75" customHeight="1">
      <c r="A315" s="3"/>
      <c r="B315" s="3"/>
      <c r="C315" s="3"/>
      <c r="D315" s="3"/>
      <c r="E315" s="3"/>
      <c r="F315" s="3"/>
      <c r="G315" s="3"/>
    </row>
    <row r="316" spans="1:7" ht="15.75" customHeight="1">
      <c r="A316" s="3"/>
      <c r="B316" s="3"/>
      <c r="C316" s="3"/>
      <c r="D316" s="3"/>
      <c r="E316" s="3"/>
      <c r="F316" s="3"/>
      <c r="G316" s="3"/>
    </row>
    <row r="317" spans="1:7" ht="15.75" customHeight="1">
      <c r="A317" s="3"/>
      <c r="B317" s="3"/>
      <c r="C317" s="3"/>
      <c r="D317" s="3"/>
      <c r="E317" s="3"/>
      <c r="F317" s="3"/>
      <c r="G317" s="3"/>
    </row>
    <row r="318" spans="1:7" ht="15.75" customHeight="1">
      <c r="A318" s="3"/>
      <c r="B318" s="3"/>
      <c r="C318" s="3"/>
      <c r="D318" s="3"/>
      <c r="E318" s="3"/>
      <c r="F318" s="3"/>
      <c r="G318" s="3"/>
    </row>
    <row r="319" spans="1:7" ht="15.75" customHeight="1">
      <c r="A319" s="3"/>
      <c r="B319" s="3"/>
      <c r="C319" s="3"/>
      <c r="D319" s="3"/>
      <c r="E319" s="3"/>
      <c r="F319" s="3"/>
      <c r="G319" s="3"/>
    </row>
    <row r="320" spans="1:7" ht="15.75" customHeight="1">
      <c r="A320" s="3"/>
      <c r="B320" s="3"/>
      <c r="C320" s="3"/>
      <c r="D320" s="3"/>
      <c r="E320" s="3"/>
      <c r="F320" s="3"/>
      <c r="G320" s="3"/>
    </row>
    <row r="321" spans="1:7" ht="15.75" customHeight="1">
      <c r="A321" s="3"/>
      <c r="B321" s="3"/>
      <c r="C321" s="3"/>
      <c r="D321" s="3"/>
      <c r="E321" s="3"/>
      <c r="F321" s="3"/>
      <c r="G321" s="3"/>
    </row>
    <row r="322" spans="1:7" ht="15.75" customHeight="1">
      <c r="A322" s="3"/>
      <c r="B322" s="3"/>
      <c r="C322" s="3"/>
      <c r="D322" s="3"/>
      <c r="E322" s="3"/>
      <c r="F322" s="3"/>
      <c r="G322" s="3"/>
    </row>
    <row r="323" spans="1:7" ht="15.75" customHeight="1">
      <c r="A323" s="3"/>
      <c r="B323" s="3"/>
      <c r="C323" s="3"/>
      <c r="D323" s="3"/>
      <c r="E323" s="3"/>
      <c r="F323" s="3"/>
      <c r="G323" s="3"/>
    </row>
    <row r="324" spans="1:7" ht="15.75" customHeight="1">
      <c r="A324" s="3"/>
      <c r="B324" s="3"/>
      <c r="C324" s="3"/>
      <c r="D324" s="3"/>
      <c r="E324" s="3"/>
      <c r="F324" s="3"/>
      <c r="G324" s="3"/>
    </row>
    <row r="325" spans="1:7" ht="15.75" customHeight="1">
      <c r="A325" s="3"/>
      <c r="B325" s="3"/>
      <c r="C325" s="3"/>
      <c r="D325" s="3"/>
      <c r="E325" s="3"/>
      <c r="F325" s="3"/>
      <c r="G325" s="3"/>
    </row>
    <row r="326" spans="1:7" ht="15.75" customHeight="1">
      <c r="A326" s="3"/>
      <c r="B326" s="3"/>
      <c r="C326" s="3"/>
      <c r="D326" s="3"/>
      <c r="E326" s="3"/>
      <c r="F326" s="3"/>
      <c r="G326" s="3"/>
    </row>
    <row r="327" spans="1:7" ht="15.75" customHeight="1">
      <c r="A327" s="3"/>
      <c r="B327" s="3"/>
      <c r="C327" s="3"/>
      <c r="D327" s="3"/>
      <c r="E327" s="3"/>
      <c r="F327" s="3"/>
      <c r="G327" s="3"/>
    </row>
    <row r="328" spans="1:7" ht="15.75" customHeight="1">
      <c r="A328" s="3"/>
      <c r="B328" s="3"/>
      <c r="C328" s="3"/>
      <c r="D328" s="3"/>
      <c r="E328" s="3"/>
      <c r="F328" s="3"/>
      <c r="G328" s="3"/>
    </row>
    <row r="329" spans="1:7" ht="15.75" customHeight="1">
      <c r="A329" s="3"/>
      <c r="B329" s="3"/>
      <c r="C329" s="3"/>
      <c r="D329" s="3"/>
      <c r="E329" s="3"/>
      <c r="F329" s="3"/>
      <c r="G329" s="3"/>
    </row>
    <row r="330" spans="1:7" ht="15.75" customHeight="1">
      <c r="A330" s="3"/>
      <c r="B330" s="3"/>
      <c r="C330" s="3"/>
      <c r="D330" s="3"/>
      <c r="E330" s="3"/>
      <c r="F330" s="3"/>
      <c r="G330" s="3"/>
    </row>
    <row r="331" spans="1:7" ht="15.75" customHeight="1">
      <c r="A331" s="3"/>
      <c r="B331" s="3"/>
      <c r="C331" s="3"/>
      <c r="D331" s="3"/>
      <c r="E331" s="3"/>
      <c r="F331" s="3"/>
      <c r="G331" s="3"/>
    </row>
    <row r="332" spans="1:7" ht="15.75" customHeight="1">
      <c r="A332" s="3"/>
      <c r="B332" s="3"/>
      <c r="C332" s="3"/>
      <c r="D332" s="3"/>
      <c r="E332" s="3"/>
      <c r="F332" s="3"/>
      <c r="G332" s="3"/>
    </row>
    <row r="333" spans="1:7" ht="15.75" customHeight="1">
      <c r="A333" s="3"/>
      <c r="B333" s="3"/>
      <c r="C333" s="3"/>
      <c r="D333" s="3"/>
      <c r="E333" s="3"/>
      <c r="F333" s="3"/>
      <c r="G333" s="3"/>
    </row>
    <row r="334" spans="1:7" ht="15.75" customHeight="1">
      <c r="A334" s="3"/>
      <c r="B334" s="3"/>
      <c r="C334" s="3"/>
      <c r="D334" s="3"/>
      <c r="E334" s="3"/>
      <c r="F334" s="3"/>
      <c r="G334" s="3"/>
    </row>
    <row r="335" spans="1:7" ht="15.75" customHeight="1">
      <c r="A335" s="3"/>
      <c r="B335" s="3"/>
      <c r="C335" s="3"/>
      <c r="D335" s="3"/>
      <c r="E335" s="3"/>
      <c r="F335" s="3"/>
      <c r="G335" s="3"/>
    </row>
    <row r="336" spans="1:7" ht="15.75" customHeight="1">
      <c r="A336" s="3"/>
      <c r="B336" s="3"/>
      <c r="C336" s="3"/>
      <c r="D336" s="3"/>
      <c r="E336" s="3"/>
      <c r="F336" s="3"/>
      <c r="G336" s="3"/>
    </row>
    <row r="337" spans="1:7" ht="15.75" customHeight="1">
      <c r="A337" s="3"/>
      <c r="B337" s="3"/>
      <c r="C337" s="3"/>
      <c r="D337" s="3"/>
      <c r="E337" s="3"/>
      <c r="F337" s="3"/>
      <c r="G337" s="3"/>
    </row>
    <row r="338" spans="1:7" ht="15.75" customHeight="1">
      <c r="A338" s="3"/>
      <c r="B338" s="3"/>
      <c r="C338" s="3"/>
      <c r="D338" s="3"/>
      <c r="E338" s="3"/>
      <c r="F338" s="3"/>
      <c r="G338" s="3"/>
    </row>
    <row r="339" spans="1:7" ht="15.75" customHeight="1">
      <c r="A339" s="3"/>
      <c r="B339" s="3"/>
      <c r="C339" s="3"/>
      <c r="D339" s="3"/>
      <c r="E339" s="3"/>
      <c r="F339" s="3"/>
      <c r="G339" s="3"/>
    </row>
    <row r="340" spans="1:7" ht="15.75" customHeight="1">
      <c r="A340" s="3"/>
      <c r="B340" s="3"/>
      <c r="C340" s="3"/>
      <c r="D340" s="3"/>
      <c r="E340" s="3"/>
      <c r="F340" s="3"/>
      <c r="G340" s="3"/>
    </row>
    <row r="341" spans="1:7" ht="15.75" customHeight="1">
      <c r="A341" s="3"/>
      <c r="B341" s="3"/>
      <c r="C341" s="3"/>
      <c r="D341" s="3"/>
      <c r="E341" s="3"/>
      <c r="F341" s="3"/>
      <c r="G341" s="3"/>
    </row>
    <row r="342" spans="1:7" ht="15.75" customHeight="1">
      <c r="A342" s="3"/>
      <c r="B342" s="3"/>
      <c r="C342" s="3"/>
      <c r="D342" s="3"/>
      <c r="E342" s="3"/>
      <c r="F342" s="3"/>
      <c r="G342" s="3"/>
    </row>
    <row r="343" spans="1:7" ht="15.75" customHeight="1">
      <c r="A343" s="3"/>
      <c r="B343" s="3"/>
      <c r="C343" s="3"/>
      <c r="D343" s="3"/>
      <c r="E343" s="3"/>
      <c r="F343" s="3"/>
      <c r="G343" s="3"/>
    </row>
    <row r="344" spans="1:7" ht="15.75" customHeight="1">
      <c r="A344" s="3"/>
      <c r="B344" s="3"/>
      <c r="C344" s="3"/>
      <c r="D344" s="3"/>
      <c r="E344" s="3"/>
      <c r="F344" s="3"/>
      <c r="G344" s="3"/>
    </row>
    <row r="345" spans="1:7" ht="15.75" customHeight="1">
      <c r="A345" s="3"/>
      <c r="B345" s="3"/>
      <c r="C345" s="3"/>
      <c r="D345" s="3"/>
      <c r="E345" s="3"/>
      <c r="F345" s="3"/>
      <c r="G345" s="3"/>
    </row>
    <row r="346" spans="1:7" ht="15.75" customHeight="1">
      <c r="A346" s="3"/>
      <c r="B346" s="3"/>
      <c r="C346" s="3"/>
      <c r="D346" s="3"/>
      <c r="E346" s="3"/>
      <c r="F346" s="3"/>
      <c r="G346" s="3"/>
    </row>
    <row r="347" spans="1:7" ht="15.75" customHeight="1">
      <c r="A347" s="3"/>
      <c r="B347" s="3"/>
      <c r="C347" s="3"/>
      <c r="D347" s="3"/>
      <c r="E347" s="3"/>
      <c r="F347" s="3"/>
      <c r="G347" s="3"/>
    </row>
    <row r="348" spans="1:7" ht="15.75" customHeight="1">
      <c r="A348" s="3"/>
      <c r="B348" s="3"/>
      <c r="C348" s="3"/>
      <c r="D348" s="3"/>
      <c r="E348" s="3"/>
      <c r="F348" s="3"/>
      <c r="G348" s="3"/>
    </row>
    <row r="349" spans="1:7" ht="15.75" customHeight="1">
      <c r="A349" s="3"/>
      <c r="B349" s="3"/>
      <c r="C349" s="3"/>
      <c r="D349" s="3"/>
      <c r="E349" s="3"/>
      <c r="F349" s="3"/>
      <c r="G349" s="3"/>
    </row>
    <row r="350" spans="1:7" ht="15.75" customHeight="1">
      <c r="A350" s="3"/>
      <c r="B350" s="3"/>
      <c r="C350" s="3"/>
      <c r="D350" s="3"/>
      <c r="E350" s="3"/>
      <c r="F350" s="3"/>
      <c r="G350" s="3"/>
    </row>
    <row r="351" spans="1:7" ht="15.75" customHeight="1">
      <c r="A351" s="3"/>
      <c r="B351" s="3"/>
      <c r="C351" s="3"/>
      <c r="D351" s="3"/>
      <c r="E351" s="3"/>
      <c r="F351" s="3"/>
      <c r="G351" s="3"/>
    </row>
    <row r="352" spans="1:7" ht="15.75" customHeight="1">
      <c r="A352" s="3"/>
      <c r="B352" s="3"/>
      <c r="C352" s="3"/>
      <c r="D352" s="3"/>
      <c r="E352" s="3"/>
      <c r="F352" s="3"/>
      <c r="G352" s="3"/>
    </row>
    <row r="353" spans="1:7" ht="15.75" customHeight="1">
      <c r="A353" s="3"/>
      <c r="B353" s="3"/>
      <c r="C353" s="3"/>
      <c r="D353" s="3"/>
      <c r="E353" s="3"/>
      <c r="F353" s="3"/>
      <c r="G353" s="3"/>
    </row>
    <row r="354" spans="1:7" ht="15.75" customHeight="1">
      <c r="A354" s="3"/>
      <c r="B354" s="3"/>
      <c r="C354" s="3"/>
      <c r="D354" s="3"/>
      <c r="E354" s="3"/>
      <c r="F354" s="3"/>
      <c r="G354" s="3"/>
    </row>
    <row r="355" spans="1:7" ht="15.75" customHeight="1">
      <c r="A355" s="3"/>
      <c r="B355" s="3"/>
      <c r="C355" s="3"/>
      <c r="D355" s="3"/>
      <c r="E355" s="3"/>
      <c r="F355" s="3"/>
      <c r="G355" s="3"/>
    </row>
    <row r="356" spans="1:7" ht="15.75" customHeight="1">
      <c r="A356" s="3"/>
      <c r="B356" s="3"/>
      <c r="C356" s="3"/>
      <c r="D356" s="3"/>
      <c r="E356" s="3"/>
      <c r="F356" s="3"/>
      <c r="G356" s="3"/>
    </row>
    <row r="357" spans="1:7" ht="15.75" customHeight="1">
      <c r="A357" s="3"/>
      <c r="B357" s="3"/>
      <c r="C357" s="3"/>
      <c r="D357" s="3"/>
      <c r="E357" s="3"/>
      <c r="F357" s="3"/>
      <c r="G357" s="3"/>
    </row>
    <row r="358" spans="1:7" ht="15.75" customHeight="1">
      <c r="A358" s="3"/>
      <c r="B358" s="3"/>
      <c r="C358" s="3"/>
      <c r="D358" s="3"/>
      <c r="E358" s="3"/>
      <c r="F358" s="3"/>
      <c r="G358" s="3"/>
    </row>
    <row r="359" spans="1:7" ht="15.75" customHeight="1">
      <c r="A359" s="3"/>
      <c r="B359" s="3"/>
      <c r="C359" s="3"/>
      <c r="D359" s="3"/>
      <c r="E359" s="3"/>
      <c r="F359" s="3"/>
      <c r="G359" s="3"/>
    </row>
    <row r="360" spans="1:7" ht="15.75" customHeight="1">
      <c r="A360" s="3"/>
      <c r="B360" s="3"/>
      <c r="C360" s="3"/>
      <c r="D360" s="3"/>
      <c r="E360" s="3"/>
      <c r="F360" s="3"/>
      <c r="G360" s="3"/>
    </row>
    <row r="361" spans="1:7" ht="15.75" customHeight="1">
      <c r="A361" s="3"/>
      <c r="B361" s="3"/>
      <c r="C361" s="3"/>
      <c r="D361" s="3"/>
      <c r="E361" s="3"/>
      <c r="F361" s="3"/>
      <c r="G361" s="3"/>
    </row>
    <row r="362" spans="1:7" ht="15.75" customHeight="1">
      <c r="A362" s="3"/>
      <c r="B362" s="3"/>
      <c r="C362" s="3"/>
      <c r="D362" s="3"/>
      <c r="E362" s="3"/>
      <c r="F362" s="3"/>
      <c r="G362" s="3"/>
    </row>
    <row r="363" spans="1:7" ht="15.75" customHeight="1">
      <c r="A363" s="3"/>
      <c r="B363" s="3"/>
      <c r="C363" s="3"/>
      <c r="D363" s="3"/>
      <c r="E363" s="3"/>
      <c r="F363" s="3"/>
      <c r="G363" s="3"/>
    </row>
    <row r="364" spans="1:7" ht="15.75" customHeight="1">
      <c r="A364" s="3"/>
      <c r="B364" s="3"/>
      <c r="C364" s="3"/>
      <c r="D364" s="3"/>
      <c r="E364" s="3"/>
      <c r="F364" s="3"/>
      <c r="G364" s="3"/>
    </row>
    <row r="365" spans="1:7" ht="15.75" customHeight="1">
      <c r="A365" s="3"/>
      <c r="B365" s="3"/>
      <c r="C365" s="3"/>
      <c r="D365" s="3"/>
      <c r="E365" s="3"/>
      <c r="F365" s="3"/>
      <c r="G365" s="3"/>
    </row>
    <row r="366" spans="1:7" ht="15.75" customHeight="1">
      <c r="A366" s="3"/>
      <c r="B366" s="3"/>
      <c r="C366" s="3"/>
      <c r="D366" s="3"/>
      <c r="E366" s="3"/>
      <c r="F366" s="3"/>
      <c r="G366" s="3"/>
    </row>
    <row r="367" spans="1:7" ht="15.75" customHeight="1">
      <c r="A367" s="3"/>
      <c r="B367" s="3"/>
      <c r="C367" s="3"/>
      <c r="D367" s="3"/>
      <c r="E367" s="3"/>
      <c r="F367" s="3"/>
      <c r="G367" s="3"/>
    </row>
    <row r="368" spans="1:7" ht="15.75" customHeight="1">
      <c r="A368" s="3"/>
      <c r="B368" s="3"/>
      <c r="C368" s="3"/>
      <c r="D368" s="3"/>
      <c r="E368" s="3"/>
      <c r="F368" s="3"/>
      <c r="G368" s="3"/>
    </row>
    <row r="369" spans="1:7" ht="15.75" customHeight="1">
      <c r="A369" s="3"/>
      <c r="B369" s="3"/>
      <c r="C369" s="3"/>
      <c r="D369" s="3"/>
      <c r="E369" s="3"/>
      <c r="F369" s="3"/>
      <c r="G369" s="3"/>
    </row>
    <row r="370" spans="1:7" ht="15.75" customHeight="1">
      <c r="A370" s="3"/>
      <c r="B370" s="3"/>
      <c r="C370" s="3"/>
      <c r="D370" s="3"/>
      <c r="E370" s="3"/>
      <c r="F370" s="3"/>
      <c r="G370" s="3"/>
    </row>
    <row r="371" spans="1:7" ht="15.75" customHeight="1">
      <c r="A371" s="3"/>
      <c r="B371" s="3"/>
      <c r="C371" s="3"/>
      <c r="D371" s="3"/>
      <c r="E371" s="3"/>
      <c r="F371" s="3"/>
      <c r="G371" s="3"/>
    </row>
    <row r="372" spans="1:7" ht="15.75" customHeight="1">
      <c r="A372" s="3"/>
      <c r="B372" s="3"/>
      <c r="C372" s="3"/>
      <c r="D372" s="3"/>
      <c r="E372" s="3"/>
      <c r="F372" s="3"/>
      <c r="G372" s="3"/>
    </row>
    <row r="373" spans="1:7" ht="15.75" customHeight="1">
      <c r="A373" s="3"/>
      <c r="B373" s="3"/>
      <c r="C373" s="3"/>
      <c r="D373" s="3"/>
      <c r="E373" s="3"/>
      <c r="F373" s="3"/>
      <c r="G373" s="3"/>
    </row>
    <row r="374" spans="1:7" ht="15.75" customHeight="1">
      <c r="A374" s="3"/>
      <c r="B374" s="3"/>
      <c r="C374" s="3"/>
      <c r="D374" s="3"/>
      <c r="E374" s="3"/>
      <c r="F374" s="3"/>
      <c r="G374" s="3"/>
    </row>
    <row r="375" spans="1:7" ht="15.75" customHeight="1">
      <c r="A375" s="3"/>
      <c r="B375" s="3"/>
      <c r="C375" s="3"/>
      <c r="D375" s="3"/>
      <c r="E375" s="3"/>
      <c r="F375" s="3"/>
      <c r="G375" s="3"/>
    </row>
    <row r="376" spans="1:7" ht="15.75" customHeight="1">
      <c r="A376" s="3"/>
      <c r="B376" s="3"/>
      <c r="C376" s="3"/>
      <c r="D376" s="3"/>
      <c r="E376" s="3"/>
      <c r="F376" s="3"/>
      <c r="G376" s="3"/>
    </row>
    <row r="377" spans="1:7" ht="15.75" customHeight="1">
      <c r="A377" s="3"/>
      <c r="B377" s="3"/>
      <c r="C377" s="3"/>
      <c r="D377" s="3"/>
      <c r="E377" s="3"/>
      <c r="F377" s="3"/>
      <c r="G377" s="3"/>
    </row>
    <row r="378" spans="1:7" ht="15.75" customHeight="1">
      <c r="A378" s="3"/>
      <c r="B378" s="3"/>
      <c r="C378" s="3"/>
      <c r="D378" s="3"/>
      <c r="E378" s="3"/>
      <c r="F378" s="3"/>
      <c r="G378" s="3"/>
    </row>
    <row r="379" spans="1:7" ht="15.75" customHeight="1">
      <c r="A379" s="3"/>
      <c r="B379" s="3"/>
      <c r="C379" s="3"/>
      <c r="D379" s="3"/>
      <c r="E379" s="3"/>
      <c r="F379" s="3"/>
      <c r="G379" s="3"/>
    </row>
    <row r="380" spans="1:7" ht="15.75" customHeight="1">
      <c r="A380" s="3"/>
      <c r="B380" s="3"/>
      <c r="C380" s="3"/>
      <c r="D380" s="3"/>
      <c r="E380" s="3"/>
      <c r="F380" s="3"/>
      <c r="G380" s="3"/>
    </row>
    <row r="381" spans="1:7" ht="15.75" customHeight="1">
      <c r="A381" s="3"/>
      <c r="B381" s="3"/>
      <c r="C381" s="3"/>
      <c r="D381" s="3"/>
      <c r="E381" s="3"/>
      <c r="F381" s="3"/>
      <c r="G381" s="3"/>
    </row>
    <row r="382" spans="1:7" ht="15.75" customHeight="1">
      <c r="A382" s="3"/>
      <c r="B382" s="3"/>
      <c r="C382" s="3"/>
      <c r="D382" s="3"/>
      <c r="E382" s="3"/>
      <c r="F382" s="3"/>
      <c r="G382" s="3"/>
    </row>
    <row r="383" spans="1:7" ht="15.75" customHeight="1">
      <c r="A383" s="3"/>
      <c r="B383" s="3"/>
      <c r="C383" s="3"/>
      <c r="D383" s="3"/>
      <c r="E383" s="3"/>
      <c r="F383" s="3"/>
      <c r="G383" s="3"/>
    </row>
    <row r="384" spans="1:7" ht="15.75" customHeight="1">
      <c r="A384" s="3"/>
      <c r="B384" s="3"/>
      <c r="C384" s="3"/>
      <c r="D384" s="3"/>
      <c r="E384" s="3"/>
      <c r="F384" s="3"/>
      <c r="G384" s="3"/>
    </row>
    <row r="385" spans="1:7" ht="15.75" customHeight="1">
      <c r="A385" s="3"/>
      <c r="B385" s="3"/>
      <c r="C385" s="3"/>
      <c r="D385" s="3"/>
      <c r="E385" s="3"/>
      <c r="F385" s="3"/>
      <c r="G385" s="3"/>
    </row>
    <row r="386" spans="1:7" ht="15.75" customHeight="1">
      <c r="A386" s="3"/>
      <c r="B386" s="3"/>
      <c r="C386" s="3"/>
      <c r="D386" s="3"/>
      <c r="E386" s="3"/>
      <c r="F386" s="3"/>
      <c r="G386" s="3"/>
    </row>
    <row r="387" spans="1:7" ht="15.75" customHeight="1">
      <c r="A387" s="3"/>
      <c r="B387" s="3"/>
      <c r="C387" s="3"/>
      <c r="D387" s="3"/>
      <c r="E387" s="3"/>
      <c r="F387" s="3"/>
      <c r="G387" s="3"/>
    </row>
    <row r="388" spans="1:7" ht="15.75" customHeight="1">
      <c r="A388" s="3"/>
      <c r="B388" s="3"/>
      <c r="C388" s="3"/>
      <c r="D388" s="3"/>
      <c r="E388" s="3"/>
      <c r="F388" s="3"/>
      <c r="G388" s="3"/>
    </row>
    <row r="389" spans="1:7" ht="15.75" customHeight="1">
      <c r="A389" s="3"/>
      <c r="B389" s="3"/>
      <c r="C389" s="3"/>
      <c r="D389" s="3"/>
      <c r="E389" s="3"/>
      <c r="F389" s="3"/>
      <c r="G389" s="3"/>
    </row>
    <row r="390" spans="1:7" ht="15.75" customHeight="1">
      <c r="A390" s="3"/>
      <c r="B390" s="3"/>
      <c r="C390" s="3"/>
      <c r="D390" s="3"/>
      <c r="E390" s="3"/>
      <c r="F390" s="3"/>
      <c r="G390" s="3"/>
    </row>
    <row r="391" spans="1:7" ht="15.75" customHeight="1">
      <c r="A391" s="3"/>
      <c r="B391" s="3"/>
      <c r="C391" s="3"/>
      <c r="D391" s="3"/>
      <c r="E391" s="3"/>
      <c r="F391" s="3"/>
      <c r="G391" s="3"/>
    </row>
    <row r="392" spans="1:7" ht="15.75" customHeight="1">
      <c r="A392" s="3"/>
      <c r="B392" s="3"/>
      <c r="C392" s="3"/>
      <c r="D392" s="3"/>
      <c r="E392" s="3"/>
      <c r="F392" s="3"/>
      <c r="G392" s="3"/>
    </row>
    <row r="393" spans="1:7" ht="15.75" customHeight="1">
      <c r="A393" s="3"/>
      <c r="B393" s="3"/>
      <c r="C393" s="3"/>
      <c r="D393" s="3"/>
      <c r="E393" s="3"/>
      <c r="F393" s="3"/>
      <c r="G393" s="3"/>
    </row>
    <row r="394" spans="1:7" ht="15.75" customHeight="1">
      <c r="A394" s="3"/>
      <c r="B394" s="3"/>
      <c r="C394" s="3"/>
      <c r="D394" s="3"/>
      <c r="E394" s="3"/>
      <c r="F394" s="3"/>
      <c r="G394" s="3"/>
    </row>
    <row r="395" spans="1:7" ht="15.75" customHeight="1">
      <c r="A395" s="3"/>
      <c r="B395" s="3"/>
      <c r="C395" s="3"/>
      <c r="D395" s="3"/>
      <c r="E395" s="3"/>
      <c r="F395" s="3"/>
      <c r="G395" s="3"/>
    </row>
    <row r="396" spans="1:7" ht="15.75" customHeight="1">
      <c r="A396" s="3"/>
      <c r="B396" s="3"/>
      <c r="C396" s="3"/>
      <c r="D396" s="3"/>
      <c r="E396" s="3"/>
      <c r="F396" s="3"/>
      <c r="G396" s="3"/>
    </row>
    <row r="397" spans="1:7" ht="15.75" customHeight="1">
      <c r="A397" s="3"/>
      <c r="B397" s="3"/>
      <c r="C397" s="3"/>
      <c r="D397" s="3"/>
      <c r="E397" s="3"/>
      <c r="F397" s="3"/>
      <c r="G397" s="3"/>
    </row>
    <row r="398" spans="1:7" ht="15.75" customHeight="1">
      <c r="A398" s="3"/>
      <c r="B398" s="3"/>
      <c r="C398" s="3"/>
      <c r="D398" s="3"/>
      <c r="E398" s="3"/>
      <c r="F398" s="3"/>
      <c r="G398" s="3"/>
    </row>
    <row r="399" spans="1:7" ht="15.75" customHeight="1">
      <c r="A399" s="3"/>
      <c r="B399" s="3"/>
      <c r="C399" s="3"/>
      <c r="D399" s="3"/>
      <c r="E399" s="3"/>
      <c r="F399" s="3"/>
      <c r="G399" s="3"/>
    </row>
    <row r="400" spans="1:7" ht="15.75" customHeight="1">
      <c r="A400" s="3"/>
      <c r="B400" s="3"/>
      <c r="C400" s="3"/>
      <c r="D400" s="3"/>
      <c r="E400" s="3"/>
      <c r="F400" s="3"/>
      <c r="G400" s="3"/>
    </row>
    <row r="401" spans="1:7" ht="15.75" customHeight="1">
      <c r="A401" s="3"/>
      <c r="B401" s="3"/>
      <c r="C401" s="3"/>
      <c r="D401" s="3"/>
      <c r="E401" s="3"/>
      <c r="F401" s="3"/>
      <c r="G401" s="3"/>
    </row>
    <row r="402" spans="1:7" ht="15.75" customHeight="1">
      <c r="A402" s="3"/>
      <c r="B402" s="3"/>
      <c r="C402" s="3"/>
      <c r="D402" s="3"/>
      <c r="E402" s="3"/>
      <c r="F402" s="3"/>
      <c r="G402" s="3"/>
    </row>
    <row r="403" spans="1:7" ht="15.75" customHeight="1">
      <c r="A403" s="3"/>
      <c r="B403" s="3"/>
      <c r="C403" s="3"/>
      <c r="D403" s="3"/>
      <c r="E403" s="3"/>
      <c r="F403" s="3"/>
      <c r="G403" s="3"/>
    </row>
    <row r="404" spans="1:7" ht="15.75" customHeight="1">
      <c r="A404" s="3"/>
      <c r="B404" s="3"/>
      <c r="C404" s="3"/>
      <c r="D404" s="3"/>
      <c r="E404" s="3"/>
      <c r="F404" s="3"/>
      <c r="G404" s="3"/>
    </row>
    <row r="405" spans="1:7" ht="15.75" customHeight="1">
      <c r="A405" s="3"/>
      <c r="B405" s="3"/>
      <c r="C405" s="3"/>
      <c r="D405" s="3"/>
      <c r="E405" s="3"/>
      <c r="F405" s="3"/>
      <c r="G405" s="3"/>
    </row>
    <row r="406" spans="1:7" ht="15.75" customHeight="1">
      <c r="A406" s="3"/>
      <c r="B406" s="3"/>
      <c r="C406" s="3"/>
      <c r="D406" s="3"/>
      <c r="E406" s="3"/>
      <c r="F406" s="3"/>
      <c r="G406" s="3"/>
    </row>
    <row r="407" spans="1:7" ht="15.75" customHeight="1">
      <c r="A407" s="3"/>
      <c r="B407" s="3"/>
      <c r="C407" s="3"/>
      <c r="D407" s="3"/>
      <c r="E407" s="3"/>
      <c r="F407" s="3"/>
      <c r="G407" s="3"/>
    </row>
    <row r="408" spans="1:7" ht="15.75" customHeight="1">
      <c r="A408" s="3"/>
      <c r="B408" s="3"/>
      <c r="C408" s="3"/>
      <c r="D408" s="3"/>
      <c r="E408" s="3"/>
      <c r="F408" s="3"/>
      <c r="G408" s="3"/>
    </row>
    <row r="409" spans="1:7" ht="15.75" customHeight="1">
      <c r="A409" s="3"/>
      <c r="B409" s="3"/>
      <c r="C409" s="3"/>
      <c r="D409" s="3"/>
      <c r="E409" s="3"/>
      <c r="F409" s="3"/>
      <c r="G409" s="3"/>
    </row>
    <row r="410" spans="1:7" ht="15.75" customHeight="1">
      <c r="A410" s="3"/>
      <c r="B410" s="3"/>
      <c r="C410" s="3"/>
      <c r="D410" s="3"/>
      <c r="E410" s="3"/>
      <c r="F410" s="3"/>
      <c r="G410" s="3"/>
    </row>
    <row r="411" spans="1:7" ht="15.75" customHeight="1">
      <c r="A411" s="3"/>
      <c r="B411" s="3"/>
      <c r="C411" s="3"/>
      <c r="D411" s="3"/>
      <c r="E411" s="3"/>
      <c r="F411" s="3"/>
      <c r="G411" s="3"/>
    </row>
    <row r="412" spans="1:7" ht="15.75" customHeight="1">
      <c r="A412" s="3"/>
      <c r="B412" s="3"/>
      <c r="C412" s="3"/>
      <c r="D412" s="3"/>
      <c r="E412" s="3"/>
      <c r="F412" s="3"/>
      <c r="G412" s="3"/>
    </row>
    <row r="413" spans="1:7" ht="15.75" customHeight="1">
      <c r="A413" s="3"/>
      <c r="B413" s="3"/>
      <c r="C413" s="3"/>
      <c r="D413" s="3"/>
      <c r="E413" s="3"/>
      <c r="F413" s="3"/>
      <c r="G413" s="3"/>
    </row>
    <row r="414" spans="1:7" ht="15.75" customHeight="1">
      <c r="A414" s="3"/>
      <c r="B414" s="3"/>
      <c r="C414" s="3"/>
      <c r="D414" s="3"/>
      <c r="E414" s="3"/>
      <c r="F414" s="3"/>
      <c r="G414" s="3"/>
    </row>
    <row r="415" spans="1:7" ht="15.75" customHeight="1">
      <c r="A415" s="3"/>
      <c r="B415" s="3"/>
      <c r="C415" s="3"/>
      <c r="D415" s="3"/>
      <c r="E415" s="3"/>
      <c r="F415" s="3"/>
      <c r="G415" s="3"/>
    </row>
    <row r="416" spans="1:7" ht="15.75" customHeight="1">
      <c r="A416" s="3"/>
      <c r="B416" s="3"/>
      <c r="C416" s="3"/>
      <c r="D416" s="3"/>
      <c r="E416" s="3"/>
      <c r="F416" s="3"/>
      <c r="G416" s="3"/>
    </row>
    <row r="417" spans="1:7" ht="15.75" customHeight="1">
      <c r="A417" s="3"/>
      <c r="B417" s="3"/>
      <c r="C417" s="3"/>
      <c r="D417" s="3"/>
      <c r="E417" s="3"/>
      <c r="F417" s="3"/>
      <c r="G417" s="3"/>
    </row>
    <row r="418" spans="1:7" ht="15.75" customHeight="1">
      <c r="A418" s="3"/>
      <c r="B418" s="3"/>
      <c r="C418" s="3"/>
      <c r="D418" s="3"/>
      <c r="E418" s="3"/>
      <c r="F418" s="3"/>
      <c r="G418" s="3"/>
    </row>
    <row r="419" spans="1:7" ht="15.75" customHeight="1">
      <c r="A419" s="3"/>
      <c r="B419" s="3"/>
      <c r="C419" s="3"/>
      <c r="D419" s="3"/>
      <c r="E419" s="3"/>
      <c r="F419" s="3"/>
      <c r="G419" s="3"/>
    </row>
    <row r="420" spans="1:7" ht="15.75" customHeight="1">
      <c r="A420" s="3"/>
      <c r="B420" s="3"/>
      <c r="C420" s="3"/>
      <c r="D420" s="3"/>
      <c r="E420" s="3"/>
      <c r="F420" s="3"/>
      <c r="G420" s="3"/>
    </row>
    <row r="421" spans="1:7" ht="15.75" customHeight="1">
      <c r="A421" s="3"/>
      <c r="B421" s="3"/>
      <c r="C421" s="3"/>
      <c r="D421" s="3"/>
      <c r="E421" s="3"/>
      <c r="F421" s="3"/>
      <c r="G421" s="3"/>
    </row>
    <row r="422" spans="1:7" ht="15.75" customHeight="1">
      <c r="A422" s="3"/>
      <c r="B422" s="3"/>
      <c r="C422" s="3"/>
      <c r="D422" s="3"/>
      <c r="E422" s="3"/>
      <c r="F422" s="3"/>
      <c r="G422" s="3"/>
    </row>
    <row r="423" spans="1:7" ht="15.75" customHeight="1">
      <c r="A423" s="3"/>
      <c r="B423" s="3"/>
      <c r="C423" s="3"/>
      <c r="D423" s="3"/>
      <c r="E423" s="3"/>
      <c r="F423" s="3"/>
      <c r="G423" s="3"/>
    </row>
    <row r="424" spans="1:7" ht="15.75" customHeight="1">
      <c r="A424" s="3"/>
      <c r="B424" s="3"/>
      <c r="C424" s="3"/>
      <c r="D424" s="3"/>
      <c r="E424" s="3"/>
      <c r="F424" s="3"/>
      <c r="G424" s="3"/>
    </row>
    <row r="425" spans="1:7" ht="15.75" customHeight="1">
      <c r="A425" s="3"/>
      <c r="B425" s="3"/>
      <c r="C425" s="3"/>
      <c r="D425" s="3"/>
      <c r="E425" s="3"/>
      <c r="F425" s="3"/>
      <c r="G425" s="3"/>
    </row>
    <row r="426" spans="1:7" ht="15.75" customHeight="1">
      <c r="A426" s="3"/>
      <c r="B426" s="3"/>
      <c r="C426" s="3"/>
      <c r="D426" s="3"/>
      <c r="E426" s="3"/>
      <c r="F426" s="3"/>
      <c r="G426" s="3"/>
    </row>
    <row r="427" spans="1:7" ht="15.75" customHeight="1">
      <c r="A427" s="3"/>
      <c r="B427" s="3"/>
      <c r="C427" s="3"/>
      <c r="D427" s="3"/>
      <c r="E427" s="3"/>
      <c r="F427" s="3"/>
      <c r="G427" s="3"/>
    </row>
    <row r="428" spans="1:7" ht="15.75" customHeight="1">
      <c r="A428" s="3"/>
      <c r="B428" s="3"/>
      <c r="C428" s="3"/>
      <c r="D428" s="3"/>
      <c r="E428" s="3"/>
      <c r="F428" s="3"/>
      <c r="G428" s="3"/>
    </row>
    <row r="429" spans="1:7" ht="15.75" customHeight="1">
      <c r="A429" s="3"/>
      <c r="B429" s="3"/>
      <c r="C429" s="3"/>
      <c r="D429" s="3"/>
      <c r="E429" s="3"/>
      <c r="F429" s="3"/>
      <c r="G429" s="3"/>
    </row>
    <row r="430" spans="1:7" ht="15.75" customHeight="1">
      <c r="A430" s="3"/>
      <c r="B430" s="3"/>
      <c r="C430" s="3"/>
      <c r="D430" s="3"/>
      <c r="E430" s="3"/>
      <c r="F430" s="3"/>
      <c r="G430" s="3"/>
    </row>
    <row r="431" spans="1:7" ht="15.75" customHeight="1">
      <c r="A431" s="3"/>
      <c r="B431" s="3"/>
      <c r="C431" s="3"/>
      <c r="D431" s="3"/>
      <c r="E431" s="3"/>
      <c r="F431" s="3"/>
      <c r="G431" s="3"/>
    </row>
    <row r="432" spans="1:7" ht="15.75" customHeight="1">
      <c r="A432" s="3"/>
      <c r="B432" s="3"/>
      <c r="C432" s="3"/>
      <c r="D432" s="3"/>
      <c r="E432" s="3"/>
      <c r="F432" s="3"/>
      <c r="G432" s="3"/>
    </row>
    <row r="433" spans="1:7" ht="15.75" customHeight="1">
      <c r="A433" s="3"/>
      <c r="B433" s="3"/>
      <c r="C433" s="3"/>
      <c r="D433" s="3"/>
      <c r="E433" s="3"/>
      <c r="F433" s="3"/>
      <c r="G433" s="3"/>
    </row>
    <row r="434" spans="1:7" ht="15.75" customHeight="1">
      <c r="A434" s="3"/>
      <c r="B434" s="3"/>
      <c r="C434" s="3"/>
      <c r="D434" s="3"/>
      <c r="E434" s="3"/>
      <c r="F434" s="3"/>
      <c r="G434" s="3"/>
    </row>
    <row r="435" spans="1:7" ht="15.75" customHeight="1">
      <c r="A435" s="3"/>
      <c r="B435" s="3"/>
      <c r="C435" s="3"/>
      <c r="D435" s="3"/>
      <c r="E435" s="3"/>
      <c r="F435" s="3"/>
      <c r="G435" s="3"/>
    </row>
    <row r="436" spans="1:7" ht="15.75" customHeight="1">
      <c r="A436" s="3"/>
      <c r="B436" s="3"/>
      <c r="C436" s="3"/>
      <c r="D436" s="3"/>
      <c r="E436" s="3"/>
      <c r="F436" s="3"/>
      <c r="G436" s="3"/>
    </row>
    <row r="437" spans="1:7" ht="15.75" customHeight="1">
      <c r="A437" s="3"/>
      <c r="B437" s="3"/>
      <c r="C437" s="3"/>
      <c r="D437" s="3"/>
      <c r="E437" s="3"/>
      <c r="F437" s="3"/>
      <c r="G437" s="3"/>
    </row>
    <row r="438" spans="1:7" ht="15.75" customHeight="1">
      <c r="A438" s="3"/>
      <c r="B438" s="3"/>
      <c r="C438" s="3"/>
      <c r="D438" s="3"/>
      <c r="E438" s="3"/>
      <c r="F438" s="3"/>
      <c r="G438" s="3"/>
    </row>
    <row r="439" spans="1:7" ht="15.75" customHeight="1">
      <c r="A439" s="3"/>
      <c r="B439" s="3"/>
      <c r="C439" s="3"/>
      <c r="D439" s="3"/>
      <c r="E439" s="3"/>
      <c r="F439" s="3"/>
      <c r="G439" s="3"/>
    </row>
    <row r="440" spans="1:7" ht="15.75" customHeight="1">
      <c r="A440" s="3"/>
      <c r="B440" s="3"/>
      <c r="C440" s="3"/>
      <c r="D440" s="3"/>
      <c r="E440" s="3"/>
      <c r="F440" s="3"/>
      <c r="G440" s="3"/>
    </row>
    <row r="441" spans="1:7" ht="15.75" customHeight="1">
      <c r="A441" s="3"/>
      <c r="B441" s="3"/>
      <c r="C441" s="3"/>
      <c r="D441" s="3"/>
      <c r="E441" s="3"/>
      <c r="F441" s="3"/>
      <c r="G441" s="3"/>
    </row>
    <row r="442" spans="1:7" ht="15.75" customHeight="1">
      <c r="A442" s="3"/>
      <c r="B442" s="3"/>
      <c r="C442" s="3"/>
      <c r="D442" s="3"/>
      <c r="E442" s="3"/>
      <c r="F442" s="3"/>
      <c r="G442" s="3"/>
    </row>
    <row r="443" spans="1:7" ht="15.75" customHeight="1">
      <c r="A443" s="3"/>
      <c r="B443" s="3"/>
      <c r="C443" s="3"/>
      <c r="D443" s="3"/>
      <c r="E443" s="3"/>
      <c r="F443" s="3"/>
      <c r="G443" s="3"/>
    </row>
    <row r="444" spans="1:7" ht="15.75" customHeight="1">
      <c r="A444" s="3"/>
      <c r="B444" s="3"/>
      <c r="C444" s="3"/>
      <c r="D444" s="3"/>
      <c r="E444" s="3"/>
      <c r="F444" s="3"/>
      <c r="G444" s="3"/>
    </row>
    <row r="445" spans="1:7" ht="15.75" customHeight="1">
      <c r="A445" s="3"/>
      <c r="B445" s="3"/>
      <c r="C445" s="3"/>
      <c r="D445" s="3"/>
      <c r="E445" s="3"/>
      <c r="F445" s="3"/>
      <c r="G445" s="3"/>
    </row>
    <row r="446" spans="1:7" ht="15.75" customHeight="1">
      <c r="A446" s="3"/>
      <c r="B446" s="3"/>
      <c r="C446" s="3"/>
      <c r="D446" s="3"/>
      <c r="E446" s="3"/>
      <c r="F446" s="3"/>
      <c r="G446" s="3"/>
    </row>
    <row r="447" spans="1:7" ht="15.75" customHeight="1">
      <c r="A447" s="3"/>
      <c r="B447" s="3"/>
      <c r="C447" s="3"/>
      <c r="D447" s="3"/>
      <c r="E447" s="3"/>
      <c r="F447" s="3"/>
      <c r="G447" s="3"/>
    </row>
    <row r="448" spans="1:7" ht="15.75" customHeight="1">
      <c r="A448" s="3"/>
      <c r="B448" s="3"/>
      <c r="C448" s="3"/>
      <c r="D448" s="3"/>
      <c r="E448" s="3"/>
      <c r="F448" s="3"/>
      <c r="G448" s="3"/>
    </row>
    <row r="449" spans="1:7" ht="15.75" customHeight="1">
      <c r="A449" s="3"/>
      <c r="B449" s="3"/>
      <c r="C449" s="3"/>
      <c r="D449" s="3"/>
      <c r="E449" s="3"/>
      <c r="F449" s="3"/>
      <c r="G449" s="3"/>
    </row>
    <row r="450" spans="1:7" ht="15.75" customHeight="1">
      <c r="A450" s="3"/>
      <c r="B450" s="3"/>
      <c r="C450" s="3"/>
      <c r="D450" s="3"/>
      <c r="E450" s="3"/>
      <c r="F450" s="3"/>
      <c r="G450" s="3"/>
    </row>
    <row r="451" spans="1:7" ht="15.75" customHeight="1">
      <c r="A451" s="3"/>
      <c r="B451" s="3"/>
      <c r="C451" s="3"/>
      <c r="D451" s="3"/>
      <c r="E451" s="3"/>
      <c r="F451" s="3"/>
      <c r="G451" s="3"/>
    </row>
    <row r="452" spans="1:7" ht="15.75" customHeight="1">
      <c r="A452" s="3"/>
      <c r="B452" s="3"/>
      <c r="C452" s="3"/>
      <c r="D452" s="3"/>
      <c r="E452" s="3"/>
      <c r="F452" s="3"/>
      <c r="G452" s="3"/>
    </row>
    <row r="453" spans="1:7" ht="15.75" customHeight="1">
      <c r="A453" s="3"/>
      <c r="B453" s="3"/>
      <c r="C453" s="3"/>
      <c r="D453" s="3"/>
      <c r="E453" s="3"/>
      <c r="F453" s="3"/>
      <c r="G453" s="3"/>
    </row>
    <row r="454" spans="1:7" ht="15.75" customHeight="1">
      <c r="A454" s="3"/>
      <c r="B454" s="3"/>
      <c r="C454" s="3"/>
      <c r="D454" s="3"/>
      <c r="E454" s="3"/>
      <c r="F454" s="3"/>
      <c r="G454" s="3"/>
    </row>
    <row r="455" spans="1:7" ht="15.75" customHeight="1">
      <c r="A455" s="3"/>
      <c r="B455" s="3"/>
      <c r="C455" s="3"/>
      <c r="D455" s="3"/>
      <c r="E455" s="3"/>
      <c r="F455" s="3"/>
      <c r="G455" s="3"/>
    </row>
    <row r="456" spans="1:7" ht="15.75" customHeight="1">
      <c r="A456" s="3"/>
      <c r="B456" s="3"/>
      <c r="C456" s="3"/>
      <c r="D456" s="3"/>
      <c r="E456" s="3"/>
      <c r="F456" s="3"/>
      <c r="G456" s="3"/>
    </row>
    <row r="457" spans="1:7" ht="15.75" customHeight="1">
      <c r="A457" s="3"/>
      <c r="B457" s="3"/>
      <c r="C457" s="3"/>
      <c r="D457" s="3"/>
      <c r="E457" s="3"/>
      <c r="F457" s="3"/>
      <c r="G457" s="3"/>
    </row>
    <row r="458" spans="1:7" ht="15.75" customHeight="1">
      <c r="A458" s="3"/>
      <c r="B458" s="3"/>
      <c r="C458" s="3"/>
      <c r="D458" s="3"/>
      <c r="E458" s="3"/>
      <c r="F458" s="3"/>
      <c r="G458" s="3"/>
    </row>
    <row r="459" spans="1:7" ht="15.75" customHeight="1">
      <c r="A459" s="3"/>
      <c r="B459" s="3"/>
      <c r="C459" s="3"/>
      <c r="D459" s="3"/>
      <c r="E459" s="3"/>
      <c r="F459" s="3"/>
      <c r="G459" s="3"/>
    </row>
    <row r="460" spans="1:7" ht="15.75" customHeight="1">
      <c r="A460" s="3"/>
      <c r="B460" s="3"/>
      <c r="C460" s="3"/>
      <c r="D460" s="3"/>
      <c r="E460" s="3"/>
      <c r="F460" s="3"/>
      <c r="G460" s="3"/>
    </row>
    <row r="461" spans="1:7" ht="15.75" customHeight="1">
      <c r="A461" s="3"/>
      <c r="B461" s="3"/>
      <c r="C461" s="3"/>
      <c r="D461" s="3"/>
      <c r="E461" s="3"/>
      <c r="F461" s="3"/>
      <c r="G461" s="3"/>
    </row>
    <row r="462" spans="1:7" ht="15.75" customHeight="1">
      <c r="A462" s="3"/>
      <c r="B462" s="3"/>
      <c r="C462" s="3"/>
      <c r="D462" s="3"/>
      <c r="E462" s="3"/>
      <c r="F462" s="3"/>
      <c r="G462" s="3"/>
    </row>
    <row r="463" spans="1:7" ht="15.75" customHeight="1">
      <c r="A463" s="3"/>
      <c r="B463" s="3"/>
      <c r="C463" s="3"/>
      <c r="D463" s="3"/>
      <c r="E463" s="3"/>
      <c r="F463" s="3"/>
      <c r="G463" s="3"/>
    </row>
    <row r="464" spans="1:7" ht="15.75" customHeight="1">
      <c r="A464" s="3"/>
      <c r="B464" s="3"/>
      <c r="C464" s="3"/>
      <c r="D464" s="3"/>
      <c r="E464" s="3"/>
      <c r="F464" s="3"/>
      <c r="G464" s="3"/>
    </row>
    <row r="465" spans="1:7" ht="15.75" customHeight="1">
      <c r="A465" s="3"/>
      <c r="B465" s="3"/>
      <c r="C465" s="3"/>
      <c r="D465" s="3"/>
      <c r="E465" s="3"/>
      <c r="F465" s="3"/>
      <c r="G465" s="3"/>
    </row>
    <row r="466" spans="1:7" ht="15.75" customHeight="1">
      <c r="A466" s="3"/>
      <c r="B466" s="3"/>
      <c r="C466" s="3"/>
      <c r="D466" s="3"/>
      <c r="E466" s="3"/>
      <c r="F466" s="3"/>
      <c r="G466" s="3"/>
    </row>
    <row r="467" spans="1:7" ht="15.75" customHeight="1">
      <c r="A467" s="3"/>
      <c r="B467" s="3"/>
      <c r="C467" s="3"/>
      <c r="D467" s="3"/>
      <c r="E467" s="3"/>
      <c r="F467" s="3"/>
      <c r="G467" s="3"/>
    </row>
    <row r="468" spans="1:7" ht="15.75" customHeight="1">
      <c r="A468" s="3"/>
      <c r="B468" s="3"/>
      <c r="C468" s="3"/>
      <c r="D468" s="3"/>
      <c r="E468" s="3"/>
      <c r="F468" s="3"/>
      <c r="G468" s="3"/>
    </row>
    <row r="469" spans="1:7" ht="15.75" customHeight="1">
      <c r="A469" s="3"/>
      <c r="B469" s="3"/>
      <c r="C469" s="3"/>
      <c r="D469" s="3"/>
      <c r="E469" s="3"/>
      <c r="F469" s="3"/>
      <c r="G469" s="3"/>
    </row>
    <row r="470" spans="1:7" ht="15.75" customHeight="1">
      <c r="A470" s="3"/>
      <c r="B470" s="3"/>
      <c r="C470" s="3"/>
      <c r="D470" s="3"/>
      <c r="E470" s="3"/>
      <c r="F470" s="3"/>
      <c r="G470" s="3"/>
    </row>
    <row r="471" spans="1:7" ht="15.75" customHeight="1">
      <c r="A471" s="3"/>
      <c r="B471" s="3"/>
      <c r="C471" s="3"/>
      <c r="D471" s="3"/>
      <c r="E471" s="3"/>
      <c r="F471" s="3"/>
      <c r="G471" s="3"/>
    </row>
    <row r="472" spans="1:7" ht="15.75" customHeight="1">
      <c r="A472" s="3"/>
      <c r="B472" s="3"/>
      <c r="C472" s="3"/>
      <c r="D472" s="3"/>
      <c r="E472" s="3"/>
      <c r="F472" s="3"/>
      <c r="G472" s="3"/>
    </row>
    <row r="473" spans="1:7" ht="15.75" customHeight="1">
      <c r="A473" s="3"/>
      <c r="B473" s="3"/>
      <c r="C473" s="3"/>
      <c r="D473" s="3"/>
      <c r="E473" s="3"/>
      <c r="F473" s="3"/>
      <c r="G473" s="3"/>
    </row>
    <row r="474" spans="1:7" ht="15.75" customHeight="1">
      <c r="A474" s="3"/>
      <c r="B474" s="3"/>
      <c r="C474" s="3"/>
      <c r="D474" s="3"/>
      <c r="E474" s="3"/>
      <c r="F474" s="3"/>
      <c r="G474" s="3"/>
    </row>
    <row r="475" spans="1:7" ht="15.75" customHeight="1">
      <c r="A475" s="3"/>
      <c r="B475" s="3"/>
      <c r="C475" s="3"/>
      <c r="D475" s="3"/>
      <c r="E475" s="3"/>
      <c r="F475" s="3"/>
      <c r="G475" s="3"/>
    </row>
    <row r="476" spans="1:7" ht="15.75" customHeight="1">
      <c r="A476" s="3"/>
      <c r="B476" s="3"/>
      <c r="C476" s="3"/>
      <c r="D476" s="3"/>
      <c r="E476" s="3"/>
      <c r="F476" s="3"/>
      <c r="G476" s="3"/>
    </row>
    <row r="477" spans="1:7" ht="15.75" customHeight="1">
      <c r="A477" s="3"/>
      <c r="B477" s="3"/>
      <c r="C477" s="3"/>
      <c r="D477" s="3"/>
      <c r="E477" s="3"/>
      <c r="F477" s="3"/>
      <c r="G477" s="3"/>
    </row>
    <row r="478" spans="1:7" ht="15.75" customHeight="1">
      <c r="A478" s="3"/>
      <c r="B478" s="3"/>
      <c r="C478" s="3"/>
      <c r="D478" s="3"/>
      <c r="E478" s="3"/>
      <c r="F478" s="3"/>
      <c r="G478" s="3"/>
    </row>
    <row r="479" spans="1:7" ht="15.75" customHeight="1">
      <c r="A479" s="3"/>
      <c r="B479" s="3"/>
      <c r="C479" s="3"/>
      <c r="D479" s="3"/>
      <c r="E479" s="3"/>
      <c r="F479" s="3"/>
      <c r="G479" s="3"/>
    </row>
    <row r="480" spans="1:7" ht="15.75" customHeight="1">
      <c r="A480" s="3"/>
      <c r="B480" s="3"/>
      <c r="C480" s="3"/>
      <c r="D480" s="3"/>
      <c r="E480" s="3"/>
      <c r="F480" s="3"/>
      <c r="G480" s="3"/>
    </row>
    <row r="481" spans="1:7" ht="15.75" customHeight="1">
      <c r="A481" s="3"/>
      <c r="B481" s="3"/>
      <c r="C481" s="3"/>
      <c r="D481" s="3"/>
      <c r="E481" s="3"/>
      <c r="F481" s="3"/>
      <c r="G481" s="3"/>
    </row>
    <row r="482" spans="1:7" ht="15.75" customHeight="1">
      <c r="A482" s="3"/>
      <c r="B482" s="3"/>
      <c r="C482" s="3"/>
      <c r="D482" s="3"/>
      <c r="E482" s="3"/>
      <c r="F482" s="3"/>
      <c r="G482" s="3"/>
    </row>
    <row r="483" spans="1:7" ht="15.75" customHeight="1">
      <c r="A483" s="3"/>
      <c r="B483" s="3"/>
      <c r="C483" s="3"/>
      <c r="D483" s="3"/>
      <c r="E483" s="3"/>
      <c r="F483" s="3"/>
      <c r="G483" s="3"/>
    </row>
    <row r="484" spans="1:7" ht="15.75" customHeight="1">
      <c r="A484" s="3"/>
      <c r="B484" s="3"/>
      <c r="C484" s="3"/>
      <c r="D484" s="3"/>
      <c r="E484" s="3"/>
      <c r="F484" s="3"/>
      <c r="G484" s="3"/>
    </row>
    <row r="485" spans="1:7" ht="15.75" customHeight="1">
      <c r="A485" s="3"/>
      <c r="B485" s="3"/>
      <c r="C485" s="3"/>
      <c r="D485" s="3"/>
      <c r="E485" s="3"/>
      <c r="F485" s="3"/>
      <c r="G485" s="3"/>
    </row>
    <row r="486" spans="1:7" ht="15.75" customHeight="1">
      <c r="A486" s="3"/>
      <c r="B486" s="3"/>
      <c r="C486" s="3"/>
      <c r="D486" s="3"/>
      <c r="E486" s="3"/>
      <c r="F486" s="3"/>
      <c r="G486" s="3"/>
    </row>
    <row r="487" spans="1:7" ht="15.75" customHeight="1">
      <c r="A487" s="3"/>
      <c r="B487" s="3"/>
      <c r="C487" s="3"/>
      <c r="D487" s="3"/>
      <c r="E487" s="3"/>
      <c r="F487" s="3"/>
      <c r="G487" s="3"/>
    </row>
    <row r="488" spans="1:7" ht="15.75" customHeight="1">
      <c r="A488" s="3"/>
      <c r="B488" s="3"/>
      <c r="C488" s="3"/>
      <c r="D488" s="3"/>
      <c r="E488" s="3"/>
      <c r="F488" s="3"/>
      <c r="G488" s="3"/>
    </row>
    <row r="489" spans="1:7" ht="15.75" customHeight="1">
      <c r="A489" s="3"/>
      <c r="B489" s="3"/>
      <c r="C489" s="3"/>
      <c r="D489" s="3"/>
      <c r="E489" s="3"/>
      <c r="F489" s="3"/>
      <c r="G489" s="3"/>
    </row>
    <row r="490" spans="1:7" ht="15.75" customHeight="1">
      <c r="A490" s="3"/>
      <c r="B490" s="3"/>
      <c r="C490" s="3"/>
      <c r="D490" s="3"/>
      <c r="E490" s="3"/>
      <c r="F490" s="3"/>
      <c r="G490" s="3"/>
    </row>
    <row r="491" spans="1:7" ht="15.75" customHeight="1">
      <c r="A491" s="3"/>
      <c r="B491" s="3"/>
      <c r="C491" s="3"/>
      <c r="D491" s="3"/>
      <c r="E491" s="3"/>
      <c r="F491" s="3"/>
      <c r="G491" s="3"/>
    </row>
    <row r="492" spans="1:7" ht="15.75" customHeight="1">
      <c r="A492" s="3"/>
      <c r="B492" s="3"/>
      <c r="C492" s="3"/>
      <c r="D492" s="3"/>
      <c r="E492" s="3"/>
      <c r="F492" s="3"/>
      <c r="G492" s="3"/>
    </row>
    <row r="493" spans="1:7" ht="15.75" customHeight="1">
      <c r="A493" s="3"/>
      <c r="B493" s="3"/>
      <c r="C493" s="3"/>
      <c r="D493" s="3"/>
      <c r="E493" s="3"/>
      <c r="F493" s="3"/>
      <c r="G493" s="3"/>
    </row>
    <row r="494" spans="1:7" ht="15.75" customHeight="1">
      <c r="A494" s="3"/>
      <c r="B494" s="3"/>
      <c r="C494" s="3"/>
      <c r="D494" s="3"/>
      <c r="E494" s="3"/>
      <c r="F494" s="3"/>
      <c r="G494" s="3"/>
    </row>
    <row r="495" spans="1:7" ht="15.75" customHeight="1">
      <c r="A495" s="3"/>
      <c r="B495" s="3"/>
      <c r="C495" s="3"/>
      <c r="D495" s="3"/>
      <c r="E495" s="3"/>
      <c r="F495" s="3"/>
      <c r="G495" s="3"/>
    </row>
    <row r="496" spans="1:7" ht="15.75" customHeight="1">
      <c r="A496" s="3"/>
      <c r="B496" s="3"/>
      <c r="C496" s="3"/>
      <c r="D496" s="3"/>
      <c r="E496" s="3"/>
      <c r="F496" s="3"/>
      <c r="G496" s="3"/>
    </row>
    <row r="497" spans="1:7" ht="15.75" customHeight="1">
      <c r="A497" s="3"/>
      <c r="B497" s="3"/>
      <c r="C497" s="3"/>
      <c r="D497" s="3"/>
      <c r="E497" s="3"/>
      <c r="F497" s="3"/>
      <c r="G497" s="3"/>
    </row>
    <row r="498" spans="1:7" ht="15.75" customHeight="1">
      <c r="A498" s="3"/>
      <c r="B498" s="3"/>
      <c r="C498" s="3"/>
      <c r="D498" s="3"/>
      <c r="E498" s="3"/>
      <c r="F498" s="3"/>
      <c r="G498" s="3"/>
    </row>
    <row r="499" spans="1:7" ht="15.75" customHeight="1">
      <c r="A499" s="3"/>
      <c r="B499" s="3"/>
      <c r="C499" s="3"/>
      <c r="D499" s="3"/>
      <c r="E499" s="3"/>
      <c r="F499" s="3"/>
      <c r="G499" s="3"/>
    </row>
    <row r="500" spans="1:7" ht="15.75" customHeight="1">
      <c r="A500" s="3"/>
      <c r="B500" s="3"/>
      <c r="C500" s="3"/>
      <c r="D500" s="3"/>
      <c r="E500" s="3"/>
      <c r="F500" s="3"/>
      <c r="G500" s="3"/>
    </row>
    <row r="501" spans="1:7" ht="15.75" customHeight="1">
      <c r="A501" s="3"/>
      <c r="B501" s="3"/>
      <c r="C501" s="3"/>
      <c r="D501" s="3"/>
      <c r="E501" s="3"/>
      <c r="F501" s="3"/>
      <c r="G501" s="3"/>
    </row>
    <row r="502" spans="1:7" ht="15.75" customHeight="1">
      <c r="A502" s="3"/>
      <c r="B502" s="3"/>
      <c r="C502" s="3"/>
      <c r="D502" s="3"/>
      <c r="E502" s="3"/>
      <c r="F502" s="3"/>
      <c r="G502" s="3"/>
    </row>
    <row r="503" spans="1:7" ht="15.75" customHeight="1">
      <c r="A503" s="3"/>
      <c r="B503" s="3"/>
      <c r="C503" s="3"/>
      <c r="D503" s="3"/>
      <c r="E503" s="3"/>
      <c r="F503" s="3"/>
      <c r="G503" s="3"/>
    </row>
    <row r="504" spans="1:7" ht="15.75" customHeight="1">
      <c r="A504" s="3"/>
      <c r="B504" s="3"/>
      <c r="C504" s="3"/>
      <c r="D504" s="3"/>
      <c r="E504" s="3"/>
      <c r="F504" s="3"/>
      <c r="G504" s="3"/>
    </row>
    <row r="505" spans="1:7" ht="15.75" customHeight="1">
      <c r="A505" s="3"/>
      <c r="B505" s="3"/>
      <c r="C505" s="3"/>
      <c r="D505" s="3"/>
      <c r="E505" s="3"/>
      <c r="F505" s="3"/>
      <c r="G505" s="3"/>
    </row>
    <row r="506" spans="1:7" ht="15.75" customHeight="1">
      <c r="A506" s="3"/>
      <c r="B506" s="3"/>
      <c r="C506" s="3"/>
      <c r="D506" s="3"/>
      <c r="E506" s="3"/>
      <c r="F506" s="3"/>
      <c r="G506" s="3"/>
    </row>
    <row r="507" spans="1:7" ht="15.75" customHeight="1">
      <c r="A507" s="3"/>
      <c r="B507" s="3"/>
      <c r="C507" s="3"/>
      <c r="D507" s="3"/>
      <c r="E507" s="3"/>
      <c r="F507" s="3"/>
      <c r="G507" s="3"/>
    </row>
    <row r="508" spans="1:7" ht="15.75" customHeight="1">
      <c r="A508" s="3"/>
      <c r="B508" s="3"/>
      <c r="C508" s="3"/>
      <c r="D508" s="3"/>
      <c r="E508" s="3"/>
      <c r="F508" s="3"/>
      <c r="G508" s="3"/>
    </row>
    <row r="509" spans="1:7" ht="15.75" customHeight="1">
      <c r="A509" s="3"/>
      <c r="B509" s="3"/>
      <c r="C509" s="3"/>
      <c r="D509" s="3"/>
      <c r="E509" s="3"/>
      <c r="F509" s="3"/>
      <c r="G509" s="3"/>
    </row>
    <row r="510" spans="1:7" ht="15.75" customHeight="1">
      <c r="A510" s="3"/>
      <c r="B510" s="3"/>
      <c r="C510" s="3"/>
      <c r="D510" s="3"/>
      <c r="E510" s="3"/>
      <c r="F510" s="3"/>
      <c r="G510" s="3"/>
    </row>
    <row r="511" spans="1:7" ht="15.75" customHeight="1">
      <c r="A511" s="3"/>
      <c r="B511" s="3"/>
      <c r="C511" s="3"/>
      <c r="D511" s="3"/>
      <c r="E511" s="3"/>
      <c r="F511" s="3"/>
      <c r="G511" s="3"/>
    </row>
    <row r="512" spans="1:7" ht="15.75" customHeight="1">
      <c r="A512" s="3"/>
      <c r="B512" s="3"/>
      <c r="C512" s="3"/>
      <c r="D512" s="3"/>
      <c r="E512" s="3"/>
      <c r="F512" s="3"/>
      <c r="G512" s="3"/>
    </row>
    <row r="513" spans="1:7" ht="15.75" customHeight="1">
      <c r="A513" s="3"/>
      <c r="B513" s="3"/>
      <c r="C513" s="3"/>
      <c r="D513" s="3"/>
      <c r="E513" s="3"/>
      <c r="F513" s="3"/>
      <c r="G513" s="3"/>
    </row>
    <row r="514" spans="1:7" ht="15.75" customHeight="1">
      <c r="A514" s="3"/>
      <c r="B514" s="3"/>
      <c r="C514" s="3"/>
      <c r="D514" s="3"/>
      <c r="E514" s="3"/>
      <c r="F514" s="3"/>
      <c r="G514" s="3"/>
    </row>
    <row r="515" spans="1:7" ht="15.75" customHeight="1">
      <c r="A515" s="3"/>
      <c r="B515" s="3"/>
      <c r="C515" s="3"/>
      <c r="D515" s="3"/>
      <c r="E515" s="3"/>
      <c r="F515" s="3"/>
      <c r="G515" s="3"/>
    </row>
    <row r="516" spans="1:7" ht="15.75" customHeight="1">
      <c r="A516" s="3"/>
      <c r="B516" s="3"/>
      <c r="C516" s="3"/>
      <c r="D516" s="3"/>
      <c r="E516" s="3"/>
      <c r="F516" s="3"/>
      <c r="G516" s="3"/>
    </row>
    <row r="517" spans="1:7" ht="15.75" customHeight="1">
      <c r="A517" s="3"/>
      <c r="B517" s="3"/>
      <c r="C517" s="3"/>
      <c r="D517" s="3"/>
      <c r="E517" s="3"/>
      <c r="F517" s="3"/>
      <c r="G517" s="3"/>
    </row>
    <row r="518" spans="1:7" ht="15.75" customHeight="1">
      <c r="A518" s="3"/>
      <c r="B518" s="3"/>
      <c r="C518" s="3"/>
      <c r="D518" s="3"/>
      <c r="E518" s="3"/>
      <c r="F518" s="3"/>
      <c r="G518" s="3"/>
    </row>
    <row r="519" spans="1:7" ht="15.75" customHeight="1">
      <c r="A519" s="3"/>
      <c r="B519" s="3"/>
      <c r="C519" s="3"/>
      <c r="D519" s="3"/>
      <c r="E519" s="3"/>
      <c r="F519" s="3"/>
      <c r="G519" s="3"/>
    </row>
    <row r="520" spans="1:7" ht="15.75" customHeight="1">
      <c r="A520" s="3"/>
      <c r="B520" s="3"/>
      <c r="C520" s="3"/>
      <c r="D520" s="3"/>
      <c r="E520" s="3"/>
      <c r="F520" s="3"/>
      <c r="G520" s="3"/>
    </row>
    <row r="521" spans="1:7" ht="15.75" customHeight="1">
      <c r="A521" s="3"/>
      <c r="B521" s="3"/>
      <c r="C521" s="3"/>
      <c r="D521" s="3"/>
      <c r="E521" s="3"/>
      <c r="F521" s="3"/>
      <c r="G521" s="3"/>
    </row>
    <row r="522" spans="1:7" ht="15.75" customHeight="1">
      <c r="A522" s="3"/>
      <c r="B522" s="3"/>
      <c r="C522" s="3"/>
      <c r="D522" s="3"/>
      <c r="E522" s="3"/>
      <c r="F522" s="3"/>
      <c r="G522" s="3"/>
    </row>
    <row r="523" spans="1:7" ht="15.75" customHeight="1">
      <c r="A523" s="3"/>
      <c r="B523" s="3"/>
      <c r="C523" s="3"/>
      <c r="D523" s="3"/>
      <c r="E523" s="3"/>
      <c r="F523" s="3"/>
      <c r="G523" s="3"/>
    </row>
    <row r="524" spans="1:7" ht="15.75" customHeight="1">
      <c r="A524" s="3"/>
      <c r="B524" s="3"/>
      <c r="C524" s="3"/>
      <c r="D524" s="3"/>
      <c r="E524" s="3"/>
      <c r="F524" s="3"/>
      <c r="G524" s="3"/>
    </row>
    <row r="525" spans="1:7" ht="15.75" customHeight="1">
      <c r="A525" s="3"/>
      <c r="B525" s="3"/>
      <c r="C525" s="3"/>
      <c r="D525" s="3"/>
      <c r="E525" s="3"/>
      <c r="F525" s="3"/>
      <c r="G525" s="3"/>
    </row>
    <row r="526" spans="1:7" ht="15.75" customHeight="1">
      <c r="A526" s="3"/>
      <c r="B526" s="3"/>
      <c r="C526" s="3"/>
      <c r="D526" s="3"/>
      <c r="E526" s="3"/>
      <c r="F526" s="3"/>
      <c r="G526" s="3"/>
    </row>
    <row r="527" spans="1:7" ht="15.75" customHeight="1">
      <c r="A527" s="3"/>
      <c r="B527" s="3"/>
      <c r="C527" s="3"/>
      <c r="D527" s="3"/>
      <c r="E527" s="3"/>
      <c r="F527" s="3"/>
      <c r="G527" s="3"/>
    </row>
    <row r="528" spans="1:7" ht="15.75" customHeight="1">
      <c r="A528" s="3"/>
      <c r="B528" s="3"/>
      <c r="C528" s="3"/>
      <c r="D528" s="3"/>
      <c r="E528" s="3"/>
      <c r="F528" s="3"/>
      <c r="G528" s="3"/>
    </row>
    <row r="529" spans="1:7" ht="15.75" customHeight="1">
      <c r="A529" s="3"/>
      <c r="B529" s="3"/>
      <c r="C529" s="3"/>
      <c r="D529" s="3"/>
      <c r="E529" s="3"/>
      <c r="F529" s="3"/>
      <c r="G529" s="3"/>
    </row>
    <row r="530" spans="1:7" ht="15.75" customHeight="1">
      <c r="A530" s="3"/>
      <c r="B530" s="3"/>
      <c r="C530" s="3"/>
      <c r="D530" s="3"/>
      <c r="E530" s="3"/>
      <c r="F530" s="3"/>
      <c r="G530" s="3"/>
    </row>
    <row r="531" spans="1:7" ht="15.75" customHeight="1">
      <c r="A531" s="3"/>
      <c r="B531" s="3"/>
      <c r="C531" s="3"/>
      <c r="D531" s="3"/>
      <c r="E531" s="3"/>
      <c r="F531" s="3"/>
      <c r="G531" s="3"/>
    </row>
    <row r="532" spans="1:7" ht="15.75" customHeight="1">
      <c r="A532" s="3"/>
      <c r="B532" s="3"/>
      <c r="C532" s="3"/>
      <c r="D532" s="3"/>
      <c r="E532" s="3"/>
      <c r="F532" s="3"/>
      <c r="G532" s="3"/>
    </row>
    <row r="533" spans="1:7" ht="15.75" customHeight="1">
      <c r="A533" s="3"/>
      <c r="B533" s="3"/>
      <c r="C533" s="3"/>
      <c r="D533" s="3"/>
      <c r="E533" s="3"/>
      <c r="F533" s="3"/>
      <c r="G533" s="3"/>
    </row>
    <row r="534" spans="1:7" ht="15.75" customHeight="1">
      <c r="A534" s="3"/>
      <c r="B534" s="3"/>
      <c r="C534" s="3"/>
      <c r="D534" s="3"/>
      <c r="E534" s="3"/>
      <c r="F534" s="3"/>
      <c r="G534" s="3"/>
    </row>
    <row r="535" spans="1:7" ht="15.75" customHeight="1">
      <c r="A535" s="3"/>
      <c r="B535" s="3"/>
      <c r="C535" s="3"/>
      <c r="D535" s="3"/>
      <c r="E535" s="3"/>
      <c r="F535" s="3"/>
      <c r="G535" s="3"/>
    </row>
    <row r="536" spans="1:7" ht="15.75" customHeight="1">
      <c r="A536" s="3"/>
      <c r="B536" s="3"/>
      <c r="C536" s="3"/>
      <c r="D536" s="3"/>
      <c r="E536" s="3"/>
      <c r="F536" s="3"/>
      <c r="G536" s="3"/>
    </row>
    <row r="537" spans="1:7" ht="15.75" customHeight="1">
      <c r="A537" s="3"/>
      <c r="B537" s="3"/>
      <c r="C537" s="3"/>
      <c r="D537" s="3"/>
      <c r="E537" s="3"/>
      <c r="F537" s="3"/>
      <c r="G537" s="3"/>
    </row>
    <row r="538" spans="1:7" ht="15.75" customHeight="1">
      <c r="A538" s="3"/>
      <c r="B538" s="3"/>
      <c r="C538" s="3"/>
      <c r="D538" s="3"/>
      <c r="E538" s="3"/>
      <c r="F538" s="3"/>
      <c r="G538" s="3"/>
    </row>
    <row r="539" spans="1:7" ht="15.75" customHeight="1">
      <c r="A539" s="3"/>
      <c r="B539" s="3"/>
      <c r="C539" s="3"/>
      <c r="D539" s="3"/>
      <c r="E539" s="3"/>
      <c r="F539" s="3"/>
      <c r="G539" s="3"/>
    </row>
    <row r="540" spans="1:7" ht="15.75" customHeight="1">
      <c r="A540" s="3"/>
      <c r="B540" s="3"/>
      <c r="C540" s="3"/>
      <c r="D540" s="3"/>
      <c r="E540" s="3"/>
      <c r="F540" s="3"/>
      <c r="G540" s="3"/>
    </row>
    <row r="541" spans="1:7" ht="15.75" customHeight="1">
      <c r="A541" s="3"/>
      <c r="B541" s="3"/>
      <c r="C541" s="3"/>
      <c r="D541" s="3"/>
      <c r="E541" s="3"/>
      <c r="F541" s="3"/>
      <c r="G541" s="3"/>
    </row>
    <row r="542" spans="1:7" ht="15.75" customHeight="1">
      <c r="A542" s="3"/>
      <c r="B542" s="3"/>
      <c r="C542" s="3"/>
      <c r="D542" s="3"/>
      <c r="E542" s="3"/>
      <c r="F542" s="3"/>
      <c r="G542" s="3"/>
    </row>
    <row r="543" spans="1:7" ht="15.75" customHeight="1">
      <c r="A543" s="3"/>
      <c r="B543" s="3"/>
      <c r="C543" s="3"/>
      <c r="D543" s="3"/>
      <c r="E543" s="3"/>
      <c r="F543" s="3"/>
      <c r="G543" s="3"/>
    </row>
    <row r="544" spans="1:7" ht="15.75" customHeight="1">
      <c r="A544" s="3"/>
      <c r="B544" s="3"/>
      <c r="C544" s="3"/>
      <c r="D544" s="3"/>
      <c r="E544" s="3"/>
      <c r="F544" s="3"/>
      <c r="G544" s="3"/>
    </row>
    <row r="545" spans="1:7" ht="15.75" customHeight="1">
      <c r="A545" s="3"/>
      <c r="B545" s="3"/>
      <c r="C545" s="3"/>
      <c r="D545" s="3"/>
      <c r="E545" s="3"/>
      <c r="F545" s="3"/>
      <c r="G545" s="3"/>
    </row>
    <row r="546" spans="1:7" ht="15.75" customHeight="1">
      <c r="A546" s="3"/>
      <c r="B546" s="3"/>
      <c r="C546" s="3"/>
      <c r="D546" s="3"/>
      <c r="E546" s="3"/>
      <c r="F546" s="3"/>
      <c r="G546" s="3"/>
    </row>
    <row r="547" spans="1:7" ht="15.75" customHeight="1">
      <c r="A547" s="3"/>
      <c r="B547" s="3"/>
      <c r="C547" s="3"/>
      <c r="D547" s="3"/>
      <c r="E547" s="3"/>
      <c r="F547" s="3"/>
      <c r="G547" s="3"/>
    </row>
    <row r="548" spans="1:7" ht="15.75" customHeight="1">
      <c r="A548" s="3"/>
      <c r="B548" s="3"/>
      <c r="C548" s="3"/>
      <c r="D548" s="3"/>
      <c r="E548" s="3"/>
      <c r="F548" s="3"/>
      <c r="G548" s="3"/>
    </row>
    <row r="549" spans="1:7" ht="15.75" customHeight="1">
      <c r="A549" s="3"/>
      <c r="B549" s="3"/>
      <c r="C549" s="3"/>
      <c r="D549" s="3"/>
      <c r="E549" s="3"/>
      <c r="F549" s="3"/>
      <c r="G549" s="3"/>
    </row>
    <row r="550" spans="1:7" ht="15.75" customHeight="1">
      <c r="A550" s="3"/>
      <c r="B550" s="3"/>
      <c r="C550" s="3"/>
      <c r="D550" s="3"/>
      <c r="E550" s="3"/>
      <c r="F550" s="3"/>
      <c r="G550" s="3"/>
    </row>
    <row r="551" spans="1:7" ht="15.75" customHeight="1">
      <c r="A551" s="3"/>
      <c r="B551" s="3"/>
      <c r="C551" s="3"/>
      <c r="D551" s="3"/>
      <c r="E551" s="3"/>
      <c r="F551" s="3"/>
      <c r="G551" s="3"/>
    </row>
    <row r="552" spans="1:7" ht="15.75" customHeight="1">
      <c r="A552" s="3"/>
      <c r="B552" s="3"/>
      <c r="C552" s="3"/>
      <c r="D552" s="3"/>
      <c r="E552" s="3"/>
      <c r="F552" s="3"/>
      <c r="G552" s="3"/>
    </row>
    <row r="553" spans="1:7" ht="15.75" customHeight="1">
      <c r="A553" s="3"/>
      <c r="B553" s="3"/>
      <c r="C553" s="3"/>
      <c r="D553" s="3"/>
      <c r="E553" s="3"/>
      <c r="F553" s="3"/>
      <c r="G553" s="3"/>
    </row>
    <row r="554" spans="1:7" ht="15.75" customHeight="1">
      <c r="A554" s="3"/>
      <c r="B554" s="3"/>
      <c r="C554" s="3"/>
      <c r="D554" s="3"/>
      <c r="E554" s="3"/>
      <c r="F554" s="3"/>
      <c r="G554" s="3"/>
    </row>
    <row r="555" spans="1:7" ht="15.75" customHeight="1">
      <c r="A555" s="3"/>
      <c r="B555" s="3"/>
      <c r="C555" s="3"/>
      <c r="D555" s="3"/>
      <c r="E555" s="3"/>
      <c r="F555" s="3"/>
      <c r="G555" s="3"/>
    </row>
    <row r="556" spans="1:7" ht="15.75" customHeight="1">
      <c r="A556" s="3"/>
      <c r="B556" s="3"/>
      <c r="C556" s="3"/>
      <c r="D556" s="3"/>
      <c r="E556" s="3"/>
      <c r="F556" s="3"/>
      <c r="G556" s="3"/>
    </row>
    <row r="557" spans="1:7" ht="15.75" customHeight="1">
      <c r="A557" s="3"/>
      <c r="B557" s="3"/>
      <c r="C557" s="3"/>
      <c r="D557" s="3"/>
      <c r="E557" s="3"/>
      <c r="F557" s="3"/>
      <c r="G557" s="3"/>
    </row>
    <row r="558" spans="1:7" ht="15.75" customHeight="1">
      <c r="A558" s="3"/>
      <c r="B558" s="3"/>
      <c r="C558" s="3"/>
      <c r="D558" s="3"/>
      <c r="E558" s="3"/>
      <c r="F558" s="3"/>
      <c r="G558" s="3"/>
    </row>
    <row r="559" spans="1:7" ht="15.75" customHeight="1">
      <c r="A559" s="3"/>
      <c r="B559" s="3"/>
      <c r="C559" s="3"/>
      <c r="D559" s="3"/>
      <c r="E559" s="3"/>
      <c r="F559" s="3"/>
      <c r="G559" s="3"/>
    </row>
    <row r="560" spans="1:7" ht="15.75" customHeight="1">
      <c r="A560" s="3"/>
      <c r="B560" s="3"/>
      <c r="C560" s="3"/>
      <c r="D560" s="3"/>
      <c r="E560" s="3"/>
      <c r="F560" s="3"/>
      <c r="G560" s="3"/>
    </row>
    <row r="561" spans="1:7" ht="15.75" customHeight="1">
      <c r="A561" s="3"/>
      <c r="B561" s="3"/>
      <c r="C561" s="3"/>
      <c r="D561" s="3"/>
      <c r="E561" s="3"/>
      <c r="F561" s="3"/>
      <c r="G561" s="3"/>
    </row>
    <row r="562" spans="1:7" ht="15.75" customHeight="1">
      <c r="A562" s="3"/>
      <c r="B562" s="3"/>
      <c r="C562" s="3"/>
      <c r="D562" s="3"/>
      <c r="E562" s="3"/>
      <c r="F562" s="3"/>
      <c r="G562" s="3"/>
    </row>
    <row r="563" spans="1:7" ht="15.75" customHeight="1">
      <c r="A563" s="3"/>
      <c r="B563" s="3"/>
      <c r="C563" s="3"/>
      <c r="D563" s="3"/>
      <c r="E563" s="3"/>
      <c r="F563" s="3"/>
      <c r="G563" s="3"/>
    </row>
    <row r="564" spans="1:7" ht="15.75" customHeight="1">
      <c r="A564" s="3"/>
      <c r="B564" s="3"/>
      <c r="C564" s="3"/>
      <c r="D564" s="3"/>
      <c r="E564" s="3"/>
      <c r="F564" s="3"/>
      <c r="G564" s="3"/>
    </row>
    <row r="565" spans="1:7" ht="15.75" customHeight="1">
      <c r="A565" s="3"/>
      <c r="B565" s="3"/>
      <c r="C565" s="3"/>
      <c r="D565" s="3"/>
      <c r="E565" s="3"/>
      <c r="F565" s="3"/>
      <c r="G565" s="3"/>
    </row>
    <row r="566" spans="1:7" ht="15.75" customHeight="1">
      <c r="A566" s="3"/>
      <c r="B566" s="3"/>
      <c r="C566" s="3"/>
      <c r="D566" s="3"/>
      <c r="E566" s="3"/>
      <c r="F566" s="3"/>
      <c r="G566" s="3"/>
    </row>
    <row r="567" spans="1:7" ht="15.75" customHeight="1">
      <c r="A567" s="3"/>
      <c r="B567" s="3"/>
      <c r="C567" s="3"/>
      <c r="D567" s="3"/>
      <c r="E567" s="3"/>
      <c r="F567" s="3"/>
      <c r="G567" s="3"/>
    </row>
    <row r="568" spans="1:7" ht="15.75" customHeight="1">
      <c r="A568" s="3"/>
      <c r="B568" s="3"/>
      <c r="C568" s="3"/>
      <c r="D568" s="3"/>
      <c r="E568" s="3"/>
      <c r="F568" s="3"/>
      <c r="G568" s="3"/>
    </row>
    <row r="569" spans="1:7" ht="15.75" customHeight="1">
      <c r="A569" s="3"/>
      <c r="B569" s="3"/>
      <c r="C569" s="3"/>
      <c r="D569" s="3"/>
      <c r="E569" s="3"/>
      <c r="F569" s="3"/>
      <c r="G569" s="3"/>
    </row>
    <row r="570" spans="1:7" ht="15.75" customHeight="1">
      <c r="A570" s="3"/>
      <c r="B570" s="3"/>
      <c r="C570" s="3"/>
      <c r="D570" s="3"/>
      <c r="E570" s="3"/>
      <c r="F570" s="3"/>
      <c r="G570" s="3"/>
    </row>
    <row r="571" spans="1:7" ht="15.75" customHeight="1">
      <c r="A571" s="3"/>
      <c r="B571" s="3"/>
      <c r="C571" s="3"/>
      <c r="D571" s="3"/>
      <c r="E571" s="3"/>
      <c r="F571" s="3"/>
      <c r="G571" s="3"/>
    </row>
    <row r="572" spans="1:7" ht="15.75" customHeight="1">
      <c r="A572" s="3"/>
      <c r="B572" s="3"/>
      <c r="C572" s="3"/>
      <c r="D572" s="3"/>
      <c r="E572" s="3"/>
      <c r="F572" s="3"/>
      <c r="G572" s="3"/>
    </row>
    <row r="573" spans="1:7" ht="15.75" customHeight="1">
      <c r="A573" s="3"/>
      <c r="B573" s="3"/>
      <c r="C573" s="3"/>
      <c r="D573" s="3"/>
      <c r="E573" s="3"/>
      <c r="F573" s="3"/>
      <c r="G573" s="3"/>
    </row>
    <row r="574" spans="1:7" ht="15.75" customHeight="1">
      <c r="A574" s="3"/>
      <c r="B574" s="3"/>
      <c r="C574" s="3"/>
      <c r="D574" s="3"/>
      <c r="E574" s="3"/>
      <c r="F574" s="3"/>
      <c r="G574" s="3"/>
    </row>
    <row r="575" spans="1:7" ht="15.75" customHeight="1">
      <c r="A575" s="3"/>
      <c r="B575" s="3"/>
      <c r="C575" s="3"/>
      <c r="D575" s="3"/>
      <c r="E575" s="3"/>
      <c r="F575" s="3"/>
      <c r="G575" s="3"/>
    </row>
    <row r="576" spans="1:7" ht="15.75" customHeight="1">
      <c r="A576" s="3"/>
      <c r="B576" s="3"/>
      <c r="C576" s="3"/>
      <c r="D576" s="3"/>
      <c r="E576" s="3"/>
      <c r="F576" s="3"/>
      <c r="G576" s="3"/>
    </row>
    <row r="577" spans="1:7" ht="15.75" customHeight="1">
      <c r="A577" s="3"/>
      <c r="B577" s="3"/>
      <c r="C577" s="3"/>
      <c r="D577" s="3"/>
      <c r="E577" s="3"/>
      <c r="F577" s="3"/>
      <c r="G577" s="3"/>
    </row>
    <row r="578" spans="1:7" ht="15.75" customHeight="1">
      <c r="A578" s="3"/>
      <c r="B578" s="3"/>
      <c r="C578" s="3"/>
      <c r="D578" s="3"/>
      <c r="E578" s="3"/>
      <c r="F578" s="3"/>
      <c r="G578" s="3"/>
    </row>
    <row r="579" spans="1:7" ht="15.75" customHeight="1">
      <c r="A579" s="3"/>
      <c r="B579" s="3"/>
      <c r="C579" s="3"/>
      <c r="D579" s="3"/>
      <c r="E579" s="3"/>
      <c r="F579" s="3"/>
      <c r="G579" s="3"/>
    </row>
    <row r="580" spans="1:7" ht="15.75" customHeight="1">
      <c r="A580" s="3"/>
      <c r="B580" s="3"/>
      <c r="C580" s="3"/>
      <c r="D580" s="3"/>
      <c r="E580" s="3"/>
      <c r="F580" s="3"/>
      <c r="G580" s="3"/>
    </row>
    <row r="581" spans="1:7" ht="15.75" customHeight="1">
      <c r="A581" s="3"/>
      <c r="B581" s="3"/>
      <c r="C581" s="3"/>
      <c r="D581" s="3"/>
      <c r="E581" s="3"/>
      <c r="F581" s="3"/>
      <c r="G581" s="3"/>
    </row>
    <row r="582" spans="1:7" ht="15.75" customHeight="1">
      <c r="A582" s="3"/>
      <c r="B582" s="3"/>
      <c r="C582" s="3"/>
      <c r="D582" s="3"/>
      <c r="E582" s="3"/>
      <c r="F582" s="3"/>
      <c r="G582" s="3"/>
    </row>
    <row r="583" spans="1:7" ht="15.75" customHeight="1">
      <c r="A583" s="3"/>
      <c r="B583" s="3"/>
      <c r="C583" s="3"/>
      <c r="D583" s="3"/>
      <c r="E583" s="3"/>
      <c r="F583" s="3"/>
      <c r="G583" s="3"/>
    </row>
    <row r="584" spans="1:7" ht="15.75" customHeight="1">
      <c r="A584" s="3"/>
      <c r="B584" s="3"/>
      <c r="C584" s="3"/>
      <c r="D584" s="3"/>
      <c r="E584" s="3"/>
      <c r="F584" s="3"/>
      <c r="G584" s="3"/>
    </row>
    <row r="585" spans="1:7" ht="15.75" customHeight="1">
      <c r="A585" s="3"/>
      <c r="B585" s="3"/>
      <c r="C585" s="3"/>
      <c r="D585" s="3"/>
      <c r="E585" s="3"/>
      <c r="F585" s="3"/>
      <c r="G585" s="3"/>
    </row>
    <row r="586" spans="1:7" ht="15.75" customHeight="1">
      <c r="A586" s="3"/>
      <c r="B586" s="3"/>
      <c r="C586" s="3"/>
      <c r="D586" s="3"/>
      <c r="E586" s="3"/>
      <c r="F586" s="3"/>
      <c r="G586" s="3"/>
    </row>
    <row r="587" spans="1:7" ht="15.75" customHeight="1">
      <c r="A587" s="3"/>
      <c r="B587" s="3"/>
      <c r="C587" s="3"/>
      <c r="D587" s="3"/>
      <c r="E587" s="3"/>
      <c r="F587" s="3"/>
      <c r="G587" s="3"/>
    </row>
    <row r="588" spans="1:7" ht="15.75" customHeight="1">
      <c r="A588" s="3"/>
      <c r="B588" s="3"/>
      <c r="C588" s="3"/>
      <c r="D588" s="3"/>
      <c r="E588" s="3"/>
      <c r="F588" s="3"/>
      <c r="G588" s="3"/>
    </row>
    <row r="589" spans="1:7" ht="15.75" customHeight="1">
      <c r="A589" s="3"/>
      <c r="B589" s="3"/>
      <c r="C589" s="3"/>
      <c r="D589" s="3"/>
      <c r="E589" s="3"/>
      <c r="F589" s="3"/>
      <c r="G589" s="3"/>
    </row>
    <row r="590" spans="1:7" ht="15.75" customHeight="1">
      <c r="A590" s="3"/>
      <c r="B590" s="3"/>
      <c r="C590" s="3"/>
      <c r="D590" s="3"/>
      <c r="E590" s="3"/>
      <c r="F590" s="3"/>
      <c r="G590" s="3"/>
    </row>
    <row r="591" spans="1:7" ht="15.75" customHeight="1">
      <c r="A591" s="3"/>
      <c r="B591" s="3"/>
      <c r="C591" s="3"/>
      <c r="D591" s="3"/>
      <c r="E591" s="3"/>
      <c r="F591" s="3"/>
      <c r="G591" s="3"/>
    </row>
    <row r="592" spans="1:7" ht="15.75" customHeight="1">
      <c r="A592" s="3"/>
      <c r="B592" s="3"/>
      <c r="C592" s="3"/>
      <c r="D592" s="3"/>
      <c r="E592" s="3"/>
      <c r="F592" s="3"/>
      <c r="G592" s="3"/>
    </row>
    <row r="593" spans="1:7" ht="15.75" customHeight="1">
      <c r="A593" s="3"/>
      <c r="B593" s="3"/>
      <c r="C593" s="3"/>
      <c r="D593" s="3"/>
      <c r="E593" s="3"/>
      <c r="F593" s="3"/>
      <c r="G593" s="3"/>
    </row>
    <row r="594" spans="1:7" ht="15.75" customHeight="1">
      <c r="A594" s="3"/>
      <c r="B594" s="3"/>
      <c r="C594" s="3"/>
      <c r="D594" s="3"/>
      <c r="E594" s="3"/>
      <c r="F594" s="3"/>
      <c r="G594" s="3"/>
    </row>
    <row r="595" spans="1:7" ht="15.75" customHeight="1">
      <c r="A595" s="3"/>
      <c r="B595" s="3"/>
      <c r="C595" s="3"/>
      <c r="D595" s="3"/>
      <c r="E595" s="3"/>
      <c r="F595" s="3"/>
      <c r="G595" s="3"/>
    </row>
    <row r="596" spans="1:7" ht="15.75" customHeight="1">
      <c r="A596" s="3"/>
      <c r="B596" s="3"/>
      <c r="C596" s="3"/>
      <c r="D596" s="3"/>
      <c r="E596" s="3"/>
      <c r="F596" s="3"/>
      <c r="G596" s="3"/>
    </row>
    <row r="597" spans="1:7" ht="15.75" customHeight="1">
      <c r="A597" s="3"/>
      <c r="B597" s="3"/>
      <c r="C597" s="3"/>
      <c r="D597" s="3"/>
      <c r="E597" s="3"/>
      <c r="F597" s="3"/>
      <c r="G597" s="3"/>
    </row>
    <row r="598" spans="1:7" ht="15.75" customHeight="1">
      <c r="A598" s="3"/>
      <c r="B598" s="3"/>
      <c r="C598" s="3"/>
      <c r="D598" s="3"/>
      <c r="E598" s="3"/>
      <c r="F598" s="3"/>
      <c r="G598" s="3"/>
    </row>
    <row r="599" spans="1:7" ht="15.75" customHeight="1">
      <c r="A599" s="3"/>
      <c r="B599" s="3"/>
      <c r="C599" s="3"/>
      <c r="D599" s="3"/>
      <c r="E599" s="3"/>
      <c r="F599" s="3"/>
      <c r="G599" s="3"/>
    </row>
    <row r="600" spans="1:7" ht="15.75" customHeight="1">
      <c r="A600" s="3"/>
      <c r="B600" s="3"/>
      <c r="C600" s="3"/>
      <c r="D600" s="3"/>
      <c r="E600" s="3"/>
      <c r="F600" s="3"/>
      <c r="G600" s="3"/>
    </row>
    <row r="601" spans="1:7" ht="15.75" customHeight="1">
      <c r="A601" s="3"/>
      <c r="B601" s="3"/>
      <c r="C601" s="3"/>
      <c r="D601" s="3"/>
      <c r="E601" s="3"/>
      <c r="F601" s="3"/>
      <c r="G601" s="3"/>
    </row>
    <row r="602" spans="1:7" ht="15.75" customHeight="1">
      <c r="A602" s="3"/>
      <c r="B602" s="3"/>
      <c r="C602" s="3"/>
      <c r="D602" s="3"/>
      <c r="E602" s="3"/>
      <c r="F602" s="3"/>
      <c r="G602" s="3"/>
    </row>
    <row r="603" spans="1:7" ht="15.75" customHeight="1">
      <c r="A603" s="3"/>
      <c r="B603" s="3"/>
      <c r="C603" s="3"/>
      <c r="D603" s="3"/>
      <c r="E603" s="3"/>
      <c r="F603" s="3"/>
      <c r="G603" s="3"/>
    </row>
    <row r="604" spans="1:7" ht="15.75" customHeight="1">
      <c r="A604" s="3"/>
      <c r="B604" s="3"/>
      <c r="C604" s="3"/>
      <c r="D604" s="3"/>
      <c r="E604" s="3"/>
      <c r="F604" s="3"/>
      <c r="G604" s="3"/>
    </row>
    <row r="605" spans="1:7" ht="15.75" customHeight="1">
      <c r="A605" s="3"/>
      <c r="B605" s="3"/>
      <c r="C605" s="3"/>
      <c r="D605" s="3"/>
      <c r="E605" s="3"/>
      <c r="F605" s="3"/>
      <c r="G605" s="3"/>
    </row>
    <row r="606" spans="1:7" ht="15.75" customHeight="1">
      <c r="A606" s="3"/>
      <c r="B606" s="3"/>
      <c r="C606" s="3"/>
      <c r="D606" s="3"/>
      <c r="E606" s="3"/>
      <c r="F606" s="3"/>
      <c r="G606" s="3"/>
    </row>
    <row r="607" spans="1:7" ht="15.75" customHeight="1">
      <c r="A607" s="3"/>
      <c r="B607" s="3"/>
      <c r="C607" s="3"/>
      <c r="D607" s="3"/>
      <c r="E607" s="3"/>
      <c r="F607" s="3"/>
      <c r="G607" s="3"/>
    </row>
    <row r="608" spans="1:7" ht="15.75" customHeight="1">
      <c r="A608" s="3"/>
      <c r="B608" s="3"/>
      <c r="C608" s="3"/>
      <c r="D608" s="3"/>
      <c r="E608" s="3"/>
      <c r="F608" s="3"/>
      <c r="G608" s="3"/>
    </row>
    <row r="609" spans="1:7" ht="15.75" customHeight="1">
      <c r="A609" s="3"/>
      <c r="B609" s="3"/>
      <c r="C609" s="3"/>
      <c r="D609" s="3"/>
      <c r="E609" s="3"/>
      <c r="F609" s="3"/>
      <c r="G609" s="3"/>
    </row>
    <row r="610" spans="1:7" ht="15.75" customHeight="1">
      <c r="A610" s="3"/>
      <c r="B610" s="3"/>
      <c r="C610" s="3"/>
      <c r="D610" s="3"/>
      <c r="E610" s="3"/>
      <c r="F610" s="3"/>
      <c r="G610" s="3"/>
    </row>
    <row r="611" spans="1:7" ht="15.75" customHeight="1">
      <c r="A611" s="3"/>
      <c r="B611" s="3"/>
      <c r="C611" s="3"/>
      <c r="D611" s="3"/>
      <c r="E611" s="3"/>
      <c r="F611" s="3"/>
      <c r="G611" s="3"/>
    </row>
    <row r="612" spans="1:7" ht="15.75" customHeight="1">
      <c r="A612" s="3"/>
      <c r="B612" s="3"/>
      <c r="C612" s="3"/>
      <c r="D612" s="3"/>
      <c r="E612" s="3"/>
      <c r="F612" s="3"/>
      <c r="G612" s="3"/>
    </row>
    <row r="613" spans="1:7" ht="15.75" customHeight="1">
      <c r="A613" s="3"/>
      <c r="B613" s="3"/>
      <c r="C613" s="3"/>
      <c r="D613" s="3"/>
      <c r="E613" s="3"/>
      <c r="F613" s="3"/>
      <c r="G613" s="3"/>
    </row>
    <row r="614" spans="1:7" ht="15.75" customHeight="1">
      <c r="A614" s="3"/>
      <c r="B614" s="3"/>
      <c r="C614" s="3"/>
      <c r="D614" s="3"/>
      <c r="E614" s="3"/>
      <c r="F614" s="3"/>
      <c r="G614" s="3"/>
    </row>
    <row r="615" spans="1:7" ht="15.75" customHeight="1">
      <c r="A615" s="3"/>
      <c r="B615" s="3"/>
      <c r="C615" s="3"/>
      <c r="D615" s="3"/>
      <c r="E615" s="3"/>
      <c r="F615" s="3"/>
      <c r="G615" s="3"/>
    </row>
    <row r="616" spans="1:7" ht="15.75" customHeight="1">
      <c r="A616" s="3"/>
      <c r="B616" s="3"/>
      <c r="C616" s="3"/>
      <c r="D616" s="3"/>
      <c r="E616" s="3"/>
      <c r="F616" s="3"/>
      <c r="G616" s="3"/>
    </row>
    <row r="617" spans="1:7" ht="15.75" customHeight="1">
      <c r="A617" s="3"/>
      <c r="B617" s="3"/>
      <c r="C617" s="3"/>
      <c r="D617" s="3"/>
      <c r="E617" s="3"/>
      <c r="F617" s="3"/>
      <c r="G617" s="3"/>
    </row>
    <row r="618" spans="1:7" ht="15.75" customHeight="1">
      <c r="A618" s="3"/>
      <c r="B618" s="3"/>
      <c r="C618" s="3"/>
      <c r="D618" s="3"/>
      <c r="E618" s="3"/>
      <c r="F618" s="3"/>
      <c r="G618" s="3"/>
    </row>
    <row r="619" spans="1:7" ht="15.75" customHeight="1">
      <c r="A619" s="3"/>
      <c r="B619" s="3"/>
      <c r="C619" s="3"/>
      <c r="D619" s="3"/>
      <c r="E619" s="3"/>
      <c r="F619" s="3"/>
      <c r="G619" s="3"/>
    </row>
    <row r="620" spans="1:7" ht="15.75" customHeight="1">
      <c r="A620" s="3"/>
      <c r="B620" s="3"/>
      <c r="C620" s="3"/>
      <c r="D620" s="3"/>
      <c r="E620" s="3"/>
      <c r="F620" s="3"/>
      <c r="G620" s="3"/>
    </row>
    <row r="621" spans="1:7" ht="15.75" customHeight="1">
      <c r="A621" s="3"/>
      <c r="B621" s="3"/>
      <c r="C621" s="3"/>
      <c r="D621" s="3"/>
      <c r="E621" s="3"/>
      <c r="F621" s="3"/>
      <c r="G621" s="3"/>
    </row>
    <row r="622" spans="1:7" ht="15.75" customHeight="1">
      <c r="A622" s="3"/>
      <c r="B622" s="3"/>
      <c r="C622" s="3"/>
      <c r="D622" s="3"/>
      <c r="E622" s="3"/>
      <c r="F622" s="3"/>
      <c r="G622" s="3"/>
    </row>
    <row r="623" spans="1:7" ht="15.75" customHeight="1">
      <c r="A623" s="3"/>
      <c r="B623" s="3"/>
      <c r="C623" s="3"/>
      <c r="D623" s="3"/>
      <c r="E623" s="3"/>
      <c r="F623" s="3"/>
      <c r="G623" s="3"/>
    </row>
    <row r="624" spans="1:7" ht="15.75" customHeight="1">
      <c r="A624" s="3"/>
      <c r="B624" s="3"/>
      <c r="C624" s="3"/>
      <c r="D624" s="3"/>
      <c r="E624" s="3"/>
      <c r="F624" s="3"/>
      <c r="G624" s="3"/>
    </row>
    <row r="625" spans="1:7" ht="15.75" customHeight="1">
      <c r="A625" s="3"/>
      <c r="B625" s="3"/>
      <c r="C625" s="3"/>
      <c r="D625" s="3"/>
      <c r="E625" s="3"/>
      <c r="F625" s="3"/>
      <c r="G625" s="3"/>
    </row>
    <row r="626" spans="1:7" ht="15.75" customHeight="1">
      <c r="A626" s="3"/>
      <c r="B626" s="3"/>
      <c r="C626" s="3"/>
      <c r="D626" s="3"/>
      <c r="E626" s="3"/>
      <c r="F626" s="3"/>
      <c r="G626" s="3"/>
    </row>
    <row r="627" spans="1:7" ht="15.75" customHeight="1">
      <c r="A627" s="3"/>
      <c r="B627" s="3"/>
      <c r="C627" s="3"/>
      <c r="D627" s="3"/>
      <c r="E627" s="3"/>
      <c r="F627" s="3"/>
      <c r="G627" s="3"/>
    </row>
    <row r="628" spans="1:7" ht="15.75" customHeight="1">
      <c r="A628" s="3"/>
      <c r="B628" s="3"/>
      <c r="C628" s="3"/>
      <c r="D628" s="3"/>
      <c r="E628" s="3"/>
      <c r="F628" s="3"/>
      <c r="G628" s="3"/>
    </row>
    <row r="629" spans="1:7" ht="15.75" customHeight="1">
      <c r="A629" s="3"/>
      <c r="B629" s="3"/>
      <c r="C629" s="3"/>
      <c r="D629" s="3"/>
      <c r="E629" s="3"/>
      <c r="F629" s="3"/>
      <c r="G629" s="3"/>
    </row>
    <row r="630" spans="1:7" ht="15.75" customHeight="1">
      <c r="A630" s="3"/>
      <c r="B630" s="3"/>
      <c r="C630" s="3"/>
      <c r="D630" s="3"/>
      <c r="E630" s="3"/>
      <c r="F630" s="3"/>
      <c r="G630" s="3"/>
    </row>
    <row r="631" spans="1:7" ht="15.75" customHeight="1">
      <c r="A631" s="3"/>
      <c r="B631" s="3"/>
      <c r="C631" s="3"/>
      <c r="D631" s="3"/>
      <c r="E631" s="3"/>
      <c r="F631" s="3"/>
      <c r="G631" s="3"/>
    </row>
    <row r="632" spans="1:7" ht="15.75" customHeight="1">
      <c r="A632" s="3"/>
      <c r="B632" s="3"/>
      <c r="C632" s="3"/>
      <c r="D632" s="3"/>
      <c r="E632" s="3"/>
      <c r="F632" s="3"/>
      <c r="G632" s="3"/>
    </row>
    <row r="633" spans="1:7" ht="15.75" customHeight="1">
      <c r="A633" s="3"/>
      <c r="B633" s="3"/>
      <c r="C633" s="3"/>
      <c r="D633" s="3"/>
      <c r="E633" s="3"/>
      <c r="F633" s="3"/>
      <c r="G633" s="3"/>
    </row>
    <row r="634" spans="1:7" ht="15.75" customHeight="1">
      <c r="A634" s="3"/>
      <c r="B634" s="3"/>
      <c r="C634" s="3"/>
      <c r="D634" s="3"/>
      <c r="E634" s="3"/>
      <c r="F634" s="3"/>
      <c r="G634" s="3"/>
    </row>
    <row r="635" spans="1:7" ht="15.75" customHeight="1">
      <c r="A635" s="3"/>
      <c r="B635" s="3"/>
      <c r="C635" s="3"/>
      <c r="D635" s="3"/>
      <c r="E635" s="3"/>
      <c r="F635" s="3"/>
      <c r="G635" s="3"/>
    </row>
    <row r="636" spans="1:7" ht="15.75" customHeight="1">
      <c r="A636" s="3"/>
      <c r="B636" s="3"/>
      <c r="C636" s="3"/>
      <c r="D636" s="3"/>
      <c r="E636" s="3"/>
      <c r="F636" s="3"/>
      <c r="G636" s="3"/>
    </row>
    <row r="637" spans="1:7" ht="15.75" customHeight="1">
      <c r="A637" s="3"/>
      <c r="B637" s="3"/>
      <c r="C637" s="3"/>
      <c r="D637" s="3"/>
      <c r="E637" s="3"/>
      <c r="F637" s="3"/>
      <c r="G637" s="3"/>
    </row>
    <row r="638" spans="1:7" ht="15.75" customHeight="1">
      <c r="A638" s="3"/>
      <c r="B638" s="3"/>
      <c r="C638" s="3"/>
      <c r="D638" s="3"/>
      <c r="E638" s="3"/>
      <c r="F638" s="3"/>
      <c r="G638" s="3"/>
    </row>
    <row r="639" spans="1:7" ht="15.75" customHeight="1">
      <c r="A639" s="3"/>
      <c r="B639" s="3"/>
      <c r="C639" s="3"/>
      <c r="D639" s="3"/>
      <c r="E639" s="3"/>
      <c r="F639" s="3"/>
      <c r="G639" s="3"/>
    </row>
    <row r="640" spans="1:7" ht="15.75" customHeight="1">
      <c r="A640" s="3"/>
      <c r="B640" s="3"/>
      <c r="C640" s="3"/>
      <c r="D640" s="3"/>
      <c r="E640" s="3"/>
      <c r="F640" s="3"/>
      <c r="G640" s="3"/>
    </row>
    <row r="641" spans="1:7" ht="15.75" customHeight="1">
      <c r="A641" s="3"/>
      <c r="B641" s="3"/>
      <c r="C641" s="3"/>
      <c r="D641" s="3"/>
      <c r="E641" s="3"/>
      <c r="F641" s="3"/>
      <c r="G641" s="3"/>
    </row>
    <row r="642" spans="1:7" ht="15.75" customHeight="1">
      <c r="A642" s="3"/>
      <c r="B642" s="3"/>
      <c r="C642" s="3"/>
      <c r="D642" s="3"/>
      <c r="E642" s="3"/>
      <c r="F642" s="3"/>
      <c r="G642" s="3"/>
    </row>
    <row r="643" spans="1:7" ht="15.75" customHeight="1">
      <c r="A643" s="3"/>
      <c r="B643" s="3"/>
      <c r="C643" s="3"/>
      <c r="D643" s="3"/>
      <c r="E643" s="3"/>
      <c r="F643" s="3"/>
      <c r="G643" s="3"/>
    </row>
    <row r="644" spans="1:7" ht="15.75" customHeight="1">
      <c r="A644" s="3"/>
      <c r="B644" s="3"/>
      <c r="C644" s="3"/>
      <c r="D644" s="3"/>
      <c r="E644" s="3"/>
      <c r="F644" s="3"/>
      <c r="G644" s="3"/>
    </row>
    <row r="645" spans="1:7" ht="15.75" customHeight="1">
      <c r="A645" s="3"/>
      <c r="B645" s="3"/>
      <c r="C645" s="3"/>
      <c r="D645" s="3"/>
      <c r="E645" s="3"/>
      <c r="F645" s="3"/>
      <c r="G645" s="3"/>
    </row>
    <row r="646" spans="1:7" ht="15.75" customHeight="1">
      <c r="A646" s="3"/>
      <c r="B646" s="3"/>
      <c r="C646" s="3"/>
      <c r="D646" s="3"/>
      <c r="E646" s="3"/>
      <c r="F646" s="3"/>
      <c r="G646" s="3"/>
    </row>
    <row r="647" spans="1:7" ht="15.75" customHeight="1">
      <c r="A647" s="3"/>
      <c r="B647" s="3"/>
      <c r="C647" s="3"/>
      <c r="D647" s="3"/>
      <c r="E647" s="3"/>
      <c r="F647" s="3"/>
      <c r="G647" s="3"/>
    </row>
    <row r="648" spans="1:7" ht="15.75" customHeight="1">
      <c r="A648" s="3"/>
      <c r="B648" s="3"/>
      <c r="C648" s="3"/>
      <c r="D648" s="3"/>
      <c r="E648" s="3"/>
      <c r="F648" s="3"/>
      <c r="G648" s="3"/>
    </row>
    <row r="649" spans="1:7" ht="15.75" customHeight="1">
      <c r="A649" s="3"/>
      <c r="B649" s="3"/>
      <c r="C649" s="3"/>
      <c r="D649" s="3"/>
      <c r="E649" s="3"/>
      <c r="F649" s="3"/>
      <c r="G649" s="3"/>
    </row>
    <row r="650" spans="1:7" ht="15.75" customHeight="1">
      <c r="A650" s="3"/>
      <c r="B650" s="3"/>
      <c r="C650" s="3"/>
      <c r="D650" s="3"/>
      <c r="E650" s="3"/>
      <c r="F650" s="3"/>
      <c r="G650" s="3"/>
    </row>
    <row r="651" spans="1:7" ht="15.75" customHeight="1">
      <c r="A651" s="3"/>
      <c r="B651" s="3"/>
      <c r="C651" s="3"/>
      <c r="D651" s="3"/>
      <c r="E651" s="3"/>
      <c r="F651" s="3"/>
      <c r="G651" s="3"/>
    </row>
    <row r="652" spans="1:7" ht="15.75" customHeight="1">
      <c r="A652" s="3"/>
      <c r="B652" s="3"/>
      <c r="C652" s="3"/>
      <c r="D652" s="3"/>
      <c r="E652" s="3"/>
      <c r="F652" s="3"/>
      <c r="G652" s="3"/>
    </row>
    <row r="653" spans="1:7" ht="15.75" customHeight="1">
      <c r="A653" s="3"/>
      <c r="B653" s="3"/>
      <c r="C653" s="3"/>
      <c r="D653" s="3"/>
      <c r="E653" s="3"/>
      <c r="F653" s="3"/>
      <c r="G653" s="3"/>
    </row>
    <row r="654" spans="1:7" ht="15.75" customHeight="1">
      <c r="A654" s="3"/>
      <c r="B654" s="3"/>
      <c r="C654" s="3"/>
      <c r="D654" s="3"/>
      <c r="E654" s="3"/>
      <c r="F654" s="3"/>
      <c r="G654" s="3"/>
    </row>
    <row r="655" spans="1:7" ht="15.75" customHeight="1">
      <c r="A655" s="3"/>
      <c r="B655" s="3"/>
      <c r="C655" s="3"/>
      <c r="D655" s="3"/>
      <c r="E655" s="3"/>
      <c r="F655" s="3"/>
      <c r="G655" s="3"/>
    </row>
    <row r="656" spans="1:7" ht="15.75" customHeight="1">
      <c r="A656" s="3"/>
      <c r="B656" s="3"/>
      <c r="C656" s="3"/>
      <c r="D656" s="3"/>
      <c r="E656" s="3"/>
      <c r="F656" s="3"/>
      <c r="G656" s="3"/>
    </row>
    <row r="657" spans="1:7" ht="15.75" customHeight="1">
      <c r="A657" s="3"/>
      <c r="B657" s="3"/>
      <c r="C657" s="3"/>
      <c r="D657" s="3"/>
      <c r="E657" s="3"/>
      <c r="F657" s="3"/>
      <c r="G657" s="3"/>
    </row>
    <row r="658" spans="1:7" ht="15.75" customHeight="1">
      <c r="A658" s="3"/>
      <c r="B658" s="3"/>
      <c r="C658" s="3"/>
      <c r="D658" s="3"/>
      <c r="E658" s="3"/>
      <c r="F658" s="3"/>
      <c r="G658" s="3"/>
    </row>
    <row r="659" spans="1:7" ht="15.75" customHeight="1">
      <c r="A659" s="3"/>
      <c r="B659" s="3"/>
      <c r="C659" s="3"/>
      <c r="D659" s="3"/>
      <c r="E659" s="3"/>
      <c r="F659" s="3"/>
      <c r="G659" s="3"/>
    </row>
    <row r="660" spans="1:7" ht="15.75" customHeight="1">
      <c r="A660" s="3"/>
      <c r="B660" s="3"/>
      <c r="C660" s="3"/>
      <c r="D660" s="3"/>
      <c r="E660" s="3"/>
      <c r="F660" s="3"/>
      <c r="G660" s="3"/>
    </row>
    <row r="661" spans="1:7" ht="15.75" customHeight="1">
      <c r="A661" s="3"/>
      <c r="B661" s="3"/>
      <c r="C661" s="3"/>
      <c r="D661" s="3"/>
      <c r="E661" s="3"/>
      <c r="F661" s="3"/>
      <c r="G661" s="3"/>
    </row>
    <row r="662" spans="1:7" ht="15.75" customHeight="1">
      <c r="A662" s="3"/>
      <c r="B662" s="3"/>
      <c r="C662" s="3"/>
      <c r="D662" s="3"/>
      <c r="E662" s="3"/>
      <c r="F662" s="3"/>
      <c r="G662" s="3"/>
    </row>
    <row r="663" spans="1:7" ht="15.75" customHeight="1">
      <c r="A663" s="3"/>
      <c r="B663" s="3"/>
      <c r="C663" s="3"/>
      <c r="D663" s="3"/>
      <c r="E663" s="3"/>
      <c r="F663" s="3"/>
      <c r="G663" s="3"/>
    </row>
    <row r="664" spans="1:7" ht="15.75" customHeight="1">
      <c r="A664" s="3"/>
      <c r="B664" s="3"/>
      <c r="C664" s="3"/>
      <c r="D664" s="3"/>
      <c r="E664" s="3"/>
      <c r="F664" s="3"/>
      <c r="G664" s="3"/>
    </row>
    <row r="665" spans="1:7" ht="15.75" customHeight="1">
      <c r="A665" s="3"/>
      <c r="B665" s="3"/>
      <c r="C665" s="3"/>
      <c r="D665" s="3"/>
      <c r="E665" s="3"/>
      <c r="F665" s="3"/>
      <c r="G665" s="3"/>
    </row>
    <row r="666" spans="1:7" ht="15.75" customHeight="1">
      <c r="A666" s="3"/>
      <c r="B666" s="3"/>
      <c r="C666" s="3"/>
      <c r="D666" s="3"/>
      <c r="E666" s="3"/>
      <c r="F666" s="3"/>
      <c r="G666" s="3"/>
    </row>
    <row r="667" spans="1:7" ht="15.75" customHeight="1">
      <c r="A667" s="3"/>
      <c r="B667" s="3"/>
      <c r="C667" s="3"/>
      <c r="D667" s="3"/>
      <c r="E667" s="3"/>
      <c r="F667" s="3"/>
      <c r="G667" s="3"/>
    </row>
    <row r="668" spans="1:7" ht="15.75" customHeight="1">
      <c r="A668" s="3"/>
      <c r="B668" s="3"/>
      <c r="C668" s="3"/>
      <c r="D668" s="3"/>
      <c r="E668" s="3"/>
      <c r="F668" s="3"/>
      <c r="G668" s="3"/>
    </row>
    <row r="669" spans="1:7" ht="15.75" customHeight="1">
      <c r="A669" s="3"/>
      <c r="B669" s="3"/>
      <c r="C669" s="3"/>
      <c r="D669" s="3"/>
      <c r="E669" s="3"/>
      <c r="F669" s="3"/>
      <c r="G669" s="3"/>
    </row>
    <row r="670" spans="1:7" ht="15.75" customHeight="1">
      <c r="A670" s="3"/>
      <c r="B670" s="3"/>
      <c r="C670" s="3"/>
      <c r="D670" s="3"/>
      <c r="E670" s="3"/>
      <c r="F670" s="3"/>
      <c r="G670" s="3"/>
    </row>
    <row r="671" spans="1:7" ht="15.75" customHeight="1">
      <c r="A671" s="3"/>
      <c r="B671" s="3"/>
      <c r="C671" s="3"/>
      <c r="D671" s="3"/>
      <c r="E671" s="3"/>
      <c r="F671" s="3"/>
      <c r="G671" s="3"/>
    </row>
    <row r="672" spans="1:7" ht="15.75" customHeight="1">
      <c r="A672" s="3"/>
      <c r="B672" s="3"/>
      <c r="C672" s="3"/>
      <c r="D672" s="3"/>
      <c r="E672" s="3"/>
      <c r="F672" s="3"/>
      <c r="G672" s="3"/>
    </row>
    <row r="673" spans="1:7" ht="15.75" customHeight="1">
      <c r="A673" s="3"/>
      <c r="B673" s="3"/>
      <c r="C673" s="3"/>
      <c r="D673" s="3"/>
      <c r="E673" s="3"/>
      <c r="F673" s="3"/>
      <c r="G673" s="3"/>
    </row>
    <row r="674" spans="1:7" ht="15.75" customHeight="1">
      <c r="A674" s="3"/>
      <c r="B674" s="3"/>
      <c r="C674" s="3"/>
      <c r="D674" s="3"/>
      <c r="E674" s="3"/>
      <c r="F674" s="3"/>
      <c r="G674" s="3"/>
    </row>
    <row r="675" spans="1:7" ht="15.75" customHeight="1">
      <c r="A675" s="3"/>
      <c r="B675" s="3"/>
      <c r="C675" s="3"/>
      <c r="D675" s="3"/>
      <c r="E675" s="3"/>
      <c r="F675" s="3"/>
      <c r="G675" s="3"/>
    </row>
    <row r="676" spans="1:7" ht="15.75" customHeight="1">
      <c r="A676" s="3"/>
      <c r="B676" s="3"/>
      <c r="C676" s="3"/>
      <c r="D676" s="3"/>
      <c r="E676" s="3"/>
      <c r="F676" s="3"/>
      <c r="G676" s="3"/>
    </row>
    <row r="677" spans="1:7" ht="15.75" customHeight="1">
      <c r="A677" s="3"/>
      <c r="B677" s="3"/>
      <c r="C677" s="3"/>
      <c r="D677" s="3"/>
      <c r="E677" s="3"/>
      <c r="F677" s="3"/>
      <c r="G677" s="3"/>
    </row>
    <row r="678" spans="1:7" ht="15.75" customHeight="1">
      <c r="A678" s="3"/>
      <c r="B678" s="3"/>
      <c r="C678" s="3"/>
      <c r="D678" s="3"/>
      <c r="E678" s="3"/>
      <c r="F678" s="3"/>
      <c r="G678" s="3"/>
    </row>
    <row r="679" spans="1:7" ht="15.75" customHeight="1">
      <c r="A679" s="3"/>
      <c r="B679" s="3"/>
      <c r="C679" s="3"/>
      <c r="D679" s="3"/>
      <c r="E679" s="3"/>
      <c r="F679" s="3"/>
      <c r="G679" s="3"/>
    </row>
    <row r="680" spans="1:7" ht="15.75" customHeight="1">
      <c r="A680" s="3"/>
      <c r="B680" s="3"/>
      <c r="C680" s="3"/>
      <c r="D680" s="3"/>
      <c r="E680" s="3"/>
      <c r="F680" s="3"/>
      <c r="G680" s="3"/>
    </row>
    <row r="681" spans="1:7" ht="15.75" customHeight="1">
      <c r="A681" s="3"/>
      <c r="B681" s="3"/>
      <c r="C681" s="3"/>
      <c r="D681" s="3"/>
      <c r="E681" s="3"/>
      <c r="F681" s="3"/>
      <c r="G681" s="3"/>
    </row>
    <row r="682" spans="1:7" ht="15.75" customHeight="1">
      <c r="A682" s="3"/>
      <c r="B682" s="3"/>
      <c r="C682" s="3"/>
      <c r="D682" s="3"/>
      <c r="E682" s="3"/>
      <c r="F682" s="3"/>
      <c r="G682" s="3"/>
    </row>
    <row r="683" spans="1:7" ht="15.75" customHeight="1">
      <c r="A683" s="3"/>
      <c r="B683" s="3"/>
      <c r="C683" s="3"/>
      <c r="D683" s="3"/>
      <c r="E683" s="3"/>
      <c r="F683" s="3"/>
      <c r="G683" s="3"/>
    </row>
    <row r="684" spans="1:7" ht="15.75" customHeight="1">
      <c r="A684" s="3"/>
      <c r="B684" s="3"/>
      <c r="C684" s="3"/>
      <c r="D684" s="3"/>
      <c r="E684" s="3"/>
      <c r="F684" s="3"/>
      <c r="G684" s="3"/>
    </row>
    <row r="685" spans="1:7" ht="15.75" customHeight="1">
      <c r="A685" s="3"/>
      <c r="B685" s="3"/>
      <c r="C685" s="3"/>
      <c r="D685" s="3"/>
      <c r="E685" s="3"/>
      <c r="F685" s="3"/>
      <c r="G685" s="3"/>
    </row>
    <row r="686" spans="1:7" ht="15.75" customHeight="1">
      <c r="A686" s="3"/>
      <c r="B686" s="3"/>
      <c r="C686" s="3"/>
      <c r="D686" s="3"/>
      <c r="E686" s="3"/>
      <c r="F686" s="3"/>
      <c r="G686" s="3"/>
    </row>
    <row r="687" spans="1:7" ht="15.75" customHeight="1">
      <c r="A687" s="3"/>
      <c r="B687" s="3"/>
      <c r="C687" s="3"/>
      <c r="D687" s="3"/>
      <c r="E687" s="3"/>
      <c r="F687" s="3"/>
      <c r="G687" s="3"/>
    </row>
    <row r="688" spans="1:7" ht="15.75" customHeight="1">
      <c r="A688" s="3"/>
      <c r="B688" s="3"/>
      <c r="C688" s="3"/>
      <c r="D688" s="3"/>
      <c r="E688" s="3"/>
      <c r="F688" s="3"/>
      <c r="G688" s="3"/>
    </row>
    <row r="689" spans="1:7" ht="15.75" customHeight="1">
      <c r="A689" s="3"/>
      <c r="B689" s="3"/>
      <c r="C689" s="3"/>
      <c r="D689" s="3"/>
      <c r="E689" s="3"/>
      <c r="F689" s="3"/>
      <c r="G689" s="3"/>
    </row>
    <row r="690" spans="1:7" ht="15.75" customHeight="1">
      <c r="A690" s="3"/>
      <c r="B690" s="3"/>
      <c r="C690" s="3"/>
      <c r="D690" s="3"/>
      <c r="E690" s="3"/>
      <c r="F690" s="3"/>
      <c r="G690" s="3"/>
    </row>
    <row r="691" spans="1:7" ht="15.75" customHeight="1">
      <c r="A691" s="3"/>
      <c r="B691" s="3"/>
      <c r="C691" s="3"/>
      <c r="D691" s="3"/>
      <c r="E691" s="3"/>
      <c r="F691" s="3"/>
      <c r="G691" s="3"/>
    </row>
    <row r="692" spans="1:7" ht="15.75" customHeight="1">
      <c r="A692" s="3"/>
      <c r="B692" s="3"/>
      <c r="C692" s="3"/>
      <c r="D692" s="3"/>
      <c r="E692" s="3"/>
      <c r="F692" s="3"/>
      <c r="G692" s="3"/>
    </row>
    <row r="693" spans="1:7" ht="15.75" customHeight="1">
      <c r="A693" s="3"/>
      <c r="B693" s="3"/>
      <c r="C693" s="3"/>
      <c r="D693" s="3"/>
      <c r="E693" s="3"/>
      <c r="F693" s="3"/>
      <c r="G693" s="3"/>
    </row>
    <row r="694" spans="1:7" ht="15.75" customHeight="1">
      <c r="A694" s="3"/>
      <c r="B694" s="3"/>
      <c r="C694" s="3"/>
      <c r="D694" s="3"/>
      <c r="E694" s="3"/>
      <c r="F694" s="3"/>
      <c r="G694" s="3"/>
    </row>
    <row r="695" spans="1:7" ht="15.75" customHeight="1">
      <c r="A695" s="3"/>
      <c r="B695" s="3"/>
      <c r="C695" s="3"/>
      <c r="D695" s="3"/>
      <c r="E695" s="3"/>
      <c r="F695" s="3"/>
      <c r="G695" s="3"/>
    </row>
    <row r="696" spans="1:7" ht="15.75" customHeight="1">
      <c r="A696" s="3"/>
      <c r="B696" s="3"/>
      <c r="C696" s="3"/>
      <c r="D696" s="3"/>
      <c r="E696" s="3"/>
      <c r="F696" s="3"/>
      <c r="G696" s="3"/>
    </row>
    <row r="697" spans="1:7" ht="15.75" customHeight="1">
      <c r="A697" s="3"/>
      <c r="B697" s="3"/>
      <c r="C697" s="3"/>
      <c r="D697" s="3"/>
      <c r="E697" s="3"/>
      <c r="F697" s="3"/>
      <c r="G697" s="3"/>
    </row>
    <row r="698" spans="1:7" ht="15.75" customHeight="1">
      <c r="A698" s="3"/>
      <c r="B698" s="3"/>
      <c r="C698" s="3"/>
      <c r="D698" s="3"/>
      <c r="E698" s="3"/>
      <c r="F698" s="3"/>
      <c r="G698" s="3"/>
    </row>
    <row r="699" spans="1:7" ht="15.75" customHeight="1">
      <c r="A699" s="3"/>
      <c r="B699" s="3"/>
      <c r="C699" s="3"/>
      <c r="D699" s="3"/>
      <c r="E699" s="3"/>
      <c r="F699" s="3"/>
      <c r="G699" s="3"/>
    </row>
    <row r="700" spans="1:7" ht="15.75" customHeight="1">
      <c r="A700" s="3"/>
      <c r="B700" s="3"/>
      <c r="C700" s="3"/>
      <c r="D700" s="3"/>
      <c r="E700" s="3"/>
      <c r="F700" s="3"/>
      <c r="G700" s="3"/>
    </row>
    <row r="701" spans="1:7" ht="15.75" customHeight="1">
      <c r="A701" s="3"/>
      <c r="B701" s="3"/>
      <c r="C701" s="3"/>
      <c r="D701" s="3"/>
      <c r="E701" s="3"/>
      <c r="F701" s="3"/>
      <c r="G701" s="3"/>
    </row>
    <row r="702" spans="1:7" ht="15.75" customHeight="1">
      <c r="A702" s="3"/>
      <c r="B702" s="3"/>
      <c r="C702" s="3"/>
      <c r="D702" s="3"/>
      <c r="E702" s="3"/>
      <c r="F702" s="3"/>
      <c r="G702" s="3"/>
    </row>
    <row r="703" spans="1:7" ht="15.75" customHeight="1">
      <c r="A703" s="3"/>
      <c r="B703" s="3"/>
      <c r="C703" s="3"/>
      <c r="D703" s="3"/>
      <c r="E703" s="3"/>
      <c r="F703" s="3"/>
      <c r="G703" s="3"/>
    </row>
    <row r="704" spans="1:7" ht="15.75" customHeight="1">
      <c r="A704" s="3"/>
      <c r="B704" s="3"/>
      <c r="C704" s="3"/>
      <c r="D704" s="3"/>
      <c r="E704" s="3"/>
      <c r="F704" s="3"/>
      <c r="G704" s="3"/>
    </row>
    <row r="705" spans="1:7" ht="15.75" customHeight="1">
      <c r="A705" s="3"/>
      <c r="B705" s="3"/>
      <c r="C705" s="3"/>
      <c r="D705" s="3"/>
      <c r="E705" s="3"/>
      <c r="F705" s="3"/>
      <c r="G705" s="3"/>
    </row>
    <row r="706" spans="1:7" ht="15.75" customHeight="1">
      <c r="A706" s="3"/>
      <c r="B706" s="3"/>
      <c r="C706" s="3"/>
      <c r="D706" s="3"/>
      <c r="E706" s="3"/>
      <c r="F706" s="3"/>
      <c r="G706" s="3"/>
    </row>
    <row r="707" spans="1:7" ht="15.75" customHeight="1">
      <c r="A707" s="3"/>
      <c r="B707" s="3"/>
      <c r="C707" s="3"/>
      <c r="D707" s="3"/>
      <c r="E707" s="3"/>
      <c r="F707" s="3"/>
      <c r="G707" s="3"/>
    </row>
    <row r="708" spans="1:7" ht="15.75" customHeight="1">
      <c r="A708" s="3"/>
      <c r="B708" s="3"/>
      <c r="C708" s="3"/>
      <c r="D708" s="3"/>
      <c r="E708" s="3"/>
      <c r="F708" s="3"/>
      <c r="G708" s="3"/>
    </row>
    <row r="709" spans="1:7" ht="15.75" customHeight="1">
      <c r="A709" s="3"/>
      <c r="B709" s="3"/>
      <c r="C709" s="3"/>
      <c r="D709" s="3"/>
      <c r="E709" s="3"/>
      <c r="F709" s="3"/>
      <c r="G709" s="3"/>
    </row>
    <row r="710" spans="1:7" ht="15.75" customHeight="1">
      <c r="A710" s="3"/>
      <c r="B710" s="3"/>
      <c r="C710" s="3"/>
      <c r="D710" s="3"/>
      <c r="E710" s="3"/>
      <c r="F710" s="3"/>
      <c r="G710" s="3"/>
    </row>
    <row r="711" spans="1:7" ht="15.75" customHeight="1">
      <c r="A711" s="3"/>
      <c r="B711" s="3"/>
      <c r="C711" s="3"/>
      <c r="D711" s="3"/>
      <c r="E711" s="3"/>
      <c r="F711" s="3"/>
      <c r="G711" s="3"/>
    </row>
    <row r="712" spans="1:7" ht="15.75" customHeight="1">
      <c r="A712" s="3"/>
      <c r="B712" s="3"/>
      <c r="C712" s="3"/>
      <c r="D712" s="3"/>
      <c r="E712" s="3"/>
      <c r="F712" s="3"/>
      <c r="G712" s="3"/>
    </row>
    <row r="713" spans="1:7" ht="15.75" customHeight="1">
      <c r="A713" s="3"/>
      <c r="B713" s="3"/>
      <c r="C713" s="3"/>
      <c r="D713" s="3"/>
      <c r="E713" s="3"/>
      <c r="F713" s="3"/>
      <c r="G713" s="3"/>
    </row>
    <row r="714" spans="1:7" ht="15.75" customHeight="1">
      <c r="A714" s="3"/>
      <c r="B714" s="3"/>
      <c r="C714" s="3"/>
      <c r="D714" s="3"/>
      <c r="E714" s="3"/>
      <c r="F714" s="3"/>
      <c r="G714" s="3"/>
    </row>
    <row r="715" spans="1:7" ht="15.75" customHeight="1">
      <c r="A715" s="3"/>
      <c r="B715" s="3"/>
      <c r="C715" s="3"/>
      <c r="D715" s="3"/>
      <c r="E715" s="3"/>
      <c r="F715" s="3"/>
      <c r="G715" s="3"/>
    </row>
    <row r="716" spans="1:7" ht="15.75" customHeight="1">
      <c r="A716" s="3"/>
      <c r="B716" s="3"/>
      <c r="C716" s="3"/>
      <c r="D716" s="3"/>
      <c r="E716" s="3"/>
      <c r="F716" s="3"/>
      <c r="G716" s="3"/>
    </row>
    <row r="717" spans="1:7" ht="15.75" customHeight="1">
      <c r="A717" s="3"/>
      <c r="B717" s="3"/>
      <c r="C717" s="3"/>
      <c r="D717" s="3"/>
      <c r="E717" s="3"/>
      <c r="F717" s="3"/>
      <c r="G717" s="3"/>
    </row>
    <row r="718" spans="1:7" ht="15.75" customHeight="1">
      <c r="A718" s="3"/>
      <c r="B718" s="3"/>
      <c r="C718" s="3"/>
      <c r="D718" s="3"/>
      <c r="E718" s="3"/>
      <c r="F718" s="3"/>
      <c r="G718" s="3"/>
    </row>
    <row r="719" spans="1:7" ht="15.75" customHeight="1">
      <c r="A719" s="3"/>
      <c r="B719" s="3"/>
      <c r="C719" s="3"/>
      <c r="D719" s="3"/>
      <c r="E719" s="3"/>
      <c r="F719" s="3"/>
      <c r="G719" s="3"/>
    </row>
    <row r="720" spans="1:7" ht="15.75" customHeight="1">
      <c r="A720" s="3"/>
      <c r="B720" s="3"/>
      <c r="C720" s="3"/>
      <c r="D720" s="3"/>
      <c r="E720" s="3"/>
      <c r="F720" s="3"/>
      <c r="G720" s="3"/>
    </row>
    <row r="721" spans="1:7" ht="15.75" customHeight="1">
      <c r="A721" s="3"/>
      <c r="B721" s="3"/>
      <c r="C721" s="3"/>
      <c r="D721" s="3"/>
      <c r="E721" s="3"/>
      <c r="F721" s="3"/>
      <c r="G721" s="3"/>
    </row>
    <row r="722" spans="1:7" ht="15.75" customHeight="1">
      <c r="A722" s="3"/>
      <c r="B722" s="3"/>
      <c r="C722" s="3"/>
      <c r="D722" s="3"/>
      <c r="E722" s="3"/>
      <c r="F722" s="3"/>
      <c r="G722" s="3"/>
    </row>
    <row r="723" spans="1:7" ht="15.75" customHeight="1">
      <c r="A723" s="3"/>
      <c r="B723" s="3"/>
      <c r="C723" s="3"/>
      <c r="D723" s="3"/>
      <c r="E723" s="3"/>
      <c r="F723" s="3"/>
      <c r="G723" s="3"/>
    </row>
    <row r="724" spans="1:7" ht="15.75" customHeight="1">
      <c r="A724" s="3"/>
      <c r="B724" s="3"/>
      <c r="C724" s="3"/>
      <c r="D724" s="3"/>
      <c r="E724" s="3"/>
      <c r="F724" s="3"/>
      <c r="G724" s="3"/>
    </row>
    <row r="725" spans="1:7" ht="15.75" customHeight="1">
      <c r="A725" s="3"/>
      <c r="B725" s="3"/>
      <c r="C725" s="3"/>
      <c r="D725" s="3"/>
      <c r="E725" s="3"/>
      <c r="F725" s="3"/>
      <c r="G725" s="3"/>
    </row>
    <row r="726" spans="1:7" ht="15.75" customHeight="1">
      <c r="A726" s="3"/>
      <c r="B726" s="3"/>
      <c r="C726" s="3"/>
      <c r="D726" s="3"/>
      <c r="E726" s="3"/>
      <c r="F726" s="3"/>
      <c r="G726" s="3"/>
    </row>
    <row r="727" spans="1:7" ht="15.75" customHeight="1">
      <c r="A727" s="3"/>
      <c r="B727" s="3"/>
      <c r="C727" s="3"/>
      <c r="D727" s="3"/>
      <c r="E727" s="3"/>
      <c r="F727" s="3"/>
      <c r="G727" s="3"/>
    </row>
    <row r="728" spans="1:7" ht="15.75" customHeight="1">
      <c r="A728" s="3"/>
      <c r="B728" s="3"/>
      <c r="C728" s="3"/>
      <c r="D728" s="3"/>
      <c r="E728" s="3"/>
      <c r="F728" s="3"/>
      <c r="G728" s="3"/>
    </row>
    <row r="729" spans="1:7" ht="15.75" customHeight="1">
      <c r="A729" s="3"/>
      <c r="B729" s="3"/>
      <c r="C729" s="3"/>
      <c r="D729" s="3"/>
      <c r="E729" s="3"/>
      <c r="F729" s="3"/>
      <c r="G729" s="3"/>
    </row>
    <row r="730" spans="1:7" ht="15.75" customHeight="1">
      <c r="A730" s="3"/>
      <c r="B730" s="3"/>
      <c r="C730" s="3"/>
      <c r="D730" s="3"/>
      <c r="E730" s="3"/>
      <c r="F730" s="3"/>
      <c r="G730" s="3"/>
    </row>
    <row r="731" spans="1:7" ht="15.75" customHeight="1">
      <c r="A731" s="3"/>
      <c r="B731" s="3"/>
      <c r="C731" s="3"/>
      <c r="D731" s="3"/>
      <c r="E731" s="3"/>
      <c r="F731" s="3"/>
      <c r="G731" s="3"/>
    </row>
    <row r="732" spans="1:7" ht="15.75" customHeight="1">
      <c r="A732" s="3"/>
      <c r="B732" s="3"/>
      <c r="C732" s="3"/>
      <c r="D732" s="3"/>
      <c r="E732" s="3"/>
      <c r="F732" s="3"/>
      <c r="G732" s="3"/>
    </row>
    <row r="733" spans="1:7" ht="15.75" customHeight="1">
      <c r="A733" s="3"/>
      <c r="B733" s="3"/>
      <c r="C733" s="3"/>
      <c r="D733" s="3"/>
      <c r="E733" s="3"/>
      <c r="F733" s="3"/>
      <c r="G733" s="3"/>
    </row>
    <row r="734" spans="1:7" ht="15.75" customHeight="1">
      <c r="A734" s="3"/>
      <c r="B734" s="3"/>
      <c r="C734" s="3"/>
      <c r="D734" s="3"/>
      <c r="E734" s="3"/>
      <c r="F734" s="3"/>
      <c r="G734" s="3"/>
    </row>
    <row r="735" spans="1:7" ht="15.75" customHeight="1">
      <c r="A735" s="3"/>
      <c r="B735" s="3"/>
      <c r="C735" s="3"/>
      <c r="D735" s="3"/>
      <c r="E735" s="3"/>
      <c r="F735" s="3"/>
      <c r="G735" s="3"/>
    </row>
    <row r="736" spans="1:7" ht="15.75" customHeight="1">
      <c r="A736" s="3"/>
      <c r="B736" s="3"/>
      <c r="C736" s="3"/>
      <c r="D736" s="3"/>
      <c r="E736" s="3"/>
      <c r="F736" s="3"/>
      <c r="G736" s="3"/>
    </row>
    <row r="737" spans="1:7" ht="15.75" customHeight="1">
      <c r="A737" s="3"/>
      <c r="B737" s="3"/>
      <c r="C737" s="3"/>
      <c r="D737" s="3"/>
      <c r="E737" s="3"/>
      <c r="F737" s="3"/>
      <c r="G737" s="3"/>
    </row>
    <row r="738" spans="1:7" ht="15.75" customHeight="1">
      <c r="A738" s="3"/>
      <c r="B738" s="3"/>
      <c r="C738" s="3"/>
      <c r="D738" s="3"/>
      <c r="E738" s="3"/>
      <c r="F738" s="3"/>
      <c r="G738" s="3"/>
    </row>
    <row r="739" spans="1:7" ht="15.75" customHeight="1">
      <c r="A739" s="3"/>
      <c r="B739" s="3"/>
      <c r="C739" s="3"/>
      <c r="D739" s="3"/>
      <c r="E739" s="3"/>
      <c r="F739" s="3"/>
      <c r="G739" s="3"/>
    </row>
    <row r="740" spans="1:7" ht="15.75" customHeight="1">
      <c r="A740" s="3"/>
      <c r="B740" s="3"/>
      <c r="C740" s="3"/>
      <c r="D740" s="3"/>
      <c r="E740" s="3"/>
      <c r="F740" s="3"/>
      <c r="G740" s="3"/>
    </row>
    <row r="741" spans="1:7" ht="15.75" customHeight="1">
      <c r="A741" s="3"/>
      <c r="B741" s="3"/>
      <c r="C741" s="3"/>
      <c r="D741" s="3"/>
      <c r="E741" s="3"/>
      <c r="F741" s="3"/>
      <c r="G741" s="3"/>
    </row>
    <row r="742" spans="1:7" ht="15.75" customHeight="1">
      <c r="A742" s="3"/>
      <c r="B742" s="3"/>
      <c r="C742" s="3"/>
      <c r="D742" s="3"/>
      <c r="E742" s="3"/>
      <c r="F742" s="3"/>
      <c r="G742" s="3"/>
    </row>
    <row r="743" spans="1:7" ht="15.75" customHeight="1">
      <c r="A743" s="3"/>
      <c r="B743" s="3"/>
      <c r="C743" s="3"/>
      <c r="D743" s="3"/>
      <c r="E743" s="3"/>
      <c r="F743" s="3"/>
      <c r="G743" s="3"/>
    </row>
    <row r="744" spans="1:7" ht="15.75" customHeight="1">
      <c r="A744" s="3"/>
      <c r="B744" s="3"/>
      <c r="C744" s="3"/>
      <c r="D744" s="3"/>
      <c r="E744" s="3"/>
      <c r="F744" s="3"/>
      <c r="G744" s="3"/>
    </row>
    <row r="745" spans="1:7" ht="15.75" customHeight="1">
      <c r="A745" s="3"/>
      <c r="B745" s="3"/>
      <c r="C745" s="3"/>
      <c r="D745" s="3"/>
      <c r="E745" s="3"/>
      <c r="F745" s="3"/>
      <c r="G745" s="3"/>
    </row>
    <row r="746" spans="1:7" ht="15.75" customHeight="1">
      <c r="A746" s="3"/>
      <c r="B746" s="3"/>
      <c r="C746" s="3"/>
      <c r="D746" s="3"/>
      <c r="E746" s="3"/>
      <c r="F746" s="3"/>
      <c r="G746" s="3"/>
    </row>
    <row r="747" spans="1:7" ht="15.75" customHeight="1">
      <c r="A747" s="3"/>
      <c r="B747" s="3"/>
      <c r="C747" s="3"/>
      <c r="D747" s="3"/>
      <c r="E747" s="3"/>
      <c r="F747" s="3"/>
      <c r="G747" s="3"/>
    </row>
    <row r="748" spans="1:7" ht="15.75" customHeight="1">
      <c r="A748" s="3"/>
      <c r="B748" s="3"/>
      <c r="C748" s="3"/>
      <c r="D748" s="3"/>
      <c r="E748" s="3"/>
      <c r="F748" s="3"/>
      <c r="G748" s="3"/>
    </row>
    <row r="749" spans="1:7" ht="15.75" customHeight="1">
      <c r="A749" s="3"/>
      <c r="B749" s="3"/>
      <c r="C749" s="3"/>
      <c r="D749" s="3"/>
      <c r="E749" s="3"/>
      <c r="F749" s="3"/>
      <c r="G749" s="3"/>
    </row>
    <row r="750" spans="1:7" ht="15.75" customHeight="1">
      <c r="A750" s="3"/>
      <c r="B750" s="3"/>
      <c r="C750" s="3"/>
      <c r="D750" s="3"/>
      <c r="E750" s="3"/>
      <c r="F750" s="3"/>
      <c r="G750" s="3"/>
    </row>
    <row r="751" spans="1:7" ht="15.75" customHeight="1">
      <c r="A751" s="3"/>
      <c r="B751" s="3"/>
      <c r="C751" s="3"/>
      <c r="D751" s="3"/>
      <c r="E751" s="3"/>
      <c r="F751" s="3"/>
      <c r="G751" s="3"/>
    </row>
    <row r="752" spans="1:7" ht="15.75" customHeight="1">
      <c r="A752" s="3"/>
      <c r="B752" s="3"/>
      <c r="C752" s="3"/>
      <c r="D752" s="3"/>
      <c r="E752" s="3"/>
      <c r="F752" s="3"/>
      <c r="G752" s="3"/>
    </row>
    <row r="753" spans="1:7" ht="15.75" customHeight="1">
      <c r="A753" s="3"/>
      <c r="B753" s="3"/>
      <c r="C753" s="3"/>
      <c r="D753" s="3"/>
      <c r="E753" s="3"/>
      <c r="F753" s="3"/>
      <c r="G753" s="3"/>
    </row>
    <row r="754" spans="1:7" ht="15.75" customHeight="1">
      <c r="A754" s="3"/>
      <c r="B754" s="3"/>
      <c r="C754" s="3"/>
      <c r="D754" s="3"/>
      <c r="E754" s="3"/>
      <c r="F754" s="3"/>
      <c r="G754" s="3"/>
    </row>
    <row r="755" spans="1:7" ht="15.75" customHeight="1">
      <c r="A755" s="3"/>
      <c r="B755" s="3"/>
      <c r="C755" s="3"/>
      <c r="D755" s="3"/>
      <c r="E755" s="3"/>
      <c r="F755" s="3"/>
      <c r="G755" s="3"/>
    </row>
    <row r="756" spans="1:7" ht="15.75" customHeight="1">
      <c r="A756" s="3"/>
      <c r="B756" s="3"/>
      <c r="C756" s="3"/>
      <c r="D756" s="3"/>
      <c r="E756" s="3"/>
      <c r="F756" s="3"/>
      <c r="G756" s="3"/>
    </row>
    <row r="757" spans="1:7" ht="15.75" customHeight="1">
      <c r="A757" s="3"/>
      <c r="B757" s="3"/>
      <c r="C757" s="3"/>
      <c r="D757" s="3"/>
      <c r="E757" s="3"/>
      <c r="F757" s="3"/>
      <c r="G757" s="3"/>
    </row>
    <row r="758" spans="1:7" ht="15.75" customHeight="1">
      <c r="A758" s="3"/>
      <c r="B758" s="3"/>
      <c r="C758" s="3"/>
      <c r="D758" s="3"/>
      <c r="E758" s="3"/>
      <c r="F758" s="3"/>
      <c r="G758" s="3"/>
    </row>
    <row r="759" spans="1:7" ht="15.75" customHeight="1">
      <c r="A759" s="3"/>
      <c r="B759" s="3"/>
      <c r="C759" s="3"/>
      <c r="D759" s="3"/>
      <c r="E759" s="3"/>
      <c r="F759" s="3"/>
      <c r="G759" s="3"/>
    </row>
    <row r="760" spans="1:7" ht="15.75" customHeight="1">
      <c r="A760" s="3"/>
      <c r="B760" s="3"/>
      <c r="C760" s="3"/>
      <c r="D760" s="3"/>
      <c r="E760" s="3"/>
      <c r="F760" s="3"/>
      <c r="G760" s="3"/>
    </row>
    <row r="761" spans="1:7" ht="15.75" customHeight="1">
      <c r="A761" s="3"/>
      <c r="B761" s="3"/>
      <c r="C761" s="3"/>
      <c r="D761" s="3"/>
      <c r="E761" s="3"/>
      <c r="F761" s="3"/>
      <c r="G761" s="3"/>
    </row>
    <row r="762" spans="1:7" ht="15.75" customHeight="1">
      <c r="A762" s="3"/>
      <c r="B762" s="3"/>
      <c r="C762" s="3"/>
      <c r="D762" s="3"/>
      <c r="E762" s="3"/>
      <c r="F762" s="3"/>
      <c r="G762" s="3"/>
    </row>
    <row r="763" spans="1:7" ht="15.75" customHeight="1">
      <c r="A763" s="3"/>
      <c r="B763" s="3"/>
      <c r="C763" s="3"/>
      <c r="D763" s="3"/>
      <c r="E763" s="3"/>
      <c r="F763" s="3"/>
      <c r="G763" s="3"/>
    </row>
    <row r="764" spans="1:7" ht="15.75" customHeight="1">
      <c r="A764" s="3"/>
      <c r="B764" s="3"/>
      <c r="C764" s="3"/>
      <c r="D764" s="3"/>
      <c r="E764" s="3"/>
      <c r="F764" s="3"/>
      <c r="G764" s="3"/>
    </row>
    <row r="765" spans="1:7" ht="15.75" customHeight="1">
      <c r="A765" s="3"/>
      <c r="B765" s="3"/>
      <c r="C765" s="3"/>
      <c r="D765" s="3"/>
      <c r="E765" s="3"/>
      <c r="F765" s="3"/>
      <c r="G765" s="3"/>
    </row>
    <row r="766" spans="1:7" ht="15.75" customHeight="1">
      <c r="A766" s="3"/>
      <c r="B766" s="3"/>
      <c r="C766" s="3"/>
      <c r="D766" s="3"/>
      <c r="E766" s="3"/>
      <c r="F766" s="3"/>
      <c r="G766" s="3"/>
    </row>
    <row r="767" spans="1:7" ht="15.75" customHeight="1">
      <c r="A767" s="3"/>
      <c r="B767" s="3"/>
      <c r="C767" s="3"/>
      <c r="D767" s="3"/>
      <c r="E767" s="3"/>
      <c r="F767" s="3"/>
      <c r="G767" s="3"/>
    </row>
    <row r="768" spans="1:7" ht="15.75" customHeight="1">
      <c r="A768" s="3"/>
      <c r="B768" s="3"/>
      <c r="C768" s="3"/>
      <c r="D768" s="3"/>
      <c r="E768" s="3"/>
      <c r="F768" s="3"/>
      <c r="G768" s="3"/>
    </row>
    <row r="769" spans="1:7" ht="15.75" customHeight="1">
      <c r="A769" s="3"/>
      <c r="B769" s="3"/>
      <c r="C769" s="3"/>
      <c r="D769" s="3"/>
      <c r="E769" s="3"/>
      <c r="F769" s="3"/>
      <c r="G769" s="3"/>
    </row>
    <row r="770" spans="1:7" ht="15.75" customHeight="1">
      <c r="A770" s="3"/>
      <c r="B770" s="3"/>
      <c r="C770" s="3"/>
      <c r="D770" s="3"/>
      <c r="E770" s="3"/>
      <c r="F770" s="3"/>
      <c r="G770" s="3"/>
    </row>
    <row r="771" spans="1:7" ht="15.75" customHeight="1">
      <c r="A771" s="3"/>
      <c r="B771" s="3"/>
      <c r="C771" s="3"/>
      <c r="D771" s="3"/>
      <c r="E771" s="3"/>
      <c r="F771" s="3"/>
      <c r="G771" s="3"/>
    </row>
    <row r="772" spans="1:7" ht="15.75" customHeight="1">
      <c r="A772" s="3"/>
      <c r="B772" s="3"/>
      <c r="C772" s="3"/>
      <c r="D772" s="3"/>
      <c r="E772" s="3"/>
      <c r="F772" s="3"/>
      <c r="G772" s="3"/>
    </row>
    <row r="773" spans="1:7" ht="15.75" customHeight="1">
      <c r="A773" s="3"/>
      <c r="B773" s="3"/>
      <c r="C773" s="3"/>
      <c r="D773" s="3"/>
      <c r="E773" s="3"/>
      <c r="F773" s="3"/>
      <c r="G773" s="3"/>
    </row>
    <row r="774" spans="1:7" ht="15.75" customHeight="1">
      <c r="A774" s="3"/>
      <c r="B774" s="3"/>
      <c r="C774" s="3"/>
      <c r="D774" s="3"/>
      <c r="E774" s="3"/>
      <c r="F774" s="3"/>
      <c r="G774" s="3"/>
    </row>
    <row r="775" spans="1:7" ht="15.75" customHeight="1">
      <c r="A775" s="3"/>
      <c r="B775" s="3"/>
      <c r="C775" s="3"/>
      <c r="D775" s="3"/>
      <c r="E775" s="3"/>
      <c r="F775" s="3"/>
      <c r="G775" s="3"/>
    </row>
    <row r="776" spans="1:7" ht="15.75" customHeight="1">
      <c r="A776" s="3"/>
      <c r="B776" s="3"/>
      <c r="C776" s="3"/>
      <c r="D776" s="3"/>
      <c r="E776" s="3"/>
      <c r="F776" s="3"/>
      <c r="G776" s="3"/>
    </row>
    <row r="777" spans="1:7" ht="15.75" customHeight="1">
      <c r="A777" s="3"/>
      <c r="B777" s="3"/>
      <c r="C777" s="3"/>
      <c r="D777" s="3"/>
      <c r="E777" s="3"/>
      <c r="F777" s="3"/>
      <c r="G777" s="3"/>
    </row>
    <row r="778" spans="1:7" ht="15.75" customHeight="1">
      <c r="A778" s="3"/>
      <c r="B778" s="3"/>
      <c r="C778" s="3"/>
      <c r="D778" s="3"/>
      <c r="E778" s="3"/>
      <c r="F778" s="3"/>
      <c r="G778" s="3"/>
    </row>
    <row r="779" spans="1:7" ht="15.75" customHeight="1">
      <c r="A779" s="3"/>
      <c r="B779" s="3"/>
      <c r="C779" s="3"/>
      <c r="D779" s="3"/>
      <c r="E779" s="3"/>
      <c r="F779" s="3"/>
      <c r="G779" s="3"/>
    </row>
    <row r="780" spans="1:7" ht="15.75" customHeight="1">
      <c r="A780" s="3"/>
      <c r="B780" s="3"/>
      <c r="C780" s="3"/>
      <c r="D780" s="3"/>
      <c r="E780" s="3"/>
      <c r="F780" s="3"/>
      <c r="G780" s="3"/>
    </row>
    <row r="781" spans="1:7" ht="15.75" customHeight="1">
      <c r="A781" s="3"/>
      <c r="B781" s="3"/>
      <c r="C781" s="3"/>
      <c r="D781" s="3"/>
      <c r="E781" s="3"/>
      <c r="F781" s="3"/>
      <c r="G781" s="3"/>
    </row>
    <row r="782" spans="1:7" ht="15.75" customHeight="1">
      <c r="A782" s="3"/>
      <c r="B782" s="3"/>
      <c r="C782" s="3"/>
      <c r="D782" s="3"/>
      <c r="E782" s="3"/>
      <c r="F782" s="3"/>
      <c r="G782" s="3"/>
    </row>
    <row r="783" spans="1:7" ht="15.75" customHeight="1">
      <c r="A783" s="3"/>
      <c r="B783" s="3"/>
      <c r="C783" s="3"/>
      <c r="D783" s="3"/>
      <c r="E783" s="3"/>
      <c r="F783" s="3"/>
      <c r="G783" s="3"/>
    </row>
    <row r="784" spans="1:7" ht="15.75" customHeight="1">
      <c r="A784" s="3"/>
      <c r="B784" s="3"/>
      <c r="C784" s="3"/>
      <c r="D784" s="3"/>
      <c r="E784" s="3"/>
      <c r="F784" s="3"/>
      <c r="G784" s="3"/>
    </row>
    <row r="785" spans="1:7" ht="15.75" customHeight="1">
      <c r="A785" s="3"/>
      <c r="B785" s="3"/>
      <c r="C785" s="3"/>
      <c r="D785" s="3"/>
      <c r="E785" s="3"/>
      <c r="F785" s="3"/>
      <c r="G785" s="3"/>
    </row>
    <row r="786" spans="1:7" ht="15.75" customHeight="1">
      <c r="A786" s="3"/>
      <c r="B786" s="3"/>
      <c r="C786" s="3"/>
      <c r="D786" s="3"/>
      <c r="E786" s="3"/>
      <c r="F786" s="3"/>
      <c r="G786" s="3"/>
    </row>
    <row r="787" spans="1:7" ht="15.75" customHeight="1">
      <c r="A787" s="3"/>
      <c r="B787" s="3"/>
      <c r="C787" s="3"/>
      <c r="D787" s="3"/>
      <c r="E787" s="3"/>
      <c r="F787" s="3"/>
      <c r="G787" s="3"/>
    </row>
    <row r="788" spans="1:7" ht="15.75" customHeight="1">
      <c r="A788" s="3"/>
      <c r="B788" s="3"/>
      <c r="C788" s="3"/>
      <c r="D788" s="3"/>
      <c r="E788" s="3"/>
      <c r="F788" s="3"/>
      <c r="G788" s="3"/>
    </row>
    <row r="789" spans="1:7" ht="15.75" customHeight="1">
      <c r="A789" s="3"/>
      <c r="B789" s="3"/>
      <c r="C789" s="3"/>
      <c r="D789" s="3"/>
      <c r="E789" s="3"/>
      <c r="F789" s="3"/>
      <c r="G789" s="3"/>
    </row>
    <row r="790" spans="1:7" ht="15.75" customHeight="1">
      <c r="A790" s="3"/>
      <c r="B790" s="3"/>
      <c r="C790" s="3"/>
      <c r="D790" s="3"/>
      <c r="E790" s="3"/>
      <c r="F790" s="3"/>
      <c r="G790" s="3"/>
    </row>
    <row r="791" spans="1:7" ht="15.75" customHeight="1">
      <c r="A791" s="3"/>
      <c r="B791" s="3"/>
      <c r="C791" s="3"/>
      <c r="D791" s="3"/>
      <c r="E791" s="3"/>
      <c r="F791" s="3"/>
      <c r="G791" s="3"/>
    </row>
    <row r="792" spans="1:7" ht="15.75" customHeight="1">
      <c r="A792" s="3"/>
      <c r="B792" s="3"/>
      <c r="C792" s="3"/>
      <c r="D792" s="3"/>
      <c r="E792" s="3"/>
      <c r="F792" s="3"/>
      <c r="G792" s="3"/>
    </row>
    <row r="793" spans="1:7" ht="15.75" customHeight="1">
      <c r="A793" s="3"/>
      <c r="B793" s="3"/>
      <c r="C793" s="3"/>
      <c r="D793" s="3"/>
      <c r="E793" s="3"/>
      <c r="F793" s="3"/>
      <c r="G793" s="3"/>
    </row>
    <row r="794" spans="1:7" ht="15.75" customHeight="1">
      <c r="A794" s="3"/>
      <c r="B794" s="3"/>
      <c r="C794" s="3"/>
      <c r="D794" s="3"/>
      <c r="E794" s="3"/>
      <c r="F794" s="3"/>
      <c r="G794" s="3"/>
    </row>
    <row r="795" spans="1:7" ht="15.75" customHeight="1">
      <c r="A795" s="3"/>
      <c r="B795" s="3"/>
      <c r="C795" s="3"/>
      <c r="D795" s="3"/>
      <c r="E795" s="3"/>
      <c r="F795" s="3"/>
      <c r="G795" s="3"/>
    </row>
    <row r="796" spans="1:7" ht="15.75" customHeight="1">
      <c r="A796" s="3"/>
      <c r="B796" s="3"/>
      <c r="C796" s="3"/>
      <c r="D796" s="3"/>
      <c r="E796" s="3"/>
      <c r="F796" s="3"/>
      <c r="G796" s="3"/>
    </row>
    <row r="797" spans="1:7" ht="15.75" customHeight="1">
      <c r="A797" s="3"/>
      <c r="B797" s="3"/>
      <c r="C797" s="3"/>
      <c r="D797" s="3"/>
      <c r="E797" s="3"/>
      <c r="F797" s="3"/>
      <c r="G797" s="3"/>
    </row>
    <row r="798" spans="1:7" ht="15.75" customHeight="1">
      <c r="A798" s="3"/>
      <c r="B798" s="3"/>
      <c r="C798" s="3"/>
      <c r="D798" s="3"/>
      <c r="E798" s="3"/>
      <c r="F798" s="3"/>
      <c r="G798" s="3"/>
    </row>
    <row r="799" spans="1:7" ht="15.75" customHeight="1">
      <c r="A799" s="3"/>
      <c r="B799" s="3"/>
      <c r="C799" s="3"/>
      <c r="D799" s="3"/>
      <c r="E799" s="3"/>
      <c r="F799" s="3"/>
      <c r="G799" s="3"/>
    </row>
    <row r="800" spans="1:7" ht="15.75" customHeight="1">
      <c r="A800" s="3"/>
      <c r="B800" s="3"/>
      <c r="C800" s="3"/>
      <c r="D800" s="3"/>
      <c r="E800" s="3"/>
      <c r="F800" s="3"/>
      <c r="G800" s="3"/>
    </row>
    <row r="801" spans="1:7" ht="15.75" customHeight="1">
      <c r="A801" s="3"/>
      <c r="B801" s="3"/>
      <c r="C801" s="3"/>
      <c r="D801" s="3"/>
      <c r="E801" s="3"/>
      <c r="F801" s="3"/>
      <c r="G801" s="3"/>
    </row>
    <row r="802" spans="1:7" ht="15.75" customHeight="1">
      <c r="A802" s="3"/>
      <c r="B802" s="3"/>
      <c r="C802" s="3"/>
      <c r="D802" s="3"/>
      <c r="E802" s="3"/>
      <c r="F802" s="3"/>
      <c r="G802" s="3"/>
    </row>
    <row r="803" spans="1:7" ht="15.75" customHeight="1">
      <c r="A803" s="3"/>
      <c r="B803" s="3"/>
      <c r="C803" s="3"/>
      <c r="D803" s="3"/>
      <c r="E803" s="3"/>
      <c r="F803" s="3"/>
      <c r="G803" s="3"/>
    </row>
    <row r="804" spans="1:7" ht="15.75" customHeight="1">
      <c r="A804" s="3"/>
      <c r="B804" s="3"/>
      <c r="C804" s="3"/>
      <c r="D804" s="3"/>
      <c r="E804" s="3"/>
      <c r="F804" s="3"/>
      <c r="G804" s="3"/>
    </row>
    <row r="805" spans="1:7" ht="15.75" customHeight="1">
      <c r="A805" s="3"/>
      <c r="B805" s="3"/>
      <c r="C805" s="3"/>
      <c r="D805" s="3"/>
      <c r="E805" s="3"/>
      <c r="F805" s="3"/>
      <c r="G805" s="3"/>
    </row>
    <row r="806" spans="1:7" ht="15.75" customHeight="1">
      <c r="A806" s="3"/>
      <c r="B806" s="3"/>
      <c r="C806" s="3"/>
      <c r="D806" s="3"/>
      <c r="E806" s="3"/>
      <c r="F806" s="3"/>
      <c r="G806" s="3"/>
    </row>
    <row r="807" spans="1:7" ht="15.75" customHeight="1">
      <c r="A807" s="3"/>
      <c r="B807" s="3"/>
      <c r="C807" s="3"/>
      <c r="D807" s="3"/>
      <c r="E807" s="3"/>
      <c r="F807" s="3"/>
      <c r="G807" s="3"/>
    </row>
    <row r="808" spans="1:7" ht="15.75" customHeight="1">
      <c r="A808" s="3"/>
      <c r="B808" s="3"/>
      <c r="C808" s="3"/>
      <c r="D808" s="3"/>
      <c r="E808" s="3"/>
      <c r="F808" s="3"/>
      <c r="G808" s="3"/>
    </row>
    <row r="809" spans="1:7" ht="15.75" customHeight="1">
      <c r="A809" s="3"/>
      <c r="B809" s="3"/>
      <c r="C809" s="3"/>
      <c r="D809" s="3"/>
      <c r="E809" s="3"/>
      <c r="F809" s="3"/>
      <c r="G809" s="3"/>
    </row>
    <row r="810" spans="1:7" ht="15.75" customHeight="1">
      <c r="A810" s="3"/>
      <c r="B810" s="3"/>
      <c r="C810" s="3"/>
      <c r="D810" s="3"/>
      <c r="E810" s="3"/>
      <c r="F810" s="3"/>
      <c r="G810" s="3"/>
    </row>
    <row r="811" spans="1:7" ht="15.75" customHeight="1">
      <c r="A811" s="3"/>
      <c r="B811" s="3"/>
      <c r="C811" s="3"/>
      <c r="D811" s="3"/>
      <c r="E811" s="3"/>
      <c r="F811" s="3"/>
      <c r="G811" s="3"/>
    </row>
    <row r="812" spans="1:7" ht="15.75" customHeight="1">
      <c r="A812" s="3"/>
      <c r="B812" s="3"/>
      <c r="C812" s="3"/>
      <c r="D812" s="3"/>
      <c r="E812" s="3"/>
      <c r="F812" s="3"/>
      <c r="G812" s="3"/>
    </row>
    <row r="813" spans="1:7" ht="15.75" customHeight="1">
      <c r="A813" s="3"/>
      <c r="B813" s="3"/>
      <c r="C813" s="3"/>
      <c r="D813" s="3"/>
      <c r="E813" s="3"/>
      <c r="F813" s="3"/>
      <c r="G813" s="3"/>
    </row>
    <row r="814" spans="1:7" ht="15.75" customHeight="1">
      <c r="A814" s="3"/>
      <c r="B814" s="3"/>
      <c r="C814" s="3"/>
      <c r="D814" s="3"/>
      <c r="E814" s="3"/>
      <c r="F814" s="3"/>
      <c r="G814" s="3"/>
    </row>
    <row r="815" spans="1:7" ht="15.75" customHeight="1">
      <c r="A815" s="3"/>
      <c r="B815" s="3"/>
      <c r="C815" s="3"/>
      <c r="D815" s="3"/>
      <c r="E815" s="3"/>
      <c r="F815" s="3"/>
      <c r="G815" s="3"/>
    </row>
    <row r="816" spans="1:7" ht="15.75" customHeight="1">
      <c r="A816" s="3"/>
      <c r="B816" s="3"/>
      <c r="C816" s="3"/>
      <c r="D816" s="3"/>
      <c r="E816" s="3"/>
      <c r="F816" s="3"/>
      <c r="G816" s="3"/>
    </row>
    <row r="817" spans="1:7" ht="15.75" customHeight="1">
      <c r="A817" s="3"/>
      <c r="B817" s="3"/>
      <c r="C817" s="3"/>
      <c r="D817" s="3"/>
      <c r="E817" s="3"/>
      <c r="F817" s="3"/>
      <c r="G817" s="3"/>
    </row>
    <row r="818" spans="1:7" ht="15.75" customHeight="1">
      <c r="A818" s="3"/>
      <c r="B818" s="3"/>
      <c r="C818" s="3"/>
      <c r="D818" s="3"/>
      <c r="E818" s="3"/>
      <c r="F818" s="3"/>
      <c r="G818" s="3"/>
    </row>
    <row r="819" spans="1:7" ht="15.75" customHeight="1">
      <c r="A819" s="3"/>
      <c r="B819" s="3"/>
      <c r="C819" s="3"/>
      <c r="D819" s="3"/>
      <c r="E819" s="3"/>
      <c r="F819" s="3"/>
      <c r="G819" s="3"/>
    </row>
    <row r="820" spans="1:7" ht="15.75" customHeight="1">
      <c r="A820" s="3"/>
      <c r="B820" s="3"/>
      <c r="C820" s="3"/>
      <c r="D820" s="3"/>
      <c r="E820" s="3"/>
      <c r="F820" s="3"/>
      <c r="G820" s="3"/>
    </row>
    <row r="821" spans="1:7" ht="15.75" customHeight="1">
      <c r="A821" s="3"/>
      <c r="B821" s="3"/>
      <c r="C821" s="3"/>
      <c r="D821" s="3"/>
      <c r="E821" s="3"/>
      <c r="F821" s="3"/>
      <c r="G821" s="3"/>
    </row>
    <row r="822" spans="1:7" ht="15.75" customHeight="1">
      <c r="A822" s="3"/>
      <c r="B822" s="3"/>
      <c r="C822" s="3"/>
      <c r="D822" s="3"/>
      <c r="E822" s="3"/>
      <c r="F822" s="3"/>
      <c r="G822" s="3"/>
    </row>
    <row r="823" spans="1:7" ht="15.75" customHeight="1">
      <c r="A823" s="3"/>
      <c r="B823" s="3"/>
      <c r="C823" s="3"/>
      <c r="D823" s="3"/>
      <c r="E823" s="3"/>
      <c r="F823" s="3"/>
      <c r="G823" s="3"/>
    </row>
    <row r="824" spans="1:7" ht="15.75" customHeight="1">
      <c r="A824" s="3"/>
      <c r="B824" s="3"/>
      <c r="C824" s="3"/>
      <c r="D824" s="3"/>
      <c r="E824" s="3"/>
      <c r="F824" s="3"/>
      <c r="G824" s="3"/>
    </row>
    <row r="825" spans="1:7" ht="15.75" customHeight="1">
      <c r="A825" s="3"/>
      <c r="B825" s="3"/>
      <c r="C825" s="3"/>
      <c r="D825" s="3"/>
      <c r="E825" s="3"/>
      <c r="F825" s="3"/>
      <c r="G825" s="3"/>
    </row>
    <row r="826" spans="1:7" ht="15.75" customHeight="1">
      <c r="A826" s="3"/>
      <c r="B826" s="3"/>
      <c r="C826" s="3"/>
      <c r="D826" s="3"/>
      <c r="E826" s="3"/>
      <c r="F826" s="3"/>
      <c r="G826" s="3"/>
    </row>
    <row r="827" spans="1:7" ht="15.75" customHeight="1">
      <c r="A827" s="3"/>
      <c r="B827" s="3"/>
      <c r="C827" s="3"/>
      <c r="D827" s="3"/>
      <c r="E827" s="3"/>
      <c r="F827" s="3"/>
      <c r="G827" s="3"/>
    </row>
    <row r="828" spans="1:7" ht="15.75" customHeight="1">
      <c r="A828" s="3"/>
      <c r="B828" s="3"/>
      <c r="C828" s="3"/>
      <c r="D828" s="3"/>
      <c r="E828" s="3"/>
      <c r="F828" s="3"/>
      <c r="G828" s="3"/>
    </row>
    <row r="829" spans="1:7" ht="15.75" customHeight="1">
      <c r="A829" s="3"/>
      <c r="B829" s="3"/>
      <c r="C829" s="3"/>
      <c r="D829" s="3"/>
      <c r="E829" s="3"/>
      <c r="F829" s="3"/>
      <c r="G829" s="3"/>
    </row>
    <row r="830" spans="1:7" ht="15.75" customHeight="1">
      <c r="A830" s="3"/>
      <c r="B830" s="3"/>
      <c r="C830" s="3"/>
      <c r="D830" s="3"/>
      <c r="E830" s="3"/>
      <c r="F830" s="3"/>
      <c r="G830" s="3"/>
    </row>
    <row r="831" spans="1:7" ht="15.75" customHeight="1">
      <c r="A831" s="3"/>
      <c r="B831" s="3"/>
      <c r="C831" s="3"/>
      <c r="D831" s="3"/>
      <c r="E831" s="3"/>
      <c r="F831" s="3"/>
      <c r="G831" s="3"/>
    </row>
    <row r="832" spans="1:7" ht="15.75" customHeight="1">
      <c r="A832" s="3"/>
      <c r="B832" s="3"/>
      <c r="C832" s="3"/>
      <c r="D832" s="3"/>
      <c r="E832" s="3"/>
      <c r="F832" s="3"/>
      <c r="G832" s="3"/>
    </row>
    <row r="833" spans="1:7" ht="15.75" customHeight="1">
      <c r="A833" s="3"/>
      <c r="B833" s="3"/>
      <c r="C833" s="3"/>
      <c r="D833" s="3"/>
      <c r="E833" s="3"/>
      <c r="F833" s="3"/>
      <c r="G833" s="3"/>
    </row>
    <row r="834" spans="1:7" ht="15.75" customHeight="1">
      <c r="A834" s="3"/>
      <c r="B834" s="3"/>
      <c r="C834" s="3"/>
      <c r="D834" s="3"/>
      <c r="E834" s="3"/>
      <c r="F834" s="3"/>
      <c r="G834" s="3"/>
    </row>
    <row r="835" spans="1:7" ht="15.75" customHeight="1">
      <c r="A835" s="3"/>
      <c r="B835" s="3"/>
      <c r="C835" s="3"/>
      <c r="D835" s="3"/>
      <c r="E835" s="3"/>
      <c r="F835" s="3"/>
      <c r="G835" s="3"/>
    </row>
    <row r="836" spans="1:7" ht="15.75" customHeight="1">
      <c r="A836" s="3"/>
      <c r="B836" s="3"/>
      <c r="C836" s="3"/>
      <c r="D836" s="3"/>
      <c r="E836" s="3"/>
      <c r="F836" s="3"/>
      <c r="G836" s="3"/>
    </row>
    <row r="837" spans="1:7" ht="15.75" customHeight="1">
      <c r="A837" s="3"/>
      <c r="B837" s="3"/>
      <c r="C837" s="3"/>
      <c r="D837" s="3"/>
      <c r="E837" s="3"/>
      <c r="F837" s="3"/>
      <c r="G837" s="3"/>
    </row>
    <row r="838" spans="1:7" ht="15.75" customHeight="1">
      <c r="A838" s="3"/>
      <c r="B838" s="3"/>
      <c r="C838" s="3"/>
      <c r="D838" s="3"/>
      <c r="E838" s="3"/>
      <c r="F838" s="3"/>
      <c r="G838" s="3"/>
    </row>
    <row r="839" spans="1:7" ht="15.75" customHeight="1">
      <c r="A839" s="3"/>
      <c r="B839" s="3"/>
      <c r="C839" s="3"/>
      <c r="D839" s="3"/>
      <c r="E839" s="3"/>
      <c r="F839" s="3"/>
      <c r="G839" s="3"/>
    </row>
    <row r="840" spans="1:7" ht="15.75" customHeight="1">
      <c r="A840" s="3"/>
      <c r="B840" s="3"/>
      <c r="C840" s="3"/>
      <c r="D840" s="3"/>
      <c r="E840" s="3"/>
      <c r="F840" s="3"/>
      <c r="G840" s="3"/>
    </row>
    <row r="841" spans="1:7" ht="15.75" customHeight="1">
      <c r="A841" s="3"/>
      <c r="B841" s="3"/>
      <c r="C841" s="3"/>
      <c r="D841" s="3"/>
      <c r="E841" s="3"/>
      <c r="F841" s="3"/>
      <c r="G841" s="3"/>
    </row>
    <row r="842" spans="1:7" ht="15.75" customHeight="1">
      <c r="A842" s="3"/>
      <c r="B842" s="3"/>
      <c r="C842" s="3"/>
      <c r="D842" s="3"/>
      <c r="E842" s="3"/>
      <c r="F842" s="3"/>
      <c r="G842" s="3"/>
    </row>
    <row r="843" spans="1:7" ht="15.75" customHeight="1">
      <c r="A843" s="3"/>
      <c r="B843" s="3"/>
      <c r="C843" s="3"/>
      <c r="D843" s="3"/>
      <c r="E843" s="3"/>
      <c r="F843" s="3"/>
      <c r="G843" s="3"/>
    </row>
    <row r="844" spans="1:7" ht="15.75" customHeight="1">
      <c r="A844" s="3"/>
      <c r="B844" s="3"/>
      <c r="C844" s="3"/>
      <c r="D844" s="3"/>
      <c r="E844" s="3"/>
      <c r="F844" s="3"/>
      <c r="G844" s="3"/>
    </row>
    <row r="845" spans="1:7" ht="15.75" customHeight="1">
      <c r="A845" s="3"/>
      <c r="B845" s="3"/>
      <c r="C845" s="3"/>
      <c r="D845" s="3"/>
      <c r="E845" s="3"/>
      <c r="F845" s="3"/>
      <c r="G845" s="3"/>
    </row>
    <row r="846" spans="1:7" ht="15.75" customHeight="1">
      <c r="A846" s="3"/>
      <c r="B846" s="3"/>
      <c r="C846" s="3"/>
      <c r="D846" s="3"/>
      <c r="E846" s="3"/>
      <c r="F846" s="3"/>
      <c r="G846" s="3"/>
    </row>
    <row r="847" spans="1:7" ht="15.75" customHeight="1">
      <c r="A847" s="3"/>
      <c r="B847" s="3"/>
      <c r="C847" s="3"/>
      <c r="D847" s="3"/>
      <c r="E847" s="3"/>
      <c r="F847" s="3"/>
      <c r="G847" s="3"/>
    </row>
    <row r="848" spans="1:7" ht="15.75" customHeight="1">
      <c r="A848" s="3"/>
      <c r="B848" s="3"/>
      <c r="C848" s="3"/>
      <c r="D848" s="3"/>
      <c r="E848" s="3"/>
      <c r="F848" s="3"/>
      <c r="G848" s="3"/>
    </row>
    <row r="849" spans="1:7" ht="15.75" customHeight="1">
      <c r="A849" s="3"/>
      <c r="B849" s="3"/>
      <c r="C849" s="3"/>
      <c r="D849" s="3"/>
      <c r="E849" s="3"/>
      <c r="F849" s="3"/>
      <c r="G849" s="3"/>
    </row>
    <row r="850" spans="1:7" ht="15.75" customHeight="1">
      <c r="A850" s="3"/>
      <c r="B850" s="3"/>
      <c r="C850" s="3"/>
      <c r="D850" s="3"/>
      <c r="E850" s="3"/>
      <c r="F850" s="3"/>
      <c r="G850" s="3"/>
    </row>
    <row r="851" spans="1:7" ht="15.75" customHeight="1">
      <c r="A851" s="3"/>
      <c r="B851" s="3"/>
      <c r="C851" s="3"/>
      <c r="D851" s="3"/>
      <c r="E851" s="3"/>
      <c r="F851" s="3"/>
      <c r="G851" s="3"/>
    </row>
    <row r="852" spans="1:7" ht="15.75" customHeight="1">
      <c r="A852" s="3"/>
      <c r="B852" s="3"/>
      <c r="C852" s="3"/>
      <c r="D852" s="3"/>
      <c r="E852" s="3"/>
      <c r="F852" s="3"/>
      <c r="G852" s="3"/>
    </row>
    <row r="853" spans="1:7" ht="15.75" customHeight="1">
      <c r="A853" s="3"/>
      <c r="B853" s="3"/>
      <c r="C853" s="3"/>
      <c r="D853" s="3"/>
      <c r="E853" s="3"/>
      <c r="F853" s="3"/>
      <c r="G853" s="3"/>
    </row>
    <row r="854" spans="1:7" ht="15.75" customHeight="1">
      <c r="A854" s="3"/>
      <c r="B854" s="3"/>
      <c r="C854" s="3"/>
      <c r="D854" s="3"/>
      <c r="E854" s="3"/>
      <c r="F854" s="3"/>
      <c r="G854" s="3"/>
    </row>
    <row r="855" spans="1:7" ht="15.75" customHeight="1">
      <c r="A855" s="3"/>
      <c r="B855" s="3"/>
      <c r="C855" s="3"/>
      <c r="D855" s="3"/>
      <c r="E855" s="3"/>
      <c r="F855" s="3"/>
      <c r="G855" s="3"/>
    </row>
    <row r="856" spans="1:7" ht="15.75" customHeight="1">
      <c r="A856" s="3"/>
      <c r="B856" s="3"/>
      <c r="C856" s="3"/>
      <c r="D856" s="3"/>
      <c r="E856" s="3"/>
      <c r="F856" s="3"/>
      <c r="G856" s="3"/>
    </row>
    <row r="857" spans="1:7" ht="15.75" customHeight="1">
      <c r="A857" s="3"/>
      <c r="B857" s="3"/>
      <c r="C857" s="3"/>
      <c r="D857" s="3"/>
      <c r="E857" s="3"/>
      <c r="F857" s="3"/>
      <c r="G857" s="3"/>
    </row>
    <row r="858" spans="1:7" ht="15.75" customHeight="1">
      <c r="A858" s="3"/>
      <c r="B858" s="3"/>
      <c r="C858" s="3"/>
      <c r="D858" s="3"/>
      <c r="E858" s="3"/>
      <c r="F858" s="3"/>
      <c r="G858" s="3"/>
    </row>
    <row r="859" spans="1:7" ht="15.75" customHeight="1">
      <c r="A859" s="3"/>
      <c r="B859" s="3"/>
      <c r="C859" s="3"/>
      <c r="D859" s="3"/>
      <c r="E859" s="3"/>
      <c r="F859" s="3"/>
      <c r="G859" s="3"/>
    </row>
    <row r="860" spans="1:7" ht="15.75" customHeight="1">
      <c r="A860" s="3"/>
      <c r="B860" s="3"/>
      <c r="C860" s="3"/>
      <c r="D860" s="3"/>
      <c r="E860" s="3"/>
      <c r="F860" s="3"/>
      <c r="G860" s="3"/>
    </row>
    <row r="861" spans="1:7" ht="15.75" customHeight="1">
      <c r="A861" s="3"/>
      <c r="B861" s="3"/>
      <c r="C861" s="3"/>
      <c r="D861" s="3"/>
      <c r="E861" s="3"/>
      <c r="F861" s="3"/>
      <c r="G861" s="3"/>
    </row>
    <row r="862" spans="1:7" ht="15.75" customHeight="1">
      <c r="A862" s="3"/>
      <c r="B862" s="3"/>
      <c r="C862" s="3"/>
      <c r="D862" s="3"/>
      <c r="E862" s="3"/>
      <c r="F862" s="3"/>
      <c r="G862" s="3"/>
    </row>
    <row r="863" spans="1:7" ht="15.75" customHeight="1">
      <c r="A863" s="3"/>
      <c r="B863" s="3"/>
      <c r="C863" s="3"/>
      <c r="D863" s="3"/>
      <c r="E863" s="3"/>
      <c r="F863" s="3"/>
      <c r="G863" s="3"/>
    </row>
    <row r="864" spans="1:7" ht="15.75" customHeight="1">
      <c r="A864" s="3"/>
      <c r="B864" s="3"/>
      <c r="C864" s="3"/>
      <c r="D864" s="3"/>
      <c r="E864" s="3"/>
      <c r="F864" s="3"/>
      <c r="G864" s="3"/>
    </row>
    <row r="865" spans="1:7" ht="15.75" customHeight="1">
      <c r="A865" s="3"/>
      <c r="B865" s="3"/>
      <c r="C865" s="3"/>
      <c r="D865" s="3"/>
      <c r="E865" s="3"/>
      <c r="F865" s="3"/>
      <c r="G865" s="3"/>
    </row>
    <row r="866" spans="1:7" ht="15.75" customHeight="1">
      <c r="A866" s="3"/>
      <c r="B866" s="3"/>
      <c r="C866" s="3"/>
      <c r="D866" s="3"/>
      <c r="E866" s="3"/>
      <c r="F866" s="3"/>
      <c r="G866" s="3"/>
    </row>
    <row r="867" spans="1:7" ht="15.75" customHeight="1">
      <c r="A867" s="3"/>
      <c r="B867" s="3"/>
      <c r="C867" s="3"/>
      <c r="D867" s="3"/>
      <c r="E867" s="3"/>
      <c r="F867" s="3"/>
      <c r="G867" s="3"/>
    </row>
    <row r="868" spans="1:7" ht="15.75" customHeight="1">
      <c r="A868" s="3"/>
      <c r="B868" s="3"/>
      <c r="C868" s="3"/>
      <c r="D868" s="3"/>
      <c r="E868" s="3"/>
      <c r="F868" s="3"/>
      <c r="G868" s="3"/>
    </row>
    <row r="869" spans="1:7" ht="15.75" customHeight="1">
      <c r="A869" s="3"/>
      <c r="B869" s="3"/>
      <c r="C869" s="3"/>
      <c r="D869" s="3"/>
      <c r="E869" s="3"/>
      <c r="F869" s="3"/>
      <c r="G869" s="3"/>
    </row>
    <row r="870" spans="1:7" ht="15.75" customHeight="1">
      <c r="A870" s="3"/>
      <c r="B870" s="3"/>
      <c r="C870" s="3"/>
      <c r="D870" s="3"/>
      <c r="E870" s="3"/>
      <c r="F870" s="3"/>
      <c r="G870" s="3"/>
    </row>
    <row r="871" spans="1:7" ht="15.75" customHeight="1">
      <c r="A871" s="3"/>
      <c r="B871" s="3"/>
      <c r="C871" s="3"/>
      <c r="D871" s="3"/>
      <c r="E871" s="3"/>
      <c r="F871" s="3"/>
      <c r="G871" s="3"/>
    </row>
    <row r="872" spans="1:7" ht="15.75" customHeight="1">
      <c r="A872" s="3"/>
      <c r="B872" s="3"/>
      <c r="C872" s="3"/>
      <c r="D872" s="3"/>
      <c r="E872" s="3"/>
      <c r="F872" s="3"/>
      <c r="G872" s="3"/>
    </row>
    <row r="873" spans="1:7" ht="15.75" customHeight="1">
      <c r="A873" s="3"/>
      <c r="B873" s="3"/>
      <c r="C873" s="3"/>
      <c r="D873" s="3"/>
      <c r="E873" s="3"/>
      <c r="F873" s="3"/>
      <c r="G873" s="3"/>
    </row>
    <row r="874" spans="1:7" ht="15.75" customHeight="1">
      <c r="A874" s="3"/>
      <c r="B874" s="3"/>
      <c r="C874" s="3"/>
      <c r="D874" s="3"/>
      <c r="E874" s="3"/>
      <c r="F874" s="3"/>
      <c r="G874" s="3"/>
    </row>
    <row r="875" spans="1:7" ht="15.75" customHeight="1">
      <c r="A875" s="3"/>
      <c r="B875" s="3"/>
      <c r="C875" s="3"/>
      <c r="D875" s="3"/>
      <c r="E875" s="3"/>
      <c r="F875" s="3"/>
      <c r="G875" s="3"/>
    </row>
    <row r="876" spans="1:7" ht="15.75" customHeight="1">
      <c r="A876" s="3"/>
      <c r="B876" s="3"/>
      <c r="C876" s="3"/>
      <c r="D876" s="3"/>
      <c r="E876" s="3"/>
      <c r="F876" s="3"/>
      <c r="G876" s="3"/>
    </row>
    <row r="877" spans="1:7" ht="15.75" customHeight="1">
      <c r="A877" s="3"/>
      <c r="B877" s="3"/>
      <c r="C877" s="3"/>
      <c r="D877" s="3"/>
      <c r="E877" s="3"/>
      <c r="F877" s="3"/>
      <c r="G877" s="3"/>
    </row>
    <row r="878" spans="1:7" ht="15.75" customHeight="1">
      <c r="A878" s="3"/>
      <c r="B878" s="3"/>
      <c r="C878" s="3"/>
      <c r="D878" s="3"/>
      <c r="E878" s="3"/>
      <c r="F878" s="3"/>
      <c r="G878" s="3"/>
    </row>
    <row r="879" spans="1:7" ht="15.75" customHeight="1">
      <c r="A879" s="3"/>
      <c r="B879" s="3"/>
      <c r="C879" s="3"/>
      <c r="D879" s="3"/>
      <c r="E879" s="3"/>
      <c r="F879" s="3"/>
      <c r="G879" s="3"/>
    </row>
    <row r="880" spans="1:7" ht="15.75" customHeight="1">
      <c r="A880" s="3"/>
      <c r="B880" s="3"/>
      <c r="C880" s="3"/>
      <c r="D880" s="3"/>
      <c r="E880" s="3"/>
      <c r="F880" s="3"/>
      <c r="G880" s="3"/>
    </row>
    <row r="881" spans="1:7" ht="15.75" customHeight="1">
      <c r="A881" s="3"/>
      <c r="B881" s="3"/>
      <c r="C881" s="3"/>
      <c r="D881" s="3"/>
      <c r="E881" s="3"/>
      <c r="F881" s="3"/>
      <c r="G881" s="3"/>
    </row>
    <row r="882" spans="1:7" ht="15.75" customHeight="1">
      <c r="A882" s="3"/>
      <c r="B882" s="3"/>
      <c r="C882" s="3"/>
      <c r="D882" s="3"/>
      <c r="E882" s="3"/>
      <c r="F882" s="3"/>
      <c r="G882" s="3"/>
    </row>
    <row r="883" spans="1:7" ht="15.75" customHeight="1">
      <c r="A883" s="3"/>
      <c r="B883" s="3"/>
      <c r="C883" s="3"/>
      <c r="D883" s="3"/>
      <c r="E883" s="3"/>
      <c r="F883" s="3"/>
      <c r="G883" s="3"/>
    </row>
    <row r="884" spans="1:7" ht="15.75" customHeight="1">
      <c r="A884" s="3"/>
      <c r="B884" s="3"/>
      <c r="C884" s="3"/>
      <c r="D884" s="3"/>
      <c r="E884" s="3"/>
      <c r="F884" s="3"/>
      <c r="G884" s="3"/>
    </row>
    <row r="885" spans="1:7" ht="15.75" customHeight="1">
      <c r="A885" s="3"/>
      <c r="B885" s="3"/>
      <c r="C885" s="3"/>
      <c r="D885" s="3"/>
      <c r="E885" s="3"/>
      <c r="F885" s="3"/>
      <c r="G885" s="3"/>
    </row>
    <row r="886" spans="1:7" ht="15.75" customHeight="1">
      <c r="A886" s="3"/>
      <c r="B886" s="3"/>
      <c r="C886" s="3"/>
      <c r="D886" s="3"/>
      <c r="E886" s="3"/>
      <c r="F886" s="3"/>
      <c r="G886" s="3"/>
    </row>
    <row r="887" spans="1:7" ht="15.75" customHeight="1">
      <c r="A887" s="3"/>
      <c r="B887" s="3"/>
      <c r="C887" s="3"/>
      <c r="D887" s="3"/>
      <c r="E887" s="3"/>
      <c r="F887" s="3"/>
      <c r="G887" s="3"/>
    </row>
    <row r="888" spans="1:7" ht="15.75" customHeight="1">
      <c r="A888" s="3"/>
      <c r="B888" s="3"/>
      <c r="C888" s="3"/>
      <c r="D888" s="3"/>
      <c r="E888" s="3"/>
      <c r="F888" s="3"/>
      <c r="G888" s="3"/>
    </row>
    <row r="889" spans="1:7" ht="15.75" customHeight="1">
      <c r="A889" s="3"/>
      <c r="B889" s="3"/>
      <c r="C889" s="3"/>
      <c r="D889" s="3"/>
      <c r="E889" s="3"/>
      <c r="F889" s="3"/>
      <c r="G889" s="3"/>
    </row>
    <row r="890" spans="1:7" ht="15.75" customHeight="1">
      <c r="A890" s="3"/>
      <c r="B890" s="3"/>
      <c r="C890" s="3"/>
      <c r="D890" s="3"/>
      <c r="E890" s="3"/>
      <c r="F890" s="3"/>
      <c r="G890" s="3"/>
    </row>
    <row r="891" spans="1:7" ht="15.75" customHeight="1">
      <c r="A891" s="3"/>
      <c r="B891" s="3"/>
      <c r="C891" s="3"/>
      <c r="D891" s="3"/>
      <c r="E891" s="3"/>
      <c r="F891" s="3"/>
      <c r="G891" s="3"/>
    </row>
    <row r="892" spans="1:7" ht="15.75" customHeight="1">
      <c r="A892" s="3"/>
      <c r="B892" s="3"/>
      <c r="C892" s="3"/>
      <c r="D892" s="3"/>
      <c r="E892" s="3"/>
      <c r="F892" s="3"/>
      <c r="G892" s="3"/>
    </row>
    <row r="893" spans="1:7" ht="15.75" customHeight="1">
      <c r="A893" s="3"/>
      <c r="B893" s="3"/>
      <c r="C893" s="3"/>
      <c r="D893" s="3"/>
      <c r="E893" s="3"/>
      <c r="F893" s="3"/>
      <c r="G893" s="3"/>
    </row>
    <row r="894" spans="1:7" ht="15.75" customHeight="1">
      <c r="A894" s="3"/>
      <c r="B894" s="3"/>
      <c r="C894" s="3"/>
      <c r="D894" s="3"/>
      <c r="E894" s="3"/>
      <c r="F894" s="3"/>
      <c r="G894" s="3"/>
    </row>
    <row r="895" spans="1:7" ht="15.75" customHeight="1">
      <c r="A895" s="3"/>
      <c r="B895" s="3"/>
      <c r="C895" s="3"/>
      <c r="D895" s="3"/>
      <c r="E895" s="3"/>
      <c r="F895" s="3"/>
      <c r="G895" s="3"/>
    </row>
    <row r="896" spans="1:7" ht="15.75" customHeight="1">
      <c r="A896" s="3"/>
      <c r="B896" s="3"/>
      <c r="C896" s="3"/>
      <c r="D896" s="3"/>
      <c r="E896" s="3"/>
      <c r="F896" s="3"/>
      <c r="G896" s="3"/>
    </row>
    <row r="897" spans="1:7" ht="15.75" customHeight="1">
      <c r="A897" s="3"/>
      <c r="B897" s="3"/>
      <c r="C897" s="3"/>
      <c r="D897" s="3"/>
      <c r="E897" s="3"/>
      <c r="F897" s="3"/>
      <c r="G897" s="3"/>
    </row>
    <row r="898" spans="1:7" ht="15.75" customHeight="1">
      <c r="A898" s="3"/>
      <c r="B898" s="3"/>
      <c r="C898" s="3"/>
      <c r="D898" s="3"/>
      <c r="E898" s="3"/>
      <c r="F898" s="3"/>
      <c r="G898" s="3"/>
    </row>
    <row r="899" spans="1:7" ht="15.75" customHeight="1">
      <c r="A899" s="3"/>
      <c r="B899" s="3"/>
      <c r="C899" s="3"/>
      <c r="D899" s="3"/>
      <c r="E899" s="3"/>
      <c r="F899" s="3"/>
      <c r="G899" s="3"/>
    </row>
    <row r="900" spans="1:7" ht="15.75" customHeight="1">
      <c r="A900" s="3"/>
      <c r="B900" s="3"/>
      <c r="C900" s="3"/>
      <c r="D900" s="3"/>
      <c r="E900" s="3"/>
      <c r="F900" s="3"/>
      <c r="G900" s="3"/>
    </row>
    <row r="901" spans="1:7" ht="15.75" customHeight="1">
      <c r="A901" s="3"/>
      <c r="B901" s="3"/>
      <c r="C901" s="3"/>
      <c r="D901" s="3"/>
      <c r="E901" s="3"/>
      <c r="F901" s="3"/>
      <c r="G901" s="3"/>
    </row>
    <row r="902" spans="1:7" ht="15.75" customHeight="1">
      <c r="A902" s="3"/>
      <c r="B902" s="3"/>
      <c r="C902" s="3"/>
      <c r="D902" s="3"/>
      <c r="E902" s="3"/>
      <c r="F902" s="3"/>
      <c r="G902" s="3"/>
    </row>
    <row r="903" spans="1:7" ht="15.75" customHeight="1">
      <c r="A903" s="3"/>
      <c r="B903" s="3"/>
      <c r="C903" s="3"/>
      <c r="D903" s="3"/>
      <c r="E903" s="3"/>
      <c r="F903" s="3"/>
      <c r="G903" s="3"/>
    </row>
    <row r="904" spans="1:7" ht="15.75" customHeight="1">
      <c r="A904" s="3"/>
      <c r="B904" s="3"/>
      <c r="C904" s="3"/>
      <c r="D904" s="3"/>
      <c r="E904" s="3"/>
      <c r="F904" s="3"/>
      <c r="G904" s="3"/>
    </row>
    <row r="905" spans="1:7" ht="15.75" customHeight="1">
      <c r="A905" s="3"/>
      <c r="B905" s="3"/>
      <c r="C905" s="3"/>
      <c r="D905" s="3"/>
      <c r="E905" s="3"/>
      <c r="F905" s="3"/>
      <c r="G905" s="3"/>
    </row>
    <row r="906" spans="1:7" ht="15.75" customHeight="1">
      <c r="A906" s="3"/>
      <c r="B906" s="3"/>
      <c r="C906" s="3"/>
      <c r="D906" s="3"/>
      <c r="E906" s="3"/>
      <c r="F906" s="3"/>
      <c r="G906" s="3"/>
    </row>
    <row r="907" spans="1:7" ht="15.75" customHeight="1">
      <c r="A907" s="3"/>
      <c r="B907" s="3"/>
      <c r="C907" s="3"/>
      <c r="D907" s="3"/>
      <c r="E907" s="3"/>
      <c r="F907" s="3"/>
      <c r="G907" s="3"/>
    </row>
    <row r="908" spans="1:7" ht="15.75" customHeight="1">
      <c r="A908" s="3"/>
      <c r="B908" s="3"/>
      <c r="C908" s="3"/>
      <c r="D908" s="3"/>
      <c r="E908" s="3"/>
      <c r="F908" s="3"/>
      <c r="G908" s="3"/>
    </row>
    <row r="909" spans="1:7" ht="15.75" customHeight="1">
      <c r="A909" s="3"/>
      <c r="B909" s="3"/>
      <c r="C909" s="3"/>
      <c r="D909" s="3"/>
      <c r="E909" s="3"/>
      <c r="F909" s="3"/>
      <c r="G909" s="3"/>
    </row>
    <row r="910" spans="1:7" ht="15.75" customHeight="1">
      <c r="A910" s="3"/>
      <c r="B910" s="3"/>
      <c r="C910" s="3"/>
      <c r="D910" s="3"/>
      <c r="E910" s="3"/>
      <c r="F910" s="3"/>
      <c r="G910" s="3"/>
    </row>
    <row r="911" spans="1:7" ht="15.75" customHeight="1">
      <c r="A911" s="3"/>
      <c r="B911" s="3"/>
      <c r="C911" s="3"/>
      <c r="D911" s="3"/>
      <c r="E911" s="3"/>
      <c r="F911" s="3"/>
      <c r="G911" s="3"/>
    </row>
    <row r="912" spans="1:7" ht="15.75" customHeight="1">
      <c r="A912" s="3"/>
      <c r="B912" s="3"/>
      <c r="C912" s="3"/>
      <c r="D912" s="3"/>
      <c r="E912" s="3"/>
      <c r="F912" s="3"/>
      <c r="G912" s="3"/>
    </row>
    <row r="913" spans="1:7" ht="15.75" customHeight="1">
      <c r="A913" s="3"/>
      <c r="B913" s="3"/>
      <c r="C913" s="3"/>
      <c r="D913" s="3"/>
      <c r="E913" s="3"/>
      <c r="F913" s="3"/>
      <c r="G913" s="3"/>
    </row>
    <row r="914" spans="1:7" ht="15.75" customHeight="1">
      <c r="A914" s="3"/>
      <c r="B914" s="3"/>
      <c r="C914" s="3"/>
      <c r="D914" s="3"/>
      <c r="E914" s="3"/>
      <c r="F914" s="3"/>
      <c r="G914" s="3"/>
    </row>
    <row r="915" spans="1:7" ht="15.75" customHeight="1">
      <c r="A915" s="3"/>
      <c r="B915" s="3"/>
      <c r="C915" s="3"/>
      <c r="D915" s="3"/>
      <c r="E915" s="3"/>
      <c r="F915" s="3"/>
      <c r="G915" s="3"/>
    </row>
    <row r="916" spans="1:7" ht="15.75" customHeight="1">
      <c r="A916" s="3"/>
      <c r="B916" s="3"/>
      <c r="C916" s="3"/>
      <c r="D916" s="3"/>
      <c r="E916" s="3"/>
      <c r="F916" s="3"/>
      <c r="G916" s="3"/>
    </row>
    <row r="917" spans="1:7" ht="15.75" customHeight="1">
      <c r="A917" s="3"/>
      <c r="B917" s="3"/>
      <c r="C917" s="3"/>
      <c r="D917" s="3"/>
      <c r="E917" s="3"/>
      <c r="F917" s="3"/>
      <c r="G917" s="3"/>
    </row>
    <row r="918" spans="1:7" ht="15.75" customHeight="1">
      <c r="A918" s="3"/>
      <c r="B918" s="3"/>
      <c r="C918" s="3"/>
      <c r="D918" s="3"/>
      <c r="E918" s="3"/>
      <c r="F918" s="3"/>
      <c r="G918" s="3"/>
    </row>
    <row r="919" spans="1:7" ht="15.75" customHeight="1">
      <c r="A919" s="3"/>
      <c r="B919" s="3"/>
      <c r="C919" s="3"/>
      <c r="D919" s="3"/>
      <c r="E919" s="3"/>
      <c r="F919" s="3"/>
      <c r="G919" s="3"/>
    </row>
    <row r="920" spans="1:7" ht="15.75" customHeight="1">
      <c r="A920" s="3"/>
      <c r="B920" s="3"/>
      <c r="C920" s="3"/>
      <c r="D920" s="3"/>
      <c r="E920" s="3"/>
      <c r="F920" s="3"/>
      <c r="G920" s="3"/>
    </row>
    <row r="921" spans="1:7" ht="15.75" customHeight="1">
      <c r="A921" s="3"/>
      <c r="B921" s="3"/>
      <c r="C921" s="3"/>
      <c r="D921" s="3"/>
      <c r="E921" s="3"/>
      <c r="F921" s="3"/>
      <c r="G921" s="3"/>
    </row>
    <row r="922" spans="1:7" ht="15.75" customHeight="1">
      <c r="A922" s="3"/>
      <c r="B922" s="3"/>
      <c r="C922" s="3"/>
      <c r="D922" s="3"/>
      <c r="E922" s="3"/>
      <c r="F922" s="3"/>
      <c r="G922" s="3"/>
    </row>
    <row r="923" spans="1:7" ht="15.75" customHeight="1">
      <c r="A923" s="3"/>
      <c r="B923" s="3"/>
      <c r="C923" s="3"/>
      <c r="D923" s="3"/>
      <c r="E923" s="3"/>
      <c r="F923" s="3"/>
      <c r="G923" s="3"/>
    </row>
    <row r="924" spans="1:7" ht="15.75" customHeight="1">
      <c r="A924" s="3"/>
      <c r="B924" s="3"/>
      <c r="C924" s="3"/>
      <c r="D924" s="3"/>
      <c r="E924" s="3"/>
      <c r="F924" s="3"/>
      <c r="G924" s="3"/>
    </row>
    <row r="925" spans="1:7" ht="15.75" customHeight="1">
      <c r="A925" s="3"/>
      <c r="B925" s="3"/>
      <c r="C925" s="3"/>
      <c r="D925" s="3"/>
      <c r="E925" s="3"/>
      <c r="F925" s="3"/>
      <c r="G925" s="3"/>
    </row>
    <row r="926" spans="1:7" ht="15.75" customHeight="1">
      <c r="A926" s="3"/>
      <c r="B926" s="3"/>
      <c r="C926" s="3"/>
      <c r="D926" s="3"/>
      <c r="E926" s="3"/>
      <c r="F926" s="3"/>
      <c r="G926" s="3"/>
    </row>
    <row r="927" spans="1:7" ht="15.75" customHeight="1">
      <c r="A927" s="3"/>
      <c r="B927" s="3"/>
      <c r="C927" s="3"/>
      <c r="D927" s="3"/>
      <c r="E927" s="3"/>
      <c r="F927" s="3"/>
      <c r="G927" s="3"/>
    </row>
    <row r="928" spans="1:7" ht="15.75" customHeight="1">
      <c r="A928" s="3"/>
      <c r="B928" s="3"/>
      <c r="C928" s="3"/>
      <c r="D928" s="3"/>
      <c r="E928" s="3"/>
      <c r="F928" s="3"/>
      <c r="G928" s="3"/>
    </row>
    <row r="929" spans="1:7" ht="15.75" customHeight="1">
      <c r="A929" s="3"/>
      <c r="B929" s="3"/>
      <c r="C929" s="3"/>
      <c r="D929" s="3"/>
      <c r="E929" s="3"/>
      <c r="F929" s="3"/>
      <c r="G929" s="3"/>
    </row>
    <row r="930" spans="1:7" ht="15.75" customHeight="1">
      <c r="A930" s="3"/>
      <c r="B930" s="3"/>
      <c r="C930" s="3"/>
      <c r="D930" s="3"/>
      <c r="E930" s="3"/>
      <c r="F930" s="3"/>
      <c r="G930" s="3"/>
    </row>
    <row r="931" spans="1:7" ht="15.75" customHeight="1">
      <c r="A931" s="3"/>
      <c r="B931" s="3"/>
      <c r="C931" s="3"/>
      <c r="D931" s="3"/>
      <c r="E931" s="3"/>
      <c r="F931" s="3"/>
      <c r="G931" s="3"/>
    </row>
    <row r="932" spans="1:7" ht="15.75" customHeight="1">
      <c r="A932" s="3"/>
      <c r="B932" s="3"/>
      <c r="C932" s="3"/>
      <c r="D932" s="3"/>
      <c r="E932" s="3"/>
      <c r="F932" s="3"/>
      <c r="G932" s="3"/>
    </row>
    <row r="933" spans="1:7" ht="15.75" customHeight="1">
      <c r="A933" s="3"/>
      <c r="B933" s="3"/>
      <c r="C933" s="3"/>
      <c r="D933" s="3"/>
      <c r="E933" s="3"/>
      <c r="F933" s="3"/>
      <c r="G933" s="3"/>
    </row>
    <row r="934" spans="1:7" ht="15.75" customHeight="1">
      <c r="A934" s="3"/>
      <c r="B934" s="3"/>
      <c r="C934" s="3"/>
      <c r="D934" s="3"/>
      <c r="E934" s="3"/>
      <c r="F934" s="3"/>
      <c r="G934" s="3"/>
    </row>
    <row r="935" spans="1:7" ht="15.75" customHeight="1">
      <c r="A935" s="3"/>
      <c r="B935" s="3"/>
      <c r="C935" s="3"/>
      <c r="D935" s="3"/>
      <c r="E935" s="3"/>
      <c r="F935" s="3"/>
      <c r="G935" s="3"/>
    </row>
    <row r="936" spans="1:7" ht="15.75" customHeight="1">
      <c r="A936" s="3"/>
      <c r="B936" s="3"/>
      <c r="C936" s="3"/>
      <c r="D936" s="3"/>
      <c r="E936" s="3"/>
      <c r="F936" s="3"/>
      <c r="G936" s="3"/>
    </row>
    <row r="937" spans="1:7" ht="15.75" customHeight="1">
      <c r="A937" s="3"/>
      <c r="B937" s="3"/>
      <c r="C937" s="3"/>
      <c r="D937" s="3"/>
      <c r="E937" s="3"/>
      <c r="F937" s="3"/>
      <c r="G937" s="3"/>
    </row>
    <row r="938" spans="1:7" ht="15.75" customHeight="1">
      <c r="A938" s="3"/>
      <c r="B938" s="3"/>
      <c r="C938" s="3"/>
      <c r="D938" s="3"/>
      <c r="E938" s="3"/>
      <c r="F938" s="3"/>
      <c r="G938" s="3"/>
    </row>
    <row r="939" spans="1:7" ht="15.75" customHeight="1">
      <c r="A939" s="3"/>
      <c r="B939" s="3"/>
      <c r="C939" s="3"/>
      <c r="D939" s="3"/>
      <c r="E939" s="3"/>
      <c r="F939" s="3"/>
      <c r="G939" s="3"/>
    </row>
    <row r="940" spans="1:7" ht="15.75" customHeight="1">
      <c r="A940" s="3"/>
      <c r="B940" s="3"/>
      <c r="C940" s="3"/>
      <c r="D940" s="3"/>
      <c r="E940" s="3"/>
      <c r="F940" s="3"/>
      <c r="G940" s="3"/>
    </row>
    <row r="941" spans="1:7" ht="15.75" customHeight="1">
      <c r="A941" s="3"/>
      <c r="B941" s="3"/>
      <c r="C941" s="3"/>
      <c r="D941" s="3"/>
      <c r="E941" s="3"/>
      <c r="F941" s="3"/>
      <c r="G941" s="3"/>
    </row>
    <row r="942" spans="1:7" ht="15.75" customHeight="1">
      <c r="A942" s="3"/>
      <c r="B942" s="3"/>
      <c r="C942" s="3"/>
      <c r="D942" s="3"/>
      <c r="E942" s="3"/>
      <c r="F942" s="3"/>
      <c r="G942" s="3"/>
    </row>
    <row r="943" spans="1:7" ht="15.75" customHeight="1">
      <c r="A943" s="3"/>
      <c r="B943" s="3"/>
      <c r="C943" s="3"/>
      <c r="D943" s="3"/>
      <c r="E943" s="3"/>
      <c r="F943" s="3"/>
      <c r="G943" s="3"/>
    </row>
    <row r="944" spans="1:7" ht="15.75" customHeight="1">
      <c r="A944" s="3"/>
      <c r="B944" s="3"/>
      <c r="C944" s="3"/>
      <c r="D944" s="3"/>
      <c r="E944" s="3"/>
      <c r="F944" s="3"/>
      <c r="G944" s="3"/>
    </row>
    <row r="945" spans="1:7" ht="15.75" customHeight="1">
      <c r="A945" s="3"/>
      <c r="B945" s="3"/>
      <c r="C945" s="3"/>
      <c r="D945" s="3"/>
      <c r="E945" s="3"/>
      <c r="F945" s="3"/>
      <c r="G945" s="3"/>
    </row>
    <row r="946" spans="1:7" ht="15.75" customHeight="1">
      <c r="A946" s="3"/>
      <c r="B946" s="3"/>
      <c r="C946" s="3"/>
      <c r="D946" s="3"/>
      <c r="E946" s="3"/>
      <c r="F946" s="3"/>
      <c r="G946" s="3"/>
    </row>
    <row r="947" spans="1:7" ht="15.75" customHeight="1">
      <c r="A947" s="3"/>
      <c r="B947" s="3"/>
      <c r="C947" s="3"/>
      <c r="D947" s="3"/>
      <c r="E947" s="3"/>
      <c r="F947" s="3"/>
      <c r="G947" s="3"/>
    </row>
    <row r="948" spans="1:7" ht="15.75" customHeight="1">
      <c r="A948" s="3"/>
      <c r="B948" s="3"/>
      <c r="C948" s="3"/>
      <c r="D948" s="3"/>
      <c r="E948" s="3"/>
      <c r="F948" s="3"/>
      <c r="G948" s="3"/>
    </row>
    <row r="949" spans="1:7" ht="15.75" customHeight="1">
      <c r="A949" s="3"/>
      <c r="B949" s="3"/>
      <c r="C949" s="3"/>
      <c r="D949" s="3"/>
      <c r="E949" s="3"/>
      <c r="F949" s="3"/>
      <c r="G949" s="3"/>
    </row>
    <row r="950" spans="1:7" ht="15.75" customHeight="1">
      <c r="A950" s="3"/>
      <c r="B950" s="3"/>
      <c r="C950" s="3"/>
      <c r="D950" s="3"/>
      <c r="E950" s="3"/>
      <c r="F950" s="3"/>
      <c r="G950" s="3"/>
    </row>
    <row r="951" spans="1:7" ht="15.75" customHeight="1">
      <c r="A951" s="3"/>
      <c r="B951" s="3"/>
      <c r="C951" s="3"/>
      <c r="D951" s="3"/>
      <c r="E951" s="3"/>
      <c r="F951" s="3"/>
      <c r="G951" s="3"/>
    </row>
    <row r="952" spans="1:7" ht="15.75" customHeight="1">
      <c r="A952" s="3"/>
      <c r="B952" s="3"/>
      <c r="C952" s="3"/>
      <c r="D952" s="3"/>
      <c r="E952" s="3"/>
      <c r="F952" s="3"/>
      <c r="G952" s="3"/>
    </row>
    <row r="953" spans="1:7" ht="15.75" customHeight="1">
      <c r="A953" s="3"/>
      <c r="B953" s="3"/>
      <c r="C953" s="3"/>
      <c r="D953" s="3"/>
      <c r="E953" s="3"/>
      <c r="F953" s="3"/>
      <c r="G953" s="3"/>
    </row>
    <row r="954" spans="1:7" ht="15.75" customHeight="1">
      <c r="A954" s="3"/>
      <c r="B954" s="3"/>
      <c r="C954" s="3"/>
      <c r="D954" s="3"/>
      <c r="E954" s="3"/>
      <c r="F954" s="3"/>
      <c r="G954" s="3"/>
    </row>
    <row r="955" spans="1:7" ht="15.75" customHeight="1">
      <c r="A955" s="3"/>
      <c r="B955" s="3"/>
      <c r="C955" s="3"/>
      <c r="D955" s="3"/>
      <c r="E955" s="3"/>
      <c r="F955" s="3"/>
      <c r="G955" s="3"/>
    </row>
    <row r="956" spans="1:7" ht="15.75" customHeight="1">
      <c r="A956" s="3"/>
      <c r="B956" s="3"/>
      <c r="C956" s="3"/>
      <c r="D956" s="3"/>
      <c r="E956" s="3"/>
      <c r="F956" s="3"/>
      <c r="G956" s="3"/>
    </row>
    <row r="957" spans="1:7" ht="15.75" customHeight="1">
      <c r="A957" s="3"/>
      <c r="B957" s="3"/>
      <c r="C957" s="3"/>
      <c r="D957" s="3"/>
      <c r="E957" s="3"/>
      <c r="F957" s="3"/>
      <c r="G957" s="3"/>
    </row>
    <row r="958" spans="1:7" ht="15.75" customHeight="1">
      <c r="A958" s="3"/>
      <c r="B958" s="3"/>
      <c r="C958" s="3"/>
      <c r="D958" s="3"/>
      <c r="E958" s="3"/>
      <c r="F958" s="3"/>
      <c r="G958" s="3"/>
    </row>
    <row r="959" spans="1:7" ht="15.75" customHeight="1">
      <c r="A959" s="3"/>
      <c r="B959" s="3"/>
      <c r="C959" s="3"/>
      <c r="D959" s="3"/>
      <c r="E959" s="3"/>
      <c r="F959" s="3"/>
      <c r="G959" s="3"/>
    </row>
    <row r="960" spans="1:7" ht="15.75" customHeight="1">
      <c r="A960" s="3"/>
      <c r="B960" s="3"/>
      <c r="C960" s="3"/>
      <c r="D960" s="3"/>
      <c r="E960" s="3"/>
      <c r="F960" s="3"/>
      <c r="G960" s="3"/>
    </row>
    <row r="961" spans="1:7" ht="15.75" customHeight="1">
      <c r="A961" s="3"/>
      <c r="B961" s="3"/>
      <c r="C961" s="3"/>
      <c r="D961" s="3"/>
      <c r="E961" s="3"/>
      <c r="F961" s="3"/>
      <c r="G961" s="3"/>
    </row>
    <row r="962" spans="1:7" ht="15.75" customHeight="1">
      <c r="A962" s="3"/>
      <c r="B962" s="3"/>
      <c r="C962" s="3"/>
      <c r="D962" s="3"/>
      <c r="E962" s="3"/>
      <c r="F962" s="3"/>
      <c r="G962" s="3"/>
    </row>
    <row r="963" spans="1:7" ht="15.75" customHeight="1">
      <c r="A963" s="3"/>
      <c r="B963" s="3"/>
      <c r="C963" s="3"/>
      <c r="D963" s="3"/>
      <c r="E963" s="3"/>
      <c r="F963" s="3"/>
      <c r="G963" s="3"/>
    </row>
    <row r="964" spans="1:7" ht="15.75" customHeight="1">
      <c r="A964" s="3"/>
      <c r="B964" s="3"/>
      <c r="C964" s="3"/>
      <c r="D964" s="3"/>
      <c r="E964" s="3"/>
      <c r="F964" s="3"/>
      <c r="G964" s="3"/>
    </row>
    <row r="965" spans="1:7" ht="15.75" customHeight="1">
      <c r="A965" s="3"/>
      <c r="B965" s="3"/>
      <c r="C965" s="3"/>
      <c r="D965" s="3"/>
      <c r="E965" s="3"/>
      <c r="F965" s="3"/>
      <c r="G965" s="3"/>
    </row>
    <row r="966" spans="1:7" ht="15.75" customHeight="1">
      <c r="A966" s="3"/>
      <c r="B966" s="3"/>
      <c r="C966" s="3"/>
      <c r="D966" s="3"/>
      <c r="E966" s="3"/>
      <c r="F966" s="3"/>
      <c r="G966" s="3"/>
    </row>
    <row r="967" spans="1:7" ht="15.75" customHeight="1">
      <c r="A967" s="3"/>
      <c r="B967" s="3"/>
      <c r="C967" s="3"/>
      <c r="D967" s="3"/>
      <c r="E967" s="3"/>
      <c r="F967" s="3"/>
      <c r="G967" s="3"/>
    </row>
    <row r="968" spans="1:7" ht="15.75" customHeight="1">
      <c r="A968" s="3"/>
      <c r="B968" s="3"/>
      <c r="C968" s="3"/>
      <c r="D968" s="3"/>
      <c r="E968" s="3"/>
      <c r="F968" s="3"/>
      <c r="G968" s="3"/>
    </row>
    <row r="969" spans="1:7" ht="15.75" customHeight="1">
      <c r="A969" s="3"/>
      <c r="B969" s="3"/>
      <c r="C969" s="3"/>
      <c r="D969" s="3"/>
      <c r="E969" s="3"/>
      <c r="F969" s="3"/>
      <c r="G969" s="3"/>
    </row>
    <row r="970" spans="1:7" ht="15.75" customHeight="1">
      <c r="A970" s="3"/>
      <c r="B970" s="3"/>
      <c r="C970" s="3"/>
      <c r="D970" s="3"/>
      <c r="E970" s="3"/>
      <c r="F970" s="3"/>
      <c r="G970" s="3"/>
    </row>
    <row r="971" spans="1:7" ht="15.75" customHeight="1">
      <c r="A971" s="3"/>
      <c r="B971" s="3"/>
      <c r="C971" s="3"/>
      <c r="D971" s="3"/>
      <c r="E971" s="3"/>
      <c r="F971" s="3"/>
      <c r="G971" s="3"/>
    </row>
    <row r="972" spans="1:7" ht="15.75" customHeight="1">
      <c r="A972" s="3"/>
      <c r="B972" s="3"/>
      <c r="C972" s="3"/>
      <c r="D972" s="3"/>
      <c r="E972" s="3"/>
      <c r="F972" s="3"/>
      <c r="G972" s="3"/>
    </row>
    <row r="973" spans="1:7" ht="15.75" customHeight="1">
      <c r="A973" s="3"/>
      <c r="B973" s="3"/>
      <c r="C973" s="3"/>
      <c r="D973" s="3"/>
      <c r="E973" s="3"/>
      <c r="F973" s="3"/>
      <c r="G973" s="3"/>
    </row>
    <row r="974" spans="1:7" ht="15.75" customHeight="1">
      <c r="A974" s="3"/>
      <c r="B974" s="3"/>
      <c r="C974" s="3"/>
      <c r="D974" s="3"/>
      <c r="E974" s="3"/>
      <c r="F974" s="3"/>
      <c r="G974" s="3"/>
    </row>
    <row r="975" spans="1:7" ht="15.75" customHeight="1">
      <c r="A975" s="3"/>
      <c r="B975" s="3"/>
      <c r="C975" s="3"/>
      <c r="D975" s="3"/>
      <c r="E975" s="3"/>
      <c r="F975" s="3"/>
      <c r="G975" s="3"/>
    </row>
    <row r="976" spans="1:7" ht="15.75" customHeight="1">
      <c r="A976" s="3"/>
      <c r="B976" s="3"/>
      <c r="C976" s="3"/>
      <c r="D976" s="3"/>
      <c r="E976" s="3"/>
      <c r="F976" s="3"/>
      <c r="G976" s="3"/>
    </row>
    <row r="977" spans="1:7" ht="15.75" customHeight="1">
      <c r="A977" s="3"/>
      <c r="B977" s="3"/>
      <c r="C977" s="3"/>
      <c r="D977" s="3"/>
      <c r="E977" s="3"/>
      <c r="F977" s="3"/>
      <c r="G977" s="3"/>
    </row>
    <row r="978" spans="1:7" ht="15.75" customHeight="1">
      <c r="A978" s="3"/>
      <c r="B978" s="3"/>
      <c r="C978" s="3"/>
      <c r="D978" s="3"/>
      <c r="E978" s="3"/>
      <c r="F978" s="3"/>
      <c r="G978" s="3"/>
    </row>
    <row r="979" spans="1:7" ht="15.75" customHeight="1">
      <c r="A979" s="3"/>
      <c r="B979" s="3"/>
      <c r="C979" s="3"/>
      <c r="D979" s="3"/>
      <c r="E979" s="3"/>
      <c r="F979" s="3"/>
      <c r="G979" s="3"/>
    </row>
    <row r="980" spans="1:7" ht="15.75" customHeight="1">
      <c r="A980" s="3"/>
      <c r="B980" s="3"/>
      <c r="C980" s="3"/>
      <c r="D980" s="3"/>
      <c r="E980" s="3"/>
      <c r="F980" s="3"/>
      <c r="G980" s="3"/>
    </row>
    <row r="981" spans="1:7" ht="15.75" customHeight="1">
      <c r="A981" s="3"/>
      <c r="B981" s="3"/>
      <c r="C981" s="3"/>
      <c r="D981" s="3"/>
      <c r="E981" s="3"/>
      <c r="F981" s="3"/>
      <c r="G981" s="3"/>
    </row>
    <row r="982" spans="1:7" ht="15.75" customHeight="1">
      <c r="A982" s="3"/>
      <c r="B982" s="3"/>
      <c r="C982" s="3"/>
      <c r="D982" s="3"/>
      <c r="E982" s="3"/>
      <c r="F982" s="3"/>
      <c r="G982" s="3"/>
    </row>
    <row r="983" spans="1:7" ht="15.75" customHeight="1">
      <c r="A983" s="3"/>
      <c r="B983" s="3"/>
      <c r="C983" s="3"/>
      <c r="D983" s="3"/>
      <c r="E983" s="3"/>
      <c r="F983" s="3"/>
      <c r="G983" s="3"/>
    </row>
    <row r="984" spans="1:7" ht="15.75" customHeight="1">
      <c r="A984" s="3"/>
      <c r="B984" s="3"/>
      <c r="C984" s="3"/>
      <c r="D984" s="3"/>
      <c r="E984" s="3"/>
      <c r="F984" s="3"/>
      <c r="G984" s="3"/>
    </row>
    <row r="985" spans="1:7" ht="15.75" customHeight="1">
      <c r="A985" s="3"/>
      <c r="B985" s="3"/>
      <c r="C985" s="3"/>
      <c r="D985" s="3"/>
      <c r="E985" s="3"/>
      <c r="F985" s="3"/>
      <c r="G985" s="3"/>
    </row>
    <row r="986" spans="1:7" ht="15.75" customHeight="1">
      <c r="A986" s="3"/>
      <c r="B986" s="3"/>
      <c r="C986" s="3"/>
      <c r="D986" s="3"/>
      <c r="E986" s="3"/>
      <c r="F986" s="3"/>
      <c r="G986" s="3"/>
    </row>
    <row r="987" spans="1:7" ht="15.75" customHeight="1">
      <c r="A987" s="3"/>
      <c r="B987" s="3"/>
      <c r="C987" s="3"/>
      <c r="D987" s="3"/>
      <c r="E987" s="3"/>
      <c r="F987" s="3"/>
      <c r="G987" s="3"/>
    </row>
    <row r="988" spans="1:7" ht="15.75" customHeight="1">
      <c r="A988" s="3"/>
      <c r="B988" s="3"/>
      <c r="C988" s="3"/>
      <c r="D988" s="3"/>
      <c r="E988" s="3"/>
      <c r="F988" s="3"/>
      <c r="G988" s="3"/>
    </row>
    <row r="989" spans="1:7" ht="15.75" customHeight="1">
      <c r="A989" s="3"/>
      <c r="B989" s="3"/>
      <c r="C989" s="3"/>
      <c r="D989" s="3"/>
      <c r="E989" s="3"/>
      <c r="F989" s="3"/>
      <c r="G989" s="3"/>
    </row>
    <row r="990" spans="1:7" ht="15.75" customHeight="1">
      <c r="A990" s="3"/>
      <c r="B990" s="3"/>
      <c r="C990" s="3"/>
      <c r="D990" s="3"/>
      <c r="E990" s="3"/>
      <c r="F990" s="3"/>
      <c r="G990" s="3"/>
    </row>
    <row r="991" spans="1:7" ht="15.75" customHeight="1">
      <c r="A991" s="3"/>
      <c r="B991" s="3"/>
      <c r="C991" s="3"/>
      <c r="D991" s="3"/>
      <c r="E991" s="3"/>
      <c r="F991" s="3"/>
      <c r="G991" s="3"/>
    </row>
    <row r="992" spans="1:7" ht="15.75" customHeight="1">
      <c r="A992" s="3"/>
      <c r="B992" s="3"/>
      <c r="C992" s="3"/>
      <c r="D992" s="3"/>
      <c r="E992" s="3"/>
      <c r="F992" s="3"/>
      <c r="G992" s="3"/>
    </row>
    <row r="993" spans="1:7" ht="15.75" customHeight="1">
      <c r="A993" s="3"/>
      <c r="B993" s="3"/>
      <c r="C993" s="3"/>
      <c r="D993" s="3"/>
      <c r="E993" s="3"/>
      <c r="F993" s="3"/>
      <c r="G993" s="3"/>
    </row>
    <row r="994" spans="1:7" ht="15.75" customHeight="1">
      <c r="A994" s="3"/>
      <c r="B994" s="3"/>
      <c r="C994" s="3"/>
      <c r="D994" s="3"/>
      <c r="E994" s="3"/>
      <c r="F994" s="3"/>
      <c r="G994" s="3"/>
    </row>
    <row r="995" spans="1:7" ht="15.75" customHeight="1">
      <c r="A995" s="3"/>
      <c r="B995" s="3"/>
      <c r="C995" s="3"/>
      <c r="D995" s="3"/>
      <c r="E995" s="3"/>
      <c r="F995" s="3"/>
      <c r="G995" s="3"/>
    </row>
    <row r="996" spans="1:7" ht="15.75" customHeight="1">
      <c r="A996" s="3"/>
      <c r="B996" s="3"/>
      <c r="C996" s="3"/>
      <c r="D996" s="3"/>
      <c r="E996" s="3"/>
      <c r="F996" s="3"/>
      <c r="G996" s="3"/>
    </row>
    <row r="997" spans="1:7" ht="15.75" customHeight="1">
      <c r="A997" s="3"/>
      <c r="B997" s="3"/>
      <c r="C997" s="3"/>
      <c r="D997" s="3"/>
      <c r="E997" s="3"/>
      <c r="F997" s="3"/>
      <c r="G997" s="3"/>
    </row>
    <row r="998" spans="1:7" ht="15.75" customHeight="1">
      <c r="A998" s="3"/>
      <c r="B998" s="3"/>
      <c r="C998" s="3"/>
      <c r="D998" s="3"/>
      <c r="E998" s="3"/>
      <c r="F998" s="3"/>
      <c r="G998" s="3"/>
    </row>
    <row r="999" spans="1:7" ht="15.75" customHeight="1">
      <c r="A999" s="3"/>
      <c r="B999" s="3"/>
      <c r="C999" s="3"/>
      <c r="D999" s="3"/>
      <c r="E999" s="3"/>
      <c r="F999" s="3"/>
      <c r="G999" s="3"/>
    </row>
    <row r="1000" spans="1:7" ht="15.75" customHeight="1">
      <c r="A1000" s="3"/>
      <c r="B1000" s="3"/>
      <c r="C1000" s="3"/>
      <c r="D1000" s="3"/>
      <c r="E1000" s="3"/>
      <c r="F1000" s="3"/>
      <c r="G1000" s="3"/>
    </row>
  </sheetData>
  <mergeCells count="7">
    <mergeCell ref="A78:A79"/>
    <mergeCell ref="A80:G80"/>
    <mergeCell ref="B2:E2"/>
    <mergeCell ref="A6:A7"/>
    <mergeCell ref="A63:A64"/>
    <mergeCell ref="A65:G65"/>
    <mergeCell ref="A70:G70"/>
  </mergeCell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1.28515625"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85546875" customWidth="1"/>
    <col min="24" max="24" width="10.42578125" customWidth="1"/>
    <col min="25" max="25" width="8" customWidth="1"/>
    <col min="26" max="26" width="11.710937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42578125" customWidth="1"/>
    <col min="42" max="42" width="9.42578125" customWidth="1"/>
    <col min="43" max="43" width="10" customWidth="1"/>
  </cols>
  <sheetData>
    <row r="1" spans="1:43" ht="12" customHeight="1">
      <c r="A1" s="52"/>
      <c r="B1" s="52"/>
      <c r="C1" s="52"/>
      <c r="D1" s="52"/>
      <c r="E1" s="52"/>
      <c r="F1" s="52"/>
      <c r="G1" s="52"/>
      <c r="J1" s="52"/>
      <c r="K1" s="52"/>
      <c r="L1" s="52"/>
      <c r="M1" s="52"/>
      <c r="N1" s="52"/>
      <c r="O1" s="52"/>
      <c r="P1" s="52"/>
      <c r="Q1" s="52"/>
      <c r="R1" s="52"/>
      <c r="S1" s="636" t="s">
        <v>294</v>
      </c>
      <c r="T1" s="637"/>
      <c r="U1" s="637"/>
      <c r="V1" s="637"/>
      <c r="W1" s="637"/>
      <c r="X1" s="637"/>
      <c r="Y1" s="638"/>
      <c r="AA1" s="52"/>
      <c r="AB1" s="52"/>
      <c r="AC1" s="52"/>
      <c r="AD1" s="52"/>
      <c r="AE1" s="52"/>
      <c r="AF1" s="52"/>
      <c r="AG1" s="52"/>
      <c r="AH1" s="52"/>
      <c r="AI1" s="52"/>
      <c r="AJ1" s="52"/>
      <c r="AK1" s="52"/>
      <c r="AL1" s="52"/>
      <c r="AM1" s="52"/>
      <c r="AN1" s="52"/>
      <c r="AO1" s="52"/>
      <c r="AP1" s="52"/>
      <c r="AQ1" s="52"/>
    </row>
    <row r="2" spans="1:43" ht="12" customHeight="1">
      <c r="A2" s="52"/>
      <c r="B2" s="52"/>
      <c r="C2" s="378"/>
      <c r="D2" s="378"/>
      <c r="E2" s="378" t="s">
        <v>295</v>
      </c>
      <c r="F2" s="378"/>
      <c r="G2" s="378"/>
      <c r="H2" s="378"/>
      <c r="J2" s="52"/>
      <c r="K2" s="52"/>
      <c r="L2" s="52"/>
      <c r="M2" s="52"/>
      <c r="N2" s="52"/>
      <c r="O2" s="52"/>
      <c r="P2" s="52"/>
      <c r="Q2" s="52"/>
      <c r="R2" s="52"/>
      <c r="S2" s="379">
        <f>'Res (100)'!$S$2</f>
        <v>1</v>
      </c>
      <c r="T2" s="642" t="s">
        <v>296</v>
      </c>
      <c r="U2" s="637"/>
      <c r="V2" s="637"/>
      <c r="W2" s="637"/>
      <c r="X2" s="637"/>
      <c r="Y2" s="638"/>
      <c r="AA2" s="52"/>
      <c r="AB2" s="52"/>
      <c r="AC2" s="52"/>
      <c r="AD2" s="52"/>
      <c r="AE2" s="52"/>
      <c r="AF2" s="52"/>
      <c r="AG2" s="52"/>
      <c r="AH2" s="52"/>
      <c r="AI2" s="52"/>
      <c r="AJ2" s="52"/>
      <c r="AK2" s="52"/>
      <c r="AL2" s="52"/>
      <c r="AM2" s="52"/>
      <c r="AN2" s="52"/>
      <c r="AO2" s="52"/>
      <c r="AP2" s="52"/>
      <c r="AQ2" s="52"/>
    </row>
    <row r="3" spans="1:43" ht="12" customHeight="1">
      <c r="A3" s="52"/>
      <c r="B3" s="52"/>
      <c r="C3" s="378"/>
      <c r="D3" s="378"/>
      <c r="E3" s="378" t="s">
        <v>297</v>
      </c>
      <c r="F3" s="378"/>
      <c r="G3" s="378"/>
      <c r="H3" s="378"/>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row>
    <row r="4" spans="1:43" ht="12" customHeight="1">
      <c r="A4" s="52"/>
      <c r="B4" s="52"/>
      <c r="C4" s="52"/>
      <c r="D4" s="52"/>
      <c r="E4" s="52"/>
      <c r="F4" s="52"/>
      <c r="G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row>
    <row r="5" spans="1:43" ht="12" customHeight="1">
      <c r="A5" s="52"/>
      <c r="B5" s="52"/>
      <c r="C5" s="52"/>
      <c r="D5" s="52"/>
      <c r="E5" s="52"/>
      <c r="F5" s="52"/>
      <c r="G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row>
    <row r="6" spans="1:43" ht="12" customHeight="1">
      <c r="A6" s="52"/>
      <c r="B6" s="320" t="s">
        <v>298</v>
      </c>
      <c r="C6" s="52"/>
      <c r="D6" s="380" t="s">
        <v>222</v>
      </c>
      <c r="E6" s="380"/>
      <c r="F6" s="381"/>
      <c r="G6" s="381"/>
      <c r="H6" s="381"/>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row>
    <row r="7" spans="1:43" ht="12" customHeight="1">
      <c r="A7" s="52"/>
      <c r="B7" s="382"/>
      <c r="C7" s="52"/>
      <c r="D7" s="383"/>
      <c r="E7" s="383"/>
      <c r="F7" s="383"/>
      <c r="G7" s="383"/>
      <c r="H7" s="383"/>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row>
    <row r="8" spans="1:43" ht="12" customHeight="1">
      <c r="A8" s="52"/>
      <c r="B8" s="320" t="s">
        <v>299</v>
      </c>
      <c r="C8" s="52"/>
      <c r="D8" s="384" t="s">
        <v>300</v>
      </c>
      <c r="E8" s="383"/>
      <c r="F8" s="383"/>
      <c r="G8" s="383"/>
      <c r="H8" s="383"/>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row>
    <row r="9" spans="1:43" ht="12" customHeight="1">
      <c r="A9" s="52"/>
      <c r="B9" s="382"/>
      <c r="C9" s="52"/>
      <c r="D9" s="383"/>
      <c r="E9" s="383"/>
      <c r="F9" s="383"/>
      <c r="G9" s="383"/>
      <c r="H9" s="383"/>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row>
    <row r="10" spans="1:43" ht="12" customHeight="1">
      <c r="A10" s="52"/>
      <c r="B10" s="52"/>
      <c r="C10" s="52"/>
      <c r="D10" s="307" t="s">
        <v>301</v>
      </c>
      <c r="F10" s="385">
        <v>232</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row>
    <row r="11" spans="1:43" ht="12" customHeight="1">
      <c r="A11" s="52"/>
      <c r="B11" s="52"/>
      <c r="C11" s="52"/>
      <c r="D11" s="52"/>
      <c r="E11" s="386"/>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row>
    <row r="12" spans="1:43" ht="12" customHeight="1">
      <c r="A12" s="52"/>
      <c r="B12" s="52"/>
      <c r="C12" s="52"/>
      <c r="D12" s="307"/>
      <c r="E12" s="52"/>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310"/>
      <c r="AL12" s="633" t="s">
        <v>6</v>
      </c>
      <c r="AM12" s="595"/>
      <c r="AN12" s="596"/>
      <c r="AO12" s="52"/>
      <c r="AP12" s="627" t="str">
        <f>"Impact "&amp;AE12&amp;" vs "&amp;AL12</f>
        <v>Impact 2029F vs 2030F</v>
      </c>
      <c r="AQ12" s="596"/>
    </row>
    <row r="13" spans="1:43" ht="12" customHeight="1">
      <c r="A13" s="52"/>
      <c r="B13" s="52"/>
      <c r="C13" s="52"/>
      <c r="D13" s="635" t="s">
        <v>303</v>
      </c>
      <c r="E13" s="52"/>
      <c r="F13" s="388" t="s">
        <v>304</v>
      </c>
      <c r="G13" s="389"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387"/>
      <c r="AL13" s="388" t="s">
        <v>304</v>
      </c>
      <c r="AM13" s="389" t="s">
        <v>305</v>
      </c>
      <c r="AN13" s="390" t="s">
        <v>306</v>
      </c>
      <c r="AO13" s="52"/>
      <c r="AP13" s="628" t="s">
        <v>307</v>
      </c>
      <c r="AQ13" s="630" t="s">
        <v>308</v>
      </c>
    </row>
    <row r="14" spans="1:43" ht="12" customHeight="1">
      <c r="A14" s="52"/>
      <c r="B14" s="52"/>
      <c r="C14" s="52"/>
      <c r="D14" s="623"/>
      <c r="E14" s="52"/>
      <c r="F14" s="391" t="s">
        <v>309</v>
      </c>
      <c r="G14" s="39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387"/>
      <c r="AL14" s="391" t="s">
        <v>309</v>
      </c>
      <c r="AM14" s="392"/>
      <c r="AN14" s="393" t="s">
        <v>309</v>
      </c>
      <c r="AO14" s="52"/>
      <c r="AP14" s="629"/>
      <c r="AQ14" s="631"/>
    </row>
    <row r="15" spans="1:43" ht="12" customHeight="1">
      <c r="A15" s="52"/>
      <c r="B15" s="321" t="s">
        <v>221</v>
      </c>
      <c r="C15" s="394" t="str">
        <f t="shared" ref="C15:C28" si="0">D$6&amp;"."&amp;B15</f>
        <v>Residential.Monthly Service Charge</v>
      </c>
      <c r="D15" s="395" t="s">
        <v>310</v>
      </c>
      <c r="E15" s="132"/>
      <c r="F15" s="396">
        <f>IFERROR(VLOOKUP($C15,'Proposed Rates'!$B:$J,F$11,FALSE),0)</f>
        <v>34.26</v>
      </c>
      <c r="G15" s="397">
        <f t="shared" ref="G15:G28" si="1">IF($D15="Monthly",1,IF($D15="per KWH",$F$10,0))</f>
        <v>1</v>
      </c>
      <c r="H15" s="399">
        <f t="shared" ref="H15:H28" si="2">G15*F15</f>
        <v>34.26</v>
      </c>
      <c r="I15" s="5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40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row>
    <row r="16" spans="1:43" ht="12" customHeight="1">
      <c r="A16" s="52"/>
      <c r="B16" s="321" t="s">
        <v>311</v>
      </c>
      <c r="C16" s="394" t="str">
        <f t="shared" si="0"/>
        <v>Residential.Smart Meter Rate Adder</v>
      </c>
      <c r="D16" s="395" t="s">
        <v>310</v>
      </c>
      <c r="E16" s="132"/>
      <c r="F16" s="396">
        <f>IFERROR(VLOOKUP($C16,'Proposed Rates'!$B:$J,F$11,FALSE),0)</f>
        <v>0</v>
      </c>
      <c r="G16" s="397">
        <f t="shared" si="1"/>
        <v>1</v>
      </c>
      <c r="H16" s="399">
        <f t="shared" si="2"/>
        <v>0</v>
      </c>
      <c r="I16" s="5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402"/>
      <c r="AL16" s="396">
        <f>IFERROR(VLOOKUP($C16,'Proposed Rates'!$B:$J,AL$11,FALSE),0)</f>
        <v>0</v>
      </c>
      <c r="AM16" s="397">
        <f t="shared" si="19"/>
        <v>1</v>
      </c>
      <c r="AN16" s="399">
        <f t="shared" si="20"/>
        <v>0</v>
      </c>
      <c r="AO16" s="132"/>
      <c r="AP16" s="400">
        <f t="shared" si="21"/>
        <v>0</v>
      </c>
      <c r="AQ16" s="401" t="str">
        <f t="shared" si="22"/>
        <v/>
      </c>
    </row>
    <row r="17" spans="1:43" ht="12" customHeight="1">
      <c r="A17" s="52"/>
      <c r="B17" s="403" t="str">
        <f>'Proposed Rates'!C115</f>
        <v>Rate Rider Calculation for PILs</v>
      </c>
      <c r="C17" s="394" t="str">
        <f t="shared" si="0"/>
        <v>Residential.Rate Rider Calculation for PILs</v>
      </c>
      <c r="D17" s="395" t="s">
        <v>312</v>
      </c>
      <c r="E17" s="132"/>
      <c r="F17" s="396">
        <f>IFERROR(VLOOKUP($C17,'Proposed Rates'!$B:$J,F$11,FALSE),0)</f>
        <v>0</v>
      </c>
      <c r="G17" s="397">
        <f t="shared" si="1"/>
        <v>232</v>
      </c>
      <c r="H17" s="399">
        <f t="shared" si="2"/>
        <v>0</v>
      </c>
      <c r="I17" s="52"/>
      <c r="J17" s="396">
        <f>IFERROR(VLOOKUP($C17,'Proposed Rates'!$B:$J,J$11,FALSE),0)</f>
        <v>0</v>
      </c>
      <c r="K17" s="397">
        <f t="shared" si="3"/>
        <v>232</v>
      </c>
      <c r="L17" s="399">
        <f t="shared" si="4"/>
        <v>0</v>
      </c>
      <c r="M17" s="132"/>
      <c r="N17" s="400">
        <f t="shared" si="5"/>
        <v>0</v>
      </c>
      <c r="O17" s="401" t="str">
        <f t="shared" si="6"/>
        <v/>
      </c>
      <c r="P17" s="52"/>
      <c r="Q17" s="396">
        <f>IFERROR(VLOOKUP($C17,'Proposed Rates'!$B:$J,Q$11,FALSE),0)</f>
        <v>0</v>
      </c>
      <c r="R17" s="397">
        <f t="shared" si="7"/>
        <v>232</v>
      </c>
      <c r="S17" s="399">
        <f t="shared" si="8"/>
        <v>0</v>
      </c>
      <c r="T17" s="132"/>
      <c r="U17" s="400">
        <f t="shared" si="9"/>
        <v>0</v>
      </c>
      <c r="V17" s="401" t="str">
        <f t="shared" si="10"/>
        <v/>
      </c>
      <c r="W17" s="52"/>
      <c r="X17" s="396">
        <f>IFERROR(VLOOKUP($C17,'Proposed Rates'!$B:$J,X$11,FALSE),0)</f>
        <v>0</v>
      </c>
      <c r="Y17" s="397">
        <f t="shared" si="11"/>
        <v>232</v>
      </c>
      <c r="Z17" s="399">
        <f t="shared" si="12"/>
        <v>0</v>
      </c>
      <c r="AA17" s="132"/>
      <c r="AB17" s="400">
        <f t="shared" si="13"/>
        <v>0</v>
      </c>
      <c r="AC17" s="401" t="str">
        <f t="shared" si="14"/>
        <v/>
      </c>
      <c r="AD17" s="52"/>
      <c r="AE17" s="396">
        <f>IFERROR(VLOOKUP($C17,'Proposed Rates'!$B:$J,AE$11,FALSE),0)</f>
        <v>0</v>
      </c>
      <c r="AF17" s="397">
        <f t="shared" si="15"/>
        <v>232</v>
      </c>
      <c r="AG17" s="399">
        <f t="shared" si="16"/>
        <v>0</v>
      </c>
      <c r="AH17" s="132"/>
      <c r="AI17" s="400">
        <f t="shared" si="17"/>
        <v>0</v>
      </c>
      <c r="AJ17" s="401" t="str">
        <f t="shared" si="18"/>
        <v/>
      </c>
      <c r="AK17" s="402"/>
      <c r="AL17" s="396">
        <f>IFERROR(VLOOKUP($C17,'Proposed Rates'!$B:$J,AL$11,FALSE),0)</f>
        <v>0</v>
      </c>
      <c r="AM17" s="397">
        <f t="shared" si="19"/>
        <v>232</v>
      </c>
      <c r="AN17" s="399">
        <f t="shared" si="20"/>
        <v>0</v>
      </c>
      <c r="AO17" s="132"/>
      <c r="AP17" s="400">
        <f t="shared" si="21"/>
        <v>0</v>
      </c>
      <c r="AQ17" s="401" t="str">
        <f t="shared" si="22"/>
        <v/>
      </c>
    </row>
    <row r="18" spans="1:43" ht="12" customHeight="1">
      <c r="A18" s="52"/>
      <c r="B18" s="403" t="str">
        <f>'Proposed Rates'!C128</f>
        <v>Rate Rider Calculation for Generic</v>
      </c>
      <c r="C18" s="394" t="str">
        <f t="shared" si="0"/>
        <v>Residential.Rate Rider Calculation for Generic</v>
      </c>
      <c r="D18" s="395" t="s">
        <v>310</v>
      </c>
      <c r="E18" s="132"/>
      <c r="F18" s="396">
        <f>IFERROR(VLOOKUP($C18,'Proposed Rates'!$B:$J,F$11,FALSE),0)</f>
        <v>0</v>
      </c>
      <c r="G18" s="397">
        <f t="shared" si="1"/>
        <v>1</v>
      </c>
      <c r="H18" s="399">
        <f t="shared" si="2"/>
        <v>0</v>
      </c>
      <c r="I18" s="5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402"/>
      <c r="AL18" s="396">
        <f>IFERROR(VLOOKUP($C18,'Proposed Rates'!$B:$J,AL$11,FALSE),0)</f>
        <v>0</v>
      </c>
      <c r="AM18" s="397">
        <f t="shared" si="19"/>
        <v>1</v>
      </c>
      <c r="AN18" s="399">
        <f t="shared" si="20"/>
        <v>0</v>
      </c>
      <c r="AO18" s="132"/>
      <c r="AP18" s="400">
        <f t="shared" si="21"/>
        <v>0</v>
      </c>
      <c r="AQ18" s="401" t="str">
        <f t="shared" si="22"/>
        <v/>
      </c>
    </row>
    <row r="19" spans="1:43" ht="12" customHeight="1">
      <c r="A19" s="52"/>
      <c r="B19" s="321" t="s">
        <v>59</v>
      </c>
      <c r="C19" s="394" t="str">
        <f t="shared" si="0"/>
        <v>Residential.Distribution Volumetric Rate</v>
      </c>
      <c r="D19" s="395" t="s">
        <v>312</v>
      </c>
      <c r="E19" s="132"/>
      <c r="F19" s="396">
        <f>IFERROR(VLOOKUP($C19,'Proposed Rates'!$B:$J,F$11,FALSE),0)</f>
        <v>0</v>
      </c>
      <c r="G19" s="397">
        <f t="shared" si="1"/>
        <v>232</v>
      </c>
      <c r="H19" s="399">
        <f t="shared" si="2"/>
        <v>0</v>
      </c>
      <c r="I19" s="52"/>
      <c r="J19" s="396">
        <f>IFERROR(VLOOKUP($C19,'Proposed Rates'!$B:$J,J$11,FALSE),0)</f>
        <v>0</v>
      </c>
      <c r="K19" s="397">
        <f t="shared" si="3"/>
        <v>232</v>
      </c>
      <c r="L19" s="399">
        <f t="shared" si="4"/>
        <v>0</v>
      </c>
      <c r="M19" s="132"/>
      <c r="N19" s="400">
        <f t="shared" si="5"/>
        <v>0</v>
      </c>
      <c r="O19" s="401" t="str">
        <f t="shared" si="6"/>
        <v/>
      </c>
      <c r="P19" s="52"/>
      <c r="Q19" s="396">
        <f>IFERROR(VLOOKUP($C19,'Proposed Rates'!$B:$J,Q$11,FALSE),0)</f>
        <v>0</v>
      </c>
      <c r="R19" s="397">
        <f t="shared" si="7"/>
        <v>232</v>
      </c>
      <c r="S19" s="399">
        <f t="shared" si="8"/>
        <v>0</v>
      </c>
      <c r="T19" s="132"/>
      <c r="U19" s="400">
        <f t="shared" si="9"/>
        <v>0</v>
      </c>
      <c r="V19" s="401" t="str">
        <f t="shared" si="10"/>
        <v/>
      </c>
      <c r="W19" s="52"/>
      <c r="X19" s="396">
        <f>IFERROR(VLOOKUP($C19,'Proposed Rates'!$B:$J,X$11,FALSE),0)</f>
        <v>0</v>
      </c>
      <c r="Y19" s="397">
        <f t="shared" si="11"/>
        <v>232</v>
      </c>
      <c r="Z19" s="399">
        <f t="shared" si="12"/>
        <v>0</v>
      </c>
      <c r="AA19" s="132"/>
      <c r="AB19" s="400">
        <f t="shared" si="13"/>
        <v>0</v>
      </c>
      <c r="AC19" s="401" t="str">
        <f t="shared" si="14"/>
        <v/>
      </c>
      <c r="AD19" s="52"/>
      <c r="AE19" s="396">
        <f>IFERROR(VLOOKUP($C19,'Proposed Rates'!$B:$J,AE$11,FALSE),0)</f>
        <v>0</v>
      </c>
      <c r="AF19" s="397">
        <f t="shared" si="15"/>
        <v>232</v>
      </c>
      <c r="AG19" s="399">
        <f t="shared" si="16"/>
        <v>0</v>
      </c>
      <c r="AH19" s="132"/>
      <c r="AI19" s="400">
        <f t="shared" si="17"/>
        <v>0</v>
      </c>
      <c r="AJ19" s="401" t="str">
        <f t="shared" si="18"/>
        <v/>
      </c>
      <c r="AK19" s="402"/>
      <c r="AL19" s="396">
        <f>IFERROR(VLOOKUP($C19,'Proposed Rates'!$B:$J,AL$11,FALSE),0)</f>
        <v>0</v>
      </c>
      <c r="AM19" s="397">
        <f t="shared" si="19"/>
        <v>232</v>
      </c>
      <c r="AN19" s="399">
        <f t="shared" si="20"/>
        <v>0</v>
      </c>
      <c r="AO19" s="132"/>
      <c r="AP19" s="400">
        <f t="shared" si="21"/>
        <v>0</v>
      </c>
      <c r="AQ19" s="401" t="str">
        <f t="shared" si="22"/>
        <v/>
      </c>
    </row>
    <row r="20" spans="1:43" ht="12" customHeight="1">
      <c r="A20" s="52"/>
      <c r="B20" s="321" t="s">
        <v>313</v>
      </c>
      <c r="C20" s="394" t="str">
        <f t="shared" si="0"/>
        <v>Residential.Smart Meter Disposition Rider</v>
      </c>
      <c r="D20" s="395" t="s">
        <v>312</v>
      </c>
      <c r="E20" s="132"/>
      <c r="F20" s="396">
        <f>IFERROR(VLOOKUP($C20,'Proposed Rates'!$B:$J,F$11,FALSE),0)</f>
        <v>0</v>
      </c>
      <c r="G20" s="397">
        <f t="shared" si="1"/>
        <v>232</v>
      </c>
      <c r="H20" s="399">
        <f t="shared" si="2"/>
        <v>0</v>
      </c>
      <c r="I20" s="52"/>
      <c r="J20" s="396">
        <f>IFERROR(VLOOKUP($C20,'Proposed Rates'!$B:$J,J$11,FALSE),0)</f>
        <v>0</v>
      </c>
      <c r="K20" s="397">
        <f t="shared" si="3"/>
        <v>232</v>
      </c>
      <c r="L20" s="399">
        <f t="shared" si="4"/>
        <v>0</v>
      </c>
      <c r="M20" s="132"/>
      <c r="N20" s="400">
        <f t="shared" si="5"/>
        <v>0</v>
      </c>
      <c r="O20" s="401" t="str">
        <f t="shared" si="6"/>
        <v/>
      </c>
      <c r="P20" s="52"/>
      <c r="Q20" s="396">
        <f>IFERROR(VLOOKUP($C20,'Proposed Rates'!$B:$J,Q$11,FALSE),0)</f>
        <v>0</v>
      </c>
      <c r="R20" s="397">
        <f t="shared" si="7"/>
        <v>232</v>
      </c>
      <c r="S20" s="399">
        <f t="shared" si="8"/>
        <v>0</v>
      </c>
      <c r="T20" s="132"/>
      <c r="U20" s="400">
        <f t="shared" si="9"/>
        <v>0</v>
      </c>
      <c r="V20" s="401" t="str">
        <f t="shared" si="10"/>
        <v/>
      </c>
      <c r="W20" s="52"/>
      <c r="X20" s="396">
        <f>IFERROR(VLOOKUP($C20,'Proposed Rates'!$B:$J,X$11,FALSE),0)</f>
        <v>0</v>
      </c>
      <c r="Y20" s="397">
        <f t="shared" si="11"/>
        <v>232</v>
      </c>
      <c r="Z20" s="399">
        <f t="shared" si="12"/>
        <v>0</v>
      </c>
      <c r="AA20" s="132"/>
      <c r="AB20" s="400">
        <f t="shared" si="13"/>
        <v>0</v>
      </c>
      <c r="AC20" s="401" t="str">
        <f t="shared" si="14"/>
        <v/>
      </c>
      <c r="AD20" s="52"/>
      <c r="AE20" s="396">
        <f>IFERROR(VLOOKUP($C20,'Proposed Rates'!$B:$J,AE$11,FALSE),0)</f>
        <v>0</v>
      </c>
      <c r="AF20" s="397">
        <f t="shared" si="15"/>
        <v>232</v>
      </c>
      <c r="AG20" s="399">
        <f t="shared" si="16"/>
        <v>0</v>
      </c>
      <c r="AH20" s="132"/>
      <c r="AI20" s="400">
        <f t="shared" si="17"/>
        <v>0</v>
      </c>
      <c r="AJ20" s="401" t="str">
        <f t="shared" si="18"/>
        <v/>
      </c>
      <c r="AK20" s="402"/>
      <c r="AL20" s="396">
        <f>IFERROR(VLOOKUP($C20,'Proposed Rates'!$B:$J,AL$11,FALSE),0)</f>
        <v>0</v>
      </c>
      <c r="AM20" s="397">
        <f t="shared" si="19"/>
        <v>232</v>
      </c>
      <c r="AN20" s="399">
        <f t="shared" si="20"/>
        <v>0</v>
      </c>
      <c r="AO20" s="132"/>
      <c r="AP20" s="400">
        <f t="shared" si="21"/>
        <v>0</v>
      </c>
      <c r="AQ20" s="401" t="str">
        <f t="shared" si="22"/>
        <v/>
      </c>
    </row>
    <row r="21" spans="1:43" ht="12" customHeight="1">
      <c r="A21" s="52"/>
      <c r="B21" s="321" t="s">
        <v>244</v>
      </c>
      <c r="C21" s="394" t="str">
        <f t="shared" si="0"/>
        <v>Residential.LRAM Rate Rider</v>
      </c>
      <c r="D21" s="395" t="s">
        <v>310</v>
      </c>
      <c r="E21" s="132"/>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402"/>
      <c r="AL21" s="396">
        <f>IFERROR(VLOOKUP($C21,'Proposed Rates'!$B:$J,AL$11,FALSE),0)</f>
        <v>0</v>
      </c>
      <c r="AM21" s="397">
        <f t="shared" si="19"/>
        <v>1</v>
      </c>
      <c r="AN21" s="399">
        <f t="shared" si="20"/>
        <v>0</v>
      </c>
      <c r="AO21" s="132"/>
      <c r="AP21" s="400">
        <f t="shared" si="21"/>
        <v>0</v>
      </c>
      <c r="AQ21" s="401" t="str">
        <f t="shared" si="22"/>
        <v/>
      </c>
    </row>
    <row r="22" spans="1:43" ht="12" customHeight="1">
      <c r="A22" s="52"/>
      <c r="B22" s="403" t="s">
        <v>240</v>
      </c>
      <c r="C22" s="394" t="str">
        <f t="shared" si="0"/>
        <v>Residential.Deferral/Variance Account Disposition Rate Rider Group 2</v>
      </c>
      <c r="D22" s="395" t="s">
        <v>310</v>
      </c>
      <c r="E22" s="132"/>
      <c r="F22" s="396">
        <f>IFERROR(VLOOKUP($C22,'Proposed Rates'!$B:$J,F$11,FALSE),0)</f>
        <v>0</v>
      </c>
      <c r="G22" s="397">
        <f t="shared" si="1"/>
        <v>1</v>
      </c>
      <c r="H22" s="399">
        <f t="shared" si="2"/>
        <v>0</v>
      </c>
      <c r="I22" s="5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402"/>
      <c r="AL22" s="396">
        <f>IFERROR(VLOOKUP($C22,'Proposed Rates'!$B:$J,AL$11,FALSE),0)</f>
        <v>0</v>
      </c>
      <c r="AM22" s="397">
        <f t="shared" si="19"/>
        <v>1</v>
      </c>
      <c r="AN22" s="399">
        <f t="shared" si="20"/>
        <v>0</v>
      </c>
      <c r="AO22" s="132"/>
      <c r="AP22" s="400">
        <f t="shared" si="21"/>
        <v>0</v>
      </c>
      <c r="AQ22" s="401" t="str">
        <f t="shared" si="22"/>
        <v/>
      </c>
    </row>
    <row r="23" spans="1:43" ht="12" customHeight="1">
      <c r="A23" s="52"/>
      <c r="B23" s="403"/>
      <c r="C23" s="394" t="str">
        <f t="shared" si="0"/>
        <v>Residential.</v>
      </c>
      <c r="D23" s="395"/>
      <c r="E23" s="132"/>
      <c r="F23" s="396">
        <f>IFERROR(VLOOKUP($C23,'Proposed Rates'!$B:$J,F$11,FALSE),0)</f>
        <v>0</v>
      </c>
      <c r="G23" s="397">
        <f t="shared" si="1"/>
        <v>0</v>
      </c>
      <c r="H23" s="399">
        <f t="shared" si="2"/>
        <v>0</v>
      </c>
      <c r="I23" s="5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402"/>
      <c r="AL23" s="396">
        <f>IFERROR(VLOOKUP($C23,'Proposed Rates'!$B:$J,AL$11,FALSE),0)</f>
        <v>0</v>
      </c>
      <c r="AM23" s="397">
        <f t="shared" si="19"/>
        <v>0</v>
      </c>
      <c r="AN23" s="399">
        <f t="shared" si="20"/>
        <v>0</v>
      </c>
      <c r="AO23" s="132"/>
      <c r="AP23" s="400">
        <f t="shared" si="21"/>
        <v>0</v>
      </c>
      <c r="AQ23" s="401" t="str">
        <f t="shared" si="22"/>
        <v/>
      </c>
    </row>
    <row r="24" spans="1:43" ht="12" customHeight="1">
      <c r="A24" s="52"/>
      <c r="B24" s="403"/>
      <c r="C24" s="394" t="str">
        <f t="shared" si="0"/>
        <v>Residential.</v>
      </c>
      <c r="D24" s="395"/>
      <c r="E24" s="132"/>
      <c r="F24" s="396">
        <f>IFERROR(VLOOKUP($C24,'Proposed Rates'!$B:$J,F$11,FALSE),0)</f>
        <v>0</v>
      </c>
      <c r="G24" s="397">
        <f t="shared" si="1"/>
        <v>0</v>
      </c>
      <c r="H24" s="399">
        <f t="shared" si="2"/>
        <v>0</v>
      </c>
      <c r="I24" s="5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402"/>
      <c r="AL24" s="396">
        <f>IFERROR(VLOOKUP($C24,'Proposed Rates'!$B:$J,AL$11,FALSE),0)</f>
        <v>0</v>
      </c>
      <c r="AM24" s="397">
        <f t="shared" si="19"/>
        <v>0</v>
      </c>
      <c r="AN24" s="399">
        <f t="shared" si="20"/>
        <v>0</v>
      </c>
      <c r="AO24" s="132"/>
      <c r="AP24" s="400">
        <f t="shared" si="21"/>
        <v>0</v>
      </c>
      <c r="AQ24" s="401" t="str">
        <f t="shared" si="22"/>
        <v/>
      </c>
    </row>
    <row r="25" spans="1:43" ht="12" customHeight="1">
      <c r="A25" s="52"/>
      <c r="B25" s="403"/>
      <c r="C25" s="394" t="str">
        <f t="shared" si="0"/>
        <v>Residential.</v>
      </c>
      <c r="D25" s="395"/>
      <c r="E25" s="132"/>
      <c r="F25" s="396">
        <f>IFERROR(VLOOKUP($C25,'Proposed Rates'!$B:$J,F$11,FALSE),0)</f>
        <v>0</v>
      </c>
      <c r="G25" s="397">
        <f t="shared" si="1"/>
        <v>0</v>
      </c>
      <c r="H25" s="399">
        <f t="shared" si="2"/>
        <v>0</v>
      </c>
      <c r="I25" s="5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402"/>
      <c r="AL25" s="396">
        <f>IFERROR(VLOOKUP($C25,'Proposed Rates'!$B:$J,AL$11,FALSE),0)</f>
        <v>0</v>
      </c>
      <c r="AM25" s="397">
        <f t="shared" si="19"/>
        <v>0</v>
      </c>
      <c r="AN25" s="399">
        <f t="shared" si="20"/>
        <v>0</v>
      </c>
      <c r="AO25" s="132"/>
      <c r="AP25" s="400">
        <f t="shared" si="21"/>
        <v>0</v>
      </c>
      <c r="AQ25" s="401" t="str">
        <f t="shared" si="22"/>
        <v/>
      </c>
    </row>
    <row r="26" spans="1:43" ht="12" customHeight="1">
      <c r="A26" s="52"/>
      <c r="B26" s="403"/>
      <c r="C26" s="394" t="str">
        <f t="shared" si="0"/>
        <v>Residential.</v>
      </c>
      <c r="D26" s="395"/>
      <c r="E26" s="132"/>
      <c r="F26" s="396">
        <f>IFERROR(VLOOKUP($C26,'Proposed Rates'!$B:$J,F$11,FALSE),0)</f>
        <v>0</v>
      </c>
      <c r="G26" s="397">
        <f t="shared" si="1"/>
        <v>0</v>
      </c>
      <c r="H26" s="399">
        <f t="shared" si="2"/>
        <v>0</v>
      </c>
      <c r="I26" s="5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402"/>
      <c r="AL26" s="396">
        <f>IFERROR(VLOOKUP($C26,'Proposed Rates'!$B:$J,AL$11,FALSE),0)</f>
        <v>0</v>
      </c>
      <c r="AM26" s="397">
        <f t="shared" si="19"/>
        <v>0</v>
      </c>
      <c r="AN26" s="399">
        <f t="shared" si="20"/>
        <v>0</v>
      </c>
      <c r="AO26" s="132"/>
      <c r="AP26" s="400">
        <f t="shared" si="21"/>
        <v>0</v>
      </c>
      <c r="AQ26" s="401" t="str">
        <f t="shared" si="22"/>
        <v/>
      </c>
    </row>
    <row r="27" spans="1:43" ht="12" customHeight="1">
      <c r="A27" s="52"/>
      <c r="B27" s="403"/>
      <c r="C27" s="394" t="str">
        <f t="shared" si="0"/>
        <v>Residential.</v>
      </c>
      <c r="D27" s="395"/>
      <c r="E27" s="132"/>
      <c r="F27" s="396">
        <f>IFERROR(VLOOKUP($C27,'Proposed Rates'!$B:$J,F$11,FALSE),0)</f>
        <v>0</v>
      </c>
      <c r="G27" s="397">
        <f t="shared" si="1"/>
        <v>0</v>
      </c>
      <c r="H27" s="399">
        <f t="shared" si="2"/>
        <v>0</v>
      </c>
      <c r="I27" s="5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402"/>
      <c r="AL27" s="396">
        <f>IFERROR(VLOOKUP($C27,'Proposed Rates'!$B:$J,AL$11,FALSE),0)</f>
        <v>0</v>
      </c>
      <c r="AM27" s="397">
        <f t="shared" si="19"/>
        <v>0</v>
      </c>
      <c r="AN27" s="399">
        <f t="shared" si="20"/>
        <v>0</v>
      </c>
      <c r="AO27" s="132"/>
      <c r="AP27" s="400">
        <f t="shared" si="21"/>
        <v>0</v>
      </c>
      <c r="AQ27" s="401" t="str">
        <f t="shared" si="22"/>
        <v/>
      </c>
    </row>
    <row r="28" spans="1:43" ht="12" customHeight="1">
      <c r="A28" s="52"/>
      <c r="B28" s="403"/>
      <c r="C28" s="394" t="str">
        <f t="shared" si="0"/>
        <v>Residential.</v>
      </c>
      <c r="D28" s="395"/>
      <c r="E28" s="132"/>
      <c r="F28" s="396">
        <f>IFERROR(VLOOKUP($C28,'Proposed Rates'!$B:$J,F$11,FALSE),0)</f>
        <v>0</v>
      </c>
      <c r="G28" s="397">
        <f t="shared" si="1"/>
        <v>0</v>
      </c>
      <c r="H28" s="399">
        <f t="shared" si="2"/>
        <v>0</v>
      </c>
      <c r="I28" s="5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402"/>
      <c r="AL28" s="396">
        <f>IFERROR(VLOOKUP($C28,'Proposed Rates'!$B:$J,AL$11,FALSE),0)</f>
        <v>0</v>
      </c>
      <c r="AM28" s="397">
        <f t="shared" si="19"/>
        <v>0</v>
      </c>
      <c r="AN28" s="399">
        <f t="shared" si="20"/>
        <v>0</v>
      </c>
      <c r="AO28" s="132"/>
      <c r="AP28" s="400">
        <f t="shared" si="21"/>
        <v>0</v>
      </c>
      <c r="AQ28" s="401" t="str">
        <f t="shared" si="22"/>
        <v/>
      </c>
    </row>
    <row r="29" spans="1:43" ht="12" customHeight="1">
      <c r="A29" s="307"/>
      <c r="B29" s="404" t="s">
        <v>314</v>
      </c>
      <c r="C29" s="405"/>
      <c r="D29" s="405"/>
      <c r="E29" s="409"/>
      <c r="F29" s="406"/>
      <c r="G29" s="407"/>
      <c r="H29" s="408">
        <f>SUM(H15:H28)</f>
        <v>34.51</v>
      </c>
      <c r="I29" s="307"/>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412"/>
      <c r="AL29" s="406"/>
      <c r="AM29" s="407"/>
      <c r="AN29" s="408">
        <f>SUM(AN15:AN28)</f>
        <v>48.36</v>
      </c>
      <c r="AO29" s="409"/>
      <c r="AP29" s="410">
        <f t="shared" si="21"/>
        <v>1.3800000000000026</v>
      </c>
      <c r="AQ29" s="411">
        <f t="shared" si="22"/>
        <v>2.9374201787994946E-2</v>
      </c>
    </row>
    <row r="30" spans="1:43" ht="12" customHeight="1">
      <c r="A30" s="52"/>
      <c r="B30" s="403" t="s">
        <v>237</v>
      </c>
      <c r="C30" s="394" t="str">
        <f t="shared" ref="C30:C36" si="23">D$6&amp;"."&amp;B30</f>
        <v>Residential.DVA Disposition Rate Rider Group 1 -2025</v>
      </c>
      <c r="D30" s="395" t="s">
        <v>312</v>
      </c>
      <c r="E30" s="132"/>
      <c r="F30" s="413">
        <f>IFERROR(VLOOKUP($C30,'Proposed Rates'!$B:$J,F$11,FALSE),0)</f>
        <v>-2.0000000000000001E-4</v>
      </c>
      <c r="G30" s="414">
        <f t="shared" ref="G30:G33" si="24">IF($D30="Monthly",1,IF($D30="per KWH",$F$10,0))</f>
        <v>232</v>
      </c>
      <c r="H30" s="415">
        <f t="shared" ref="H30:H36" si="25">G30*F30</f>
        <v>-4.6400000000000004E-2</v>
      </c>
      <c r="I30" s="52"/>
      <c r="J30" s="413">
        <f>IFERROR(VLOOKUP($C30,'Proposed Rates'!$B:$J,J$11,FALSE),0)</f>
        <v>-5.9999999999999995E-4</v>
      </c>
      <c r="K30" s="414">
        <f t="shared" ref="K30:K33" si="26">IF($D30="Monthly",1,IF($D30="per KWH",$F$10,0))</f>
        <v>232</v>
      </c>
      <c r="L30" s="399">
        <f t="shared" ref="L30:L36" si="27">K30*J30</f>
        <v>-0.13919999999999999</v>
      </c>
      <c r="M30" s="132"/>
      <c r="N30" s="400">
        <f t="shared" si="5"/>
        <v>-9.2799999999999994E-2</v>
      </c>
      <c r="O30" s="401">
        <f t="shared" si="6"/>
        <v>1.9999999999999998</v>
      </c>
      <c r="P30" s="52"/>
      <c r="Q30" s="413">
        <f>IFERROR(VLOOKUP($C30,'Proposed Rates'!$B:$J,Q$11,FALSE),0)</f>
        <v>0</v>
      </c>
      <c r="R30" s="414">
        <f t="shared" ref="R30:R33" si="28">IF($D30="Monthly",1,IF($D30="per KWH",$F$10,0))</f>
        <v>232</v>
      </c>
      <c r="S30" s="399">
        <f t="shared" ref="S30:S36" si="29">R30*Q30</f>
        <v>0</v>
      </c>
      <c r="T30" s="132"/>
      <c r="U30" s="400">
        <f t="shared" si="9"/>
        <v>0.13919999999999999</v>
      </c>
      <c r="V30" s="401">
        <f t="shared" si="10"/>
        <v>-1</v>
      </c>
      <c r="W30" s="52"/>
      <c r="X30" s="413">
        <f>IFERROR(VLOOKUP($C30,'Proposed Rates'!$B:$J,X$11,FALSE),0)</f>
        <v>0</v>
      </c>
      <c r="Y30" s="414">
        <f t="shared" ref="Y30:Y33" si="30">IF($D30="Monthly",1,IF($D30="per KWH",$F$10,0))</f>
        <v>232</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232</v>
      </c>
      <c r="AG30" s="399">
        <f t="shared" ref="AG30:AG36" si="33">AF30*AE30</f>
        <v>0</v>
      </c>
      <c r="AH30" s="132"/>
      <c r="AI30" s="400">
        <f t="shared" si="17"/>
        <v>0</v>
      </c>
      <c r="AJ30" s="401" t="str">
        <f t="shared" si="18"/>
        <v/>
      </c>
      <c r="AK30" s="402"/>
      <c r="AL30" s="413">
        <f>IFERROR(VLOOKUP($C30,'Proposed Rates'!$B:$J,AL$11,FALSE),0)</f>
        <v>0</v>
      </c>
      <c r="AM30" s="414">
        <f t="shared" ref="AM30:AM33" si="34">IF($D30="Monthly",1,IF($D30="per KWH",$F$10,0))</f>
        <v>232</v>
      </c>
      <c r="AN30" s="399">
        <f t="shared" ref="AN30:AN36" si="35">AM30*AL30</f>
        <v>0</v>
      </c>
      <c r="AO30" s="132"/>
      <c r="AP30" s="400">
        <f t="shared" si="21"/>
        <v>0</v>
      </c>
      <c r="AQ30" s="401" t="str">
        <f t="shared" si="22"/>
        <v/>
      </c>
    </row>
    <row r="31" spans="1:43" ht="12" customHeight="1">
      <c r="A31" s="52"/>
      <c r="B31" s="403" t="s">
        <v>239</v>
      </c>
      <c r="C31" s="394" t="str">
        <f t="shared" si="23"/>
        <v>Residential.DVA Disposition Rate Rider Group 1 - 2024</v>
      </c>
      <c r="D31" s="395" t="s">
        <v>312</v>
      </c>
      <c r="E31" s="132"/>
      <c r="F31" s="413">
        <f>IFERROR(VLOOKUP($C31,'Proposed Rates'!$B:$J,F$11,FALSE),0)</f>
        <v>0</v>
      </c>
      <c r="G31" s="414">
        <f t="shared" si="24"/>
        <v>232</v>
      </c>
      <c r="H31" s="399">
        <f t="shared" si="25"/>
        <v>0</v>
      </c>
      <c r="I31" s="52"/>
      <c r="J31" s="413">
        <f>IFERROR(VLOOKUP($C31,'Proposed Rates'!$B:$J,J$11,FALSE),0)</f>
        <v>0</v>
      </c>
      <c r="K31" s="414">
        <f t="shared" si="26"/>
        <v>232</v>
      </c>
      <c r="L31" s="399">
        <f t="shared" si="27"/>
        <v>0</v>
      </c>
      <c r="M31" s="416"/>
      <c r="N31" s="400">
        <f t="shared" si="5"/>
        <v>0</v>
      </c>
      <c r="O31" s="401" t="str">
        <f t="shared" si="6"/>
        <v/>
      </c>
      <c r="P31" s="52"/>
      <c r="Q31" s="413">
        <f>IFERROR(VLOOKUP($C31,'Proposed Rates'!$B:$J,Q$11,FALSE),0)</f>
        <v>0</v>
      </c>
      <c r="R31" s="414">
        <f t="shared" si="28"/>
        <v>232</v>
      </c>
      <c r="S31" s="399">
        <f t="shared" si="29"/>
        <v>0</v>
      </c>
      <c r="T31" s="416"/>
      <c r="U31" s="400">
        <f t="shared" si="9"/>
        <v>0</v>
      </c>
      <c r="V31" s="401" t="str">
        <f t="shared" si="10"/>
        <v/>
      </c>
      <c r="W31" s="52"/>
      <c r="X31" s="413">
        <f>IFERROR(VLOOKUP($C31,'Proposed Rates'!$B:$J,X$11,FALSE),0)</f>
        <v>0</v>
      </c>
      <c r="Y31" s="414">
        <f t="shared" si="30"/>
        <v>232</v>
      </c>
      <c r="Z31" s="399">
        <f t="shared" si="31"/>
        <v>0</v>
      </c>
      <c r="AA31" s="416"/>
      <c r="AB31" s="400">
        <f t="shared" si="13"/>
        <v>0</v>
      </c>
      <c r="AC31" s="401" t="str">
        <f t="shared" si="14"/>
        <v/>
      </c>
      <c r="AD31" s="52"/>
      <c r="AE31" s="413">
        <f>IFERROR(VLOOKUP($C31,'Proposed Rates'!$B:$J,AE$11,FALSE),0)</f>
        <v>0</v>
      </c>
      <c r="AF31" s="414">
        <f t="shared" si="32"/>
        <v>232</v>
      </c>
      <c r="AG31" s="399">
        <f t="shared" si="33"/>
        <v>0</v>
      </c>
      <c r="AH31" s="416"/>
      <c r="AI31" s="400">
        <f t="shared" si="17"/>
        <v>0</v>
      </c>
      <c r="AJ31" s="401" t="str">
        <f t="shared" si="18"/>
        <v/>
      </c>
      <c r="AK31" s="402"/>
      <c r="AL31" s="413">
        <f>IFERROR(VLOOKUP($C31,'Proposed Rates'!$B:$J,AL$11,FALSE),0)</f>
        <v>0</v>
      </c>
      <c r="AM31" s="414">
        <f t="shared" si="34"/>
        <v>232</v>
      </c>
      <c r="AN31" s="399">
        <f t="shared" si="35"/>
        <v>0</v>
      </c>
      <c r="AO31" s="416"/>
      <c r="AP31" s="400">
        <f t="shared" si="21"/>
        <v>0</v>
      </c>
      <c r="AQ31" s="401" t="str">
        <f t="shared" si="22"/>
        <v/>
      </c>
    </row>
    <row r="32" spans="1:43" ht="12" customHeight="1">
      <c r="A32" s="52"/>
      <c r="B32" s="403" t="s">
        <v>247</v>
      </c>
      <c r="C32" s="394" t="str">
        <f t="shared" si="23"/>
        <v>Residential.CBR Class B Rate Riders</v>
      </c>
      <c r="D32" s="395" t="s">
        <v>312</v>
      </c>
      <c r="E32" s="132"/>
      <c r="F32" s="413">
        <f>IFERROR(VLOOKUP($C32,'Proposed Rates'!$B:$J,F$11,FALSE),0)</f>
        <v>2.0000000000000001E-4</v>
      </c>
      <c r="G32" s="414">
        <f t="shared" si="24"/>
        <v>232</v>
      </c>
      <c r="H32" s="399">
        <f t="shared" si="25"/>
        <v>4.6400000000000004E-2</v>
      </c>
      <c r="I32" s="52"/>
      <c r="J32" s="413">
        <f>IFERROR(VLOOKUP($C32,'Proposed Rates'!$B:$J,J$11,FALSE),0)</f>
        <v>4.0000000000000002E-4</v>
      </c>
      <c r="K32" s="414">
        <f t="shared" si="26"/>
        <v>232</v>
      </c>
      <c r="L32" s="399">
        <f t="shared" si="27"/>
        <v>9.2800000000000007E-2</v>
      </c>
      <c r="M32" s="416"/>
      <c r="N32" s="400">
        <f t="shared" si="5"/>
        <v>4.6400000000000004E-2</v>
      </c>
      <c r="O32" s="401">
        <f t="shared" si="6"/>
        <v>1</v>
      </c>
      <c r="P32" s="52"/>
      <c r="Q32" s="413">
        <f>IFERROR(VLOOKUP($C32,'Proposed Rates'!$B:$J,Q$11,FALSE),0)</f>
        <v>0</v>
      </c>
      <c r="R32" s="414">
        <f t="shared" si="28"/>
        <v>232</v>
      </c>
      <c r="S32" s="399">
        <f t="shared" si="29"/>
        <v>0</v>
      </c>
      <c r="T32" s="416"/>
      <c r="U32" s="400">
        <f t="shared" si="9"/>
        <v>-9.2800000000000007E-2</v>
      </c>
      <c r="V32" s="401">
        <f t="shared" si="10"/>
        <v>-1</v>
      </c>
      <c r="W32" s="52"/>
      <c r="X32" s="413">
        <f>IFERROR(VLOOKUP($C32,'Proposed Rates'!$B:$J,X$11,FALSE),0)</f>
        <v>0</v>
      </c>
      <c r="Y32" s="414">
        <f t="shared" si="30"/>
        <v>232</v>
      </c>
      <c r="Z32" s="399">
        <f t="shared" si="31"/>
        <v>0</v>
      </c>
      <c r="AA32" s="416"/>
      <c r="AB32" s="400">
        <f t="shared" si="13"/>
        <v>0</v>
      </c>
      <c r="AC32" s="401" t="str">
        <f t="shared" si="14"/>
        <v/>
      </c>
      <c r="AD32" s="52"/>
      <c r="AE32" s="413">
        <f>IFERROR(VLOOKUP($C32,'Proposed Rates'!$B:$J,AE$11,FALSE),0)</f>
        <v>0</v>
      </c>
      <c r="AF32" s="414">
        <f t="shared" si="32"/>
        <v>232</v>
      </c>
      <c r="AG32" s="399">
        <f t="shared" si="33"/>
        <v>0</v>
      </c>
      <c r="AH32" s="416"/>
      <c r="AI32" s="400">
        <f t="shared" si="17"/>
        <v>0</v>
      </c>
      <c r="AJ32" s="401" t="str">
        <f t="shared" si="18"/>
        <v/>
      </c>
      <c r="AK32" s="402"/>
      <c r="AL32" s="413">
        <f>IFERROR(VLOOKUP($C32,'Proposed Rates'!$B:$J,AL$11,FALSE),0)</f>
        <v>0</v>
      </c>
      <c r="AM32" s="414">
        <f t="shared" si="34"/>
        <v>232</v>
      </c>
      <c r="AN32" s="399">
        <f t="shared" si="35"/>
        <v>0</v>
      </c>
      <c r="AO32" s="416"/>
      <c r="AP32" s="400">
        <f t="shared" si="21"/>
        <v>0</v>
      </c>
      <c r="AQ32" s="401" t="str">
        <f t="shared" si="22"/>
        <v/>
      </c>
    </row>
    <row r="33" spans="1:43" ht="12" customHeight="1">
      <c r="A33" s="52"/>
      <c r="B33" s="403" t="s">
        <v>315</v>
      </c>
      <c r="C33" s="394" t="str">
        <f t="shared" si="23"/>
        <v>Residential.GA Disposition Rate Rider-NonRPP</v>
      </c>
      <c r="D33" s="395" t="s">
        <v>312</v>
      </c>
      <c r="E33" s="132"/>
      <c r="F33" s="413">
        <f>IFERROR(VLOOKUP($C33,'Proposed Rates'!$B:$J,F$11,FALSE),0)</f>
        <v>0</v>
      </c>
      <c r="G33" s="414">
        <f t="shared" si="24"/>
        <v>232</v>
      </c>
      <c r="H33" s="399">
        <f t="shared" si="25"/>
        <v>0</v>
      </c>
      <c r="I33" s="52"/>
      <c r="J33" s="413">
        <f>IFERROR(VLOOKUP($C33,'Proposed Rates'!$B:$J,J$11,FALSE),0)</f>
        <v>0</v>
      </c>
      <c r="K33" s="414">
        <f t="shared" si="26"/>
        <v>232</v>
      </c>
      <c r="L33" s="399">
        <f t="shared" si="27"/>
        <v>0</v>
      </c>
      <c r="M33" s="416"/>
      <c r="N33" s="400">
        <f t="shared" si="5"/>
        <v>0</v>
      </c>
      <c r="O33" s="401" t="str">
        <f t="shared" si="6"/>
        <v/>
      </c>
      <c r="P33" s="52"/>
      <c r="Q33" s="413">
        <f>IFERROR(VLOOKUP($C33,'Proposed Rates'!$B:$J,Q$11,FALSE),0)</f>
        <v>0</v>
      </c>
      <c r="R33" s="414">
        <f t="shared" si="28"/>
        <v>232</v>
      </c>
      <c r="S33" s="399">
        <f t="shared" si="29"/>
        <v>0</v>
      </c>
      <c r="T33" s="416"/>
      <c r="U33" s="400">
        <f t="shared" si="9"/>
        <v>0</v>
      </c>
      <c r="V33" s="401" t="str">
        <f t="shared" si="10"/>
        <v/>
      </c>
      <c r="W33" s="52"/>
      <c r="X33" s="413">
        <f>IFERROR(VLOOKUP($C33,'Proposed Rates'!$B:$J,X$11,FALSE),0)</f>
        <v>0</v>
      </c>
      <c r="Y33" s="414">
        <f t="shared" si="30"/>
        <v>232</v>
      </c>
      <c r="Z33" s="399">
        <f t="shared" si="31"/>
        <v>0</v>
      </c>
      <c r="AA33" s="416"/>
      <c r="AB33" s="400">
        <f t="shared" si="13"/>
        <v>0</v>
      </c>
      <c r="AC33" s="401" t="str">
        <f t="shared" si="14"/>
        <v/>
      </c>
      <c r="AD33" s="52"/>
      <c r="AE33" s="413">
        <f>IFERROR(VLOOKUP($C33,'Proposed Rates'!$B:$J,AE$11,FALSE),0)</f>
        <v>0</v>
      </c>
      <c r="AF33" s="414">
        <f t="shared" si="32"/>
        <v>232</v>
      </c>
      <c r="AG33" s="399">
        <f t="shared" si="33"/>
        <v>0</v>
      </c>
      <c r="AH33" s="416"/>
      <c r="AI33" s="400">
        <f t="shared" si="17"/>
        <v>0</v>
      </c>
      <c r="AJ33" s="401" t="str">
        <f t="shared" si="18"/>
        <v/>
      </c>
      <c r="AK33" s="402"/>
      <c r="AL33" s="413">
        <f>IFERROR(VLOOKUP($C33,'Proposed Rates'!$B:$J,AL$11,FALSE),0)</f>
        <v>0</v>
      </c>
      <c r="AM33" s="414">
        <f t="shared" si="34"/>
        <v>232</v>
      </c>
      <c r="AN33" s="399">
        <f t="shared" si="35"/>
        <v>0</v>
      </c>
      <c r="AO33" s="416"/>
      <c r="AP33" s="400">
        <f t="shared" si="21"/>
        <v>0</v>
      </c>
      <c r="AQ33" s="401" t="str">
        <f t="shared" si="22"/>
        <v/>
      </c>
    </row>
    <row r="34" spans="1:43" ht="12" customHeight="1">
      <c r="A34" s="52"/>
      <c r="B34" s="321" t="s">
        <v>273</v>
      </c>
      <c r="C34" s="394" t="str">
        <f t="shared" si="23"/>
        <v>Residential.Low Voltage Service Charge</v>
      </c>
      <c r="D34" s="395" t="s">
        <v>312</v>
      </c>
      <c r="E34" s="132"/>
      <c r="F34" s="417">
        <f>IFERROR(VLOOKUP($C34,'Proposed Rates'!$B:$J,F$11,FALSE),0)</f>
        <v>5.0000000000000002E-5</v>
      </c>
      <c r="G34" s="418">
        <f>$F$10*(1+F$63)</f>
        <v>239.8416</v>
      </c>
      <c r="H34" s="399">
        <f t="shared" si="25"/>
        <v>1.199208E-2</v>
      </c>
      <c r="I34" s="52"/>
      <c r="J34" s="417">
        <f>IFERROR(VLOOKUP($C34,'Proposed Rates'!$B:$J,J$11,FALSE),0)</f>
        <v>6.9999999999999994E-5</v>
      </c>
      <c r="K34" s="418">
        <f>$F$10*(1+J$63)</f>
        <v>239.70239999999998</v>
      </c>
      <c r="L34" s="399">
        <f t="shared" si="27"/>
        <v>1.6779167999999997E-2</v>
      </c>
      <c r="M34" s="132"/>
      <c r="N34" s="400">
        <f t="shared" si="5"/>
        <v>4.7870879999999966E-3</v>
      </c>
      <c r="O34" s="401">
        <f t="shared" si="6"/>
        <v>0.3991874637260589</v>
      </c>
      <c r="P34" s="52"/>
      <c r="Q34" s="417">
        <f>IFERROR(VLOOKUP($C34,'Proposed Rates'!$B:$J,Q$11,FALSE),0)</f>
        <v>6.9999999999999994E-5</v>
      </c>
      <c r="R34" s="418">
        <f>$F$10*(1+Q$63)</f>
        <v>239.70239999999998</v>
      </c>
      <c r="S34" s="399">
        <f t="shared" si="29"/>
        <v>1.6779167999999997E-2</v>
      </c>
      <c r="T34" s="132"/>
      <c r="U34" s="400">
        <f t="shared" si="9"/>
        <v>0</v>
      </c>
      <c r="V34" s="401">
        <f t="shared" si="10"/>
        <v>0</v>
      </c>
      <c r="W34" s="52"/>
      <c r="X34" s="417">
        <f>IFERROR(VLOOKUP($C34,'Proposed Rates'!$B:$J,X$11,FALSE),0)</f>
        <v>8.0000000000000007E-5</v>
      </c>
      <c r="Y34" s="418">
        <f>$F$10*(1+X$63)</f>
        <v>239.70239999999998</v>
      </c>
      <c r="Z34" s="399">
        <f t="shared" si="31"/>
        <v>1.9176192000000002E-2</v>
      </c>
      <c r="AA34" s="132"/>
      <c r="AB34" s="400">
        <f t="shared" si="13"/>
        <v>2.3970240000000045E-3</v>
      </c>
      <c r="AC34" s="401">
        <f t="shared" si="14"/>
        <v>0.14285714285714315</v>
      </c>
      <c r="AD34" s="52"/>
      <c r="AE34" s="417">
        <f>IFERROR(VLOOKUP($C34,'Proposed Rates'!$B:$J,AE$11,FALSE),0)</f>
        <v>8.0000000000000007E-5</v>
      </c>
      <c r="AF34" s="418">
        <f>$F$10*(1+AE$63)</f>
        <v>239.70239999999998</v>
      </c>
      <c r="AG34" s="399">
        <f t="shared" si="33"/>
        <v>1.9176192000000002E-2</v>
      </c>
      <c r="AH34" s="132"/>
      <c r="AI34" s="400">
        <f t="shared" si="17"/>
        <v>0</v>
      </c>
      <c r="AJ34" s="401">
        <f t="shared" si="18"/>
        <v>0</v>
      </c>
      <c r="AK34" s="402"/>
      <c r="AL34" s="417">
        <f>IFERROR(VLOOKUP($C34,'Proposed Rates'!$B:$J,AL$11,FALSE),0)</f>
        <v>8.0000000000000007E-5</v>
      </c>
      <c r="AM34" s="418">
        <f>$F$10*(1+AL$63)</f>
        <v>239.70239999999998</v>
      </c>
      <c r="AN34" s="399">
        <f t="shared" si="35"/>
        <v>1.9176192000000002E-2</v>
      </c>
      <c r="AO34" s="132"/>
      <c r="AP34" s="400">
        <f t="shared" si="21"/>
        <v>0</v>
      </c>
      <c r="AQ34" s="401">
        <f t="shared" si="22"/>
        <v>0</v>
      </c>
    </row>
    <row r="35" spans="1:43" ht="12" customHeight="1">
      <c r="A35" s="52"/>
      <c r="B35" s="321" t="s">
        <v>316</v>
      </c>
      <c r="C35" s="394" t="str">
        <f t="shared" si="23"/>
        <v>Residential.Line Losses on Cost of Power</v>
      </c>
      <c r="D35" s="395" t="s">
        <v>312</v>
      </c>
      <c r="E35" s="132"/>
      <c r="F35" s="419">
        <f>'Proposed Rates'!$K$253*F$44+'Proposed Rates'!$K$254*F$45+'Proposed Rates'!$K$255*F$46</f>
        <v>0.12752000000000002</v>
      </c>
      <c r="G35" s="420">
        <f>$F$10*(1+F$63)-$F$10</f>
        <v>7.8415999999999997</v>
      </c>
      <c r="H35" s="399">
        <f t="shared" si="25"/>
        <v>0.99996083200000019</v>
      </c>
      <c r="I35" s="52"/>
      <c r="J35" s="419">
        <f>'Proposed Rates'!$K$253*J$44+'Proposed Rates'!$K$254*J$45+'Proposed Rates'!$K$255*J$46</f>
        <v>0.12752000000000002</v>
      </c>
      <c r="K35" s="480">
        <f>$F$10*(1+J$63)-$F$10</f>
        <v>7.702399999999983</v>
      </c>
      <c r="L35" s="399">
        <f t="shared" si="27"/>
        <v>0.982210047999998</v>
      </c>
      <c r="M35" s="132"/>
      <c r="N35" s="400">
        <f t="shared" si="5"/>
        <v>-1.7750784000002184E-2</v>
      </c>
      <c r="O35" s="401">
        <f t="shared" si="6"/>
        <v>-1.7751479289943011E-2</v>
      </c>
      <c r="P35" s="52"/>
      <c r="Q35" s="419">
        <f>'Proposed Rates'!$K$253*Q$44+'Proposed Rates'!$K$254*Q$45+'Proposed Rates'!$K$255*Q$46</f>
        <v>0.12752000000000002</v>
      </c>
      <c r="R35" s="420">
        <f>$F$10*(1+Q$63)-$F$10</f>
        <v>7.702399999999983</v>
      </c>
      <c r="S35" s="399">
        <f t="shared" si="29"/>
        <v>0.982210047999998</v>
      </c>
      <c r="T35" s="132"/>
      <c r="U35" s="400">
        <f t="shared" si="9"/>
        <v>0</v>
      </c>
      <c r="V35" s="401">
        <f t="shared" si="10"/>
        <v>0</v>
      </c>
      <c r="W35" s="52"/>
      <c r="X35" s="419">
        <f>'Proposed Rates'!$K$253*X$44+'Proposed Rates'!$K$254*X$45+'Proposed Rates'!$K$255*X$46</f>
        <v>0.12752000000000002</v>
      </c>
      <c r="Y35" s="420">
        <f>$F$10*(1+X$63)-$F$10</f>
        <v>7.702399999999983</v>
      </c>
      <c r="Z35" s="399">
        <f t="shared" si="31"/>
        <v>0.982210047999998</v>
      </c>
      <c r="AA35" s="132"/>
      <c r="AB35" s="400">
        <f t="shared" si="13"/>
        <v>0</v>
      </c>
      <c r="AC35" s="401">
        <f t="shared" si="14"/>
        <v>0</v>
      </c>
      <c r="AD35" s="52"/>
      <c r="AE35" s="419">
        <f>'Proposed Rates'!$K$253*AE$44+'Proposed Rates'!$K$254*AE$45+'Proposed Rates'!$K$255*AE$46</f>
        <v>0.12752000000000002</v>
      </c>
      <c r="AF35" s="420">
        <f>$F$10*(1+AE$63)-$F$10</f>
        <v>7.702399999999983</v>
      </c>
      <c r="AG35" s="399">
        <f t="shared" si="33"/>
        <v>0.982210047999998</v>
      </c>
      <c r="AH35" s="132"/>
      <c r="AI35" s="400">
        <f t="shared" si="17"/>
        <v>0</v>
      </c>
      <c r="AJ35" s="401">
        <f t="shared" si="18"/>
        <v>0</v>
      </c>
      <c r="AK35" s="402"/>
      <c r="AL35" s="419">
        <f>'Proposed Rates'!$K$253*AL$44+'Proposed Rates'!$K$254*AL$45+'Proposed Rates'!$K$255*AL$46</f>
        <v>0.12752000000000002</v>
      </c>
      <c r="AM35" s="420">
        <f>$F$10*(1+AL$63)-$F$10</f>
        <v>7.702399999999983</v>
      </c>
      <c r="AN35" s="399">
        <f t="shared" si="35"/>
        <v>0.982210047999998</v>
      </c>
      <c r="AO35" s="132"/>
      <c r="AP35" s="400">
        <f t="shared" si="21"/>
        <v>0</v>
      </c>
      <c r="AQ35" s="401">
        <f t="shared" si="22"/>
        <v>0</v>
      </c>
    </row>
    <row r="36" spans="1:43" ht="12" customHeight="1">
      <c r="A36" s="52"/>
      <c r="B36" s="321" t="s">
        <v>275</v>
      </c>
      <c r="C36" s="394" t="str">
        <f t="shared" si="23"/>
        <v>Residential.Smart Meter Entity Charge</v>
      </c>
      <c r="D36" s="395" t="s">
        <v>310</v>
      </c>
      <c r="E36" s="132"/>
      <c r="F36" s="396">
        <f>IFERROR(VLOOKUP($C36,'Proposed Rates'!$B:$J,F$11,FALSE),0)</f>
        <v>0.42</v>
      </c>
      <c r="G36" s="414">
        <f>IF($D36="Monthly",1,IF($D36="per KWH",$F$10,0))</f>
        <v>1</v>
      </c>
      <c r="H36" s="399">
        <f t="shared" si="25"/>
        <v>0.42</v>
      </c>
      <c r="I36" s="52"/>
      <c r="J36" s="396">
        <f>IFERROR(VLOOKUP($C36,'Proposed Rates'!$B:$J,J$11,FALSE),0)</f>
        <v>0.42</v>
      </c>
      <c r="K36" s="414">
        <f>IF($D36="Monthly",1,IF($D36="per KWH",$F$10,0))</f>
        <v>1</v>
      </c>
      <c r="L36" s="399">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402"/>
      <c r="AL36" s="396">
        <f>IFERROR(VLOOKUP($C36,'Proposed Rates'!$B:$J,AL$11,FALSE),0)</f>
        <v>0.45</v>
      </c>
      <c r="AM36" s="414">
        <f>IF($D36="Monthly",1,IF($D36="per KWH",$F$10,0))</f>
        <v>1</v>
      </c>
      <c r="AN36" s="399">
        <f t="shared" si="35"/>
        <v>0.45</v>
      </c>
      <c r="AO36" s="132"/>
      <c r="AP36" s="400">
        <f t="shared" si="21"/>
        <v>1.0000000000000009E-2</v>
      </c>
      <c r="AQ36" s="401">
        <f t="shared" si="22"/>
        <v>2.2727272727272749E-2</v>
      </c>
    </row>
    <row r="37" spans="1:43" ht="12" customHeight="1">
      <c r="A37" s="52"/>
      <c r="B37" s="404" t="s">
        <v>317</v>
      </c>
      <c r="C37" s="421"/>
      <c r="D37" s="421"/>
      <c r="E37" s="424"/>
      <c r="F37" s="422"/>
      <c r="G37" s="423"/>
      <c r="H37" s="408">
        <f>SUM(H30:H36)+H29</f>
        <v>35.941952911999998</v>
      </c>
      <c r="I37" s="52"/>
      <c r="J37" s="422"/>
      <c r="K37" s="423"/>
      <c r="L37" s="408">
        <f>SUM(L30:L36)+L29</f>
        <v>41.412589216000001</v>
      </c>
      <c r="M37" s="424"/>
      <c r="N37" s="410">
        <f t="shared" si="5"/>
        <v>5.4706363040000028</v>
      </c>
      <c r="O37" s="411">
        <f t="shared" si="6"/>
        <v>0.15220754190497848</v>
      </c>
      <c r="P37" s="52"/>
      <c r="Q37" s="422"/>
      <c r="R37" s="423"/>
      <c r="S37" s="408">
        <f>SUM(S30:S36)+S29</f>
        <v>44.058989216000001</v>
      </c>
      <c r="T37" s="424"/>
      <c r="U37" s="410">
        <f t="shared" si="9"/>
        <v>2.6463999999999999</v>
      </c>
      <c r="V37" s="411">
        <f t="shared" si="10"/>
        <v>6.3903273137472585E-2</v>
      </c>
      <c r="W37" s="52"/>
      <c r="X37" s="422"/>
      <c r="Y37" s="423"/>
      <c r="Z37" s="408">
        <f>SUM(Z30:Z36)+Z29</f>
        <v>46.901386239999994</v>
      </c>
      <c r="AA37" s="424"/>
      <c r="AB37" s="410">
        <f t="shared" si="13"/>
        <v>2.8423970239999932</v>
      </c>
      <c r="AC37" s="411">
        <f t="shared" si="14"/>
        <v>6.451344151508083E-2</v>
      </c>
      <c r="AD37" s="52"/>
      <c r="AE37" s="422"/>
      <c r="AF37" s="423"/>
      <c r="AG37" s="408">
        <f>SUM(AG30:AG36)+AG29</f>
        <v>48.421386239999997</v>
      </c>
      <c r="AH37" s="424"/>
      <c r="AI37" s="410">
        <f t="shared" si="17"/>
        <v>1.5200000000000031</v>
      </c>
      <c r="AJ37" s="411">
        <f t="shared" si="18"/>
        <v>3.240842375579224E-2</v>
      </c>
      <c r="AK37" s="412"/>
      <c r="AL37" s="422"/>
      <c r="AM37" s="423"/>
      <c r="AN37" s="408">
        <f>SUM(AN30:AN36)+AN29</f>
        <v>49.811386239999997</v>
      </c>
      <c r="AO37" s="424"/>
      <c r="AP37" s="410">
        <f t="shared" si="21"/>
        <v>1.3900000000000006</v>
      </c>
      <c r="AQ37" s="411">
        <f t="shared" si="22"/>
        <v>2.8706323960046971E-2</v>
      </c>
    </row>
    <row r="38" spans="1:43" ht="12" customHeight="1">
      <c r="A38" s="52"/>
      <c r="B38" s="132" t="s">
        <v>258</v>
      </c>
      <c r="C38" s="394" t="str">
        <f t="shared" ref="C38:C39" si="36">D$6&amp;"."&amp;B38</f>
        <v>Residential.RTSR - Network</v>
      </c>
      <c r="D38" s="425" t="s">
        <v>312</v>
      </c>
      <c r="E38" s="132"/>
      <c r="F38" s="413">
        <f>IFERROR(VLOOKUP($C38,'Proposed Rates'!$B:$J,F$11,FALSE),0)</f>
        <v>1.26E-2</v>
      </c>
      <c r="G38" s="418">
        <f t="shared" ref="G38:G39" si="37">$F$10*(1+F$63)</f>
        <v>239.8416</v>
      </c>
      <c r="H38" s="399">
        <f t="shared" ref="H38:H39" si="38">G38*F38</f>
        <v>3.0220041599999998</v>
      </c>
      <c r="I38" s="52"/>
      <c r="J38" s="413">
        <f>IFERROR(VLOOKUP($C38,'Proposed Rates'!$B:$J,J$11,FALSE),0)</f>
        <v>1.38E-2</v>
      </c>
      <c r="K38" s="418">
        <f t="shared" ref="K38:K39" si="39">$F$10*(1+J$63)</f>
        <v>239.70239999999998</v>
      </c>
      <c r="L38" s="399">
        <f t="shared" ref="L38:L39" si="40">K38*J38</f>
        <v>3.3078931199999997</v>
      </c>
      <c r="M38" s="132"/>
      <c r="N38" s="400">
        <f t="shared" si="5"/>
        <v>0.28588895999999986</v>
      </c>
      <c r="O38" s="401">
        <f t="shared" si="6"/>
        <v>9.4602437608821782E-2</v>
      </c>
      <c r="P38" s="52"/>
      <c r="Q38" s="413">
        <f>IFERROR(VLOOKUP($C38,'Proposed Rates'!$B:$J,Q$11,FALSE),0)</f>
        <v>1.38E-2</v>
      </c>
      <c r="R38" s="418">
        <f t="shared" ref="R38:R39" si="41">$F$10*(1+Q$63)</f>
        <v>239.70239999999998</v>
      </c>
      <c r="S38" s="399">
        <f t="shared" ref="S38:S39" si="42">R38*Q38</f>
        <v>3.3078931199999997</v>
      </c>
      <c r="T38" s="132"/>
      <c r="U38" s="400">
        <f t="shared" si="9"/>
        <v>0</v>
      </c>
      <c r="V38" s="401">
        <f t="shared" si="10"/>
        <v>0</v>
      </c>
      <c r="W38" s="52"/>
      <c r="X38" s="413">
        <f>IFERROR(VLOOKUP($C38,'Proposed Rates'!$B:$J,X$11,FALSE),0)</f>
        <v>1.38E-2</v>
      </c>
      <c r="Y38" s="418">
        <f t="shared" ref="Y38:Y39" si="43">$F$10*(1+X$63)</f>
        <v>239.70239999999998</v>
      </c>
      <c r="Z38" s="399">
        <f t="shared" ref="Z38:Z39" si="44">Y38*X38</f>
        <v>3.3078931199999997</v>
      </c>
      <c r="AA38" s="132"/>
      <c r="AB38" s="400">
        <f t="shared" si="13"/>
        <v>0</v>
      </c>
      <c r="AC38" s="401">
        <f t="shared" si="14"/>
        <v>0</v>
      </c>
      <c r="AD38" s="52"/>
      <c r="AE38" s="413">
        <f>IFERROR(VLOOKUP($C38,'Proposed Rates'!$B:$J,AE$11,FALSE),0)</f>
        <v>1.38E-2</v>
      </c>
      <c r="AF38" s="418">
        <f t="shared" ref="AF38:AF39" si="45">$F$10*(1+AE$63)</f>
        <v>239.70239999999998</v>
      </c>
      <c r="AG38" s="399">
        <f t="shared" ref="AG38:AG39" si="46">AF38*AE38</f>
        <v>3.3078931199999997</v>
      </c>
      <c r="AH38" s="132"/>
      <c r="AI38" s="400">
        <f t="shared" si="17"/>
        <v>0</v>
      </c>
      <c r="AJ38" s="401">
        <f t="shared" si="18"/>
        <v>0</v>
      </c>
      <c r="AK38" s="402"/>
      <c r="AL38" s="413">
        <f>IFERROR(VLOOKUP($C38,'Proposed Rates'!$B:$J,AL$11,FALSE),0)</f>
        <v>1.38E-2</v>
      </c>
      <c r="AM38" s="418">
        <f t="shared" ref="AM38:AM39" si="47">$F$10*(1+AL$63)</f>
        <v>239.70239999999998</v>
      </c>
      <c r="AN38" s="399">
        <f t="shared" ref="AN38:AN39" si="48">AM38*AL38</f>
        <v>3.3078931199999997</v>
      </c>
      <c r="AO38" s="132"/>
      <c r="AP38" s="400">
        <f t="shared" si="21"/>
        <v>0</v>
      </c>
      <c r="AQ38" s="401">
        <f t="shared" si="22"/>
        <v>0</v>
      </c>
    </row>
    <row r="39" spans="1:43" ht="12" customHeight="1">
      <c r="A39" s="52"/>
      <c r="B39" s="132" t="s">
        <v>261</v>
      </c>
      <c r="C39" s="394" t="str">
        <f t="shared" si="36"/>
        <v>Residential.RTSR - Line and Transformation Connection</v>
      </c>
      <c r="D39" s="425" t="s">
        <v>312</v>
      </c>
      <c r="E39" s="132"/>
      <c r="F39" s="413">
        <f>IFERROR(VLOOKUP($C39,'Proposed Rates'!$B:$J,F$11,FALSE),0)</f>
        <v>7.1999999999999998E-3</v>
      </c>
      <c r="G39" s="418">
        <f t="shared" si="37"/>
        <v>239.8416</v>
      </c>
      <c r="H39" s="399">
        <f t="shared" si="38"/>
        <v>1.7268595199999999</v>
      </c>
      <c r="I39" s="52"/>
      <c r="J39" s="413">
        <f>IFERROR(VLOOKUP($C39,'Proposed Rates'!$B:$J,J$11,FALSE),0)</f>
        <v>7.7999999999999996E-3</v>
      </c>
      <c r="K39" s="418">
        <f t="shared" si="39"/>
        <v>239.70239999999998</v>
      </c>
      <c r="L39" s="399">
        <f t="shared" si="40"/>
        <v>1.8696787199999998</v>
      </c>
      <c r="M39" s="132"/>
      <c r="N39" s="400">
        <f t="shared" si="5"/>
        <v>0.14281919999999992</v>
      </c>
      <c r="O39" s="401">
        <f t="shared" si="6"/>
        <v>8.2704585026117203E-2</v>
      </c>
      <c r="P39" s="52"/>
      <c r="Q39" s="413">
        <f>IFERROR(VLOOKUP($C39,'Proposed Rates'!$B:$J,Q$11,FALSE),0)</f>
        <v>7.7999999999999996E-3</v>
      </c>
      <c r="R39" s="418">
        <f t="shared" si="41"/>
        <v>239.70239999999998</v>
      </c>
      <c r="S39" s="399">
        <f t="shared" si="42"/>
        <v>1.8696787199999998</v>
      </c>
      <c r="T39" s="132"/>
      <c r="U39" s="400">
        <f t="shared" si="9"/>
        <v>0</v>
      </c>
      <c r="V39" s="401">
        <f t="shared" si="10"/>
        <v>0</v>
      </c>
      <c r="W39" s="52"/>
      <c r="X39" s="413">
        <f>IFERROR(VLOOKUP($C39,'Proposed Rates'!$B:$J,X$11,FALSE),0)</f>
        <v>7.7999999999999996E-3</v>
      </c>
      <c r="Y39" s="418">
        <f t="shared" si="43"/>
        <v>239.70239999999998</v>
      </c>
      <c r="Z39" s="399">
        <f t="shared" si="44"/>
        <v>1.8696787199999998</v>
      </c>
      <c r="AA39" s="132"/>
      <c r="AB39" s="400">
        <f t="shared" si="13"/>
        <v>0</v>
      </c>
      <c r="AC39" s="401">
        <f t="shared" si="14"/>
        <v>0</v>
      </c>
      <c r="AD39" s="52"/>
      <c r="AE39" s="413">
        <f>IFERROR(VLOOKUP($C39,'Proposed Rates'!$B:$J,AE$11,FALSE),0)</f>
        <v>7.7999999999999996E-3</v>
      </c>
      <c r="AF39" s="418">
        <f t="shared" si="45"/>
        <v>239.70239999999998</v>
      </c>
      <c r="AG39" s="399">
        <f t="shared" si="46"/>
        <v>1.8696787199999998</v>
      </c>
      <c r="AH39" s="132"/>
      <c r="AI39" s="400">
        <f t="shared" si="17"/>
        <v>0</v>
      </c>
      <c r="AJ39" s="401">
        <f t="shared" si="18"/>
        <v>0</v>
      </c>
      <c r="AK39" s="402"/>
      <c r="AL39" s="413">
        <f>IFERROR(VLOOKUP($C39,'Proposed Rates'!$B:$J,AL$11,FALSE),0)</f>
        <v>7.7999999999999996E-3</v>
      </c>
      <c r="AM39" s="418">
        <f t="shared" si="47"/>
        <v>239.70239999999998</v>
      </c>
      <c r="AN39" s="399">
        <f t="shared" si="48"/>
        <v>1.8696787199999998</v>
      </c>
      <c r="AO39" s="132"/>
      <c r="AP39" s="400">
        <f t="shared" si="21"/>
        <v>0</v>
      </c>
      <c r="AQ39" s="401">
        <f t="shared" si="22"/>
        <v>0</v>
      </c>
    </row>
    <row r="40" spans="1:43" ht="12" customHeight="1">
      <c r="A40" s="52"/>
      <c r="B40" s="404" t="s">
        <v>318</v>
      </c>
      <c r="C40" s="426"/>
      <c r="D40" s="426"/>
      <c r="E40" s="409"/>
      <c r="F40" s="427"/>
      <c r="G40" s="428"/>
      <c r="H40" s="408">
        <f>SUM(H37:H39)</f>
        <v>40.690816591999997</v>
      </c>
      <c r="I40" s="52"/>
      <c r="J40" s="427"/>
      <c r="K40" s="428"/>
      <c r="L40" s="408">
        <f>SUM(L37:L39)</f>
        <v>46.590161056000007</v>
      </c>
      <c r="M40" s="409"/>
      <c r="N40" s="410">
        <f t="shared" si="5"/>
        <v>5.8993444640000092</v>
      </c>
      <c r="O40" s="411">
        <f t="shared" si="6"/>
        <v>0.14497975115986853</v>
      </c>
      <c r="P40" s="52"/>
      <c r="Q40" s="427"/>
      <c r="R40" s="428"/>
      <c r="S40" s="408">
        <f>SUM(S37:S39)</f>
        <v>49.236561056000006</v>
      </c>
      <c r="T40" s="409"/>
      <c r="U40" s="410">
        <f t="shared" si="9"/>
        <v>2.6463999999999999</v>
      </c>
      <c r="V40" s="411">
        <f t="shared" si="10"/>
        <v>5.6801692460755927E-2</v>
      </c>
      <c r="W40" s="52"/>
      <c r="X40" s="427"/>
      <c r="Y40" s="428"/>
      <c r="Z40" s="408">
        <f>SUM(Z37:Z39)</f>
        <v>52.07895808</v>
      </c>
      <c r="AA40" s="409"/>
      <c r="AB40" s="410">
        <f t="shared" si="13"/>
        <v>2.8423970239999932</v>
      </c>
      <c r="AC40" s="411">
        <f t="shared" si="14"/>
        <v>5.7729397891277311E-2</v>
      </c>
      <c r="AD40" s="52"/>
      <c r="AE40" s="427"/>
      <c r="AF40" s="428"/>
      <c r="AG40" s="408">
        <f>SUM(AG37:AG39)</f>
        <v>53.598958080000003</v>
      </c>
      <c r="AH40" s="409"/>
      <c r="AI40" s="410">
        <f t="shared" si="17"/>
        <v>1.5200000000000031</v>
      </c>
      <c r="AJ40" s="411">
        <f t="shared" si="18"/>
        <v>2.9186451803914489E-2</v>
      </c>
      <c r="AK40" s="412"/>
      <c r="AL40" s="427"/>
      <c r="AM40" s="428"/>
      <c r="AN40" s="408">
        <f>SUM(AN37:AN39)</f>
        <v>54.988958080000003</v>
      </c>
      <c r="AO40" s="409"/>
      <c r="AP40" s="410">
        <f t="shared" si="21"/>
        <v>1.3900000000000006</v>
      </c>
      <c r="AQ40" s="411">
        <f t="shared" si="22"/>
        <v>2.5933339934058667E-2</v>
      </c>
    </row>
    <row r="41" spans="1:43" ht="12" customHeight="1">
      <c r="A41" s="52"/>
      <c r="B41" s="321" t="s">
        <v>262</v>
      </c>
      <c r="C41" s="394" t="str">
        <f t="shared" ref="C41:C48" si="49">D$6&amp;"."&amp;B41</f>
        <v>Residential.Wholesale Market Service Charge (WMSC)</v>
      </c>
      <c r="D41" s="395" t="s">
        <v>312</v>
      </c>
      <c r="E41" s="132"/>
      <c r="F41" s="413">
        <f>IFERROR(VLOOKUP($C41,'Proposed Rates'!$B:$J,F$11,FALSE),0)</f>
        <v>4.4999999999999997E-3</v>
      </c>
      <c r="G41" s="418">
        <f t="shared" ref="G41:G42" si="50">$F$10*(1+F$63)</f>
        <v>239.8416</v>
      </c>
      <c r="H41" s="399">
        <f t="shared" ref="H41:H48" si="51">G41*F41</f>
        <v>1.0792872</v>
      </c>
      <c r="I41" s="52"/>
      <c r="J41" s="413">
        <f>IFERROR(VLOOKUP($C41,'Proposed Rates'!$B:$J,J$11,FALSE),0)</f>
        <v>4.7000000000000002E-3</v>
      </c>
      <c r="K41" s="418">
        <f t="shared" ref="K41:K42" si="52">$F$10*(1+J$63)</f>
        <v>239.70239999999998</v>
      </c>
      <c r="L41" s="399">
        <f t="shared" ref="L41:L48" si="53">K41*J41</f>
        <v>1.12660128</v>
      </c>
      <c r="M41" s="132"/>
      <c r="N41" s="400">
        <f t="shared" si="5"/>
        <v>4.7314080000000036E-2</v>
      </c>
      <c r="O41" s="401">
        <f t="shared" si="6"/>
        <v>4.383826658928229E-2</v>
      </c>
      <c r="P41" s="52"/>
      <c r="Q41" s="413">
        <f>IFERROR(VLOOKUP($C41,'Proposed Rates'!$B:$J,Q$11,FALSE),0)</f>
        <v>4.7000000000000002E-3</v>
      </c>
      <c r="R41" s="418">
        <f t="shared" ref="R41:R42" si="54">$F$10*(1+Q$63)</f>
        <v>239.70239999999998</v>
      </c>
      <c r="S41" s="399">
        <f t="shared" ref="S41:S48" si="55">R41*Q41</f>
        <v>1.12660128</v>
      </c>
      <c r="T41" s="132"/>
      <c r="U41" s="400">
        <f t="shared" si="9"/>
        <v>0</v>
      </c>
      <c r="V41" s="401">
        <f t="shared" si="10"/>
        <v>0</v>
      </c>
      <c r="W41" s="52"/>
      <c r="X41" s="413">
        <f>IFERROR(VLOOKUP($C41,'Proposed Rates'!$B:$J,X$11,FALSE),0)</f>
        <v>4.7000000000000002E-3</v>
      </c>
      <c r="Y41" s="418">
        <f t="shared" ref="Y41:Y42" si="56">$F$10*(1+X$63)</f>
        <v>239.70239999999998</v>
      </c>
      <c r="Z41" s="399">
        <f t="shared" ref="Z41:Z48" si="57">Y41*X41</f>
        <v>1.12660128</v>
      </c>
      <c r="AA41" s="132"/>
      <c r="AB41" s="400">
        <f t="shared" si="13"/>
        <v>0</v>
      </c>
      <c r="AC41" s="401">
        <f t="shared" si="14"/>
        <v>0</v>
      </c>
      <c r="AD41" s="52"/>
      <c r="AE41" s="413">
        <f>IFERROR(VLOOKUP($C41,'Proposed Rates'!$B:$J,AE$11,FALSE),0)</f>
        <v>4.7000000000000002E-3</v>
      </c>
      <c r="AF41" s="418">
        <f t="shared" ref="AF41:AF42" si="58">$F$10*(1+AE$63)</f>
        <v>239.70239999999998</v>
      </c>
      <c r="AG41" s="399">
        <f t="shared" ref="AG41:AG48" si="59">AF41*AE41</f>
        <v>1.12660128</v>
      </c>
      <c r="AH41" s="132"/>
      <c r="AI41" s="400">
        <f t="shared" si="17"/>
        <v>0</v>
      </c>
      <c r="AJ41" s="401">
        <f t="shared" si="18"/>
        <v>0</v>
      </c>
      <c r="AK41" s="402"/>
      <c r="AL41" s="413">
        <f>IFERROR(VLOOKUP($C41,'Proposed Rates'!$B:$J,AL$11,FALSE),0)</f>
        <v>4.7000000000000002E-3</v>
      </c>
      <c r="AM41" s="418">
        <f t="shared" ref="AM41:AM42" si="60">$F$10*(1+AL$63)</f>
        <v>239.70239999999998</v>
      </c>
      <c r="AN41" s="399">
        <f t="shared" ref="AN41:AN48" si="61">AM41*AL41</f>
        <v>1.12660128</v>
      </c>
      <c r="AO41" s="132"/>
      <c r="AP41" s="400">
        <f t="shared" si="21"/>
        <v>0</v>
      </c>
      <c r="AQ41" s="401">
        <f t="shared" si="22"/>
        <v>0</v>
      </c>
    </row>
    <row r="42" spans="1:43" ht="12" customHeight="1">
      <c r="A42" s="52"/>
      <c r="B42" s="321" t="s">
        <v>263</v>
      </c>
      <c r="C42" s="394" t="str">
        <f t="shared" si="49"/>
        <v>Residential.Rural and Remote Rate Protection (RRRP)</v>
      </c>
      <c r="D42" s="395" t="s">
        <v>312</v>
      </c>
      <c r="E42" s="132"/>
      <c r="F42" s="413">
        <f>IFERROR(VLOOKUP($C42,'Proposed Rates'!$B:$J,F$11,FALSE),0)</f>
        <v>1.5E-3</v>
      </c>
      <c r="G42" s="418">
        <f t="shared" si="50"/>
        <v>239.8416</v>
      </c>
      <c r="H42" s="399">
        <f t="shared" si="51"/>
        <v>0.35976239999999998</v>
      </c>
      <c r="I42" s="52"/>
      <c r="J42" s="413">
        <f>IFERROR(VLOOKUP($C42,'Proposed Rates'!$B:$J,J$11,FALSE),0)</f>
        <v>5.9999999999999995E-4</v>
      </c>
      <c r="K42" s="418">
        <f t="shared" si="52"/>
        <v>239.70239999999998</v>
      </c>
      <c r="L42" s="399">
        <f t="shared" si="53"/>
        <v>0.14382143999999997</v>
      </c>
      <c r="M42" s="132"/>
      <c r="N42" s="400">
        <f t="shared" si="5"/>
        <v>-0.21594096000000002</v>
      </c>
      <c r="O42" s="401">
        <f t="shared" si="6"/>
        <v>-0.600232153221126</v>
      </c>
      <c r="P42" s="52"/>
      <c r="Q42" s="413">
        <f>IFERROR(VLOOKUP($C42,'Proposed Rates'!$B:$J,Q$11,FALSE),0)</f>
        <v>5.9999999999999995E-4</v>
      </c>
      <c r="R42" s="418">
        <f t="shared" si="54"/>
        <v>239.70239999999998</v>
      </c>
      <c r="S42" s="399">
        <f t="shared" si="55"/>
        <v>0.14382143999999997</v>
      </c>
      <c r="T42" s="132"/>
      <c r="U42" s="400">
        <f t="shared" si="9"/>
        <v>0</v>
      </c>
      <c r="V42" s="401">
        <f t="shared" si="10"/>
        <v>0</v>
      </c>
      <c r="W42" s="52"/>
      <c r="X42" s="413">
        <f>IFERROR(VLOOKUP($C42,'Proposed Rates'!$B:$J,X$11,FALSE),0)</f>
        <v>5.9999999999999995E-4</v>
      </c>
      <c r="Y42" s="418">
        <f t="shared" si="56"/>
        <v>239.70239999999998</v>
      </c>
      <c r="Z42" s="399">
        <f t="shared" si="57"/>
        <v>0.14382143999999997</v>
      </c>
      <c r="AA42" s="132"/>
      <c r="AB42" s="400">
        <f t="shared" si="13"/>
        <v>0</v>
      </c>
      <c r="AC42" s="401">
        <f t="shared" si="14"/>
        <v>0</v>
      </c>
      <c r="AD42" s="52"/>
      <c r="AE42" s="413">
        <f>IFERROR(VLOOKUP($C42,'Proposed Rates'!$B:$J,AE$11,FALSE),0)</f>
        <v>5.9999999999999995E-4</v>
      </c>
      <c r="AF42" s="418">
        <f t="shared" si="58"/>
        <v>239.70239999999998</v>
      </c>
      <c r="AG42" s="399">
        <f t="shared" si="59"/>
        <v>0.14382143999999997</v>
      </c>
      <c r="AH42" s="132"/>
      <c r="AI42" s="400">
        <f t="shared" si="17"/>
        <v>0</v>
      </c>
      <c r="AJ42" s="401">
        <f t="shared" si="18"/>
        <v>0</v>
      </c>
      <c r="AK42" s="402"/>
      <c r="AL42" s="413">
        <f>IFERROR(VLOOKUP($C42,'Proposed Rates'!$B:$J,AL$11,FALSE),0)</f>
        <v>5.9999999999999995E-4</v>
      </c>
      <c r="AM42" s="418">
        <f t="shared" si="60"/>
        <v>239.70239999999998</v>
      </c>
      <c r="AN42" s="399">
        <f t="shared" si="61"/>
        <v>0.14382143999999997</v>
      </c>
      <c r="AO42" s="132"/>
      <c r="AP42" s="400">
        <f t="shared" si="21"/>
        <v>0</v>
      </c>
      <c r="AQ42" s="401">
        <f t="shared" si="22"/>
        <v>0</v>
      </c>
    </row>
    <row r="43" spans="1:43" ht="12" customHeight="1">
      <c r="A43" s="52"/>
      <c r="B43" s="321" t="s">
        <v>264</v>
      </c>
      <c r="C43" s="394" t="str">
        <f t="shared" si="49"/>
        <v>Residential.Standard Supply Service Charge</v>
      </c>
      <c r="D43" s="395" t="s">
        <v>310</v>
      </c>
      <c r="E43" s="132"/>
      <c r="F43" s="413">
        <f>IFERROR(VLOOKUP($C43,'Proposed Rates'!$B:$J,F$11,FALSE),0)</f>
        <v>0.25</v>
      </c>
      <c r="G43" s="414">
        <f>IF($D43="Monthly",1,IF($D43="per KWH",$F$10,0))</f>
        <v>1</v>
      </c>
      <c r="H43" s="399">
        <f t="shared" si="51"/>
        <v>0.25</v>
      </c>
      <c r="I43" s="52"/>
      <c r="J43" s="413">
        <f>IFERROR(VLOOKUP($C43,'Proposed Rates'!$B:$J,J$11,FALSE),0)</f>
        <v>0.25</v>
      </c>
      <c r="K43" s="414">
        <f>IF($D43="Monthly",1,IF($D43="per KWH",$F$10,0))</f>
        <v>1</v>
      </c>
      <c r="L43" s="399">
        <f t="shared" si="53"/>
        <v>0.25</v>
      </c>
      <c r="M43" s="132"/>
      <c r="N43" s="400">
        <f t="shared" si="5"/>
        <v>0</v>
      </c>
      <c r="O43" s="401">
        <f t="shared" si="6"/>
        <v>0</v>
      </c>
      <c r="P43" s="52"/>
      <c r="Q43" s="413">
        <f>IFERROR(VLOOKUP($C43,'Proposed Rates'!$B:$J,Q$11,FALSE),0)</f>
        <v>0.25</v>
      </c>
      <c r="R43" s="414">
        <f>IF($D43="Monthly",1,IF($D43="per KWH",$F$10,0))</f>
        <v>1</v>
      </c>
      <c r="S43" s="399">
        <f t="shared" si="55"/>
        <v>0.25</v>
      </c>
      <c r="T43" s="132"/>
      <c r="U43" s="400">
        <f t="shared" si="9"/>
        <v>0</v>
      </c>
      <c r="V43" s="401">
        <f t="shared" si="10"/>
        <v>0</v>
      </c>
      <c r="W43" s="52"/>
      <c r="X43" s="413">
        <f>IFERROR(VLOOKUP($C43,'Proposed Rates'!$B:$J,X$11,FALSE),0)</f>
        <v>0.25</v>
      </c>
      <c r="Y43" s="414">
        <f>IF($D43="Monthly",1,IF($D43="per KWH",$F$10,0))</f>
        <v>1</v>
      </c>
      <c r="Z43" s="399">
        <f t="shared" si="57"/>
        <v>0.25</v>
      </c>
      <c r="AA43" s="132"/>
      <c r="AB43" s="400">
        <f t="shared" si="13"/>
        <v>0</v>
      </c>
      <c r="AC43" s="401">
        <f t="shared" si="14"/>
        <v>0</v>
      </c>
      <c r="AD43" s="52"/>
      <c r="AE43" s="413">
        <f>IFERROR(VLOOKUP($C43,'Proposed Rates'!$B:$J,AE$11,FALSE),0)</f>
        <v>0.25</v>
      </c>
      <c r="AF43" s="414">
        <f>IF($D43="Monthly",1,IF($D43="per KWH",$F$10,0))</f>
        <v>1</v>
      </c>
      <c r="AG43" s="399">
        <f t="shared" si="59"/>
        <v>0.25</v>
      </c>
      <c r="AH43" s="132"/>
      <c r="AI43" s="400">
        <f t="shared" si="17"/>
        <v>0</v>
      </c>
      <c r="AJ43" s="401">
        <f t="shared" si="18"/>
        <v>0</v>
      </c>
      <c r="AK43" s="402"/>
      <c r="AL43" s="413">
        <f>IFERROR(VLOOKUP($C43,'Proposed Rates'!$B:$J,AL$11,FALSE),0)</f>
        <v>0.25</v>
      </c>
      <c r="AM43" s="414">
        <f>IF($D43="Monthly",1,IF($D43="per KWH",$F$10,0))</f>
        <v>1</v>
      </c>
      <c r="AN43" s="399">
        <f t="shared" si="61"/>
        <v>0.25</v>
      </c>
      <c r="AO43" s="132"/>
      <c r="AP43" s="400">
        <f t="shared" si="21"/>
        <v>0</v>
      </c>
      <c r="AQ43" s="401">
        <f t="shared" si="22"/>
        <v>0</v>
      </c>
    </row>
    <row r="44" spans="1:43" ht="12" customHeight="1">
      <c r="A44" s="52"/>
      <c r="B44" s="321" t="s">
        <v>266</v>
      </c>
      <c r="C44" s="394" t="str">
        <f t="shared" si="49"/>
        <v>Residential.TOU - Off Peak</v>
      </c>
      <c r="D44" s="395" t="s">
        <v>312</v>
      </c>
      <c r="E44" s="132"/>
      <c r="F44" s="429">
        <f>VLOOKUP($B44,'Proposed Rates'!$D$252:$J$258,+F$11-2,FALSE)</f>
        <v>9.8000000000000004E-2</v>
      </c>
      <c r="G44" s="420">
        <f>$F$10*'Proposed Rates'!$K$253</f>
        <v>148.47999999999999</v>
      </c>
      <c r="H44" s="399">
        <f t="shared" si="51"/>
        <v>14.55104</v>
      </c>
      <c r="I44" s="52"/>
      <c r="J44" s="429">
        <f>VLOOKUP($B44,'Proposed Rates'!$D$252:$J$258,+J$11-2,FALSE)</f>
        <v>9.8000000000000004E-2</v>
      </c>
      <c r="K44" s="420">
        <f>$F$10*'Proposed Rates'!$K$253</f>
        <v>148.47999999999999</v>
      </c>
      <c r="L44" s="399">
        <f t="shared" si="53"/>
        <v>14.55104</v>
      </c>
      <c r="M44" s="132"/>
      <c r="N44" s="400">
        <f t="shared" si="5"/>
        <v>0</v>
      </c>
      <c r="O44" s="401">
        <f t="shared" si="6"/>
        <v>0</v>
      </c>
      <c r="P44" s="52"/>
      <c r="Q44" s="429">
        <f>VLOOKUP($B44,'Proposed Rates'!$D$252:$J$258,+Q$11-2,FALSE)</f>
        <v>9.8000000000000004E-2</v>
      </c>
      <c r="R44" s="420">
        <f>$F$10*'Proposed Rates'!$K$253</f>
        <v>148.47999999999999</v>
      </c>
      <c r="S44" s="399">
        <f t="shared" si="55"/>
        <v>14.55104</v>
      </c>
      <c r="T44" s="132"/>
      <c r="U44" s="400">
        <f t="shared" si="9"/>
        <v>0</v>
      </c>
      <c r="V44" s="401">
        <f t="shared" si="10"/>
        <v>0</v>
      </c>
      <c r="W44" s="52"/>
      <c r="X44" s="429">
        <f>VLOOKUP($B44,'Proposed Rates'!$D$252:$J$258,+X$11-2,FALSE)</f>
        <v>9.8000000000000004E-2</v>
      </c>
      <c r="Y44" s="420">
        <f>$F$10*'Proposed Rates'!$K$253</f>
        <v>148.47999999999999</v>
      </c>
      <c r="Z44" s="399">
        <f t="shared" si="57"/>
        <v>14.55104</v>
      </c>
      <c r="AA44" s="132"/>
      <c r="AB44" s="400">
        <f t="shared" si="13"/>
        <v>0</v>
      </c>
      <c r="AC44" s="401">
        <f t="shared" si="14"/>
        <v>0</v>
      </c>
      <c r="AD44" s="52"/>
      <c r="AE44" s="429">
        <f>VLOOKUP($B44,'Proposed Rates'!$D$252:$J$258,+AE$11-2,FALSE)</f>
        <v>9.8000000000000004E-2</v>
      </c>
      <c r="AF44" s="420">
        <f>$F$10*'Proposed Rates'!$K$253</f>
        <v>148.47999999999999</v>
      </c>
      <c r="AG44" s="399">
        <f t="shared" si="59"/>
        <v>14.55104</v>
      </c>
      <c r="AH44" s="132"/>
      <c r="AI44" s="400">
        <f t="shared" si="17"/>
        <v>0</v>
      </c>
      <c r="AJ44" s="401">
        <f t="shared" si="18"/>
        <v>0</v>
      </c>
      <c r="AK44" s="402"/>
      <c r="AL44" s="429">
        <f>VLOOKUP($B44,'Proposed Rates'!$D$252:$J$258,+AL$11-2,FALSE)</f>
        <v>9.8000000000000004E-2</v>
      </c>
      <c r="AM44" s="420">
        <f>$F$10*'Proposed Rates'!$K$253</f>
        <v>148.47999999999999</v>
      </c>
      <c r="AN44" s="399">
        <f t="shared" si="61"/>
        <v>14.55104</v>
      </c>
      <c r="AO44" s="132"/>
      <c r="AP44" s="400">
        <f t="shared" si="21"/>
        <v>0</v>
      </c>
      <c r="AQ44" s="401">
        <f t="shared" si="22"/>
        <v>0</v>
      </c>
    </row>
    <row r="45" spans="1:43" ht="12" customHeight="1">
      <c r="A45" s="52"/>
      <c r="B45" s="321" t="s">
        <v>267</v>
      </c>
      <c r="C45" s="394" t="str">
        <f t="shared" si="49"/>
        <v>Residential.TOU - Mid Peak</v>
      </c>
      <c r="D45" s="395" t="s">
        <v>312</v>
      </c>
      <c r="E45" s="132"/>
      <c r="F45" s="429">
        <f>VLOOKUP($B45,'Proposed Rates'!$D$252:$J$258,+F$11-2,FALSE)</f>
        <v>0.157</v>
      </c>
      <c r="G45" s="420">
        <f>$F$10*'Proposed Rates'!$K$254</f>
        <v>41.76</v>
      </c>
      <c r="H45" s="399">
        <f t="shared" si="51"/>
        <v>6.5563199999999995</v>
      </c>
      <c r="I45" s="52"/>
      <c r="J45" s="429">
        <f>VLOOKUP($B45,'Proposed Rates'!$D$252:$J$258,+J$11-2,FALSE)</f>
        <v>0.157</v>
      </c>
      <c r="K45" s="420">
        <f>$F$10*'Proposed Rates'!$K$254</f>
        <v>41.76</v>
      </c>
      <c r="L45" s="399">
        <f t="shared" si="53"/>
        <v>6.5563199999999995</v>
      </c>
      <c r="M45" s="132"/>
      <c r="N45" s="400">
        <f t="shared" si="5"/>
        <v>0</v>
      </c>
      <c r="O45" s="401">
        <f t="shared" si="6"/>
        <v>0</v>
      </c>
      <c r="P45" s="52"/>
      <c r="Q45" s="429">
        <f>VLOOKUP($B45,'Proposed Rates'!$D$252:$J$258,+Q$11-2,FALSE)</f>
        <v>0.157</v>
      </c>
      <c r="R45" s="420">
        <f>$F$10*'Proposed Rates'!$K$254</f>
        <v>41.76</v>
      </c>
      <c r="S45" s="399">
        <f t="shared" si="55"/>
        <v>6.5563199999999995</v>
      </c>
      <c r="T45" s="132"/>
      <c r="U45" s="400">
        <f t="shared" si="9"/>
        <v>0</v>
      </c>
      <c r="V45" s="401">
        <f t="shared" si="10"/>
        <v>0</v>
      </c>
      <c r="W45" s="52"/>
      <c r="X45" s="429">
        <f>VLOOKUP($B45,'Proposed Rates'!$D$252:$J$258,+X$11-2,FALSE)</f>
        <v>0.157</v>
      </c>
      <c r="Y45" s="420">
        <f>$F$10*'Proposed Rates'!$K$254</f>
        <v>41.76</v>
      </c>
      <c r="Z45" s="399">
        <f t="shared" si="57"/>
        <v>6.5563199999999995</v>
      </c>
      <c r="AA45" s="132"/>
      <c r="AB45" s="400">
        <f t="shared" si="13"/>
        <v>0</v>
      </c>
      <c r="AC45" s="401">
        <f t="shared" si="14"/>
        <v>0</v>
      </c>
      <c r="AD45" s="52"/>
      <c r="AE45" s="429">
        <f>VLOOKUP($B45,'Proposed Rates'!$D$252:$J$258,+AE$11-2,FALSE)</f>
        <v>0.157</v>
      </c>
      <c r="AF45" s="420">
        <f>$F$10*'Proposed Rates'!$K$254</f>
        <v>41.76</v>
      </c>
      <c r="AG45" s="399">
        <f t="shared" si="59"/>
        <v>6.5563199999999995</v>
      </c>
      <c r="AH45" s="132"/>
      <c r="AI45" s="400">
        <f t="shared" si="17"/>
        <v>0</v>
      </c>
      <c r="AJ45" s="401">
        <f t="shared" si="18"/>
        <v>0</v>
      </c>
      <c r="AK45" s="402"/>
      <c r="AL45" s="429">
        <f>VLOOKUP($B45,'Proposed Rates'!$D$252:$J$258,+AL$11-2,FALSE)</f>
        <v>0.157</v>
      </c>
      <c r="AM45" s="420">
        <f>$F$10*'Proposed Rates'!$K$254</f>
        <v>41.76</v>
      </c>
      <c r="AN45" s="399">
        <f t="shared" si="61"/>
        <v>6.5563199999999995</v>
      </c>
      <c r="AO45" s="132"/>
      <c r="AP45" s="400">
        <f t="shared" si="21"/>
        <v>0</v>
      </c>
      <c r="AQ45" s="401">
        <f t="shared" si="22"/>
        <v>0</v>
      </c>
    </row>
    <row r="46" spans="1:43" ht="12" customHeight="1">
      <c r="A46" s="52"/>
      <c r="B46" s="52" t="s">
        <v>268</v>
      </c>
      <c r="C46" s="394" t="str">
        <f t="shared" si="49"/>
        <v>Residential.TOU - On Peak</v>
      </c>
      <c r="D46" s="395" t="s">
        <v>312</v>
      </c>
      <c r="E46" s="132"/>
      <c r="F46" s="429">
        <f>VLOOKUP($B46,'Proposed Rates'!$D$252:$J$258,+F$11-2,FALSE)</f>
        <v>0.20300000000000001</v>
      </c>
      <c r="G46" s="420">
        <f>$F$10*'Proposed Rates'!$K$255</f>
        <v>41.76</v>
      </c>
      <c r="H46" s="399">
        <f t="shared" si="51"/>
        <v>8.4772800000000004</v>
      </c>
      <c r="I46" s="52"/>
      <c r="J46" s="429">
        <f>VLOOKUP($B46,'Proposed Rates'!$D$252:$J$258,+J$11-2,FALSE)</f>
        <v>0.20300000000000001</v>
      </c>
      <c r="K46" s="420">
        <f>$F$10*'Proposed Rates'!$K$255</f>
        <v>41.76</v>
      </c>
      <c r="L46" s="399">
        <f t="shared" si="53"/>
        <v>8.4772800000000004</v>
      </c>
      <c r="M46" s="132"/>
      <c r="N46" s="400">
        <f t="shared" si="5"/>
        <v>0</v>
      </c>
      <c r="O46" s="401">
        <f t="shared" si="6"/>
        <v>0</v>
      </c>
      <c r="P46" s="52"/>
      <c r="Q46" s="429">
        <f>VLOOKUP($B46,'Proposed Rates'!$D$252:$J$258,+Q$11-2,FALSE)</f>
        <v>0.20300000000000001</v>
      </c>
      <c r="R46" s="420">
        <f>$F$10*'Proposed Rates'!$K$255</f>
        <v>41.76</v>
      </c>
      <c r="S46" s="399">
        <f t="shared" si="55"/>
        <v>8.4772800000000004</v>
      </c>
      <c r="T46" s="132"/>
      <c r="U46" s="400">
        <f t="shared" si="9"/>
        <v>0</v>
      </c>
      <c r="V46" s="401">
        <f t="shared" si="10"/>
        <v>0</v>
      </c>
      <c r="W46" s="52"/>
      <c r="X46" s="429">
        <f>VLOOKUP($B46,'Proposed Rates'!$D$252:$J$258,+X$11-2,FALSE)</f>
        <v>0.20300000000000001</v>
      </c>
      <c r="Y46" s="420">
        <f>$F$10*'Proposed Rates'!$K$255</f>
        <v>41.76</v>
      </c>
      <c r="Z46" s="399">
        <f t="shared" si="57"/>
        <v>8.4772800000000004</v>
      </c>
      <c r="AA46" s="132"/>
      <c r="AB46" s="400">
        <f t="shared" si="13"/>
        <v>0</v>
      </c>
      <c r="AC46" s="401">
        <f t="shared" si="14"/>
        <v>0</v>
      </c>
      <c r="AD46" s="52"/>
      <c r="AE46" s="429">
        <f>VLOOKUP($B46,'Proposed Rates'!$D$252:$J$258,+AE$11-2,FALSE)</f>
        <v>0.20300000000000001</v>
      </c>
      <c r="AF46" s="420">
        <f>$F$10*'Proposed Rates'!$K$255</f>
        <v>41.76</v>
      </c>
      <c r="AG46" s="399">
        <f t="shared" si="59"/>
        <v>8.4772800000000004</v>
      </c>
      <c r="AH46" s="132"/>
      <c r="AI46" s="400">
        <f t="shared" si="17"/>
        <v>0</v>
      </c>
      <c r="AJ46" s="401">
        <f t="shared" si="18"/>
        <v>0</v>
      </c>
      <c r="AK46" s="402"/>
      <c r="AL46" s="429">
        <f>VLOOKUP($B46,'Proposed Rates'!$D$252:$J$258,+AL$11-2,FALSE)</f>
        <v>0.20300000000000001</v>
      </c>
      <c r="AM46" s="420">
        <f>$F$10*'Proposed Rates'!$K$255</f>
        <v>41.76</v>
      </c>
      <c r="AN46" s="399">
        <f t="shared" si="61"/>
        <v>8.4772800000000004</v>
      </c>
      <c r="AO46" s="132"/>
      <c r="AP46" s="400">
        <f t="shared" si="21"/>
        <v>0</v>
      </c>
      <c r="AQ46" s="401">
        <f t="shared" si="22"/>
        <v>0</v>
      </c>
    </row>
    <row r="47" spans="1:43" ht="12" customHeight="1">
      <c r="A47" s="52"/>
      <c r="B47" s="321" t="s">
        <v>269</v>
      </c>
      <c r="C47" s="394" t="str">
        <f t="shared" si="49"/>
        <v>Residential.Energy - RPP - Tier 1</v>
      </c>
      <c r="D47" s="395" t="s">
        <v>312</v>
      </c>
      <c r="E47" s="132"/>
      <c r="F47" s="429">
        <f>VLOOKUP($B47,'Proposed Rates'!$D$252:$J$258,+F$11-2,FALSE)</f>
        <v>0.12</v>
      </c>
      <c r="G47" s="430">
        <f>IF(AND($S$2=1, $F$10&gt;=600), 600, IF(AND($S$2=1, AND($F$10&lt;600, $F$10&gt;=0)), $F$10, IF(AND($S$2=2, $F$10&gt;=1000), 1000, IF(AND($S$2=2, AND($F$10&lt;1000, $F$10&gt;=0)), $F$10))))</f>
        <v>232</v>
      </c>
      <c r="H47" s="399">
        <f t="shared" si="51"/>
        <v>27.84</v>
      </c>
      <c r="I47" s="52"/>
      <c r="J47" s="429">
        <f>VLOOKUP($B47,'Proposed Rates'!$D$252:$J$258,+J$11-2,FALSE)</f>
        <v>0.12</v>
      </c>
      <c r="K47" s="430">
        <f>IF(AND($S$2=1, $F$10&gt;=600), 600, IF(AND($S$2=1, AND($F$10&lt;600, $F$10&gt;=0)), $F$10, IF(AND($S$2=2, $F$10&gt;=1000), 1000, IF(AND($S$2=2, AND($F$10&lt;1000, $F$10&gt;=0)), $F$10))))</f>
        <v>232</v>
      </c>
      <c r="L47" s="399">
        <f t="shared" si="53"/>
        <v>27.84</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232</v>
      </c>
      <c r="S47" s="399">
        <f t="shared" si="55"/>
        <v>27.84</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232</v>
      </c>
      <c r="Z47" s="399">
        <f t="shared" si="57"/>
        <v>27.84</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232</v>
      </c>
      <c r="AG47" s="399">
        <f t="shared" si="59"/>
        <v>27.84</v>
      </c>
      <c r="AH47" s="132"/>
      <c r="AI47" s="400">
        <f t="shared" si="17"/>
        <v>0</v>
      </c>
      <c r="AJ47" s="401">
        <f t="shared" si="18"/>
        <v>0</v>
      </c>
      <c r="AK47" s="402"/>
      <c r="AL47" s="429">
        <f>VLOOKUP($B47,'Proposed Rates'!$D$252:$J$258,+AL$11-2,FALSE)</f>
        <v>0.12</v>
      </c>
      <c r="AM47" s="430">
        <f>IF(AND($S$2=1, $F$10&gt;=600), 600, IF(AND($S$2=1, AND($F$10&lt;600, $F$10&gt;=0)), $F$10, IF(AND($S$2=2, $F$10&gt;=1000), 1000, IF(AND($S$2=2, AND($F$10&lt;1000, $F$10&gt;=0)), $F$10))))</f>
        <v>232</v>
      </c>
      <c r="AN47" s="399">
        <f t="shared" si="61"/>
        <v>27.84</v>
      </c>
      <c r="AO47" s="132"/>
      <c r="AP47" s="400">
        <f t="shared" si="21"/>
        <v>0</v>
      </c>
      <c r="AQ47" s="401">
        <f t="shared" si="22"/>
        <v>0</v>
      </c>
    </row>
    <row r="48" spans="1:43" ht="12" customHeight="1">
      <c r="A48" s="52"/>
      <c r="B48" s="321" t="s">
        <v>270</v>
      </c>
      <c r="C48" s="394" t="str">
        <f t="shared" si="49"/>
        <v>Residential.Energy - RPP - Tier 2</v>
      </c>
      <c r="D48" s="395" t="s">
        <v>312</v>
      </c>
      <c r="E48" s="132"/>
      <c r="F48" s="429">
        <f>VLOOKUP($B48,'Proposed Rates'!$D$252:$J$258,+F$11-2,FALSE)</f>
        <v>0.14199999999999999</v>
      </c>
      <c r="G48" s="432">
        <f>IF(AND($S$2=1, $F$10&gt;=600), $F$10-600, IF(AND($S$2=1, AND($F$10&lt;600, $F$10&gt;=0)), 0, IF(AND($S$2=2, $F$10&gt;=1000), $F$10-1000, IF(AND($S$2=2, AND($F$10&lt;1000, $F$10&gt;=0)), 0))))</f>
        <v>0</v>
      </c>
      <c r="H48" s="399">
        <f t="shared" si="51"/>
        <v>0</v>
      </c>
      <c r="I48" s="52"/>
      <c r="J48" s="429">
        <f>VLOOKUP($B48,'Proposed Rates'!$D$252:$J$258,+J$11-2,FALSE)</f>
        <v>0.14199999999999999</v>
      </c>
      <c r="K48" s="432">
        <f>IF(AND($S$2=1, $F$10&gt;=600), $F$10-600, IF(AND($S$2=1, AND($F$10&lt;600, $F$10&gt;=0)), 0, IF(AND($S$2=2, $F$10&gt;=1000), $F$10-1000, IF(AND($S$2=2, AND($F$10&lt;1000, $F$10&gt;=0)), 0))))</f>
        <v>0</v>
      </c>
      <c r="L48" s="399">
        <f t="shared" si="53"/>
        <v>0</v>
      </c>
      <c r="M48" s="132"/>
      <c r="N48" s="400">
        <f t="shared" si="5"/>
        <v>0</v>
      </c>
      <c r="O48" s="401" t="str">
        <f t="shared" si="6"/>
        <v/>
      </c>
      <c r="P48" s="52"/>
      <c r="Q48" s="429">
        <f>VLOOKUP($B48,'Proposed Rates'!$D$252:$J$258,+Q$11-2,FALSE)</f>
        <v>0.14199999999999999</v>
      </c>
      <c r="R48" s="432">
        <f>IF(AND($S$2=1, $F$10&gt;=600), $F$10-600, IF(AND($S$2=1, AND($F$10&lt;600, $F$10&gt;=0)), 0, IF(AND($S$2=2, $F$10&gt;=1000), $F$10-1000, IF(AND($S$2=2, AND($F$10&lt;1000, $F$10&gt;=0)), 0))))</f>
        <v>0</v>
      </c>
      <c r="S48" s="399">
        <f t="shared" si="55"/>
        <v>0</v>
      </c>
      <c r="T48" s="132"/>
      <c r="U48" s="400">
        <f t="shared" si="9"/>
        <v>0</v>
      </c>
      <c r="V48" s="401" t="str">
        <f t="shared" si="10"/>
        <v/>
      </c>
      <c r="W48" s="52"/>
      <c r="X48" s="429">
        <f>VLOOKUP($B48,'Proposed Rates'!$D$252:$J$258,+X$11-2,FALSE)</f>
        <v>0.14199999999999999</v>
      </c>
      <c r="Y48" s="432">
        <f>IF(AND($S$2=1, $F$10&gt;=600), $F$10-600, IF(AND($S$2=1, AND($F$10&lt;600, $F$10&gt;=0)), 0, IF(AND($S$2=2, $F$10&gt;=1000), $F$10-1000, IF(AND($S$2=2, AND($F$10&lt;1000, $F$10&gt;=0)), 0))))</f>
        <v>0</v>
      </c>
      <c r="Z48" s="399">
        <f t="shared" si="57"/>
        <v>0</v>
      </c>
      <c r="AA48" s="132"/>
      <c r="AB48" s="400">
        <f t="shared" si="13"/>
        <v>0</v>
      </c>
      <c r="AC48" s="401" t="str">
        <f t="shared" si="14"/>
        <v/>
      </c>
      <c r="AD48" s="52"/>
      <c r="AE48" s="429">
        <f>VLOOKUP($B48,'Proposed Rates'!$D$252:$J$258,+AE$11-2,FALSE)</f>
        <v>0.14199999999999999</v>
      </c>
      <c r="AF48" s="432">
        <f>IF(AND($S$2=1, $F$10&gt;=600), $F$10-600, IF(AND($S$2=1, AND($F$10&lt;600, $F$10&gt;=0)), 0, IF(AND($S$2=2, $F$10&gt;=1000), $F$10-1000, IF(AND($S$2=2, AND($F$10&lt;1000, $F$10&gt;=0)), 0))))</f>
        <v>0</v>
      </c>
      <c r="AG48" s="399">
        <f t="shared" si="59"/>
        <v>0</v>
      </c>
      <c r="AH48" s="132"/>
      <c r="AI48" s="400">
        <f t="shared" si="17"/>
        <v>0</v>
      </c>
      <c r="AJ48" s="401" t="str">
        <f t="shared" si="18"/>
        <v/>
      </c>
      <c r="AK48" s="402"/>
      <c r="AL48" s="429">
        <f>VLOOKUP($B48,'Proposed Rates'!$D$252:$J$258,+AL$11-2,FALSE)</f>
        <v>0.14199999999999999</v>
      </c>
      <c r="AM48" s="432">
        <f>IF(AND($S$2=1, $F$10&gt;=600), $F$10-600, IF(AND($S$2=1, AND($F$10&lt;600, $F$10&gt;=0)), 0, IF(AND($S$2=2, $F$10&gt;=1000), $F$10-1000, IF(AND($S$2=2, AND($F$10&lt;1000, $F$10&gt;=0)), 0))))</f>
        <v>0</v>
      </c>
      <c r="AN48" s="399">
        <f t="shared" si="61"/>
        <v>0</v>
      </c>
      <c r="AO48" s="132"/>
      <c r="AP48" s="400">
        <f t="shared" si="21"/>
        <v>0</v>
      </c>
      <c r="AQ48" s="401" t="str">
        <f t="shared" si="22"/>
        <v/>
      </c>
    </row>
    <row r="49" spans="1:43" ht="12" customHeight="1">
      <c r="A49" s="52"/>
      <c r="B49" s="433"/>
      <c r="C49" s="434"/>
      <c r="D49" s="434"/>
      <c r="E49" s="439"/>
      <c r="F49" s="435"/>
      <c r="G49" s="436"/>
      <c r="H49" s="437"/>
      <c r="I49" s="52"/>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442"/>
      <c r="AL49" s="435"/>
      <c r="AM49" s="436"/>
      <c r="AN49" s="437"/>
      <c r="AO49" s="439"/>
      <c r="AP49" s="440"/>
      <c r="AQ49" s="441"/>
    </row>
    <row r="50" spans="1:43" ht="12" customHeight="1">
      <c r="A50" s="52"/>
      <c r="B50" s="443" t="s">
        <v>319</v>
      </c>
      <c r="C50" s="321"/>
      <c r="D50" s="321"/>
      <c r="E50" s="481"/>
      <c r="F50" s="444"/>
      <c r="G50" s="445"/>
      <c r="H50" s="446">
        <f>SUM(H41:H46,H40)</f>
        <v>71.964506192000002</v>
      </c>
      <c r="I50" s="52"/>
      <c r="J50" s="445"/>
      <c r="K50" s="445"/>
      <c r="L50" s="447">
        <f>SUM(L41:L46,L40)</f>
        <v>77.695223776000006</v>
      </c>
      <c r="M50" s="448"/>
      <c r="N50" s="447">
        <f t="shared" ref="N50:N54" si="62">L50-H50</f>
        <v>5.7307175840000042</v>
      </c>
      <c r="O50" s="449">
        <f t="shared" ref="O50:O54" si="63">IF((H50)=0,"",(N50/H50))</f>
        <v>7.9632556203617283E-2</v>
      </c>
      <c r="P50" s="52"/>
      <c r="Q50" s="445"/>
      <c r="R50" s="445"/>
      <c r="S50" s="447">
        <f>SUM(S41:S46,S40)</f>
        <v>80.341623776000006</v>
      </c>
      <c r="T50" s="448"/>
      <c r="U50" s="447">
        <f t="shared" ref="U50:U54" si="64">S50-L50</f>
        <v>2.6463999999999999</v>
      </c>
      <c r="V50" s="449">
        <f t="shared" ref="V50:V54" si="65">IF((L50)=0,"",(U50/L50))</f>
        <v>3.4061295809247293E-2</v>
      </c>
      <c r="W50" s="52"/>
      <c r="X50" s="445"/>
      <c r="Y50" s="445"/>
      <c r="Z50" s="447">
        <f>SUM(Z41:Z46,Z40)</f>
        <v>83.184020799999999</v>
      </c>
      <c r="AA50" s="448"/>
      <c r="AB50" s="447">
        <f t="shared" ref="AB50:AB54" si="66">Z50-S50</f>
        <v>2.8423970239999932</v>
      </c>
      <c r="AC50" s="449">
        <f t="shared" ref="AC50:AC54" si="67">IF((S50)=0,"",(AB50/S50))</f>
        <v>3.5378884448799081E-2</v>
      </c>
      <c r="AD50" s="52"/>
      <c r="AE50" s="445"/>
      <c r="AF50" s="445"/>
      <c r="AG50" s="447">
        <f>SUM(AG41:AG46,AG40)</f>
        <v>84.704020799999995</v>
      </c>
      <c r="AH50" s="448"/>
      <c r="AI50" s="447">
        <f t="shared" ref="AI50:AI54" si="68">AG50-Z50</f>
        <v>1.519999999999996</v>
      </c>
      <c r="AJ50" s="449">
        <f t="shared" ref="AJ50:AJ54" si="69">IF((Z50)=0,"",(AI50/Z50))</f>
        <v>1.8272740189543665E-2</v>
      </c>
      <c r="AK50" s="450"/>
      <c r="AL50" s="445"/>
      <c r="AM50" s="445"/>
      <c r="AN50" s="447">
        <f>SUM(AN41:AN46,AN40)</f>
        <v>86.09402080000001</v>
      </c>
      <c r="AO50" s="448"/>
      <c r="AP50" s="447">
        <f t="shared" ref="AP50:AP54" si="70">AN50-AG50</f>
        <v>1.3900000000000148</v>
      </c>
      <c r="AQ50" s="449">
        <f t="shared" ref="AQ50:AQ54" si="71">IF((AG50)=0,"",(AP50/AG50))</f>
        <v>1.6410082861143409E-2</v>
      </c>
    </row>
    <row r="51" spans="1:43" ht="12" customHeight="1">
      <c r="A51" s="52"/>
      <c r="B51" s="451" t="s">
        <v>320</v>
      </c>
      <c r="C51" s="321"/>
      <c r="D51" s="321"/>
      <c r="E51" s="416"/>
      <c r="F51" s="444">
        <v>0.13</v>
      </c>
      <c r="G51" s="416"/>
      <c r="H51" s="399">
        <f>H50*F51</f>
        <v>9.3553858049600009</v>
      </c>
      <c r="I51" s="52"/>
      <c r="J51" s="452">
        <v>0.13</v>
      </c>
      <c r="K51" s="416"/>
      <c r="L51" s="399">
        <f>L50*J51</f>
        <v>10.100379090880001</v>
      </c>
      <c r="M51" s="132"/>
      <c r="N51" s="400">
        <f t="shared" si="62"/>
        <v>0.74499328591999969</v>
      </c>
      <c r="O51" s="401">
        <f t="shared" si="63"/>
        <v>7.9632556203617186E-2</v>
      </c>
      <c r="P51" s="52"/>
      <c r="Q51" s="452">
        <v>0.13</v>
      </c>
      <c r="R51" s="416"/>
      <c r="S51" s="399">
        <f>S50*Q51</f>
        <v>10.444411090880001</v>
      </c>
      <c r="T51" s="132"/>
      <c r="U51" s="400">
        <f t="shared" si="64"/>
        <v>0.34403200000000034</v>
      </c>
      <c r="V51" s="401">
        <f t="shared" si="65"/>
        <v>3.4061295809247334E-2</v>
      </c>
      <c r="W51" s="52"/>
      <c r="X51" s="452">
        <v>0.13</v>
      </c>
      <c r="Y51" s="416"/>
      <c r="Z51" s="399">
        <f>Z50*X51</f>
        <v>10.813922703999999</v>
      </c>
      <c r="AA51" s="132"/>
      <c r="AB51" s="400">
        <f t="shared" si="66"/>
        <v>0.36951161311999847</v>
      </c>
      <c r="AC51" s="401">
        <f t="shared" si="67"/>
        <v>3.5378884448799018E-2</v>
      </c>
      <c r="AD51" s="52"/>
      <c r="AE51" s="452">
        <v>0.13</v>
      </c>
      <c r="AF51" s="416"/>
      <c r="AG51" s="399">
        <f>AG50*AE51</f>
        <v>11.011522703999999</v>
      </c>
      <c r="AH51" s="132"/>
      <c r="AI51" s="400">
        <f t="shared" si="68"/>
        <v>0.19759999999999955</v>
      </c>
      <c r="AJ51" s="401">
        <f t="shared" si="69"/>
        <v>1.8272740189543672E-2</v>
      </c>
      <c r="AK51" s="402"/>
      <c r="AL51" s="452">
        <v>0.13</v>
      </c>
      <c r="AM51" s="416"/>
      <c r="AN51" s="399">
        <f>AN50*AL51</f>
        <v>11.192222704000002</v>
      </c>
      <c r="AO51" s="132"/>
      <c r="AP51" s="400">
        <f t="shared" si="70"/>
        <v>0.18070000000000341</v>
      </c>
      <c r="AQ51" s="401">
        <f t="shared" si="71"/>
        <v>1.6410082861143545E-2</v>
      </c>
    </row>
    <row r="52" spans="1:43" ht="12" customHeight="1">
      <c r="A52" s="52"/>
      <c r="B52" s="453" t="s">
        <v>339</v>
      </c>
      <c r="C52" s="321"/>
      <c r="D52" s="321"/>
      <c r="E52" s="416"/>
      <c r="F52" s="454"/>
      <c r="G52" s="416"/>
      <c r="H52" s="399">
        <f>H50+H51</f>
        <v>81.319891996959996</v>
      </c>
      <c r="I52" s="52"/>
      <c r="J52" s="416"/>
      <c r="K52" s="416"/>
      <c r="L52" s="399">
        <f>L50+L51</f>
        <v>87.795602866880003</v>
      </c>
      <c r="M52" s="132"/>
      <c r="N52" s="400">
        <f t="shared" si="62"/>
        <v>6.4757108699200074</v>
      </c>
      <c r="O52" s="401">
        <f t="shared" si="63"/>
        <v>7.9632556203617325E-2</v>
      </c>
      <c r="P52" s="52"/>
      <c r="Q52" s="416"/>
      <c r="R52" s="416"/>
      <c r="S52" s="399">
        <f>S50+S51</f>
        <v>90.786034866880001</v>
      </c>
      <c r="T52" s="132"/>
      <c r="U52" s="400">
        <f t="shared" si="64"/>
        <v>2.9904319999999984</v>
      </c>
      <c r="V52" s="401">
        <f t="shared" si="65"/>
        <v>3.4061295809247279E-2</v>
      </c>
      <c r="W52" s="52"/>
      <c r="X52" s="416"/>
      <c r="Y52" s="416"/>
      <c r="Z52" s="399">
        <f>Z50+Z51</f>
        <v>93.997943504000006</v>
      </c>
      <c r="AA52" s="132"/>
      <c r="AB52" s="400">
        <f t="shared" si="66"/>
        <v>3.2119086371200041</v>
      </c>
      <c r="AC52" s="401">
        <f t="shared" si="67"/>
        <v>3.5378884448799212E-2</v>
      </c>
      <c r="AD52" s="52"/>
      <c r="AE52" s="416"/>
      <c r="AF52" s="416"/>
      <c r="AG52" s="399">
        <f>AG50+AG51</f>
        <v>95.715543503999996</v>
      </c>
      <c r="AH52" s="132"/>
      <c r="AI52" s="400">
        <f t="shared" si="68"/>
        <v>1.7175999999999902</v>
      </c>
      <c r="AJ52" s="401">
        <f t="shared" si="69"/>
        <v>1.8272740189543606E-2</v>
      </c>
      <c r="AK52" s="402"/>
      <c r="AL52" s="416"/>
      <c r="AM52" s="416"/>
      <c r="AN52" s="399">
        <f>AN50+AN51</f>
        <v>97.286243504000012</v>
      </c>
      <c r="AO52" s="132"/>
      <c r="AP52" s="400">
        <f t="shared" si="70"/>
        <v>1.5707000000000164</v>
      </c>
      <c r="AQ52" s="401">
        <f t="shared" si="71"/>
        <v>1.6410082861143406E-2</v>
      </c>
    </row>
    <row r="53" spans="1:43" ht="12" customHeight="1">
      <c r="A53" s="52"/>
      <c r="B53" s="632" t="s">
        <v>277</v>
      </c>
      <c r="C53" s="623"/>
      <c r="D53" s="623"/>
      <c r="E53" s="416"/>
      <c r="F53" s="455">
        <f>'Proposed Rates'!E290</f>
        <v>0.23499999999999999</v>
      </c>
      <c r="G53" s="416"/>
      <c r="H53" s="456">
        <f>F53*H50</f>
        <v>16.91165895512</v>
      </c>
      <c r="I53" s="52"/>
      <c r="J53" s="457">
        <f>'Proposed Rates'!F290</f>
        <v>0.23499999999999999</v>
      </c>
      <c r="K53" s="416"/>
      <c r="L53" s="456">
        <f>J53*L50</f>
        <v>18.258377587360002</v>
      </c>
      <c r="M53" s="132"/>
      <c r="N53" s="456">
        <f t="shared" si="62"/>
        <v>1.3467186322400018</v>
      </c>
      <c r="O53" s="458">
        <f t="shared" si="63"/>
        <v>7.9632556203617338E-2</v>
      </c>
      <c r="P53" s="52"/>
      <c r="Q53" s="457">
        <f>'Proposed Rates'!G290</f>
        <v>0.23499999999999999</v>
      </c>
      <c r="R53" s="416"/>
      <c r="S53" s="456">
        <f>Q53*S50</f>
        <v>18.880281587359999</v>
      </c>
      <c r="T53" s="132"/>
      <c r="U53" s="456">
        <f t="shared" si="64"/>
        <v>0.62190399999999713</v>
      </c>
      <c r="V53" s="458">
        <f t="shared" si="65"/>
        <v>3.406129580924714E-2</v>
      </c>
      <c r="W53" s="52"/>
      <c r="X53" s="457">
        <f>'Proposed Rates'!H290</f>
        <v>0.23499999999999999</v>
      </c>
      <c r="Y53" s="416"/>
      <c r="Z53" s="456">
        <f>X53*Z50</f>
        <v>19.548244887999999</v>
      </c>
      <c r="AA53" s="132"/>
      <c r="AB53" s="456">
        <f t="shared" si="66"/>
        <v>0.66796330064000031</v>
      </c>
      <c r="AC53" s="458">
        <f t="shared" si="67"/>
        <v>3.5378884448799185E-2</v>
      </c>
      <c r="AD53" s="52"/>
      <c r="AE53" s="457">
        <f>'Proposed Rates'!I290</f>
        <v>0.23499999999999999</v>
      </c>
      <c r="AF53" s="416"/>
      <c r="AG53" s="456">
        <f>AE53*AG50</f>
        <v>19.905444887999998</v>
      </c>
      <c r="AH53" s="132"/>
      <c r="AI53" s="456">
        <f t="shared" si="68"/>
        <v>0.35719999999999885</v>
      </c>
      <c r="AJ53" s="458">
        <f t="shared" si="69"/>
        <v>1.8272740189543654E-2</v>
      </c>
      <c r="AK53" s="459"/>
      <c r="AL53" s="457">
        <f>'Proposed Rates'!J290</f>
        <v>0.23499999999999999</v>
      </c>
      <c r="AM53" s="416"/>
      <c r="AN53" s="456">
        <f>AL53*AN50</f>
        <v>20.232094888000002</v>
      </c>
      <c r="AO53" s="132"/>
      <c r="AP53" s="456">
        <f t="shared" si="70"/>
        <v>0.32665000000000433</v>
      </c>
      <c r="AQ53" s="458">
        <f t="shared" si="71"/>
        <v>1.6410082861143451E-2</v>
      </c>
    </row>
    <row r="54" spans="1:43" ht="12" customHeight="1">
      <c r="A54" s="52"/>
      <c r="B54" s="634" t="s">
        <v>322</v>
      </c>
      <c r="C54" s="615"/>
      <c r="D54" s="615"/>
      <c r="E54" s="462"/>
      <c r="F54" s="461"/>
      <c r="G54" s="462"/>
      <c r="H54" s="463">
        <f>H52-H53</f>
        <v>64.408233041839992</v>
      </c>
      <c r="I54" s="52"/>
      <c r="J54" s="462"/>
      <c r="K54" s="462"/>
      <c r="L54" s="463">
        <f>L52-L53</f>
        <v>69.537225279520001</v>
      </c>
      <c r="M54" s="464"/>
      <c r="N54" s="465">
        <f t="shared" si="62"/>
        <v>5.1289922376800092</v>
      </c>
      <c r="O54" s="466">
        <f t="shared" si="63"/>
        <v>7.963255620361738E-2</v>
      </c>
      <c r="P54" s="52"/>
      <c r="Q54" s="462"/>
      <c r="R54" s="462"/>
      <c r="S54" s="463">
        <f>S52-S53</f>
        <v>71.905753279519999</v>
      </c>
      <c r="T54" s="464"/>
      <c r="U54" s="465">
        <f t="shared" si="64"/>
        <v>2.3685279999999977</v>
      </c>
      <c r="V54" s="466">
        <f t="shared" si="65"/>
        <v>3.4061295809247265E-2</v>
      </c>
      <c r="W54" s="52"/>
      <c r="X54" s="462"/>
      <c r="Y54" s="462"/>
      <c r="Z54" s="463">
        <f>Z52-Z53</f>
        <v>74.449698616000006</v>
      </c>
      <c r="AA54" s="464"/>
      <c r="AB54" s="465">
        <f t="shared" si="66"/>
        <v>2.5439453364800073</v>
      </c>
      <c r="AC54" s="466">
        <f t="shared" si="67"/>
        <v>3.5378884448799275E-2</v>
      </c>
      <c r="AD54" s="52"/>
      <c r="AE54" s="462"/>
      <c r="AF54" s="462"/>
      <c r="AG54" s="463">
        <f>AG52-AG53</f>
        <v>75.810098616000005</v>
      </c>
      <c r="AH54" s="464"/>
      <c r="AI54" s="465">
        <f t="shared" si="68"/>
        <v>1.3603999999999985</v>
      </c>
      <c r="AJ54" s="466">
        <f t="shared" si="69"/>
        <v>1.8272740189543689E-2</v>
      </c>
      <c r="AK54" s="467"/>
      <c r="AL54" s="462"/>
      <c r="AM54" s="462"/>
      <c r="AN54" s="463">
        <f>AN52-AN53</f>
        <v>77.054148616000006</v>
      </c>
      <c r="AO54" s="464"/>
      <c r="AP54" s="465">
        <f t="shared" si="70"/>
        <v>1.2440500000000014</v>
      </c>
      <c r="AQ54" s="466">
        <f t="shared" si="71"/>
        <v>1.6410082861143253E-2</v>
      </c>
    </row>
    <row r="55" spans="1:43" ht="12" customHeight="1">
      <c r="A55" s="52"/>
      <c r="B55" s="433"/>
      <c r="C55" s="434"/>
      <c r="D55" s="434"/>
      <c r="E55" s="439"/>
      <c r="F55" s="435"/>
      <c r="G55" s="436"/>
      <c r="H55" s="437"/>
      <c r="I55" s="52"/>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442"/>
      <c r="AL55" s="435"/>
      <c r="AM55" s="436"/>
      <c r="AN55" s="437"/>
      <c r="AO55" s="439"/>
      <c r="AP55" s="440"/>
      <c r="AQ55" s="441"/>
    </row>
    <row r="56" spans="1:43" ht="12" customHeight="1">
      <c r="A56" s="52"/>
      <c r="B56" s="443" t="s">
        <v>323</v>
      </c>
      <c r="C56" s="321"/>
      <c r="D56" s="321"/>
      <c r="E56" s="481"/>
      <c r="F56" s="444"/>
      <c r="G56" s="445"/>
      <c r="H56" s="446">
        <f>SUM(H47:H48,H40,H41:H43)</f>
        <v>70.219866191999984</v>
      </c>
      <c r="I56" s="52"/>
      <c r="J56" s="445"/>
      <c r="K56" s="445"/>
      <c r="L56" s="447">
        <f>SUM(L47:L48,L40,L41:L43)</f>
        <v>75.950583776000002</v>
      </c>
      <c r="M56" s="448"/>
      <c r="N56" s="447">
        <f t="shared" ref="N56:N60" si="72">L56-H56</f>
        <v>5.7307175840000184</v>
      </c>
      <c r="O56" s="449">
        <f t="shared" ref="O56:O60" si="73">IF((H56)=0,"",(N56/H56))</f>
        <v>8.1611058163094427E-2</v>
      </c>
      <c r="P56" s="52"/>
      <c r="Q56" s="445"/>
      <c r="R56" s="445"/>
      <c r="S56" s="447">
        <f>SUM(S47:S48,S40,S41:S43)</f>
        <v>78.596983776000002</v>
      </c>
      <c r="T56" s="448"/>
      <c r="U56" s="447">
        <f t="shared" ref="U56:U60" si="74">S56-L56</f>
        <v>2.6463999999999999</v>
      </c>
      <c r="V56" s="449">
        <f t="shared" ref="V56:V60" si="75">IF((L56)=0,"",(U56/L56))</f>
        <v>3.4843708480305963E-2</v>
      </c>
      <c r="W56" s="52"/>
      <c r="X56" s="445"/>
      <c r="Y56" s="445"/>
      <c r="Z56" s="447">
        <f>SUM(Z47:Z48,Z40,Z41:Z43)</f>
        <v>81.439380799999995</v>
      </c>
      <c r="AA56" s="448"/>
      <c r="AB56" s="447">
        <f t="shared" ref="AB56:AB60" si="76">Z56-S56</f>
        <v>2.8423970239999932</v>
      </c>
      <c r="AC56" s="449">
        <f t="shared" ref="AC56:AC60" si="77">IF((S56)=0,"",(AB56/S56))</f>
        <v>3.6164199787879568E-2</v>
      </c>
      <c r="AD56" s="52"/>
      <c r="AE56" s="445"/>
      <c r="AF56" s="445"/>
      <c r="AG56" s="447">
        <f>SUM(AG47:AG48,AG40,AG41:AG43)</f>
        <v>82.959380800000005</v>
      </c>
      <c r="AH56" s="448"/>
      <c r="AI56" s="447">
        <f t="shared" ref="AI56:AI60" si="78">AG56-Z56</f>
        <v>1.5200000000000102</v>
      </c>
      <c r="AJ56" s="449">
        <f t="shared" ref="AJ56:AJ60" si="79">IF((Z56)=0,"",(AI56/Z56))</f>
        <v>1.8664189057783335E-2</v>
      </c>
      <c r="AK56" s="450"/>
      <c r="AL56" s="445"/>
      <c r="AM56" s="445"/>
      <c r="AN56" s="447">
        <f>SUM(AN47:AN48,AN40,AN41:AN43)</f>
        <v>84.349380800000006</v>
      </c>
      <c r="AO56" s="448"/>
      <c r="AP56" s="447">
        <f t="shared" ref="AP56:AP60" si="80">AN56-AG56</f>
        <v>1.3900000000000006</v>
      </c>
      <c r="AQ56" s="449">
        <f t="shared" ref="AQ56:AQ60" si="81">IF((AG56)=0,"",(AP56/AG56))</f>
        <v>1.675518773881688E-2</v>
      </c>
    </row>
    <row r="57" spans="1:43" ht="12" customHeight="1">
      <c r="A57" s="52"/>
      <c r="B57" s="451" t="s">
        <v>320</v>
      </c>
      <c r="C57" s="321"/>
      <c r="D57" s="321"/>
      <c r="E57" s="416"/>
      <c r="F57" s="444">
        <v>0.13</v>
      </c>
      <c r="G57" s="452"/>
      <c r="H57" s="399">
        <f>H56*F57</f>
        <v>9.1285826049599983</v>
      </c>
      <c r="I57" s="52"/>
      <c r="J57" s="444">
        <v>0.13</v>
      </c>
      <c r="K57" s="452"/>
      <c r="L57" s="399">
        <f>L56*J57</f>
        <v>9.8735758908799998</v>
      </c>
      <c r="M57" s="132"/>
      <c r="N57" s="400">
        <f t="shared" si="72"/>
        <v>0.74499328592000147</v>
      </c>
      <c r="O57" s="401">
        <f t="shared" si="73"/>
        <v>8.1611058163094316E-2</v>
      </c>
      <c r="P57" s="52"/>
      <c r="Q57" s="444">
        <v>0.13</v>
      </c>
      <c r="R57" s="452"/>
      <c r="S57" s="399">
        <f>S56*Q57</f>
        <v>10.21760789088</v>
      </c>
      <c r="T57" s="132"/>
      <c r="U57" s="400">
        <f t="shared" si="74"/>
        <v>0.34403200000000034</v>
      </c>
      <c r="V57" s="401">
        <f t="shared" si="75"/>
        <v>3.4843708480306004E-2</v>
      </c>
      <c r="W57" s="52"/>
      <c r="X57" s="444">
        <v>0.13</v>
      </c>
      <c r="Y57" s="452"/>
      <c r="Z57" s="399">
        <f>Z56*X57</f>
        <v>10.587119504</v>
      </c>
      <c r="AA57" s="132"/>
      <c r="AB57" s="400">
        <f t="shared" si="76"/>
        <v>0.36951161312000025</v>
      </c>
      <c r="AC57" s="401">
        <f t="shared" si="77"/>
        <v>3.6164199787879679E-2</v>
      </c>
      <c r="AD57" s="52"/>
      <c r="AE57" s="444">
        <v>0.13</v>
      </c>
      <c r="AF57" s="452"/>
      <c r="AG57" s="399">
        <f>AG56*AE57</f>
        <v>10.784719504000002</v>
      </c>
      <c r="AH57" s="132"/>
      <c r="AI57" s="400">
        <f t="shared" si="78"/>
        <v>0.19760000000000133</v>
      </c>
      <c r="AJ57" s="401">
        <f t="shared" si="79"/>
        <v>1.8664189057783335E-2</v>
      </c>
      <c r="AK57" s="402"/>
      <c r="AL57" s="444">
        <v>0.13</v>
      </c>
      <c r="AM57" s="452"/>
      <c r="AN57" s="399">
        <f>AN56*AL57</f>
        <v>10.965419504000002</v>
      </c>
      <c r="AO57" s="132"/>
      <c r="AP57" s="400">
        <f t="shared" si="80"/>
        <v>0.18069999999999986</v>
      </c>
      <c r="AQ57" s="401">
        <f t="shared" si="81"/>
        <v>1.675518773881686E-2</v>
      </c>
    </row>
    <row r="58" spans="1:43" ht="12" customHeight="1">
      <c r="A58" s="52"/>
      <c r="B58" s="453" t="s">
        <v>340</v>
      </c>
      <c r="C58" s="321"/>
      <c r="D58" s="321"/>
      <c r="E58" s="416"/>
      <c r="F58" s="454"/>
      <c r="G58" s="416"/>
      <c r="H58" s="399">
        <f>H56+H57</f>
        <v>79.348448796959985</v>
      </c>
      <c r="I58" s="52"/>
      <c r="J58" s="416"/>
      <c r="K58" s="416"/>
      <c r="L58" s="399">
        <f>L56+L57</f>
        <v>85.824159666880007</v>
      </c>
      <c r="M58" s="132"/>
      <c r="N58" s="400">
        <f t="shared" si="72"/>
        <v>6.4757108699200217</v>
      </c>
      <c r="O58" s="401">
        <f t="shared" si="73"/>
        <v>8.1611058163094427E-2</v>
      </c>
      <c r="P58" s="52"/>
      <c r="Q58" s="416"/>
      <c r="R58" s="416"/>
      <c r="S58" s="399">
        <f>S56+S57</f>
        <v>88.814591666880006</v>
      </c>
      <c r="T58" s="132"/>
      <c r="U58" s="400">
        <f t="shared" si="74"/>
        <v>2.9904319999999984</v>
      </c>
      <c r="V58" s="401">
        <f t="shared" si="75"/>
        <v>3.4843708480305949E-2</v>
      </c>
      <c r="W58" s="52"/>
      <c r="X58" s="416"/>
      <c r="Y58" s="416"/>
      <c r="Z58" s="399">
        <f>Z56+Z57</f>
        <v>92.026500303999995</v>
      </c>
      <c r="AA58" s="132"/>
      <c r="AB58" s="400">
        <f t="shared" si="76"/>
        <v>3.2119086371199899</v>
      </c>
      <c r="AC58" s="401">
        <f t="shared" si="77"/>
        <v>3.616419978787954E-2</v>
      </c>
      <c r="AD58" s="52"/>
      <c r="AE58" s="416"/>
      <c r="AF58" s="416"/>
      <c r="AG58" s="399">
        <f>AG56+AG57</f>
        <v>93.744100304</v>
      </c>
      <c r="AH58" s="132"/>
      <c r="AI58" s="400">
        <f t="shared" si="78"/>
        <v>1.7176000000000045</v>
      </c>
      <c r="AJ58" s="401">
        <f t="shared" si="79"/>
        <v>1.8664189057783259E-2</v>
      </c>
      <c r="AK58" s="402"/>
      <c r="AL58" s="416"/>
      <c r="AM58" s="416"/>
      <c r="AN58" s="399">
        <f>AN56+AN57</f>
        <v>95.314800304000002</v>
      </c>
      <c r="AO58" s="132"/>
      <c r="AP58" s="400">
        <f t="shared" si="80"/>
        <v>1.5707000000000022</v>
      </c>
      <c r="AQ58" s="401">
        <f t="shared" si="81"/>
        <v>1.6755187738816898E-2</v>
      </c>
    </row>
    <row r="59" spans="1:43" ht="12" customHeight="1">
      <c r="A59" s="52"/>
      <c r="B59" s="632" t="s">
        <v>277</v>
      </c>
      <c r="C59" s="623"/>
      <c r="D59" s="623"/>
      <c r="E59" s="416"/>
      <c r="F59" s="455">
        <f>F53</f>
        <v>0.23499999999999999</v>
      </c>
      <c r="G59" s="416"/>
      <c r="H59" s="456">
        <f>F59*H56</f>
        <v>16.501668555119995</v>
      </c>
      <c r="I59" s="52"/>
      <c r="J59" s="457">
        <f>J53</f>
        <v>0.23499999999999999</v>
      </c>
      <c r="K59" s="416"/>
      <c r="L59" s="456">
        <f>J59*L56</f>
        <v>17.84838718736</v>
      </c>
      <c r="M59" s="132"/>
      <c r="N59" s="456">
        <f t="shared" si="72"/>
        <v>1.3467186322400053</v>
      </c>
      <c r="O59" s="458">
        <f t="shared" si="73"/>
        <v>8.1611058163094496E-2</v>
      </c>
      <c r="P59" s="52"/>
      <c r="Q59" s="457">
        <f>Q53</f>
        <v>0.23499999999999999</v>
      </c>
      <c r="R59" s="416"/>
      <c r="S59" s="456">
        <f>Q59*S56</f>
        <v>18.470291187360001</v>
      </c>
      <c r="T59" s="132"/>
      <c r="U59" s="456">
        <f t="shared" si="74"/>
        <v>0.62190400000000068</v>
      </c>
      <c r="V59" s="458">
        <f t="shared" si="75"/>
        <v>3.4843708480306004E-2</v>
      </c>
      <c r="W59" s="52"/>
      <c r="X59" s="457">
        <f>X53</f>
        <v>0.23499999999999999</v>
      </c>
      <c r="Y59" s="416"/>
      <c r="Z59" s="456">
        <f>X59*Z56</f>
        <v>19.138254487999998</v>
      </c>
      <c r="AA59" s="132"/>
      <c r="AB59" s="456">
        <f t="shared" si="76"/>
        <v>0.66796330063999676</v>
      </c>
      <c r="AC59" s="458">
        <f t="shared" si="77"/>
        <v>3.6164199787879478E-2</v>
      </c>
      <c r="AD59" s="52"/>
      <c r="AE59" s="457">
        <f>AE53</f>
        <v>0.23499999999999999</v>
      </c>
      <c r="AF59" s="416"/>
      <c r="AG59" s="456">
        <f>AE59*AG56</f>
        <v>19.495454488</v>
      </c>
      <c r="AH59" s="132"/>
      <c r="AI59" s="456">
        <f t="shared" si="78"/>
        <v>0.3572000000000024</v>
      </c>
      <c r="AJ59" s="458">
        <f t="shared" si="79"/>
        <v>1.8664189057783338E-2</v>
      </c>
      <c r="AK59" s="459"/>
      <c r="AL59" s="457">
        <f>AL53</f>
        <v>0.23499999999999999</v>
      </c>
      <c r="AM59" s="416"/>
      <c r="AN59" s="456">
        <f>AL59*AN56</f>
        <v>19.822104488000001</v>
      </c>
      <c r="AO59" s="132"/>
      <c r="AP59" s="456">
        <f t="shared" si="80"/>
        <v>0.32665000000000077</v>
      </c>
      <c r="AQ59" s="458">
        <f t="shared" si="81"/>
        <v>1.6755187738816915E-2</v>
      </c>
    </row>
    <row r="60" spans="1:43" ht="12" customHeight="1">
      <c r="A60" s="52"/>
      <c r="B60" s="634" t="s">
        <v>325</v>
      </c>
      <c r="C60" s="615"/>
      <c r="D60" s="615"/>
      <c r="E60" s="469"/>
      <c r="F60" s="468"/>
      <c r="G60" s="469"/>
      <c r="H60" s="470">
        <f>H58-H59</f>
        <v>62.846780241839994</v>
      </c>
      <c r="I60" s="52"/>
      <c r="J60" s="469"/>
      <c r="K60" s="469"/>
      <c r="L60" s="470">
        <f>L58-L59</f>
        <v>67.975772479520003</v>
      </c>
      <c r="M60" s="471"/>
      <c r="N60" s="472">
        <f t="shared" si="72"/>
        <v>5.1289922376800092</v>
      </c>
      <c r="O60" s="473">
        <f t="shared" si="73"/>
        <v>8.1611058163094302E-2</v>
      </c>
      <c r="P60" s="52"/>
      <c r="Q60" s="469"/>
      <c r="R60" s="469"/>
      <c r="S60" s="470">
        <f>S58-S59</f>
        <v>70.344300479520001</v>
      </c>
      <c r="T60" s="471"/>
      <c r="U60" s="472">
        <f t="shared" si="74"/>
        <v>2.3685279999999977</v>
      </c>
      <c r="V60" s="473">
        <f t="shared" si="75"/>
        <v>3.4843708480305935E-2</v>
      </c>
      <c r="W60" s="52"/>
      <c r="X60" s="469"/>
      <c r="Y60" s="469"/>
      <c r="Z60" s="470">
        <f>Z58-Z59</f>
        <v>72.888245815999994</v>
      </c>
      <c r="AA60" s="471"/>
      <c r="AB60" s="472">
        <f t="shared" si="76"/>
        <v>2.5439453364799931</v>
      </c>
      <c r="AC60" s="473">
        <f t="shared" si="77"/>
        <v>3.6164199787879561E-2</v>
      </c>
      <c r="AD60" s="52"/>
      <c r="AE60" s="469"/>
      <c r="AF60" s="469"/>
      <c r="AG60" s="470">
        <f>AG58-AG59</f>
        <v>74.248645815999993</v>
      </c>
      <c r="AH60" s="471"/>
      <c r="AI60" s="472">
        <f t="shared" si="78"/>
        <v>1.3603999999999985</v>
      </c>
      <c r="AJ60" s="473">
        <f t="shared" si="79"/>
        <v>1.8664189057783189E-2</v>
      </c>
      <c r="AK60" s="467"/>
      <c r="AL60" s="469"/>
      <c r="AM60" s="469"/>
      <c r="AN60" s="470">
        <f>AN58-AN59</f>
        <v>75.492695816000008</v>
      </c>
      <c r="AO60" s="471"/>
      <c r="AP60" s="472">
        <f t="shared" si="80"/>
        <v>1.2440500000000156</v>
      </c>
      <c r="AQ60" s="473">
        <f t="shared" si="81"/>
        <v>1.6755187738817085E-2</v>
      </c>
    </row>
    <row r="61" spans="1:43" ht="12" customHeight="1">
      <c r="A61" s="52"/>
      <c r="B61" s="433"/>
      <c r="C61" s="434"/>
      <c r="D61" s="434"/>
      <c r="E61" s="475"/>
      <c r="F61" s="474"/>
      <c r="G61" s="475"/>
      <c r="H61" s="440"/>
      <c r="I61" s="52"/>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442"/>
      <c r="AL61" s="474"/>
      <c r="AM61" s="475"/>
      <c r="AN61" s="440"/>
      <c r="AO61" s="439"/>
      <c r="AP61" s="476"/>
      <c r="AQ61" s="441"/>
    </row>
    <row r="62" spans="1:43" ht="12" customHeight="1">
      <c r="A62" s="52"/>
      <c r="B62" s="52"/>
      <c r="C62" s="52"/>
      <c r="D62" s="52"/>
      <c r="E62" s="52"/>
      <c r="F62" s="52"/>
      <c r="G62" s="52"/>
      <c r="H62" s="190"/>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row>
    <row r="63" spans="1:43"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row>
    <row r="64" spans="1:43"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row>
    <row r="65" spans="1:43" ht="12" customHeight="1">
      <c r="A65" s="478" t="s">
        <v>341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row>
    <row r="66" spans="1:43"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row>
    <row r="67" spans="1:43"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row>
    <row r="68" spans="1:43"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row>
    <row r="69" spans="1:43"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row>
    <row r="70" spans="1:43" ht="12"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row>
    <row r="71" spans="1:43" ht="12"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row>
    <row r="72" spans="1:43"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row>
    <row r="73" spans="1:43" ht="12"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row>
    <row r="74" spans="1:43" ht="12"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row>
    <row r="75" spans="1:43" ht="12"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row>
    <row r="76" spans="1:43" ht="12"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row>
    <row r="77" spans="1:43" ht="12"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row>
    <row r="78" spans="1:43"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row>
    <row r="79" spans="1:43" ht="12"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row>
    <row r="80" spans="1:43"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row>
    <row r="81" spans="1:43" ht="12"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row>
    <row r="82" spans="1:43"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row>
    <row r="83" spans="1:43"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row>
    <row r="84" spans="1:43"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row>
    <row r="85" spans="1:43"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row>
    <row r="86" spans="1:43"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row>
    <row r="87" spans="1:43"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row>
    <row r="88" spans="1:43"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row>
    <row r="89" spans="1:43"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row>
    <row r="90" spans="1:43"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row>
    <row r="91" spans="1:43"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row>
    <row r="92" spans="1:43"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row>
    <row r="93" spans="1:43"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row>
    <row r="94" spans="1:43"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row>
    <row r="95" spans="1:43"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row>
    <row r="96" spans="1:43"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row>
    <row r="97" spans="1:43"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row>
    <row r="98" spans="1:43"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row>
    <row r="99" spans="1:43"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row>
    <row r="100" spans="1:43"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row>
    <row r="101" spans="1:43"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row>
    <row r="102" spans="1:43"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row>
    <row r="103" spans="1:43"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row>
    <row r="104" spans="1:43"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row>
    <row r="105" spans="1:43"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row>
    <row r="106" spans="1:43"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row>
    <row r="107" spans="1:43"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row>
    <row r="108" spans="1:43"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row>
    <row r="109" spans="1:43"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row>
    <row r="110" spans="1:43"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row>
    <row r="111" spans="1:43"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row>
    <row r="112" spans="1:43"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row>
    <row r="113" spans="1:43"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row>
    <row r="114" spans="1:43"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row>
    <row r="115" spans="1:43"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row>
    <row r="116" spans="1:43"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row>
    <row r="117" spans="1:43"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row>
    <row r="118" spans="1:43"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row>
    <row r="119" spans="1:43"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row>
    <row r="120" spans="1:43"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row>
    <row r="121" spans="1:43"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row>
    <row r="122" spans="1:43"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row>
    <row r="123" spans="1:43"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row>
    <row r="124" spans="1:43"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row>
    <row r="125" spans="1:43"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row>
    <row r="126" spans="1:43"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row>
    <row r="127" spans="1:43"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row>
    <row r="128" spans="1:43"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row>
    <row r="129" spans="1:43"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row>
    <row r="130" spans="1:43"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row>
    <row r="131" spans="1:43"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row>
    <row r="132" spans="1:43"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row>
    <row r="133" spans="1:43"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row>
    <row r="134" spans="1:43"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row>
    <row r="135" spans="1:43"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row>
    <row r="136" spans="1:43"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row>
    <row r="137" spans="1:43"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row>
    <row r="138" spans="1:43"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row>
    <row r="139" spans="1:43"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row>
    <row r="140" spans="1:43"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row>
    <row r="141" spans="1:43"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row>
    <row r="142" spans="1:43"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row>
    <row r="143" spans="1:43"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row>
    <row r="144" spans="1:43"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row>
    <row r="146" spans="1:43"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row>
    <row r="147" spans="1:43"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row>
    <row r="148" spans="1:43"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row>
    <row r="149" spans="1:43"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row>
    <row r="150" spans="1:43"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row>
    <row r="151" spans="1:43"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row>
    <row r="152" spans="1:43"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row>
    <row r="153" spans="1:43"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row>
    <row r="154" spans="1:43"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row>
    <row r="155" spans="1:43"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row>
    <row r="156" spans="1:43"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row>
    <row r="157" spans="1:43"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row>
    <row r="158" spans="1:43"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row>
    <row r="159" spans="1:43"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row>
    <row r="160" spans="1:43"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row>
    <row r="161" spans="1:43"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row>
    <row r="162" spans="1:43"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row>
    <row r="163" spans="1:43"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row>
    <row r="164" spans="1:43"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row>
    <row r="165" spans="1:43"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row>
    <row r="166" spans="1:43"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row>
    <row r="167" spans="1:43"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row>
    <row r="168" spans="1:43"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row>
    <row r="169" spans="1:43"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row>
    <row r="170" spans="1:43"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row>
    <row r="171" spans="1:43"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row>
    <row r="172" spans="1:43"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row>
    <row r="173" spans="1:43"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row>
    <row r="174" spans="1:43"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row>
    <row r="175" spans="1:43"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row>
    <row r="176" spans="1:43"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row>
    <row r="177" spans="1:43"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row>
    <row r="178" spans="1:43"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row>
    <row r="179" spans="1:43"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row>
    <row r="180" spans="1:43"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row>
    <row r="181" spans="1:43"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row>
    <row r="182" spans="1:43"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row>
    <row r="183" spans="1:43"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row>
    <row r="184" spans="1:43"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row>
    <row r="185" spans="1:43"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row>
    <row r="186" spans="1:43"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row>
    <row r="187" spans="1:43"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row>
    <row r="188" spans="1:43"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row>
    <row r="189" spans="1:43"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row>
    <row r="190" spans="1:43"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row>
    <row r="191" spans="1:43"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3"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2">
    <dataValidation type="list" allowBlank="1" showErrorMessage="1" sqref="D8" xr:uid="{00000000-0002-0000-0900-000000000000}">
      <formula1>"TOU,non-TOU"</formula1>
    </dataValidation>
    <dataValidation type="list" allowBlank="1" showInputMessage="1" showErrorMessage="1" prompt="Select Charge Unit - monthly, per kWh, per kW" sqref="D15:D28 D30:D36 D38:D39 D41:D49 D55 D61" xr:uid="{00000000-0002-0000-0900-000001000000}">
      <formula1>"Monthly,per kWh,per kW"</formula1>
    </dataValidation>
  </dataValidations>
  <pageMargins left="0.74803149606299213" right="0.74803149606299213" top="0.98425196850393704" bottom="0.98425196850393704"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8.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8.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8.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c r="AS1" s="3"/>
    </row>
    <row r="2" spans="1:45" ht="18.75"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5" ht="18.75"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75" customHeight="1">
      <c r="A6" s="52"/>
      <c r="B6" s="320" t="s">
        <v>298</v>
      </c>
      <c r="C6" s="52"/>
      <c r="D6" s="380"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row>
    <row r="8" spans="1:45" ht="12.75"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75"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75" customHeight="1">
      <c r="A10" s="52"/>
      <c r="B10" s="52"/>
      <c r="C10" s="52"/>
      <c r="D10" s="307" t="s">
        <v>301</v>
      </c>
      <c r="E10" s="307"/>
      <c r="F10" s="385">
        <v>250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75"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5"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5"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5"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5" ht="12.75"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30" si="21">AN15-AG15</f>
        <v>1.3800000000000026</v>
      </c>
      <c r="AQ15" s="401">
        <f t="shared" ref="AQ15:AQ30" si="22">IF((AG15)=0,"",(AP15/AG15))</f>
        <v>2.9374201787994946E-2</v>
      </c>
      <c r="AR15" s="402"/>
    </row>
    <row r="16" spans="1:45" ht="12.75"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250</v>
      </c>
      <c r="H17" s="399">
        <f t="shared" si="2"/>
        <v>0</v>
      </c>
      <c r="I17" s="132"/>
      <c r="J17" s="396">
        <f>IFERROR(VLOOKUP($C17,'Proposed Rates'!$B:$J,J$11,FALSE),0)</f>
        <v>0</v>
      </c>
      <c r="K17" s="397">
        <f t="shared" si="3"/>
        <v>250</v>
      </c>
      <c r="L17" s="399">
        <f t="shared" si="4"/>
        <v>0</v>
      </c>
      <c r="M17" s="132"/>
      <c r="N17" s="400">
        <f t="shared" si="5"/>
        <v>0</v>
      </c>
      <c r="O17" s="401" t="str">
        <f t="shared" si="6"/>
        <v/>
      </c>
      <c r="P17" s="52"/>
      <c r="Q17" s="396">
        <f>IFERROR(VLOOKUP($C17,'Proposed Rates'!$B:$J,Q$11,FALSE),0)</f>
        <v>0</v>
      </c>
      <c r="R17" s="397">
        <f t="shared" si="7"/>
        <v>250</v>
      </c>
      <c r="S17" s="399">
        <f t="shared" si="8"/>
        <v>0</v>
      </c>
      <c r="T17" s="132"/>
      <c r="U17" s="400">
        <f t="shared" si="9"/>
        <v>0</v>
      </c>
      <c r="V17" s="401" t="str">
        <f t="shared" si="10"/>
        <v/>
      </c>
      <c r="W17" s="52"/>
      <c r="X17" s="396">
        <f>IFERROR(VLOOKUP($C17,'Proposed Rates'!$B:$J,X$11,FALSE),0)</f>
        <v>0</v>
      </c>
      <c r="Y17" s="397">
        <f t="shared" si="11"/>
        <v>250</v>
      </c>
      <c r="Z17" s="399">
        <f t="shared" si="12"/>
        <v>0</v>
      </c>
      <c r="AA17" s="132"/>
      <c r="AB17" s="400">
        <f t="shared" si="13"/>
        <v>0</v>
      </c>
      <c r="AC17" s="401" t="str">
        <f t="shared" si="14"/>
        <v/>
      </c>
      <c r="AD17" s="52"/>
      <c r="AE17" s="396">
        <f>IFERROR(VLOOKUP($C17,'Proposed Rates'!$B:$J,AE$11,FALSE),0)</f>
        <v>0</v>
      </c>
      <c r="AF17" s="397">
        <f t="shared" si="15"/>
        <v>250</v>
      </c>
      <c r="AG17" s="399">
        <f t="shared" si="16"/>
        <v>0</v>
      </c>
      <c r="AH17" s="132"/>
      <c r="AI17" s="400">
        <f t="shared" si="17"/>
        <v>0</v>
      </c>
      <c r="AJ17" s="401" t="str">
        <f t="shared" si="18"/>
        <v/>
      </c>
      <c r="AK17" s="52"/>
      <c r="AL17" s="396">
        <f>IFERROR(VLOOKUP($C17,'Proposed Rates'!$B:$J,AL$11,FALSE),0)</f>
        <v>0</v>
      </c>
      <c r="AM17" s="397">
        <f t="shared" si="19"/>
        <v>250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row>
    <row r="19" spans="1:44" ht="12.75" customHeight="1">
      <c r="A19" s="52"/>
      <c r="B19" s="321" t="s">
        <v>59</v>
      </c>
      <c r="C19" s="394" t="str">
        <f t="shared" si="0"/>
        <v>Residential.Distribution Volumetric Rate</v>
      </c>
      <c r="D19" s="395" t="s">
        <v>312</v>
      </c>
      <c r="E19" s="321"/>
      <c r="F19" s="396">
        <f>IFERROR(VLOOKUP($C19,'Proposed Rates'!$B:$J,F$11,FALSE),0)</f>
        <v>0</v>
      </c>
      <c r="G19" s="397">
        <f t="shared" si="1"/>
        <v>250</v>
      </c>
      <c r="H19" s="399">
        <f t="shared" si="2"/>
        <v>0</v>
      </c>
      <c r="I19" s="132"/>
      <c r="J19" s="396">
        <f>IFERROR(VLOOKUP($C19,'Proposed Rates'!$B:$J,J$11,FALSE),0)</f>
        <v>0</v>
      </c>
      <c r="K19" s="397">
        <f t="shared" si="3"/>
        <v>250</v>
      </c>
      <c r="L19" s="399">
        <f t="shared" si="4"/>
        <v>0</v>
      </c>
      <c r="M19" s="132"/>
      <c r="N19" s="400">
        <f t="shared" si="5"/>
        <v>0</v>
      </c>
      <c r="O19" s="401" t="str">
        <f t="shared" si="6"/>
        <v/>
      </c>
      <c r="P19" s="52"/>
      <c r="Q19" s="396">
        <f>IFERROR(VLOOKUP($C19,'Proposed Rates'!$B:$J,Q$11,FALSE),0)</f>
        <v>0</v>
      </c>
      <c r="R19" s="397">
        <f t="shared" si="7"/>
        <v>250</v>
      </c>
      <c r="S19" s="399">
        <f t="shared" si="8"/>
        <v>0</v>
      </c>
      <c r="T19" s="132"/>
      <c r="U19" s="400">
        <f t="shared" si="9"/>
        <v>0</v>
      </c>
      <c r="V19" s="401" t="str">
        <f t="shared" si="10"/>
        <v/>
      </c>
      <c r="W19" s="52"/>
      <c r="X19" s="396">
        <f>IFERROR(VLOOKUP($C19,'Proposed Rates'!$B:$J,X$11,FALSE),0)</f>
        <v>0</v>
      </c>
      <c r="Y19" s="397">
        <f t="shared" si="11"/>
        <v>250</v>
      </c>
      <c r="Z19" s="399">
        <f t="shared" si="12"/>
        <v>0</v>
      </c>
      <c r="AA19" s="132"/>
      <c r="AB19" s="400">
        <f t="shared" si="13"/>
        <v>0</v>
      </c>
      <c r="AC19" s="401" t="str">
        <f t="shared" si="14"/>
        <v/>
      </c>
      <c r="AD19" s="52"/>
      <c r="AE19" s="396">
        <f>IFERROR(VLOOKUP($C19,'Proposed Rates'!$B:$J,AE$11,FALSE),0)</f>
        <v>0</v>
      </c>
      <c r="AF19" s="397">
        <f t="shared" si="15"/>
        <v>250</v>
      </c>
      <c r="AG19" s="399">
        <f t="shared" si="16"/>
        <v>0</v>
      </c>
      <c r="AH19" s="132"/>
      <c r="AI19" s="400">
        <f t="shared" si="17"/>
        <v>0</v>
      </c>
      <c r="AJ19" s="401" t="str">
        <f t="shared" si="18"/>
        <v/>
      </c>
      <c r="AK19" s="52"/>
      <c r="AL19" s="396">
        <f>IFERROR(VLOOKUP($C19,'Proposed Rates'!$B:$J,AL$11,FALSE),0)</f>
        <v>0</v>
      </c>
      <c r="AM19" s="397">
        <f t="shared" si="19"/>
        <v>250</v>
      </c>
      <c r="AN19" s="399">
        <f t="shared" si="20"/>
        <v>0</v>
      </c>
      <c r="AO19" s="132"/>
      <c r="AP19" s="400">
        <f t="shared" si="21"/>
        <v>0</v>
      </c>
      <c r="AQ19" s="401" t="str">
        <f t="shared" si="22"/>
        <v/>
      </c>
      <c r="AR19" s="402"/>
    </row>
    <row r="20" spans="1:44" ht="12.75" customHeight="1">
      <c r="A20" s="52"/>
      <c r="B20" s="321" t="s">
        <v>313</v>
      </c>
      <c r="C20" s="394" t="str">
        <f t="shared" si="0"/>
        <v>Residential.Smart Meter Disposition Rider</v>
      </c>
      <c r="D20" s="395" t="s">
        <v>312</v>
      </c>
      <c r="E20" s="321"/>
      <c r="F20" s="396">
        <f>IFERROR(VLOOKUP($C20,'Proposed Rates'!$B:$J,F$11,FALSE),0)</f>
        <v>0</v>
      </c>
      <c r="G20" s="397">
        <f t="shared" si="1"/>
        <v>250</v>
      </c>
      <c r="H20" s="399">
        <f t="shared" si="2"/>
        <v>0</v>
      </c>
      <c r="I20" s="132"/>
      <c r="J20" s="396">
        <f>IFERROR(VLOOKUP($C20,'Proposed Rates'!$B:$J,J$11,FALSE),0)</f>
        <v>0</v>
      </c>
      <c r="K20" s="397">
        <f t="shared" si="3"/>
        <v>250</v>
      </c>
      <c r="L20" s="399">
        <f t="shared" si="4"/>
        <v>0</v>
      </c>
      <c r="M20" s="132"/>
      <c r="N20" s="400">
        <f t="shared" si="5"/>
        <v>0</v>
      </c>
      <c r="O20" s="401" t="str">
        <f t="shared" si="6"/>
        <v/>
      </c>
      <c r="P20" s="52"/>
      <c r="Q20" s="396">
        <f>IFERROR(VLOOKUP($C20,'Proposed Rates'!$B:$J,Q$11,FALSE),0)</f>
        <v>0</v>
      </c>
      <c r="R20" s="397">
        <f t="shared" si="7"/>
        <v>250</v>
      </c>
      <c r="S20" s="399">
        <f t="shared" si="8"/>
        <v>0</v>
      </c>
      <c r="T20" s="132"/>
      <c r="U20" s="400">
        <f t="shared" si="9"/>
        <v>0</v>
      </c>
      <c r="V20" s="401" t="str">
        <f t="shared" si="10"/>
        <v/>
      </c>
      <c r="W20" s="52"/>
      <c r="X20" s="396">
        <f>IFERROR(VLOOKUP($C20,'Proposed Rates'!$B:$J,X$11,FALSE),0)</f>
        <v>0</v>
      </c>
      <c r="Y20" s="397">
        <f t="shared" si="11"/>
        <v>250</v>
      </c>
      <c r="Z20" s="399">
        <f t="shared" si="12"/>
        <v>0</v>
      </c>
      <c r="AA20" s="132"/>
      <c r="AB20" s="400">
        <f t="shared" si="13"/>
        <v>0</v>
      </c>
      <c r="AC20" s="401" t="str">
        <f t="shared" si="14"/>
        <v/>
      </c>
      <c r="AD20" s="52"/>
      <c r="AE20" s="396">
        <f>IFERROR(VLOOKUP($C20,'Proposed Rates'!$B:$J,AE$11,FALSE),0)</f>
        <v>0</v>
      </c>
      <c r="AF20" s="397">
        <f t="shared" si="15"/>
        <v>250</v>
      </c>
      <c r="AG20" s="399">
        <f t="shared" si="16"/>
        <v>0</v>
      </c>
      <c r="AH20" s="132"/>
      <c r="AI20" s="400">
        <f t="shared" si="17"/>
        <v>0</v>
      </c>
      <c r="AJ20" s="401" t="str">
        <f t="shared" si="18"/>
        <v/>
      </c>
      <c r="AK20" s="52"/>
      <c r="AL20" s="396">
        <f>IFERROR(VLOOKUP($C20,'Proposed Rates'!$B:$J,AL$11,FALSE),0)</f>
        <v>0</v>
      </c>
      <c r="AM20" s="397">
        <f t="shared" si="19"/>
        <v>250</v>
      </c>
      <c r="AN20" s="399">
        <f t="shared" si="20"/>
        <v>0</v>
      </c>
      <c r="AO20" s="132"/>
      <c r="AP20" s="400">
        <f t="shared" si="21"/>
        <v>0</v>
      </c>
      <c r="AQ20" s="401" t="str">
        <f t="shared" si="22"/>
        <v/>
      </c>
      <c r="AR20" s="402"/>
    </row>
    <row r="21" spans="1:44" ht="12.75"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row>
    <row r="22" spans="1:44" ht="12.75" customHeight="1">
      <c r="A22" s="52"/>
      <c r="B22" s="48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row>
    <row r="23" spans="1:44" ht="12.75"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row>
    <row r="24" spans="1:44" ht="12.75"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row>
    <row r="25" spans="1:44" ht="12.75"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row>
    <row r="26" spans="1:44" ht="12.75" customHeight="1">
      <c r="A26" s="52"/>
      <c r="B26" s="48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row>
    <row r="27" spans="1:44" ht="12.75"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row>
    <row r="28" spans="1:44" ht="12.75"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row>
    <row r="29" spans="1:44" ht="12.75" customHeight="1">
      <c r="A29" s="307"/>
      <c r="B29" s="404" t="s">
        <v>314</v>
      </c>
      <c r="C29" s="405"/>
      <c r="D29" s="405"/>
      <c r="E29" s="405"/>
      <c r="F29" s="406"/>
      <c r="G29" s="407"/>
      <c r="H29" s="408">
        <f>SUM(H15:H28)</f>
        <v>34.51</v>
      </c>
      <c r="I29" s="409"/>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307"/>
      <c r="AL29" s="406"/>
      <c r="AM29" s="407"/>
      <c r="AN29" s="408">
        <f>SUM(AN15:AN28)</f>
        <v>48.36</v>
      </c>
      <c r="AO29" s="409"/>
      <c r="AP29" s="410">
        <f t="shared" si="21"/>
        <v>1.3800000000000026</v>
      </c>
      <c r="AQ29" s="411">
        <f t="shared" si="22"/>
        <v>2.9374201787994946E-2</v>
      </c>
      <c r="AR29" s="412"/>
    </row>
    <row r="30" spans="1:44" ht="12.75"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250</v>
      </c>
      <c r="H30" s="399">
        <f t="shared" ref="H30:H36" si="25">G30*F30</f>
        <v>-0.05</v>
      </c>
      <c r="I30" s="132"/>
      <c r="J30" s="413">
        <f>IFERROR(VLOOKUP($C30,'Proposed Rates'!$B:$J,J$11,FALSE),0)</f>
        <v>-5.9999999999999995E-4</v>
      </c>
      <c r="K30" s="414">
        <f t="shared" ref="K30:K33" si="26">IF($D30="Monthly",1,IF($D30="per KWH",$F$10,0))</f>
        <v>250</v>
      </c>
      <c r="L30" s="415">
        <f t="shared" ref="L30:L36" si="27">K30*J30</f>
        <v>-0.15</v>
      </c>
      <c r="M30" s="132"/>
      <c r="N30" s="400">
        <f t="shared" si="5"/>
        <v>-9.9999999999999992E-2</v>
      </c>
      <c r="O30" s="401">
        <f t="shared" si="6"/>
        <v>1.9999999999999998</v>
      </c>
      <c r="P30" s="52"/>
      <c r="Q30" s="413">
        <f>IFERROR(VLOOKUP($C30,'Proposed Rates'!$B:$J,Q$11,FALSE),0)</f>
        <v>0</v>
      </c>
      <c r="R30" s="414">
        <f t="shared" ref="R30:R33" si="28">IF($D30="Monthly",1,IF($D30="per KWH",$F$10,0))</f>
        <v>250</v>
      </c>
      <c r="S30" s="399">
        <f t="shared" ref="S30:S36" si="29">R30*Q30</f>
        <v>0</v>
      </c>
      <c r="T30" s="132"/>
      <c r="U30" s="400">
        <f t="shared" si="9"/>
        <v>0.15</v>
      </c>
      <c r="V30" s="401">
        <f t="shared" si="10"/>
        <v>-1</v>
      </c>
      <c r="W30" s="52"/>
      <c r="X30" s="413">
        <f>IFERROR(VLOOKUP($C30,'Proposed Rates'!$B:$J,X$11,FALSE),0)</f>
        <v>0</v>
      </c>
      <c r="Y30" s="414">
        <f t="shared" ref="Y30:Y33" si="30">IF($D30="Monthly",1,IF($D30="per KWH",$F$10,0))</f>
        <v>250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250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250</v>
      </c>
      <c r="AN30" s="399">
        <f t="shared" ref="AN30:AN36" si="35">AM30*AL30</f>
        <v>0</v>
      </c>
      <c r="AO30" s="132"/>
      <c r="AP30" s="400">
        <f t="shared" si="21"/>
        <v>0</v>
      </c>
      <c r="AQ30" s="401" t="str">
        <f t="shared" si="22"/>
        <v/>
      </c>
      <c r="AR30" s="402"/>
    </row>
    <row r="31" spans="1:44" ht="12.75" customHeight="1">
      <c r="A31" s="52"/>
      <c r="B31" s="483" t="s">
        <v>239</v>
      </c>
      <c r="C31" s="394" t="str">
        <f t="shared" si="23"/>
        <v>Residential.DVA Disposition Rate Rider Group 1 - 2024</v>
      </c>
      <c r="D31" s="395" t="s">
        <v>312</v>
      </c>
      <c r="E31" s="321"/>
      <c r="F31" s="413">
        <f>IFERROR(VLOOKUP($C31,'Proposed Rates'!$B:$J,F$11,FALSE),0)</f>
        <v>0</v>
      </c>
      <c r="G31" s="414">
        <f t="shared" si="24"/>
        <v>250</v>
      </c>
      <c r="H31" s="399">
        <f t="shared" si="25"/>
        <v>0</v>
      </c>
      <c r="I31" s="484"/>
      <c r="J31" s="413">
        <f>IFERROR(VLOOKUP($C31,'Proposed Rates'!$B:$J,J$11,FALSE),0)</f>
        <v>0</v>
      </c>
      <c r="K31" s="414">
        <f t="shared" si="26"/>
        <v>250</v>
      </c>
      <c r="L31" s="415">
        <f t="shared" si="27"/>
        <v>0</v>
      </c>
      <c r="M31" s="132"/>
      <c r="N31" s="400">
        <f t="shared" si="5"/>
        <v>0</v>
      </c>
      <c r="O31" s="401" t="str">
        <f t="shared" si="6"/>
        <v/>
      </c>
      <c r="P31" s="52"/>
      <c r="Q31" s="413">
        <f>IFERROR(VLOOKUP($C31,'Proposed Rates'!$B:$J,Q$11,FALSE),0)</f>
        <v>0</v>
      </c>
      <c r="R31" s="414">
        <f t="shared" si="28"/>
        <v>250</v>
      </c>
      <c r="S31" s="399">
        <f t="shared" si="29"/>
        <v>0</v>
      </c>
      <c r="T31" s="132"/>
      <c r="U31" s="400">
        <f t="shared" si="9"/>
        <v>0</v>
      </c>
      <c r="V31" s="401" t="str">
        <f t="shared" si="10"/>
        <v/>
      </c>
      <c r="W31" s="52"/>
      <c r="X31" s="413">
        <f>IFERROR(VLOOKUP($C31,'Proposed Rates'!$B:$J,X$11,FALSE),0)</f>
        <v>0</v>
      </c>
      <c r="Y31" s="414">
        <f t="shared" si="30"/>
        <v>250</v>
      </c>
      <c r="Z31" s="399">
        <f t="shared" si="31"/>
        <v>0</v>
      </c>
      <c r="AA31" s="132"/>
      <c r="AB31" s="400">
        <f t="shared" si="13"/>
        <v>0</v>
      </c>
      <c r="AC31" s="401" t="str">
        <f t="shared" si="14"/>
        <v/>
      </c>
      <c r="AD31" s="52"/>
      <c r="AE31" s="413">
        <f>IFERROR(VLOOKUP($C31,'Proposed Rates'!$B:$J,AE$11,FALSE),0)</f>
        <v>0</v>
      </c>
      <c r="AF31" s="414">
        <f t="shared" si="32"/>
        <v>250</v>
      </c>
      <c r="AG31" s="399">
        <f t="shared" si="33"/>
        <v>0</v>
      </c>
      <c r="AH31" s="132"/>
      <c r="AI31" s="400">
        <f t="shared" si="17"/>
        <v>0</v>
      </c>
      <c r="AJ31" s="401" t="str">
        <f t="shared" si="18"/>
        <v/>
      </c>
      <c r="AK31" s="52"/>
      <c r="AL31" s="413">
        <f>IFERROR(VLOOKUP($C31,'Proposed Rates'!$B:$J,AL$11,FALSE),0)</f>
        <v>0</v>
      </c>
      <c r="AM31" s="414">
        <f t="shared" si="34"/>
        <v>250</v>
      </c>
      <c r="AN31" s="399">
        <f t="shared" si="35"/>
        <v>0</v>
      </c>
      <c r="AO31" s="416"/>
      <c r="AP31" s="400"/>
      <c r="AQ31" s="401"/>
      <c r="AR31" s="402"/>
    </row>
    <row r="32" spans="1:44" ht="12.75" customHeight="1">
      <c r="A32" s="52"/>
      <c r="B32" s="483" t="s">
        <v>247</v>
      </c>
      <c r="C32" s="394" t="str">
        <f t="shared" si="23"/>
        <v>Residential.CBR Class B Rate Riders</v>
      </c>
      <c r="D32" s="395" t="s">
        <v>312</v>
      </c>
      <c r="E32" s="321"/>
      <c r="F32" s="413">
        <f>IFERROR(VLOOKUP($C32,'Proposed Rates'!$B:$J,F$11,FALSE),0)</f>
        <v>2.0000000000000001E-4</v>
      </c>
      <c r="G32" s="414">
        <f t="shared" si="24"/>
        <v>250</v>
      </c>
      <c r="H32" s="399">
        <f t="shared" si="25"/>
        <v>0.05</v>
      </c>
      <c r="I32" s="484"/>
      <c r="J32" s="413">
        <f>IFERROR(VLOOKUP($C32,'Proposed Rates'!$B:$J,J$11,FALSE),0)</f>
        <v>4.0000000000000002E-4</v>
      </c>
      <c r="K32" s="414">
        <f t="shared" si="26"/>
        <v>250</v>
      </c>
      <c r="L32" s="399">
        <f t="shared" si="27"/>
        <v>0.1</v>
      </c>
      <c r="M32" s="416"/>
      <c r="N32" s="400">
        <f t="shared" si="5"/>
        <v>0.05</v>
      </c>
      <c r="O32" s="401">
        <f t="shared" si="6"/>
        <v>1</v>
      </c>
      <c r="P32" s="52"/>
      <c r="Q32" s="413">
        <f>IFERROR(VLOOKUP($C32,'Proposed Rates'!$B:$J,Q$11,FALSE),0)</f>
        <v>0</v>
      </c>
      <c r="R32" s="414">
        <f t="shared" si="28"/>
        <v>250</v>
      </c>
      <c r="S32" s="399">
        <f t="shared" si="29"/>
        <v>0</v>
      </c>
      <c r="T32" s="416"/>
      <c r="U32" s="400">
        <f t="shared" si="9"/>
        <v>-0.1</v>
      </c>
      <c r="V32" s="401">
        <f t="shared" si="10"/>
        <v>-1</v>
      </c>
      <c r="W32" s="52"/>
      <c r="X32" s="413">
        <f>IFERROR(VLOOKUP($C32,'Proposed Rates'!$B:$J,X$11,FALSE),0)</f>
        <v>0</v>
      </c>
      <c r="Y32" s="414">
        <f t="shared" si="30"/>
        <v>250</v>
      </c>
      <c r="Z32" s="399">
        <f t="shared" si="31"/>
        <v>0</v>
      </c>
      <c r="AA32" s="416"/>
      <c r="AB32" s="400">
        <f t="shared" si="13"/>
        <v>0</v>
      </c>
      <c r="AC32" s="401" t="str">
        <f t="shared" si="14"/>
        <v/>
      </c>
      <c r="AD32" s="52"/>
      <c r="AE32" s="413">
        <f>IFERROR(VLOOKUP($C32,'Proposed Rates'!$B:$J,AE$11,FALSE),0)</f>
        <v>0</v>
      </c>
      <c r="AF32" s="414">
        <f t="shared" si="32"/>
        <v>250</v>
      </c>
      <c r="AG32" s="399">
        <f t="shared" si="33"/>
        <v>0</v>
      </c>
      <c r="AH32" s="416"/>
      <c r="AI32" s="400">
        <f t="shared" si="17"/>
        <v>0</v>
      </c>
      <c r="AJ32" s="401" t="str">
        <f t="shared" si="18"/>
        <v/>
      </c>
      <c r="AK32" s="52"/>
      <c r="AL32" s="413">
        <f>IFERROR(VLOOKUP($C32,'Proposed Rates'!$B:$J,AL$11,FALSE),0)</f>
        <v>0</v>
      </c>
      <c r="AM32" s="414">
        <f t="shared" si="34"/>
        <v>250</v>
      </c>
      <c r="AN32" s="399">
        <f t="shared" si="35"/>
        <v>0</v>
      </c>
      <c r="AO32" s="416"/>
      <c r="AP32" s="400">
        <f t="shared" ref="AP32:AP48" si="36">AN32-AG32</f>
        <v>0</v>
      </c>
      <c r="AQ32" s="401" t="str">
        <f t="shared" ref="AQ32:AQ48" si="37">IF((AG32)=0,"",(AP32/AG32))</f>
        <v/>
      </c>
      <c r="AR32" s="402"/>
    </row>
    <row r="33" spans="1:44" ht="12.75" customHeight="1">
      <c r="A33" s="52"/>
      <c r="B33" s="483" t="s">
        <v>315</v>
      </c>
      <c r="C33" s="394" t="str">
        <f t="shared" si="23"/>
        <v>Residential.GA Disposition Rate Rider-NonRPP</v>
      </c>
      <c r="D33" s="395" t="s">
        <v>312</v>
      </c>
      <c r="E33" s="321"/>
      <c r="F33" s="413">
        <f>IFERROR(VLOOKUP($C33,'Proposed Rates'!$B:$J,F$11,FALSE),0)</f>
        <v>0</v>
      </c>
      <c r="G33" s="414">
        <f t="shared" si="24"/>
        <v>250</v>
      </c>
      <c r="H33" s="399">
        <f t="shared" si="25"/>
        <v>0</v>
      </c>
      <c r="I33" s="484"/>
      <c r="J33" s="413">
        <f>IFERROR(VLOOKUP($C33,'Proposed Rates'!$B:$J,J$11,FALSE),0)</f>
        <v>0</v>
      </c>
      <c r="K33" s="414">
        <f t="shared" si="26"/>
        <v>250</v>
      </c>
      <c r="L33" s="399">
        <f t="shared" si="27"/>
        <v>0</v>
      </c>
      <c r="M33" s="416"/>
      <c r="N33" s="400">
        <f t="shared" si="5"/>
        <v>0</v>
      </c>
      <c r="O33" s="401" t="str">
        <f t="shared" si="6"/>
        <v/>
      </c>
      <c r="P33" s="52"/>
      <c r="Q33" s="413">
        <f>IFERROR(VLOOKUP($C33,'Proposed Rates'!$B:$J,Q$11,FALSE),0)</f>
        <v>0</v>
      </c>
      <c r="R33" s="414">
        <f t="shared" si="28"/>
        <v>250</v>
      </c>
      <c r="S33" s="399">
        <f t="shared" si="29"/>
        <v>0</v>
      </c>
      <c r="T33" s="416"/>
      <c r="U33" s="400">
        <f t="shared" si="9"/>
        <v>0</v>
      </c>
      <c r="V33" s="401" t="str">
        <f t="shared" si="10"/>
        <v/>
      </c>
      <c r="W33" s="52"/>
      <c r="X33" s="413">
        <f>IFERROR(VLOOKUP($C33,'Proposed Rates'!$B:$J,X$11,FALSE),0)</f>
        <v>0</v>
      </c>
      <c r="Y33" s="414">
        <f t="shared" si="30"/>
        <v>250</v>
      </c>
      <c r="Z33" s="399">
        <f t="shared" si="31"/>
        <v>0</v>
      </c>
      <c r="AA33" s="416"/>
      <c r="AB33" s="400">
        <f t="shared" si="13"/>
        <v>0</v>
      </c>
      <c r="AC33" s="401" t="str">
        <f t="shared" si="14"/>
        <v/>
      </c>
      <c r="AD33" s="52"/>
      <c r="AE33" s="413">
        <f>IFERROR(VLOOKUP($C33,'Proposed Rates'!$B:$J,AE$11,FALSE),0)</f>
        <v>0</v>
      </c>
      <c r="AF33" s="414">
        <f t="shared" si="32"/>
        <v>250</v>
      </c>
      <c r="AG33" s="399">
        <f t="shared" si="33"/>
        <v>0</v>
      </c>
      <c r="AH33" s="416"/>
      <c r="AI33" s="400">
        <f t="shared" si="17"/>
        <v>0</v>
      </c>
      <c r="AJ33" s="401" t="str">
        <f t="shared" si="18"/>
        <v/>
      </c>
      <c r="AK33" s="52"/>
      <c r="AL33" s="413">
        <f>IFERROR(VLOOKUP($C33,'Proposed Rates'!$B:$J,AL$11,FALSE),0)</f>
        <v>0</v>
      </c>
      <c r="AM33" s="414">
        <f t="shared" si="34"/>
        <v>250</v>
      </c>
      <c r="AN33" s="399">
        <f t="shared" si="35"/>
        <v>0</v>
      </c>
      <c r="AO33" s="416"/>
      <c r="AP33" s="400">
        <f t="shared" si="36"/>
        <v>0</v>
      </c>
      <c r="AQ33" s="401" t="str">
        <f t="shared" si="37"/>
        <v/>
      </c>
      <c r="AR33" s="402"/>
    </row>
    <row r="34" spans="1:44" ht="12.75" customHeight="1">
      <c r="A34" s="52"/>
      <c r="B34" s="321" t="s">
        <v>273</v>
      </c>
      <c r="C34" s="394" t="str">
        <f t="shared" si="23"/>
        <v>Residential.Low Voltage Service Charge</v>
      </c>
      <c r="D34" s="395" t="s">
        <v>312</v>
      </c>
      <c r="E34" s="321"/>
      <c r="F34" s="417">
        <f>IFERROR(VLOOKUP($C34,'Proposed Rates'!$B:$J,F$11,FALSE),0)</f>
        <v>5.0000000000000002E-5</v>
      </c>
      <c r="G34" s="418">
        <f>$F$10*(1+F$63)</f>
        <v>258.45</v>
      </c>
      <c r="H34" s="399">
        <f t="shared" si="25"/>
        <v>1.29225E-2</v>
      </c>
      <c r="I34" s="132"/>
      <c r="J34" s="417">
        <f>IFERROR(VLOOKUP($C34,'Proposed Rates'!$B:$J,J$11,FALSE),0)</f>
        <v>6.9999999999999994E-5</v>
      </c>
      <c r="K34" s="418">
        <f>$F$10*(1+J$63)</f>
        <v>258.29999999999995</v>
      </c>
      <c r="L34" s="399">
        <f t="shared" si="27"/>
        <v>1.8080999999999996E-2</v>
      </c>
      <c r="M34" s="132"/>
      <c r="N34" s="400">
        <f t="shared" si="5"/>
        <v>5.1584999999999964E-3</v>
      </c>
      <c r="O34" s="401">
        <f t="shared" si="6"/>
        <v>0.3991874637260589</v>
      </c>
      <c r="P34" s="52"/>
      <c r="Q34" s="417">
        <f>IFERROR(VLOOKUP($C34,'Proposed Rates'!$B:$J,Q$11,FALSE),0)</f>
        <v>6.9999999999999994E-5</v>
      </c>
      <c r="R34" s="418">
        <f>$F$10*(1+Q$63)</f>
        <v>258.29999999999995</v>
      </c>
      <c r="S34" s="399">
        <f t="shared" si="29"/>
        <v>1.8080999999999996E-2</v>
      </c>
      <c r="T34" s="132"/>
      <c r="U34" s="400">
        <f t="shared" si="9"/>
        <v>0</v>
      </c>
      <c r="V34" s="401">
        <f t="shared" si="10"/>
        <v>0</v>
      </c>
      <c r="W34" s="52"/>
      <c r="X34" s="417">
        <f>IFERROR(VLOOKUP($C34,'Proposed Rates'!$B:$J,X$11,FALSE),0)</f>
        <v>8.0000000000000007E-5</v>
      </c>
      <c r="Y34" s="418">
        <f>$F$10*(1+X$63)</f>
        <v>258.29999999999995</v>
      </c>
      <c r="Z34" s="399">
        <f t="shared" si="31"/>
        <v>2.0663999999999998E-2</v>
      </c>
      <c r="AA34" s="132"/>
      <c r="AB34" s="400">
        <f t="shared" si="13"/>
        <v>2.583000000000002E-3</v>
      </c>
      <c r="AC34" s="401">
        <f t="shared" si="14"/>
        <v>0.14285714285714299</v>
      </c>
      <c r="AD34" s="52"/>
      <c r="AE34" s="417">
        <f>IFERROR(VLOOKUP($C34,'Proposed Rates'!$B:$J,AE$11,FALSE),0)</f>
        <v>8.0000000000000007E-5</v>
      </c>
      <c r="AF34" s="418">
        <f>$F$10*(1+AE$63)</f>
        <v>258.29999999999995</v>
      </c>
      <c r="AG34" s="399">
        <f t="shared" si="33"/>
        <v>2.0663999999999998E-2</v>
      </c>
      <c r="AH34" s="132"/>
      <c r="AI34" s="400">
        <f t="shared" si="17"/>
        <v>0</v>
      </c>
      <c r="AJ34" s="401">
        <f t="shared" si="18"/>
        <v>0</v>
      </c>
      <c r="AK34" s="52"/>
      <c r="AL34" s="417">
        <f>IFERROR(VLOOKUP($C34,'Proposed Rates'!$B:$J,AL$11,FALSE),0)</f>
        <v>8.0000000000000007E-5</v>
      </c>
      <c r="AM34" s="418">
        <f>$F$10*(1+AL$63)</f>
        <v>258.29999999999995</v>
      </c>
      <c r="AN34" s="399">
        <f t="shared" si="35"/>
        <v>2.0663999999999998E-2</v>
      </c>
      <c r="AO34" s="132"/>
      <c r="AP34" s="400">
        <f t="shared" si="36"/>
        <v>0</v>
      </c>
      <c r="AQ34" s="401">
        <f t="shared" si="37"/>
        <v>0</v>
      </c>
      <c r="AR34" s="402"/>
    </row>
    <row r="35" spans="1:44" ht="12.75"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8.4499999999999886</v>
      </c>
      <c r="H35" s="399">
        <f t="shared" si="25"/>
        <v>1.0775439999999987</v>
      </c>
      <c r="I35" s="132"/>
      <c r="J35" s="419">
        <f>'Proposed Rates'!$K$253*J$44+'Proposed Rates'!$K$254*J$45+'Proposed Rates'!$K$255*J$46</f>
        <v>0.12752000000000002</v>
      </c>
      <c r="K35" s="420">
        <f>$F$10*(1+J$63)-$F$10</f>
        <v>8.2999999999999545</v>
      </c>
      <c r="L35" s="399">
        <f t="shared" si="27"/>
        <v>1.0584159999999945</v>
      </c>
      <c r="M35" s="132"/>
      <c r="N35" s="400">
        <f t="shared" si="5"/>
        <v>-1.9128000000004253E-2</v>
      </c>
      <c r="O35" s="401">
        <f t="shared" si="6"/>
        <v>-1.7751479289944794E-2</v>
      </c>
      <c r="P35" s="52"/>
      <c r="Q35" s="419">
        <f>'Proposed Rates'!$K$253*Q$44+'Proposed Rates'!$K$254*Q$45+'Proposed Rates'!$K$255*Q$46</f>
        <v>0.12752000000000002</v>
      </c>
      <c r="R35" s="420">
        <f>$F$10*(1+Q$63)-$F$10</f>
        <v>8.2999999999999545</v>
      </c>
      <c r="S35" s="399">
        <f t="shared" si="29"/>
        <v>1.0584159999999945</v>
      </c>
      <c r="T35" s="132"/>
      <c r="U35" s="400">
        <f t="shared" si="9"/>
        <v>0</v>
      </c>
      <c r="V35" s="401">
        <f t="shared" si="10"/>
        <v>0</v>
      </c>
      <c r="W35" s="52"/>
      <c r="X35" s="419">
        <f>'Proposed Rates'!$K$253*X$44+'Proposed Rates'!$K$254*X$45+'Proposed Rates'!$K$255*X$46</f>
        <v>0.12752000000000002</v>
      </c>
      <c r="Y35" s="420">
        <f>$F$10*(1+X$63)-$F$10</f>
        <v>8.2999999999999545</v>
      </c>
      <c r="Z35" s="399">
        <f t="shared" si="31"/>
        <v>1.0584159999999945</v>
      </c>
      <c r="AA35" s="132"/>
      <c r="AB35" s="400">
        <f t="shared" si="13"/>
        <v>0</v>
      </c>
      <c r="AC35" s="401">
        <f t="shared" si="14"/>
        <v>0</v>
      </c>
      <c r="AD35" s="52"/>
      <c r="AE35" s="419">
        <f>'Proposed Rates'!$K$253*AE$44+'Proposed Rates'!$K$254*AE$45+'Proposed Rates'!$K$255*AE$46</f>
        <v>0.12752000000000002</v>
      </c>
      <c r="AF35" s="420">
        <f>$F$10*(1+AE$63)-$F$10</f>
        <v>8.2999999999999545</v>
      </c>
      <c r="AG35" s="399">
        <f t="shared" si="33"/>
        <v>1.0584159999999945</v>
      </c>
      <c r="AH35" s="132"/>
      <c r="AI35" s="400">
        <f t="shared" si="17"/>
        <v>0</v>
      </c>
      <c r="AJ35" s="401">
        <f t="shared" si="18"/>
        <v>0</v>
      </c>
      <c r="AK35" s="52"/>
      <c r="AL35" s="419">
        <f>'Proposed Rates'!$K$253*AL$44+'Proposed Rates'!$K$254*AL$45+'Proposed Rates'!$K$255*AL$46</f>
        <v>0.12752000000000002</v>
      </c>
      <c r="AM35" s="420">
        <f>$F$10*(1+AL$63)-$F$10</f>
        <v>8.2999999999999545</v>
      </c>
      <c r="AN35" s="399">
        <f t="shared" si="35"/>
        <v>1.0584159999999945</v>
      </c>
      <c r="AO35" s="132"/>
      <c r="AP35" s="400">
        <f t="shared" si="36"/>
        <v>0</v>
      </c>
      <c r="AQ35" s="401">
        <f t="shared" si="37"/>
        <v>0</v>
      </c>
      <c r="AR35" s="402"/>
    </row>
    <row r="36" spans="1:44" ht="12.75"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36"/>
        <v>1.0000000000000009E-2</v>
      </c>
      <c r="AQ36" s="401">
        <f t="shared" si="37"/>
        <v>2.2727272727272749E-2</v>
      </c>
      <c r="AR36" s="402"/>
    </row>
    <row r="37" spans="1:44" ht="12.75" customHeight="1">
      <c r="A37" s="52"/>
      <c r="B37" s="485" t="s">
        <v>317</v>
      </c>
      <c r="C37" s="421"/>
      <c r="D37" s="421"/>
      <c r="E37" s="421"/>
      <c r="F37" s="422"/>
      <c r="G37" s="423"/>
      <c r="H37" s="408">
        <f>SUM(H30:H36)+H29</f>
        <v>36.020466499999998</v>
      </c>
      <c r="I37" s="424"/>
      <c r="J37" s="422"/>
      <c r="K37" s="423"/>
      <c r="L37" s="408">
        <f>SUM(L30:L36)+L29</f>
        <v>41.486496999999993</v>
      </c>
      <c r="M37" s="424"/>
      <c r="N37" s="410">
        <f t="shared" si="5"/>
        <v>5.4660304999999951</v>
      </c>
      <c r="O37" s="411">
        <f t="shared" si="6"/>
        <v>0.1517479097612463</v>
      </c>
      <c r="P37" s="52"/>
      <c r="Q37" s="422"/>
      <c r="R37" s="423"/>
      <c r="S37" s="408">
        <f>SUM(S30:S36)+S29</f>
        <v>44.136496999999991</v>
      </c>
      <c r="T37" s="424"/>
      <c r="U37" s="410">
        <f t="shared" si="9"/>
        <v>2.6499999999999986</v>
      </c>
      <c r="V37" s="411">
        <f t="shared" si="10"/>
        <v>6.3876205310850878E-2</v>
      </c>
      <c r="W37" s="52"/>
      <c r="X37" s="422"/>
      <c r="Y37" s="423"/>
      <c r="Z37" s="408">
        <f>SUM(Z30:Z36)+Z29</f>
        <v>46.979079999999996</v>
      </c>
      <c r="AA37" s="424"/>
      <c r="AB37" s="410">
        <f t="shared" si="13"/>
        <v>2.8425830000000047</v>
      </c>
      <c r="AC37" s="411">
        <f t="shared" si="14"/>
        <v>6.4404363581459706E-2</v>
      </c>
      <c r="AD37" s="52"/>
      <c r="AE37" s="422"/>
      <c r="AF37" s="423"/>
      <c r="AG37" s="408">
        <f>SUM(AG30:AG36)+AG29</f>
        <v>48.499079999999992</v>
      </c>
      <c r="AH37" s="424"/>
      <c r="AI37" s="410">
        <f t="shared" si="17"/>
        <v>1.519999999999996</v>
      </c>
      <c r="AJ37" s="411">
        <f t="shared" si="18"/>
        <v>3.2354826871875658E-2</v>
      </c>
      <c r="AK37" s="52"/>
      <c r="AL37" s="422"/>
      <c r="AM37" s="423"/>
      <c r="AN37" s="408">
        <f>SUM(AN30:AN36)+AN29</f>
        <v>49.889079999999993</v>
      </c>
      <c r="AO37" s="424"/>
      <c r="AP37" s="410">
        <f t="shared" si="36"/>
        <v>1.3900000000000006</v>
      </c>
      <c r="AQ37" s="411">
        <f t="shared" si="37"/>
        <v>2.866033747444283E-2</v>
      </c>
      <c r="AR37" s="412"/>
    </row>
    <row r="38" spans="1:44" ht="12.75" customHeight="1">
      <c r="A38" s="52"/>
      <c r="B38" s="132" t="s">
        <v>258</v>
      </c>
      <c r="C38" s="394" t="str">
        <f t="shared" ref="C38:C39" si="38">D$6&amp;"."&amp;B38</f>
        <v>Residential.RTSR - Network</v>
      </c>
      <c r="D38" s="425" t="s">
        <v>312</v>
      </c>
      <c r="E38" s="132"/>
      <c r="F38" s="413">
        <f>IFERROR(VLOOKUP($C38,'Proposed Rates'!$B:$J,F$11,FALSE),0)</f>
        <v>1.26E-2</v>
      </c>
      <c r="G38" s="418">
        <f t="shared" ref="G38:G39" si="39">$F$10*(1+F$63)</f>
        <v>258.45</v>
      </c>
      <c r="H38" s="399">
        <f t="shared" ref="H38:H39" si="40">G38*F38</f>
        <v>3.2564699999999998</v>
      </c>
      <c r="I38" s="132"/>
      <c r="J38" s="413">
        <f>IFERROR(VLOOKUP($C38,'Proposed Rates'!$B:$J,J$11,FALSE),0)</f>
        <v>1.38E-2</v>
      </c>
      <c r="K38" s="418">
        <f t="shared" ref="K38:K39" si="41">$F$10*(1+J$63)</f>
        <v>258.29999999999995</v>
      </c>
      <c r="L38" s="399">
        <f t="shared" ref="L38:L39" si="42">K38*J38</f>
        <v>3.5645399999999992</v>
      </c>
      <c r="M38" s="132"/>
      <c r="N38" s="400">
        <f t="shared" si="5"/>
        <v>0.3080699999999994</v>
      </c>
      <c r="O38" s="401">
        <f t="shared" si="6"/>
        <v>9.4602437608821643E-2</v>
      </c>
      <c r="P38" s="52"/>
      <c r="Q38" s="413">
        <f>IFERROR(VLOOKUP($C38,'Proposed Rates'!$B:$J,Q$11,FALSE),0)</f>
        <v>1.38E-2</v>
      </c>
      <c r="R38" s="418">
        <f t="shared" ref="R38:R39" si="43">$F$10*(1+Q$63)</f>
        <v>258.29999999999995</v>
      </c>
      <c r="S38" s="399">
        <f t="shared" ref="S38:S39" si="44">R38*Q38</f>
        <v>3.5645399999999992</v>
      </c>
      <c r="T38" s="132"/>
      <c r="U38" s="400">
        <f t="shared" si="9"/>
        <v>0</v>
      </c>
      <c r="V38" s="401">
        <f t="shared" si="10"/>
        <v>0</v>
      </c>
      <c r="W38" s="52"/>
      <c r="X38" s="413">
        <f>IFERROR(VLOOKUP($C38,'Proposed Rates'!$B:$J,X$11,FALSE),0)</f>
        <v>1.38E-2</v>
      </c>
      <c r="Y38" s="418">
        <f t="shared" ref="Y38:Y39" si="45">$F$10*(1+X$63)</f>
        <v>258.29999999999995</v>
      </c>
      <c r="Z38" s="399">
        <f t="shared" ref="Z38:Z39" si="46">Y38*X38</f>
        <v>3.5645399999999992</v>
      </c>
      <c r="AA38" s="132"/>
      <c r="AB38" s="400">
        <f t="shared" si="13"/>
        <v>0</v>
      </c>
      <c r="AC38" s="401">
        <f t="shared" si="14"/>
        <v>0</v>
      </c>
      <c r="AD38" s="52"/>
      <c r="AE38" s="413">
        <f>IFERROR(VLOOKUP($C38,'Proposed Rates'!$B:$J,AE$11,FALSE),0)</f>
        <v>1.38E-2</v>
      </c>
      <c r="AF38" s="418">
        <f t="shared" ref="AF38:AF39" si="47">$F$10*(1+AE$63)</f>
        <v>258.29999999999995</v>
      </c>
      <c r="AG38" s="399">
        <f t="shared" ref="AG38:AG39" si="48">AF38*AE38</f>
        <v>3.5645399999999992</v>
      </c>
      <c r="AH38" s="132"/>
      <c r="AI38" s="400">
        <f t="shared" si="17"/>
        <v>0</v>
      </c>
      <c r="AJ38" s="401">
        <f t="shared" si="18"/>
        <v>0</v>
      </c>
      <c r="AK38" s="52"/>
      <c r="AL38" s="413">
        <f>IFERROR(VLOOKUP($C38,'Proposed Rates'!$B:$J,AL$11,FALSE),0)</f>
        <v>1.38E-2</v>
      </c>
      <c r="AM38" s="418">
        <f t="shared" ref="AM38:AM39" si="49">$F$10*(1+AL$63)</f>
        <v>258.29999999999995</v>
      </c>
      <c r="AN38" s="399">
        <f t="shared" ref="AN38:AN39" si="50">AM38*AL38</f>
        <v>3.5645399999999992</v>
      </c>
      <c r="AO38" s="132"/>
      <c r="AP38" s="400">
        <f t="shared" si="36"/>
        <v>0</v>
      </c>
      <c r="AQ38" s="401">
        <f t="shared" si="37"/>
        <v>0</v>
      </c>
      <c r="AR38" s="402"/>
    </row>
    <row r="39" spans="1:44" ht="12.75" customHeight="1">
      <c r="A39" s="52"/>
      <c r="B39" s="486" t="s">
        <v>261</v>
      </c>
      <c r="C39" s="394" t="str">
        <f t="shared" si="38"/>
        <v>Residential.RTSR - Line and Transformation Connection</v>
      </c>
      <c r="D39" s="425" t="s">
        <v>312</v>
      </c>
      <c r="E39" s="132"/>
      <c r="F39" s="413">
        <f>IFERROR(VLOOKUP($C39,'Proposed Rates'!$B:$J,F$11,FALSE),0)</f>
        <v>7.1999999999999998E-3</v>
      </c>
      <c r="G39" s="418">
        <f t="shared" si="39"/>
        <v>258.45</v>
      </c>
      <c r="H39" s="399">
        <f t="shared" si="40"/>
        <v>1.8608399999999998</v>
      </c>
      <c r="I39" s="132"/>
      <c r="J39" s="413">
        <f>IFERROR(VLOOKUP($C39,'Proposed Rates'!$B:$J,J$11,FALSE),0)</f>
        <v>7.7999999999999996E-3</v>
      </c>
      <c r="K39" s="418">
        <f t="shared" si="41"/>
        <v>258.29999999999995</v>
      </c>
      <c r="L39" s="399">
        <f t="shared" si="42"/>
        <v>2.0147399999999998</v>
      </c>
      <c r="M39" s="132"/>
      <c r="N39" s="400">
        <f t="shared" si="5"/>
        <v>0.15389999999999993</v>
      </c>
      <c r="O39" s="401">
        <f t="shared" si="6"/>
        <v>8.2704585026117203E-2</v>
      </c>
      <c r="P39" s="52"/>
      <c r="Q39" s="413">
        <f>IFERROR(VLOOKUP($C39,'Proposed Rates'!$B:$J,Q$11,FALSE),0)</f>
        <v>7.7999999999999996E-3</v>
      </c>
      <c r="R39" s="418">
        <f t="shared" si="43"/>
        <v>258.29999999999995</v>
      </c>
      <c r="S39" s="399">
        <f t="shared" si="44"/>
        <v>2.0147399999999998</v>
      </c>
      <c r="T39" s="132"/>
      <c r="U39" s="400">
        <f t="shared" si="9"/>
        <v>0</v>
      </c>
      <c r="V39" s="401">
        <f t="shared" si="10"/>
        <v>0</v>
      </c>
      <c r="W39" s="52"/>
      <c r="X39" s="413">
        <f>IFERROR(VLOOKUP($C39,'Proposed Rates'!$B:$J,X$11,FALSE),0)</f>
        <v>7.7999999999999996E-3</v>
      </c>
      <c r="Y39" s="418">
        <f t="shared" si="45"/>
        <v>258.29999999999995</v>
      </c>
      <c r="Z39" s="399">
        <f t="shared" si="46"/>
        <v>2.0147399999999998</v>
      </c>
      <c r="AA39" s="132"/>
      <c r="AB39" s="400">
        <f t="shared" si="13"/>
        <v>0</v>
      </c>
      <c r="AC39" s="401">
        <f t="shared" si="14"/>
        <v>0</v>
      </c>
      <c r="AD39" s="52"/>
      <c r="AE39" s="413">
        <f>IFERROR(VLOOKUP($C39,'Proposed Rates'!$B:$J,AE$11,FALSE),0)</f>
        <v>7.7999999999999996E-3</v>
      </c>
      <c r="AF39" s="418">
        <f t="shared" si="47"/>
        <v>258.29999999999995</v>
      </c>
      <c r="AG39" s="399">
        <f t="shared" si="48"/>
        <v>2.0147399999999998</v>
      </c>
      <c r="AH39" s="132"/>
      <c r="AI39" s="400">
        <f t="shared" si="17"/>
        <v>0</v>
      </c>
      <c r="AJ39" s="401">
        <f t="shared" si="18"/>
        <v>0</v>
      </c>
      <c r="AK39" s="52"/>
      <c r="AL39" s="413">
        <f>IFERROR(VLOOKUP($C39,'Proposed Rates'!$B:$J,AL$11,FALSE),0)</f>
        <v>7.7999999999999996E-3</v>
      </c>
      <c r="AM39" s="418">
        <f t="shared" si="49"/>
        <v>258.29999999999995</v>
      </c>
      <c r="AN39" s="399">
        <f t="shared" si="50"/>
        <v>2.0147399999999998</v>
      </c>
      <c r="AO39" s="132"/>
      <c r="AP39" s="400">
        <f t="shared" si="36"/>
        <v>0</v>
      </c>
      <c r="AQ39" s="401">
        <f t="shared" si="37"/>
        <v>0</v>
      </c>
      <c r="AR39" s="402"/>
    </row>
    <row r="40" spans="1:44" ht="12.75" customHeight="1">
      <c r="A40" s="52"/>
      <c r="B40" s="485" t="s">
        <v>318</v>
      </c>
      <c r="C40" s="426"/>
      <c r="D40" s="426"/>
      <c r="E40" s="426"/>
      <c r="F40" s="427"/>
      <c r="G40" s="428"/>
      <c r="H40" s="408">
        <f>SUM(H37:H39)</f>
        <v>41.137776500000001</v>
      </c>
      <c r="I40" s="409"/>
      <c r="J40" s="427"/>
      <c r="K40" s="428"/>
      <c r="L40" s="408">
        <f>SUM(L37:L39)</f>
        <v>47.065776999999997</v>
      </c>
      <c r="M40" s="409"/>
      <c r="N40" s="410">
        <f t="shared" si="5"/>
        <v>5.928000499999996</v>
      </c>
      <c r="O40" s="411">
        <f t="shared" si="6"/>
        <v>0.14410114022569975</v>
      </c>
      <c r="P40" s="52"/>
      <c r="Q40" s="427"/>
      <c r="R40" s="428"/>
      <c r="S40" s="408">
        <f>SUM(S37:S39)</f>
        <v>49.715776999999989</v>
      </c>
      <c r="T40" s="409"/>
      <c r="U40" s="410">
        <f t="shared" si="9"/>
        <v>2.6499999999999915</v>
      </c>
      <c r="V40" s="411">
        <f t="shared" si="10"/>
        <v>5.6304180423920158E-2</v>
      </c>
      <c r="W40" s="52"/>
      <c r="X40" s="427"/>
      <c r="Y40" s="428"/>
      <c r="Z40" s="408">
        <f>SUM(Z37:Z39)</f>
        <v>52.558359999999993</v>
      </c>
      <c r="AA40" s="409"/>
      <c r="AB40" s="410">
        <f t="shared" si="13"/>
        <v>2.8425830000000047</v>
      </c>
      <c r="AC40" s="411">
        <f t="shared" si="14"/>
        <v>5.7176678542105563E-2</v>
      </c>
      <c r="AD40" s="52"/>
      <c r="AE40" s="427"/>
      <c r="AF40" s="428"/>
      <c r="AG40" s="408">
        <f>SUM(AG37:AG39)</f>
        <v>54.078359999999989</v>
      </c>
      <c r="AH40" s="409"/>
      <c r="AI40" s="410">
        <f t="shared" si="17"/>
        <v>1.519999999999996</v>
      </c>
      <c r="AJ40" s="411">
        <f t="shared" si="18"/>
        <v>2.8920232670882354E-2</v>
      </c>
      <c r="AK40" s="52"/>
      <c r="AL40" s="427"/>
      <c r="AM40" s="428"/>
      <c r="AN40" s="408">
        <f>SUM(AN37:AN39)</f>
        <v>55.46835999999999</v>
      </c>
      <c r="AO40" s="409"/>
      <c r="AP40" s="410">
        <f t="shared" si="36"/>
        <v>1.3900000000000006</v>
      </c>
      <c r="AQ40" s="411">
        <f t="shared" si="37"/>
        <v>2.5703442190184778E-2</v>
      </c>
      <c r="AR40" s="412"/>
    </row>
    <row r="41" spans="1:44" ht="12.75" customHeight="1">
      <c r="A41" s="52"/>
      <c r="B41" s="487" t="s">
        <v>262</v>
      </c>
      <c r="C41" s="394" t="str">
        <f t="shared" ref="C41:C48" si="51">D$6&amp;"."&amp;B41</f>
        <v>Residential.Wholesale Market Service Charge (WMSC)</v>
      </c>
      <c r="D41" s="395" t="s">
        <v>312</v>
      </c>
      <c r="E41" s="321"/>
      <c r="F41" s="413">
        <f>IFERROR(VLOOKUP($C41,'Proposed Rates'!$B:$J,F$11,FALSE),0)</f>
        <v>4.4999999999999997E-3</v>
      </c>
      <c r="G41" s="418">
        <f t="shared" ref="G41:G42" si="52">$F$10*(1+F$63)</f>
        <v>258.45</v>
      </c>
      <c r="H41" s="399">
        <f t="shared" ref="H41:H48" si="53">G41*F41</f>
        <v>1.1630249999999998</v>
      </c>
      <c r="I41" s="132"/>
      <c r="J41" s="413">
        <f>IFERROR(VLOOKUP($C41,'Proposed Rates'!$B:$J,J$11,FALSE),0)</f>
        <v>4.7000000000000002E-3</v>
      </c>
      <c r="K41" s="418">
        <f t="shared" ref="K41:K42" si="54">$F$10*(1+J$63)</f>
        <v>258.29999999999995</v>
      </c>
      <c r="L41" s="399">
        <f t="shared" ref="L41:L48" si="55">K41*J41</f>
        <v>1.2140099999999998</v>
      </c>
      <c r="M41" s="132"/>
      <c r="N41" s="400">
        <f t="shared" si="5"/>
        <v>5.0985000000000058E-2</v>
      </c>
      <c r="O41" s="401">
        <f t="shared" si="6"/>
        <v>4.3838266589282318E-2</v>
      </c>
      <c r="P41" s="52"/>
      <c r="Q41" s="413">
        <f>IFERROR(VLOOKUP($C41,'Proposed Rates'!$B:$J,Q$11,FALSE),0)</f>
        <v>4.7000000000000002E-3</v>
      </c>
      <c r="R41" s="418">
        <f t="shared" ref="R41:R42" si="56">$F$10*(1+Q$63)</f>
        <v>258.29999999999995</v>
      </c>
      <c r="S41" s="399">
        <f t="shared" ref="S41:S48" si="57">R41*Q41</f>
        <v>1.2140099999999998</v>
      </c>
      <c r="T41" s="132"/>
      <c r="U41" s="400">
        <f t="shared" si="9"/>
        <v>0</v>
      </c>
      <c r="V41" s="401">
        <f t="shared" si="10"/>
        <v>0</v>
      </c>
      <c r="W41" s="52"/>
      <c r="X41" s="413">
        <f>IFERROR(VLOOKUP($C41,'Proposed Rates'!$B:$J,X$11,FALSE),0)</f>
        <v>4.7000000000000002E-3</v>
      </c>
      <c r="Y41" s="418">
        <f t="shared" ref="Y41:Y42" si="58">$F$10*(1+X$63)</f>
        <v>258.29999999999995</v>
      </c>
      <c r="Z41" s="399">
        <f t="shared" ref="Z41:Z48" si="59">Y41*X41</f>
        <v>1.2140099999999998</v>
      </c>
      <c r="AA41" s="132"/>
      <c r="AB41" s="400">
        <f t="shared" si="13"/>
        <v>0</v>
      </c>
      <c r="AC41" s="401">
        <f t="shared" si="14"/>
        <v>0</v>
      </c>
      <c r="AD41" s="52"/>
      <c r="AE41" s="413">
        <f>IFERROR(VLOOKUP($C41,'Proposed Rates'!$B:$J,AE$11,FALSE),0)</f>
        <v>4.7000000000000002E-3</v>
      </c>
      <c r="AF41" s="418">
        <f t="shared" ref="AF41:AF42" si="60">$F$10*(1+AE$63)</f>
        <v>258.29999999999995</v>
      </c>
      <c r="AG41" s="399">
        <f t="shared" ref="AG41:AG48" si="61">AF41*AE41</f>
        <v>1.2140099999999998</v>
      </c>
      <c r="AH41" s="132"/>
      <c r="AI41" s="400">
        <f t="shared" si="17"/>
        <v>0</v>
      </c>
      <c r="AJ41" s="401">
        <f t="shared" si="18"/>
        <v>0</v>
      </c>
      <c r="AK41" s="52"/>
      <c r="AL41" s="413">
        <f>IFERROR(VLOOKUP($C41,'Proposed Rates'!$B:$J,AL$11,FALSE),0)</f>
        <v>4.7000000000000002E-3</v>
      </c>
      <c r="AM41" s="418">
        <f t="shared" ref="AM41:AM42" si="62">$F$10*(1+AL$63)</f>
        <v>258.29999999999995</v>
      </c>
      <c r="AN41" s="399">
        <f t="shared" ref="AN41:AN48" si="63">AM41*AL41</f>
        <v>1.2140099999999998</v>
      </c>
      <c r="AO41" s="132"/>
      <c r="AP41" s="400">
        <f t="shared" si="36"/>
        <v>0</v>
      </c>
      <c r="AQ41" s="401">
        <f t="shared" si="37"/>
        <v>0</v>
      </c>
      <c r="AR41" s="402"/>
    </row>
    <row r="42" spans="1:44" ht="12.75" customHeight="1">
      <c r="A42" s="52"/>
      <c r="B42" s="487" t="s">
        <v>263</v>
      </c>
      <c r="C42" s="394" t="str">
        <f t="shared" si="51"/>
        <v>Residential.Rural and Remote Rate Protection (RRRP)</v>
      </c>
      <c r="D42" s="395" t="s">
        <v>312</v>
      </c>
      <c r="E42" s="321"/>
      <c r="F42" s="413">
        <f>IFERROR(VLOOKUP($C42,'Proposed Rates'!$B:$J,F$11,FALSE),0)</f>
        <v>1.5E-3</v>
      </c>
      <c r="G42" s="418">
        <f t="shared" si="52"/>
        <v>258.45</v>
      </c>
      <c r="H42" s="399">
        <f t="shared" si="53"/>
        <v>0.38767499999999999</v>
      </c>
      <c r="I42" s="132"/>
      <c r="J42" s="413">
        <f>IFERROR(VLOOKUP($C42,'Proposed Rates'!$B:$J,J$11,FALSE),0)</f>
        <v>5.9999999999999995E-4</v>
      </c>
      <c r="K42" s="418">
        <f t="shared" si="54"/>
        <v>258.29999999999995</v>
      </c>
      <c r="L42" s="399">
        <f t="shared" si="55"/>
        <v>0.15497999999999995</v>
      </c>
      <c r="M42" s="132"/>
      <c r="N42" s="400">
        <f t="shared" si="5"/>
        <v>-0.23269500000000004</v>
      </c>
      <c r="O42" s="401">
        <f t="shared" si="6"/>
        <v>-0.60023215322112611</v>
      </c>
      <c r="P42" s="52"/>
      <c r="Q42" s="413">
        <f>IFERROR(VLOOKUP($C42,'Proposed Rates'!$B:$J,Q$11,FALSE),0)</f>
        <v>5.9999999999999995E-4</v>
      </c>
      <c r="R42" s="418">
        <f t="shared" si="56"/>
        <v>258.29999999999995</v>
      </c>
      <c r="S42" s="399">
        <f t="shared" si="57"/>
        <v>0.15497999999999995</v>
      </c>
      <c r="T42" s="132"/>
      <c r="U42" s="400">
        <f t="shared" si="9"/>
        <v>0</v>
      </c>
      <c r="V42" s="401">
        <f t="shared" si="10"/>
        <v>0</v>
      </c>
      <c r="W42" s="52"/>
      <c r="X42" s="413">
        <f>IFERROR(VLOOKUP($C42,'Proposed Rates'!$B:$J,X$11,FALSE),0)</f>
        <v>5.9999999999999995E-4</v>
      </c>
      <c r="Y42" s="418">
        <f t="shared" si="58"/>
        <v>258.29999999999995</v>
      </c>
      <c r="Z42" s="399">
        <f t="shared" si="59"/>
        <v>0.15497999999999995</v>
      </c>
      <c r="AA42" s="132"/>
      <c r="AB42" s="400">
        <f t="shared" si="13"/>
        <v>0</v>
      </c>
      <c r="AC42" s="401">
        <f t="shared" si="14"/>
        <v>0</v>
      </c>
      <c r="AD42" s="52"/>
      <c r="AE42" s="413">
        <f>IFERROR(VLOOKUP($C42,'Proposed Rates'!$B:$J,AE$11,FALSE),0)</f>
        <v>5.9999999999999995E-4</v>
      </c>
      <c r="AF42" s="418">
        <f t="shared" si="60"/>
        <v>258.29999999999995</v>
      </c>
      <c r="AG42" s="399">
        <f t="shared" si="61"/>
        <v>0.15497999999999995</v>
      </c>
      <c r="AH42" s="132"/>
      <c r="AI42" s="400">
        <f t="shared" si="17"/>
        <v>0</v>
      </c>
      <c r="AJ42" s="401">
        <f t="shared" si="18"/>
        <v>0</v>
      </c>
      <c r="AK42" s="52"/>
      <c r="AL42" s="413">
        <f>IFERROR(VLOOKUP($C42,'Proposed Rates'!$B:$J,AL$11,FALSE),0)</f>
        <v>5.9999999999999995E-4</v>
      </c>
      <c r="AM42" s="418">
        <f t="shared" si="62"/>
        <v>258.29999999999995</v>
      </c>
      <c r="AN42" s="399">
        <f t="shared" si="63"/>
        <v>0.15497999999999995</v>
      </c>
      <c r="AO42" s="132"/>
      <c r="AP42" s="400">
        <f t="shared" si="36"/>
        <v>0</v>
      </c>
      <c r="AQ42" s="401">
        <f t="shared" si="37"/>
        <v>0</v>
      </c>
      <c r="AR42" s="402"/>
    </row>
    <row r="43" spans="1:44" ht="12.75" customHeight="1">
      <c r="A43" s="52"/>
      <c r="B43" s="321" t="s">
        <v>264</v>
      </c>
      <c r="C43" s="394" t="str">
        <f t="shared" si="51"/>
        <v>Residential.Standard Supply Service Charge</v>
      </c>
      <c r="D43" s="395" t="s">
        <v>310</v>
      </c>
      <c r="E43" s="321"/>
      <c r="F43" s="413">
        <f>IFERROR(VLOOKUP($C43,'Proposed Rates'!$B:$J,F$11,FALSE),0)</f>
        <v>0.25</v>
      </c>
      <c r="G43" s="414">
        <f>IF($D43="Monthly",1,IF($D43="per KWH",$F$10,0))</f>
        <v>1</v>
      </c>
      <c r="H43" s="399">
        <f t="shared" si="53"/>
        <v>0.25</v>
      </c>
      <c r="I43" s="132"/>
      <c r="J43" s="413">
        <f>IFERROR(VLOOKUP($C43,'Proposed Rates'!$B:$J,J$11,FALSE),0)</f>
        <v>0.25</v>
      </c>
      <c r="K43" s="414">
        <f>IF($D43="Monthly",1,IF($D43="per KWH",$F$10,0))</f>
        <v>1</v>
      </c>
      <c r="L43" s="399">
        <f t="shared" si="55"/>
        <v>0.25</v>
      </c>
      <c r="M43" s="132"/>
      <c r="N43" s="400">
        <f t="shared" si="5"/>
        <v>0</v>
      </c>
      <c r="O43" s="401">
        <f t="shared" si="6"/>
        <v>0</v>
      </c>
      <c r="P43" s="52"/>
      <c r="Q43" s="413">
        <f>IFERROR(VLOOKUP($C43,'Proposed Rates'!$B:$J,Q$11,FALSE),0)</f>
        <v>0.25</v>
      </c>
      <c r="R43" s="414">
        <f>IF($D43="Monthly",1,IF($D43="per KWH",$F$10,0))</f>
        <v>1</v>
      </c>
      <c r="S43" s="399">
        <f t="shared" si="57"/>
        <v>0.25</v>
      </c>
      <c r="T43" s="132"/>
      <c r="U43" s="400">
        <f t="shared" si="9"/>
        <v>0</v>
      </c>
      <c r="V43" s="401">
        <f t="shared" si="10"/>
        <v>0</v>
      </c>
      <c r="W43" s="52"/>
      <c r="X43" s="413">
        <f>IFERROR(VLOOKUP($C43,'Proposed Rates'!$B:$J,X$11,FALSE),0)</f>
        <v>0.25</v>
      </c>
      <c r="Y43" s="414">
        <f>IF($D43="Monthly",1,IF($D43="per KWH",$F$10,0))</f>
        <v>1</v>
      </c>
      <c r="Z43" s="399">
        <f t="shared" si="59"/>
        <v>0.25</v>
      </c>
      <c r="AA43" s="132"/>
      <c r="AB43" s="400">
        <f t="shared" si="13"/>
        <v>0</v>
      </c>
      <c r="AC43" s="401">
        <f t="shared" si="14"/>
        <v>0</v>
      </c>
      <c r="AD43" s="52"/>
      <c r="AE43" s="413">
        <f>IFERROR(VLOOKUP($C43,'Proposed Rates'!$B:$J,AE$11,FALSE),0)</f>
        <v>0.25</v>
      </c>
      <c r="AF43" s="414">
        <f>IF($D43="Monthly",1,IF($D43="per KWH",$F$10,0))</f>
        <v>1</v>
      </c>
      <c r="AG43" s="399">
        <f t="shared" si="61"/>
        <v>0.25</v>
      </c>
      <c r="AH43" s="132"/>
      <c r="AI43" s="400">
        <f t="shared" si="17"/>
        <v>0</v>
      </c>
      <c r="AJ43" s="401">
        <f t="shared" si="18"/>
        <v>0</v>
      </c>
      <c r="AK43" s="52"/>
      <c r="AL43" s="413">
        <f>IFERROR(VLOOKUP($C43,'Proposed Rates'!$B:$J,AL$11,FALSE),0)</f>
        <v>0.25</v>
      </c>
      <c r="AM43" s="414">
        <f>IF($D43="Monthly",1,IF($D43="per KWH",$F$10,0))</f>
        <v>1</v>
      </c>
      <c r="AN43" s="399">
        <f t="shared" si="63"/>
        <v>0.25</v>
      </c>
      <c r="AO43" s="132"/>
      <c r="AP43" s="400">
        <f t="shared" si="36"/>
        <v>0</v>
      </c>
      <c r="AQ43" s="401">
        <f t="shared" si="37"/>
        <v>0</v>
      </c>
      <c r="AR43" s="402"/>
    </row>
    <row r="44" spans="1:44" ht="12.75" customHeight="1">
      <c r="A44" s="52"/>
      <c r="B44" s="321" t="s">
        <v>266</v>
      </c>
      <c r="C44" s="394" t="str">
        <f t="shared" si="51"/>
        <v>Residential.TOU - Off Peak</v>
      </c>
      <c r="D44" s="395" t="s">
        <v>312</v>
      </c>
      <c r="E44" s="321"/>
      <c r="F44" s="429">
        <f>VLOOKUP($B44,'Proposed Rates'!$D$252:$J$258,+F$11-2,FALSE)</f>
        <v>9.8000000000000004E-2</v>
      </c>
      <c r="G44" s="420">
        <f>$F$10*'Proposed Rates'!$K$253</f>
        <v>160</v>
      </c>
      <c r="H44" s="399">
        <f t="shared" si="53"/>
        <v>15.68</v>
      </c>
      <c r="I44" s="132"/>
      <c r="J44" s="429">
        <f>VLOOKUP($B44,'Proposed Rates'!$D$252:$J$258,+J$11-2,FALSE)</f>
        <v>9.8000000000000004E-2</v>
      </c>
      <c r="K44" s="420">
        <f>$F$10*'Proposed Rates'!$K$253</f>
        <v>160</v>
      </c>
      <c r="L44" s="399">
        <f t="shared" si="55"/>
        <v>15.68</v>
      </c>
      <c r="M44" s="132"/>
      <c r="N44" s="400">
        <f t="shared" si="5"/>
        <v>0</v>
      </c>
      <c r="O44" s="401">
        <f t="shared" si="6"/>
        <v>0</v>
      </c>
      <c r="P44" s="52"/>
      <c r="Q44" s="429">
        <f>VLOOKUP($B44,'Proposed Rates'!$D$252:$J$258,+Q$11-2,FALSE)</f>
        <v>9.8000000000000004E-2</v>
      </c>
      <c r="R44" s="420">
        <f>$F$10*'Proposed Rates'!$K$253</f>
        <v>160</v>
      </c>
      <c r="S44" s="399">
        <f t="shared" si="57"/>
        <v>15.68</v>
      </c>
      <c r="T44" s="132"/>
      <c r="U44" s="400">
        <f t="shared" si="9"/>
        <v>0</v>
      </c>
      <c r="V44" s="401">
        <f t="shared" si="10"/>
        <v>0</v>
      </c>
      <c r="W44" s="52"/>
      <c r="X44" s="429">
        <f>VLOOKUP($B44,'Proposed Rates'!$D$252:$J$258,+X$11-2,FALSE)</f>
        <v>9.8000000000000004E-2</v>
      </c>
      <c r="Y44" s="420">
        <f>$F$10*'Proposed Rates'!$K$253</f>
        <v>160</v>
      </c>
      <c r="Z44" s="399">
        <f t="shared" si="59"/>
        <v>15.68</v>
      </c>
      <c r="AA44" s="132"/>
      <c r="AB44" s="400">
        <f t="shared" si="13"/>
        <v>0</v>
      </c>
      <c r="AC44" s="401">
        <f t="shared" si="14"/>
        <v>0</v>
      </c>
      <c r="AD44" s="52"/>
      <c r="AE44" s="429">
        <f>VLOOKUP($B44,'Proposed Rates'!$D$252:$J$258,+AE$11-2,FALSE)</f>
        <v>9.8000000000000004E-2</v>
      </c>
      <c r="AF44" s="420">
        <f>$F$10*'Proposed Rates'!$K$253</f>
        <v>160</v>
      </c>
      <c r="AG44" s="399">
        <f t="shared" si="61"/>
        <v>15.68</v>
      </c>
      <c r="AH44" s="132"/>
      <c r="AI44" s="400">
        <f t="shared" si="17"/>
        <v>0</v>
      </c>
      <c r="AJ44" s="401">
        <f t="shared" si="18"/>
        <v>0</v>
      </c>
      <c r="AK44" s="52"/>
      <c r="AL44" s="429">
        <f>VLOOKUP($B44,'Proposed Rates'!$D$252:$J$258,+AL$11-2,FALSE)</f>
        <v>9.8000000000000004E-2</v>
      </c>
      <c r="AM44" s="420">
        <f>$F$10*'Proposed Rates'!$K$253</f>
        <v>160</v>
      </c>
      <c r="AN44" s="399">
        <f t="shared" si="63"/>
        <v>15.68</v>
      </c>
      <c r="AO44" s="132"/>
      <c r="AP44" s="400">
        <f t="shared" si="36"/>
        <v>0</v>
      </c>
      <c r="AQ44" s="401">
        <f t="shared" si="37"/>
        <v>0</v>
      </c>
      <c r="AR44" s="402"/>
    </row>
    <row r="45" spans="1:44" ht="12.75" customHeight="1">
      <c r="A45" s="52"/>
      <c r="B45" s="321" t="s">
        <v>267</v>
      </c>
      <c r="C45" s="394" t="str">
        <f t="shared" si="51"/>
        <v>Residential.TOU - Mid Peak</v>
      </c>
      <c r="D45" s="395" t="s">
        <v>312</v>
      </c>
      <c r="E45" s="321"/>
      <c r="F45" s="429">
        <f>VLOOKUP($B45,'Proposed Rates'!$D$252:$J$258,+F$11-2,FALSE)</f>
        <v>0.157</v>
      </c>
      <c r="G45" s="420">
        <f>$F$10*'Proposed Rates'!$K$254</f>
        <v>45</v>
      </c>
      <c r="H45" s="399">
        <f t="shared" si="53"/>
        <v>7.0650000000000004</v>
      </c>
      <c r="I45" s="132"/>
      <c r="J45" s="429">
        <f>VLOOKUP($B45,'Proposed Rates'!$D$252:$J$258,+J$11-2,FALSE)</f>
        <v>0.157</v>
      </c>
      <c r="K45" s="420">
        <f>$F$10*'Proposed Rates'!$K$254</f>
        <v>45</v>
      </c>
      <c r="L45" s="399">
        <f t="shared" si="55"/>
        <v>7.0650000000000004</v>
      </c>
      <c r="M45" s="132"/>
      <c r="N45" s="400">
        <f t="shared" si="5"/>
        <v>0</v>
      </c>
      <c r="O45" s="401">
        <f t="shared" si="6"/>
        <v>0</v>
      </c>
      <c r="P45" s="52"/>
      <c r="Q45" s="429">
        <f>VLOOKUP($B45,'Proposed Rates'!$D$252:$J$258,+Q$11-2,FALSE)</f>
        <v>0.157</v>
      </c>
      <c r="R45" s="420">
        <f>$F$10*'Proposed Rates'!$K$254</f>
        <v>45</v>
      </c>
      <c r="S45" s="399">
        <f t="shared" si="57"/>
        <v>7.0650000000000004</v>
      </c>
      <c r="T45" s="132"/>
      <c r="U45" s="400">
        <f t="shared" si="9"/>
        <v>0</v>
      </c>
      <c r="V45" s="401">
        <f t="shared" si="10"/>
        <v>0</v>
      </c>
      <c r="W45" s="52"/>
      <c r="X45" s="429">
        <f>VLOOKUP($B45,'Proposed Rates'!$D$252:$J$258,+X$11-2,FALSE)</f>
        <v>0.157</v>
      </c>
      <c r="Y45" s="420">
        <f>$F$10*'Proposed Rates'!$K$254</f>
        <v>45</v>
      </c>
      <c r="Z45" s="399">
        <f t="shared" si="59"/>
        <v>7.0650000000000004</v>
      </c>
      <c r="AA45" s="132"/>
      <c r="AB45" s="400">
        <f t="shared" si="13"/>
        <v>0</v>
      </c>
      <c r="AC45" s="401">
        <f t="shared" si="14"/>
        <v>0</v>
      </c>
      <c r="AD45" s="52"/>
      <c r="AE45" s="429">
        <f>VLOOKUP($B45,'Proposed Rates'!$D$252:$J$258,+AE$11-2,FALSE)</f>
        <v>0.157</v>
      </c>
      <c r="AF45" s="420">
        <f>$F$10*'Proposed Rates'!$K$254</f>
        <v>45</v>
      </c>
      <c r="AG45" s="399">
        <f t="shared" si="61"/>
        <v>7.0650000000000004</v>
      </c>
      <c r="AH45" s="132"/>
      <c r="AI45" s="400">
        <f t="shared" si="17"/>
        <v>0</v>
      </c>
      <c r="AJ45" s="401">
        <f t="shared" si="18"/>
        <v>0</v>
      </c>
      <c r="AK45" s="52"/>
      <c r="AL45" s="429">
        <f>VLOOKUP($B45,'Proposed Rates'!$D$252:$J$258,+AL$11-2,FALSE)</f>
        <v>0.157</v>
      </c>
      <c r="AM45" s="420">
        <f>$F$10*'Proposed Rates'!$K$254</f>
        <v>45</v>
      </c>
      <c r="AN45" s="399">
        <f t="shared" si="63"/>
        <v>7.0650000000000004</v>
      </c>
      <c r="AO45" s="132"/>
      <c r="AP45" s="400">
        <f t="shared" si="36"/>
        <v>0</v>
      </c>
      <c r="AQ45" s="401">
        <f t="shared" si="37"/>
        <v>0</v>
      </c>
      <c r="AR45" s="402"/>
    </row>
    <row r="46" spans="1:44" ht="12.75" customHeight="1">
      <c r="A46" s="52"/>
      <c r="B46" s="52" t="s">
        <v>268</v>
      </c>
      <c r="C46" s="394" t="str">
        <f t="shared" si="51"/>
        <v>Residential.TOU - On Peak</v>
      </c>
      <c r="D46" s="395" t="s">
        <v>312</v>
      </c>
      <c r="E46" s="321"/>
      <c r="F46" s="429">
        <f>VLOOKUP($B46,'Proposed Rates'!$D$252:$J$258,+F$11-2,FALSE)</f>
        <v>0.20300000000000001</v>
      </c>
      <c r="G46" s="420">
        <f>$F$10*'Proposed Rates'!$K$255</f>
        <v>45</v>
      </c>
      <c r="H46" s="399">
        <f t="shared" si="53"/>
        <v>9.1349999999999998</v>
      </c>
      <c r="I46" s="132"/>
      <c r="J46" s="429">
        <f>VLOOKUP($B46,'Proposed Rates'!$D$252:$J$258,+J$11-2,FALSE)</f>
        <v>0.20300000000000001</v>
      </c>
      <c r="K46" s="420">
        <f>$F$10*'Proposed Rates'!$K$255</f>
        <v>45</v>
      </c>
      <c r="L46" s="399">
        <f t="shared" si="55"/>
        <v>9.1349999999999998</v>
      </c>
      <c r="M46" s="132"/>
      <c r="N46" s="400">
        <f t="shared" si="5"/>
        <v>0</v>
      </c>
      <c r="O46" s="401">
        <f t="shared" si="6"/>
        <v>0</v>
      </c>
      <c r="P46" s="52"/>
      <c r="Q46" s="429">
        <f>VLOOKUP($B46,'Proposed Rates'!$D$252:$J$258,+Q$11-2,FALSE)</f>
        <v>0.20300000000000001</v>
      </c>
      <c r="R46" s="420">
        <f>$F$10*'Proposed Rates'!$K$255</f>
        <v>45</v>
      </c>
      <c r="S46" s="399">
        <f t="shared" si="57"/>
        <v>9.1349999999999998</v>
      </c>
      <c r="T46" s="132"/>
      <c r="U46" s="400">
        <f t="shared" si="9"/>
        <v>0</v>
      </c>
      <c r="V46" s="401">
        <f t="shared" si="10"/>
        <v>0</v>
      </c>
      <c r="W46" s="52"/>
      <c r="X46" s="429">
        <f>VLOOKUP($B46,'Proposed Rates'!$D$252:$J$258,+X$11-2,FALSE)</f>
        <v>0.20300000000000001</v>
      </c>
      <c r="Y46" s="420">
        <f>$F$10*'Proposed Rates'!$K$255</f>
        <v>45</v>
      </c>
      <c r="Z46" s="399">
        <f t="shared" si="59"/>
        <v>9.1349999999999998</v>
      </c>
      <c r="AA46" s="132"/>
      <c r="AB46" s="400">
        <f t="shared" si="13"/>
        <v>0</v>
      </c>
      <c r="AC46" s="401">
        <f t="shared" si="14"/>
        <v>0</v>
      </c>
      <c r="AD46" s="52"/>
      <c r="AE46" s="429">
        <f>VLOOKUP($B46,'Proposed Rates'!$D$252:$J$258,+AE$11-2,FALSE)</f>
        <v>0.20300000000000001</v>
      </c>
      <c r="AF46" s="420">
        <f>$F$10*'Proposed Rates'!$K$255</f>
        <v>45</v>
      </c>
      <c r="AG46" s="399">
        <f t="shared" si="61"/>
        <v>9.1349999999999998</v>
      </c>
      <c r="AH46" s="132"/>
      <c r="AI46" s="400">
        <f t="shared" si="17"/>
        <v>0</v>
      </c>
      <c r="AJ46" s="401">
        <f t="shared" si="18"/>
        <v>0</v>
      </c>
      <c r="AK46" s="52"/>
      <c r="AL46" s="429">
        <f>VLOOKUP($B46,'Proposed Rates'!$D$252:$J$258,+AL$11-2,FALSE)</f>
        <v>0.20300000000000001</v>
      </c>
      <c r="AM46" s="420">
        <f>$F$10*'Proposed Rates'!$K$255</f>
        <v>45</v>
      </c>
      <c r="AN46" s="399">
        <f t="shared" si="63"/>
        <v>9.1349999999999998</v>
      </c>
      <c r="AO46" s="132"/>
      <c r="AP46" s="400">
        <f t="shared" si="36"/>
        <v>0</v>
      </c>
      <c r="AQ46" s="401">
        <f t="shared" si="37"/>
        <v>0</v>
      </c>
      <c r="AR46" s="402"/>
    </row>
    <row r="47" spans="1:44" ht="12.75" customHeight="1">
      <c r="A47" s="52"/>
      <c r="B47" s="321" t="s">
        <v>269</v>
      </c>
      <c r="C47" s="394" t="str">
        <f t="shared" si="51"/>
        <v>Residential.Energy - RPP - Tier 1</v>
      </c>
      <c r="D47" s="395" t="s">
        <v>312</v>
      </c>
      <c r="E47" s="321"/>
      <c r="F47" s="429">
        <f>VLOOKUP($B47,'Proposed Rates'!$D$252:$J$258,+F$11-2,FALSE)</f>
        <v>0.12</v>
      </c>
      <c r="G47" s="430">
        <f>IF(AND($S$2=1, $F$10&gt;=600), 600, IF(AND($S$2=1, AND($F$10&lt;600, $F$10&gt;=0)), $F$10, IF(AND($S$2=2, $F$10&gt;=1000), 1000, IF(AND($S$2=2, AND($F$10&lt;1000, $F$10&gt;=0)), $F$10))))</f>
        <v>250</v>
      </c>
      <c r="H47" s="399">
        <f t="shared" si="53"/>
        <v>30</v>
      </c>
      <c r="I47" s="132"/>
      <c r="J47" s="429">
        <f>VLOOKUP($B47,'Proposed Rates'!$D$252:$J$258,+J$11-2,FALSE)</f>
        <v>0.12</v>
      </c>
      <c r="K47" s="430">
        <f>IF(AND($S$2=1, $F$10&gt;=600), 600, IF(AND($S$2=1, AND($F$10&lt;600, $F$10&gt;=0)), $F$10, IF(AND($S$2=2, $F$10&gt;=1000), 1000, IF(AND($S$2=2, AND($F$10&lt;1000, $F$10&gt;=0)), $F$10))))</f>
        <v>250</v>
      </c>
      <c r="L47" s="399">
        <f t="shared" si="55"/>
        <v>30</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250</v>
      </c>
      <c r="S47" s="399">
        <f t="shared" si="57"/>
        <v>30</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250</v>
      </c>
      <c r="Z47" s="399">
        <f t="shared" si="59"/>
        <v>30</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250</v>
      </c>
      <c r="AG47" s="399">
        <f t="shared" si="61"/>
        <v>30</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250</v>
      </c>
      <c r="AN47" s="399">
        <f t="shared" si="63"/>
        <v>30</v>
      </c>
      <c r="AO47" s="132"/>
      <c r="AP47" s="400">
        <f t="shared" si="36"/>
        <v>0</v>
      </c>
      <c r="AQ47" s="401">
        <f t="shared" si="37"/>
        <v>0</v>
      </c>
      <c r="AR47" s="402"/>
    </row>
    <row r="48" spans="1:44" ht="12.75" customHeight="1">
      <c r="A48" s="52"/>
      <c r="B48" s="321" t="s">
        <v>270</v>
      </c>
      <c r="C48" s="394" t="str">
        <f t="shared" si="51"/>
        <v>Residential.Energy - RPP - Tier 2</v>
      </c>
      <c r="D48" s="395" t="s">
        <v>312</v>
      </c>
      <c r="E48" s="321"/>
      <c r="F48" s="429">
        <f>VLOOKUP($B48,'Proposed Rates'!$D$252:$J$258,+F$11-2,FALSE)</f>
        <v>0.14199999999999999</v>
      </c>
      <c r="G48" s="432">
        <f>IF(AND($S$2=1, $F$10&gt;=600), $F$10-600, IF(AND($S$2=1, AND($F$10&lt;600, $F$10&gt;=0)), 0, IF(AND($S$2=2, $F$10&gt;=1000), $F$10-1000, IF(AND($S$2=2, AND($F$10&lt;1000, $F$10&gt;=0)), 0))))</f>
        <v>0</v>
      </c>
      <c r="H48" s="399">
        <f t="shared" si="53"/>
        <v>0</v>
      </c>
      <c r="I48" s="132"/>
      <c r="J48" s="429">
        <f>VLOOKUP($B48,'Proposed Rates'!$D$252:$J$258,+J$11-2,FALSE)</f>
        <v>0.14199999999999999</v>
      </c>
      <c r="K48" s="432">
        <f>IF(AND($S$2=1, $F$10&gt;=600), $F$10-600, IF(AND($S$2=1, AND($F$10&lt;600, $F$10&gt;=0)), 0, IF(AND($S$2=2, $F$10&gt;=1000), $F$10-1000, IF(AND($S$2=2, AND($F$10&lt;1000, $F$10&gt;=0)), 0))))</f>
        <v>0</v>
      </c>
      <c r="L48" s="399">
        <f t="shared" si="55"/>
        <v>0</v>
      </c>
      <c r="M48" s="132"/>
      <c r="N48" s="400">
        <f t="shared" si="5"/>
        <v>0</v>
      </c>
      <c r="O48" s="401" t="str">
        <f t="shared" si="6"/>
        <v/>
      </c>
      <c r="P48" s="52"/>
      <c r="Q48" s="429">
        <f>VLOOKUP($B48,'Proposed Rates'!$D$252:$J$258,+Q$11-2,FALSE)</f>
        <v>0.14199999999999999</v>
      </c>
      <c r="R48" s="432">
        <f>IF(AND($S$2=1, $F$10&gt;=600), $F$10-600, IF(AND($S$2=1, AND($F$10&lt;600, $F$10&gt;=0)), 0, IF(AND($S$2=2, $F$10&gt;=1000), $F$10-1000, IF(AND($S$2=2, AND($F$10&lt;1000, $F$10&gt;=0)), 0))))</f>
        <v>0</v>
      </c>
      <c r="S48" s="399">
        <f t="shared" si="57"/>
        <v>0</v>
      </c>
      <c r="T48" s="132"/>
      <c r="U48" s="400">
        <f t="shared" si="9"/>
        <v>0</v>
      </c>
      <c r="V48" s="401" t="str">
        <f t="shared" si="10"/>
        <v/>
      </c>
      <c r="W48" s="52"/>
      <c r="X48" s="429">
        <f>VLOOKUP($B48,'Proposed Rates'!$D$252:$J$258,+X$11-2,FALSE)</f>
        <v>0.14199999999999999</v>
      </c>
      <c r="Y48" s="432">
        <f>IF(AND($S$2=1, $F$10&gt;=600), $F$10-600, IF(AND($S$2=1, AND($F$10&lt;600, $F$10&gt;=0)), 0, IF(AND($S$2=2, $F$10&gt;=1000), $F$10-1000, IF(AND($S$2=2, AND($F$10&lt;1000, $F$10&gt;=0)), 0))))</f>
        <v>0</v>
      </c>
      <c r="Z48" s="399">
        <f t="shared" si="59"/>
        <v>0</v>
      </c>
      <c r="AA48" s="132"/>
      <c r="AB48" s="400">
        <f t="shared" si="13"/>
        <v>0</v>
      </c>
      <c r="AC48" s="401" t="str">
        <f t="shared" si="14"/>
        <v/>
      </c>
      <c r="AD48" s="52"/>
      <c r="AE48" s="429">
        <f>VLOOKUP($B48,'Proposed Rates'!$D$252:$J$258,+AE$11-2,FALSE)</f>
        <v>0.14199999999999999</v>
      </c>
      <c r="AF48" s="432">
        <f>IF(AND($S$2=1, $F$10&gt;=600), $F$10-600, IF(AND($S$2=1, AND($F$10&lt;600, $F$10&gt;=0)), 0, IF(AND($S$2=2, $F$10&gt;=1000), $F$10-1000, IF(AND($S$2=2, AND($F$10&lt;1000, $F$10&gt;=0)), 0))))</f>
        <v>0</v>
      </c>
      <c r="AG48" s="399">
        <f t="shared" si="61"/>
        <v>0</v>
      </c>
      <c r="AH48" s="132"/>
      <c r="AI48" s="400">
        <f t="shared" si="17"/>
        <v>0</v>
      </c>
      <c r="AJ48" s="401" t="str">
        <f t="shared" si="18"/>
        <v/>
      </c>
      <c r="AK48" s="52"/>
      <c r="AL48" s="429">
        <f>VLOOKUP($B48,'Proposed Rates'!$D$252:$J$258,+AL$11-2,FALSE)</f>
        <v>0.14199999999999999</v>
      </c>
      <c r="AM48" s="432">
        <f>IF(AND($S$2=1, $F$10&gt;=600), $F$10-600, IF(AND($S$2=1, AND($F$10&lt;600, $F$10&gt;=0)), 0, IF(AND($S$2=2, $F$10&gt;=1000), $F$10-1000, IF(AND($S$2=2, AND($F$10&lt;1000, $F$10&gt;=0)), 0))))</f>
        <v>0</v>
      </c>
      <c r="AN48" s="399">
        <f t="shared" si="63"/>
        <v>0</v>
      </c>
      <c r="AO48" s="132"/>
      <c r="AP48" s="400">
        <f t="shared" si="36"/>
        <v>0</v>
      </c>
      <c r="AQ48" s="401" t="str">
        <f t="shared" si="37"/>
        <v/>
      </c>
      <c r="AR48" s="402"/>
    </row>
    <row r="49" spans="1:44" ht="8.25"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75" customHeight="1">
      <c r="A50" s="52"/>
      <c r="B50" s="443" t="s">
        <v>319</v>
      </c>
      <c r="C50" s="321"/>
      <c r="D50" s="321"/>
      <c r="E50" s="321"/>
      <c r="F50" s="444"/>
      <c r="G50" s="488"/>
      <c r="H50" s="446">
        <f>SUM(H41:H46,H40)</f>
        <v>74.818476500000003</v>
      </c>
      <c r="I50" s="481"/>
      <c r="J50" s="444"/>
      <c r="K50" s="445"/>
      <c r="L50" s="446">
        <f>SUM(L41:L46,L40)</f>
        <v>80.564766999999989</v>
      </c>
      <c r="M50" s="448"/>
      <c r="N50" s="447">
        <f t="shared" ref="N50:N54" si="64">L50-H50</f>
        <v>5.7462904999999864</v>
      </c>
      <c r="O50" s="449">
        <f t="shared" ref="O50:O54" si="65">IF((H50)=0,"",(N50/H50))</f>
        <v>7.6803094219647552E-2</v>
      </c>
      <c r="P50" s="52"/>
      <c r="Q50" s="445"/>
      <c r="R50" s="445"/>
      <c r="S50" s="447">
        <f>SUM(S41:S46,S40)</f>
        <v>83.214766999999995</v>
      </c>
      <c r="T50" s="448"/>
      <c r="U50" s="447">
        <f t="shared" ref="U50:U54" si="66">S50-L50</f>
        <v>2.6500000000000057</v>
      </c>
      <c r="V50" s="449">
        <f t="shared" ref="V50:V54" si="67">IF((L50)=0,"",(U50/L50))</f>
        <v>3.289279046757506E-2</v>
      </c>
      <c r="W50" s="52"/>
      <c r="X50" s="445"/>
      <c r="Y50" s="445"/>
      <c r="Z50" s="447">
        <f>SUM(Z41:Z46,Z40)</f>
        <v>86.057349999999985</v>
      </c>
      <c r="AA50" s="448"/>
      <c r="AB50" s="447">
        <f t="shared" ref="AB50:AB54" si="68">Z50-S50</f>
        <v>2.8425829999999905</v>
      </c>
      <c r="AC50" s="449">
        <f t="shared" ref="AC50:AC54" si="69">IF((S50)=0,"",(AB50/S50))</f>
        <v>3.4159598139594509E-2</v>
      </c>
      <c r="AD50" s="52"/>
      <c r="AE50" s="445"/>
      <c r="AF50" s="445"/>
      <c r="AG50" s="447">
        <f>SUM(AG41:AG46,AG40)</f>
        <v>87.577349999999996</v>
      </c>
      <c r="AH50" s="448"/>
      <c r="AI50" s="447">
        <f t="shared" ref="AI50:AI54" si="70">AG50-Z50</f>
        <v>1.5200000000000102</v>
      </c>
      <c r="AJ50" s="449">
        <f t="shared" ref="AJ50:AJ54" si="71">IF((Z50)=0,"",(AI50/Z50))</f>
        <v>1.7662640088266842E-2</v>
      </c>
      <c r="AK50" s="52"/>
      <c r="AL50" s="445"/>
      <c r="AM50" s="445"/>
      <c r="AN50" s="447">
        <f>SUM(AN41:AN46,AN40)</f>
        <v>88.967349999999982</v>
      </c>
      <c r="AO50" s="448"/>
      <c r="AP50" s="447">
        <f t="shared" ref="AP50:AP54" si="72">AN50-AG50</f>
        <v>1.3899999999999864</v>
      </c>
      <c r="AQ50" s="449">
        <f t="shared" ref="AQ50:AQ54" si="73">IF((AG50)=0,"",(AP50/AG50))</f>
        <v>1.587168371730803E-2</v>
      </c>
      <c r="AR50" s="450"/>
    </row>
    <row r="51" spans="1:44" ht="12.75" customHeight="1">
      <c r="A51" s="52"/>
      <c r="B51" s="451" t="s">
        <v>320</v>
      </c>
      <c r="C51" s="321"/>
      <c r="D51" s="321"/>
      <c r="E51" s="321"/>
      <c r="F51" s="444">
        <v>0.13</v>
      </c>
      <c r="G51" s="132"/>
      <c r="H51" s="489">
        <f>H50*F51</f>
        <v>9.726401945000001</v>
      </c>
      <c r="I51" s="416"/>
      <c r="J51" s="444">
        <v>0.13</v>
      </c>
      <c r="K51" s="416"/>
      <c r="L51" s="399">
        <f>L50*J51</f>
        <v>10.473419709999998</v>
      </c>
      <c r="M51" s="132"/>
      <c r="N51" s="400">
        <f t="shared" si="64"/>
        <v>0.74701776499999717</v>
      </c>
      <c r="O51" s="401">
        <f t="shared" si="65"/>
        <v>7.6803094219647441E-2</v>
      </c>
      <c r="P51" s="52"/>
      <c r="Q51" s="452">
        <v>0.13</v>
      </c>
      <c r="R51" s="416"/>
      <c r="S51" s="399">
        <f>S50*Q51</f>
        <v>10.81791971</v>
      </c>
      <c r="T51" s="132"/>
      <c r="U51" s="400">
        <f t="shared" si="66"/>
        <v>0.3445000000000018</v>
      </c>
      <c r="V51" s="401">
        <f t="shared" si="67"/>
        <v>3.2892790467575164E-2</v>
      </c>
      <c r="W51" s="52"/>
      <c r="X51" s="452">
        <v>0.13</v>
      </c>
      <c r="Y51" s="416"/>
      <c r="Z51" s="399">
        <f>Z50*X51</f>
        <v>11.187455499999999</v>
      </c>
      <c r="AA51" s="132"/>
      <c r="AB51" s="400">
        <f t="shared" si="68"/>
        <v>0.3695357899999987</v>
      </c>
      <c r="AC51" s="401">
        <f t="shared" si="69"/>
        <v>3.4159598139594502E-2</v>
      </c>
      <c r="AD51" s="52"/>
      <c r="AE51" s="452">
        <v>0.13</v>
      </c>
      <c r="AF51" s="416"/>
      <c r="AG51" s="399">
        <f>AG50*AE51</f>
        <v>11.3850555</v>
      </c>
      <c r="AH51" s="132"/>
      <c r="AI51" s="400">
        <f t="shared" si="70"/>
        <v>0.19760000000000133</v>
      </c>
      <c r="AJ51" s="401">
        <f t="shared" si="71"/>
        <v>1.7662640088266842E-2</v>
      </c>
      <c r="AK51" s="52"/>
      <c r="AL51" s="452">
        <v>0.13</v>
      </c>
      <c r="AM51" s="416"/>
      <c r="AN51" s="399">
        <f>AN50*AL51</f>
        <v>11.565755499999998</v>
      </c>
      <c r="AO51" s="132"/>
      <c r="AP51" s="400">
        <f t="shared" si="72"/>
        <v>0.18069999999999808</v>
      </c>
      <c r="AQ51" s="401">
        <f t="shared" si="73"/>
        <v>1.5871683717308016E-2</v>
      </c>
      <c r="AR51" s="402"/>
    </row>
    <row r="52" spans="1:44" ht="12.75" customHeight="1">
      <c r="A52" s="52"/>
      <c r="B52" s="490" t="s">
        <v>342</v>
      </c>
      <c r="C52" s="321"/>
      <c r="D52" s="321"/>
      <c r="E52" s="321"/>
      <c r="F52" s="454"/>
      <c r="G52" s="132"/>
      <c r="H52" s="489">
        <f>H50+H51</f>
        <v>84.544878445000009</v>
      </c>
      <c r="I52" s="416"/>
      <c r="J52" s="454"/>
      <c r="K52" s="416"/>
      <c r="L52" s="399">
        <f>L50+L51</f>
        <v>91.038186709999991</v>
      </c>
      <c r="M52" s="132"/>
      <c r="N52" s="400">
        <f t="shared" si="64"/>
        <v>6.4933082649999818</v>
      </c>
      <c r="O52" s="401">
        <f t="shared" si="65"/>
        <v>7.6803094219647511E-2</v>
      </c>
      <c r="P52" s="52"/>
      <c r="Q52" s="416"/>
      <c r="R52" s="416"/>
      <c r="S52" s="399">
        <f>S50+S51</f>
        <v>94.032686709999993</v>
      </c>
      <c r="T52" s="132"/>
      <c r="U52" s="400">
        <f t="shared" si="66"/>
        <v>2.9945000000000022</v>
      </c>
      <c r="V52" s="401">
        <f t="shared" si="67"/>
        <v>3.2892790467575019E-2</v>
      </c>
      <c r="W52" s="52"/>
      <c r="X52" s="416"/>
      <c r="Y52" s="416"/>
      <c r="Z52" s="399">
        <f>Z50+Z51</f>
        <v>97.244805499999984</v>
      </c>
      <c r="AA52" s="132"/>
      <c r="AB52" s="400">
        <f t="shared" si="68"/>
        <v>3.212118789999991</v>
      </c>
      <c r="AC52" s="401">
        <f t="shared" si="69"/>
        <v>3.415959813959453E-2</v>
      </c>
      <c r="AD52" s="52"/>
      <c r="AE52" s="416"/>
      <c r="AF52" s="416"/>
      <c r="AG52" s="399">
        <f>AG50+AG51</f>
        <v>98.962405499999988</v>
      </c>
      <c r="AH52" s="132"/>
      <c r="AI52" s="400">
        <f t="shared" si="70"/>
        <v>1.7176000000000045</v>
      </c>
      <c r="AJ52" s="401">
        <f t="shared" si="71"/>
        <v>1.7662640088266769E-2</v>
      </c>
      <c r="AK52" s="52"/>
      <c r="AL52" s="416"/>
      <c r="AM52" s="416"/>
      <c r="AN52" s="399">
        <f>AN50+AN51</f>
        <v>100.53310549999998</v>
      </c>
      <c r="AO52" s="132"/>
      <c r="AP52" s="400">
        <f t="shared" si="72"/>
        <v>1.570699999999988</v>
      </c>
      <c r="AQ52" s="401">
        <f t="shared" si="73"/>
        <v>1.5871683717308065E-2</v>
      </c>
      <c r="AR52" s="402"/>
    </row>
    <row r="53" spans="1:44" ht="15.75" customHeight="1">
      <c r="A53" s="52"/>
      <c r="B53" s="632" t="s">
        <v>277</v>
      </c>
      <c r="C53" s="623"/>
      <c r="D53" s="623"/>
      <c r="E53" s="321"/>
      <c r="F53" s="455">
        <f>'Proposed Rates'!E290</f>
        <v>0.23499999999999999</v>
      </c>
      <c r="G53" s="132"/>
      <c r="H53" s="491">
        <f>F53*H50</f>
        <v>17.5823419775</v>
      </c>
      <c r="I53" s="416"/>
      <c r="J53" s="455">
        <f>'Proposed Rates'!F290</f>
        <v>0.23499999999999999</v>
      </c>
      <c r="K53" s="416"/>
      <c r="L53" s="456">
        <f>J53*L50</f>
        <v>18.932720244999995</v>
      </c>
      <c r="M53" s="132"/>
      <c r="N53" s="456">
        <f t="shared" si="64"/>
        <v>1.3503782674999947</v>
      </c>
      <c r="O53" s="458">
        <f t="shared" si="65"/>
        <v>7.6803094219647428E-2</v>
      </c>
      <c r="P53" s="52"/>
      <c r="Q53" s="457">
        <f>'Proposed Rates'!G290</f>
        <v>0.23499999999999999</v>
      </c>
      <c r="R53" s="416"/>
      <c r="S53" s="456">
        <f>Q53*S50</f>
        <v>19.555470244999999</v>
      </c>
      <c r="T53" s="132"/>
      <c r="U53" s="456">
        <f t="shared" si="66"/>
        <v>0.62275000000000347</v>
      </c>
      <c r="V53" s="458">
        <f t="shared" si="67"/>
        <v>3.2892790467575178E-2</v>
      </c>
      <c r="W53" s="52"/>
      <c r="X53" s="457">
        <f>'Proposed Rates'!H290</f>
        <v>0.23499999999999999</v>
      </c>
      <c r="Y53" s="416"/>
      <c r="Z53" s="456">
        <f>X53*Z50</f>
        <v>20.223477249999995</v>
      </c>
      <c r="AA53" s="132"/>
      <c r="AB53" s="456">
        <f t="shared" si="68"/>
        <v>0.66800700499999621</v>
      </c>
      <c r="AC53" s="458">
        <f t="shared" si="69"/>
        <v>3.4159598139594433E-2</v>
      </c>
      <c r="AD53" s="52"/>
      <c r="AE53" s="457">
        <f>'Proposed Rates'!I290</f>
        <v>0.23499999999999999</v>
      </c>
      <c r="AF53" s="416"/>
      <c r="AG53" s="456">
        <f>AE53*AG50</f>
        <v>20.580677249999997</v>
      </c>
      <c r="AH53" s="132"/>
      <c r="AI53" s="456">
        <f t="shared" si="70"/>
        <v>0.3572000000000024</v>
      </c>
      <c r="AJ53" s="458">
        <f t="shared" si="71"/>
        <v>1.7662640088266842E-2</v>
      </c>
      <c r="AK53" s="52"/>
      <c r="AL53" s="457">
        <f>'Proposed Rates'!J290</f>
        <v>0.23499999999999999</v>
      </c>
      <c r="AM53" s="416"/>
      <c r="AN53" s="456">
        <f>AL53*AN50</f>
        <v>20.907327249999994</v>
      </c>
      <c r="AO53" s="132"/>
      <c r="AP53" s="456">
        <f t="shared" si="72"/>
        <v>0.32664999999999722</v>
      </c>
      <c r="AQ53" s="458">
        <f t="shared" si="73"/>
        <v>1.5871683717308051E-2</v>
      </c>
      <c r="AR53" s="459"/>
    </row>
    <row r="54" spans="1:44" ht="12.75" customHeight="1">
      <c r="A54" s="52"/>
      <c r="B54" s="634" t="s">
        <v>322</v>
      </c>
      <c r="C54" s="615"/>
      <c r="D54" s="615"/>
      <c r="E54" s="460"/>
      <c r="F54" s="461"/>
      <c r="G54" s="492"/>
      <c r="H54" s="493">
        <f>H52-H53</f>
        <v>66.962536467500001</v>
      </c>
      <c r="I54" s="462"/>
      <c r="J54" s="461"/>
      <c r="K54" s="462"/>
      <c r="L54" s="463">
        <f>L52-L53</f>
        <v>72.105466464999992</v>
      </c>
      <c r="M54" s="464"/>
      <c r="N54" s="465">
        <f t="shared" si="64"/>
        <v>5.1429299974999907</v>
      </c>
      <c r="O54" s="466">
        <f t="shared" si="65"/>
        <v>7.6803094219647594E-2</v>
      </c>
      <c r="P54" s="52"/>
      <c r="Q54" s="462"/>
      <c r="R54" s="462"/>
      <c r="S54" s="463">
        <f>S52-S53</f>
        <v>74.477216464999998</v>
      </c>
      <c r="T54" s="464"/>
      <c r="U54" s="465">
        <f t="shared" si="66"/>
        <v>2.3717500000000058</v>
      </c>
      <c r="V54" s="466">
        <f t="shared" si="67"/>
        <v>3.2892790467575074E-2</v>
      </c>
      <c r="W54" s="52"/>
      <c r="X54" s="462"/>
      <c r="Y54" s="462"/>
      <c r="Z54" s="463">
        <f>Z52-Z53</f>
        <v>77.021328249999982</v>
      </c>
      <c r="AA54" s="464"/>
      <c r="AB54" s="465">
        <f t="shared" si="68"/>
        <v>2.5441117849999841</v>
      </c>
      <c r="AC54" s="466">
        <f t="shared" si="69"/>
        <v>3.4159598139594412E-2</v>
      </c>
      <c r="AD54" s="52"/>
      <c r="AE54" s="462"/>
      <c r="AF54" s="462"/>
      <c r="AG54" s="463">
        <f>AG52-AG53</f>
        <v>78.381728249999995</v>
      </c>
      <c r="AH54" s="464"/>
      <c r="AI54" s="465">
        <f t="shared" si="70"/>
        <v>1.3604000000000127</v>
      </c>
      <c r="AJ54" s="466">
        <f t="shared" si="71"/>
        <v>1.7662640088266891E-2</v>
      </c>
      <c r="AK54" s="52"/>
      <c r="AL54" s="462"/>
      <c r="AM54" s="462"/>
      <c r="AN54" s="463">
        <f>AN52-AN53</f>
        <v>79.625778249999982</v>
      </c>
      <c r="AO54" s="464"/>
      <c r="AP54" s="465">
        <f t="shared" si="72"/>
        <v>1.2440499999999872</v>
      </c>
      <c r="AQ54" s="466">
        <f t="shared" si="73"/>
        <v>1.5871683717308023E-2</v>
      </c>
      <c r="AR54" s="467"/>
    </row>
    <row r="55" spans="1:44" ht="8.25"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75" customHeight="1">
      <c r="A56" s="52"/>
      <c r="B56" s="443" t="s">
        <v>323</v>
      </c>
      <c r="C56" s="321"/>
      <c r="D56" s="321"/>
      <c r="E56" s="321"/>
      <c r="F56" s="444"/>
      <c r="G56" s="488"/>
      <c r="H56" s="446">
        <f>SUM(H47:H48,H40,H41:H43)</f>
        <v>72.938476500000007</v>
      </c>
      <c r="I56" s="481"/>
      <c r="J56" s="444"/>
      <c r="K56" s="445"/>
      <c r="L56" s="446">
        <f>SUM(L47:L48,L40,L41:L43)</f>
        <v>78.684766999999994</v>
      </c>
      <c r="M56" s="448"/>
      <c r="N56" s="447">
        <f t="shared" ref="N56:N60" si="74">L56-H56</f>
        <v>5.7462904999999864</v>
      </c>
      <c r="O56" s="449">
        <f t="shared" ref="O56:O60" si="75">IF((H56)=0,"",(N56/H56))</f>
        <v>7.878270531192115E-2</v>
      </c>
      <c r="P56" s="52"/>
      <c r="Q56" s="445"/>
      <c r="R56" s="445"/>
      <c r="S56" s="447">
        <f>SUM(S47:S48,S40,S41:S43)</f>
        <v>81.334766999999985</v>
      </c>
      <c r="T56" s="448"/>
      <c r="U56" s="447">
        <f t="shared" ref="U56:U60" si="76">S56-L56</f>
        <v>2.6499999999999915</v>
      </c>
      <c r="V56" s="449">
        <f t="shared" ref="V56:V60" si="77">IF((L56)=0,"",(U56/L56))</f>
        <v>3.3678691582069396E-2</v>
      </c>
      <c r="W56" s="52"/>
      <c r="X56" s="445"/>
      <c r="Y56" s="445"/>
      <c r="Z56" s="447">
        <f>SUM(Z47:Z48,Z40,Z41:Z43)</f>
        <v>84.17734999999999</v>
      </c>
      <c r="AA56" s="448"/>
      <c r="AB56" s="447">
        <f t="shared" ref="AB56:AB60" si="78">Z56-S56</f>
        <v>2.8425830000000047</v>
      </c>
      <c r="AC56" s="449">
        <f t="shared" ref="AC56:AC60" si="79">IF((S56)=0,"",(AB56/S56))</f>
        <v>3.4949174932781268E-2</v>
      </c>
      <c r="AD56" s="52"/>
      <c r="AE56" s="445"/>
      <c r="AF56" s="445"/>
      <c r="AG56" s="447">
        <f>SUM(AG47:AG48,AG40,AG41:AG43)</f>
        <v>85.697349999999986</v>
      </c>
      <c r="AH56" s="448"/>
      <c r="AI56" s="447">
        <f t="shared" ref="AI56:AI60" si="80">AG56-Z56</f>
        <v>1.519999999999996</v>
      </c>
      <c r="AJ56" s="449">
        <f t="shared" ref="AJ56:AJ60" si="81">IF((Z56)=0,"",(AI56/Z56))</f>
        <v>1.8057113938606956E-2</v>
      </c>
      <c r="AK56" s="52"/>
      <c r="AL56" s="445"/>
      <c r="AM56" s="445"/>
      <c r="AN56" s="447">
        <f>SUM(AN47:AN48,AN40,AN41:AN43)</f>
        <v>87.087349999999986</v>
      </c>
      <c r="AO56" s="448"/>
      <c r="AP56" s="447">
        <f t="shared" ref="AP56:AP60" si="82">AN56-AG56</f>
        <v>1.3900000000000006</v>
      </c>
      <c r="AQ56" s="449">
        <f t="shared" ref="AQ56:AQ60" si="83">IF((AG56)=0,"",(AP56/AG56))</f>
        <v>1.6219871442932608E-2</v>
      </c>
      <c r="AR56" s="450"/>
    </row>
    <row r="57" spans="1:44" ht="12.75" customHeight="1">
      <c r="A57" s="52"/>
      <c r="B57" s="451" t="s">
        <v>320</v>
      </c>
      <c r="C57" s="321"/>
      <c r="D57" s="321"/>
      <c r="E57" s="321"/>
      <c r="F57" s="444">
        <v>0.13</v>
      </c>
      <c r="G57" s="488"/>
      <c r="H57" s="489">
        <f>H56*F57</f>
        <v>9.4820019450000022</v>
      </c>
      <c r="I57" s="416"/>
      <c r="J57" s="444">
        <v>0.13</v>
      </c>
      <c r="K57" s="452"/>
      <c r="L57" s="399">
        <f>L56*J57</f>
        <v>10.229019709999999</v>
      </c>
      <c r="M57" s="132"/>
      <c r="N57" s="400">
        <f t="shared" si="74"/>
        <v>0.74701776499999717</v>
      </c>
      <c r="O57" s="401">
        <f t="shared" si="75"/>
        <v>7.8782705311921025E-2</v>
      </c>
      <c r="P57" s="52"/>
      <c r="Q57" s="444">
        <v>0.13</v>
      </c>
      <c r="R57" s="452"/>
      <c r="S57" s="399">
        <f>S56*Q57</f>
        <v>10.573519709999998</v>
      </c>
      <c r="T57" s="132"/>
      <c r="U57" s="400">
        <f t="shared" si="76"/>
        <v>0.34449999999999825</v>
      </c>
      <c r="V57" s="401">
        <f t="shared" si="77"/>
        <v>3.3678691582069334E-2</v>
      </c>
      <c r="W57" s="52"/>
      <c r="X57" s="444">
        <v>0.13</v>
      </c>
      <c r="Y57" s="452"/>
      <c r="Z57" s="399">
        <f>Z56*X57</f>
        <v>10.9430555</v>
      </c>
      <c r="AA57" s="132"/>
      <c r="AB57" s="400">
        <f t="shared" si="78"/>
        <v>0.36953579000000225</v>
      </c>
      <c r="AC57" s="401">
        <f t="shared" si="79"/>
        <v>3.4949174932781428E-2</v>
      </c>
      <c r="AD57" s="52"/>
      <c r="AE57" s="444">
        <v>0.13</v>
      </c>
      <c r="AF57" s="452"/>
      <c r="AG57" s="399">
        <f>AG56*AE57</f>
        <v>11.140655499999999</v>
      </c>
      <c r="AH57" s="132"/>
      <c r="AI57" s="400">
        <f t="shared" si="80"/>
        <v>0.19759999999999955</v>
      </c>
      <c r="AJ57" s="401">
        <f t="shared" si="81"/>
        <v>1.8057113938606959E-2</v>
      </c>
      <c r="AK57" s="52"/>
      <c r="AL57" s="444">
        <v>0.13</v>
      </c>
      <c r="AM57" s="452"/>
      <c r="AN57" s="399">
        <f>AN56*AL57</f>
        <v>11.321355499999999</v>
      </c>
      <c r="AO57" s="132"/>
      <c r="AP57" s="400">
        <f t="shared" si="82"/>
        <v>0.18069999999999986</v>
      </c>
      <c r="AQ57" s="401">
        <f t="shared" si="83"/>
        <v>1.6219871442932587E-2</v>
      </c>
      <c r="AR57" s="402"/>
    </row>
    <row r="58" spans="1:44" ht="12.75" customHeight="1">
      <c r="A58" s="52"/>
      <c r="B58" s="490" t="s">
        <v>343</v>
      </c>
      <c r="C58" s="321"/>
      <c r="D58" s="321"/>
      <c r="E58" s="321"/>
      <c r="F58" s="454"/>
      <c r="G58" s="132"/>
      <c r="H58" s="489">
        <f>H56+H57</f>
        <v>82.420478445000015</v>
      </c>
      <c r="I58" s="416"/>
      <c r="J58" s="454"/>
      <c r="K58" s="416"/>
      <c r="L58" s="399">
        <f>L56+L57</f>
        <v>88.913786709999997</v>
      </c>
      <c r="M58" s="132"/>
      <c r="N58" s="400">
        <f t="shared" si="74"/>
        <v>6.4933082649999818</v>
      </c>
      <c r="O58" s="401">
        <f t="shared" si="75"/>
        <v>7.8782705311921108E-2</v>
      </c>
      <c r="P58" s="52"/>
      <c r="Q58" s="416"/>
      <c r="R58" s="416"/>
      <c r="S58" s="399">
        <f>S56+S57</f>
        <v>91.908286709999985</v>
      </c>
      <c r="T58" s="132"/>
      <c r="U58" s="400">
        <f t="shared" si="76"/>
        <v>2.9944999999999879</v>
      </c>
      <c r="V58" s="401">
        <f t="shared" si="77"/>
        <v>3.3678691582069369E-2</v>
      </c>
      <c r="W58" s="52"/>
      <c r="X58" s="416"/>
      <c r="Y58" s="416"/>
      <c r="Z58" s="399">
        <f>Z56+Z57</f>
        <v>95.12040549999999</v>
      </c>
      <c r="AA58" s="132"/>
      <c r="AB58" s="400">
        <f t="shared" si="78"/>
        <v>3.2121187900000052</v>
      </c>
      <c r="AC58" s="401">
        <f t="shared" si="79"/>
        <v>3.4949174932781268E-2</v>
      </c>
      <c r="AD58" s="52"/>
      <c r="AE58" s="416"/>
      <c r="AF58" s="416"/>
      <c r="AG58" s="399">
        <f>AG56+AG57</f>
        <v>96.83800549999998</v>
      </c>
      <c r="AH58" s="132"/>
      <c r="AI58" s="400">
        <f t="shared" si="80"/>
        <v>1.7175999999999902</v>
      </c>
      <c r="AJ58" s="401">
        <f t="shared" si="81"/>
        <v>1.80571139386069E-2</v>
      </c>
      <c r="AK58" s="52"/>
      <c r="AL58" s="416"/>
      <c r="AM58" s="416"/>
      <c r="AN58" s="399">
        <f>AN56+AN57</f>
        <v>98.408705499999982</v>
      </c>
      <c r="AO58" s="132"/>
      <c r="AP58" s="400">
        <f t="shared" si="82"/>
        <v>1.5707000000000022</v>
      </c>
      <c r="AQ58" s="401">
        <f t="shared" si="83"/>
        <v>1.6219871442932625E-2</v>
      </c>
      <c r="AR58" s="402"/>
    </row>
    <row r="59" spans="1:44" ht="15.75" customHeight="1">
      <c r="A59" s="52"/>
      <c r="B59" s="632" t="s">
        <v>277</v>
      </c>
      <c r="C59" s="623"/>
      <c r="D59" s="623"/>
      <c r="E59" s="321"/>
      <c r="F59" s="455">
        <f>F53</f>
        <v>0.23499999999999999</v>
      </c>
      <c r="G59" s="132"/>
      <c r="H59" s="491">
        <f>F59*H56</f>
        <v>17.1405419775</v>
      </c>
      <c r="I59" s="416"/>
      <c r="J59" s="455">
        <f>J53</f>
        <v>0.23499999999999999</v>
      </c>
      <c r="K59" s="416"/>
      <c r="L59" s="456">
        <f>J59*L56</f>
        <v>18.490920244999998</v>
      </c>
      <c r="M59" s="132"/>
      <c r="N59" s="456">
        <f t="shared" si="74"/>
        <v>1.3503782674999982</v>
      </c>
      <c r="O59" s="458">
        <f t="shared" si="75"/>
        <v>7.8782705311921233E-2</v>
      </c>
      <c r="P59" s="52"/>
      <c r="Q59" s="457">
        <f>Q53</f>
        <v>0.23499999999999999</v>
      </c>
      <c r="R59" s="416"/>
      <c r="S59" s="456">
        <f>Q59*S56</f>
        <v>19.113670244999994</v>
      </c>
      <c r="T59" s="132"/>
      <c r="U59" s="456">
        <f t="shared" si="76"/>
        <v>0.62274999999999636</v>
      </c>
      <c r="V59" s="458">
        <f t="shared" si="77"/>
        <v>3.3678691582069306E-2</v>
      </c>
      <c r="W59" s="52"/>
      <c r="X59" s="457">
        <f>X53</f>
        <v>0.23499999999999999</v>
      </c>
      <c r="Y59" s="416"/>
      <c r="Z59" s="456">
        <f>X59*Z56</f>
        <v>19.781677249999998</v>
      </c>
      <c r="AA59" s="132"/>
      <c r="AB59" s="456">
        <f t="shared" si="78"/>
        <v>0.66800700500000332</v>
      </c>
      <c r="AC59" s="458">
        <f t="shared" si="79"/>
        <v>3.4949174932781386E-2</v>
      </c>
      <c r="AD59" s="52"/>
      <c r="AE59" s="457">
        <f>AE53</f>
        <v>0.23499999999999999</v>
      </c>
      <c r="AF59" s="416"/>
      <c r="AG59" s="456">
        <f>AE59*AG56</f>
        <v>20.138877249999997</v>
      </c>
      <c r="AH59" s="132"/>
      <c r="AI59" s="456">
        <f t="shared" si="80"/>
        <v>0.35719999999999885</v>
      </c>
      <c r="AJ59" s="458">
        <f t="shared" si="81"/>
        <v>1.8057113938606945E-2</v>
      </c>
      <c r="AK59" s="52"/>
      <c r="AL59" s="457">
        <f>AL53</f>
        <v>0.23499999999999999</v>
      </c>
      <c r="AM59" s="416"/>
      <c r="AN59" s="456">
        <f>AL59*AN56</f>
        <v>20.465527249999997</v>
      </c>
      <c r="AO59" s="132"/>
      <c r="AP59" s="456">
        <f t="shared" si="82"/>
        <v>0.32665000000000077</v>
      </c>
      <c r="AQ59" s="458">
        <f t="shared" si="83"/>
        <v>1.6219871442932642E-2</v>
      </c>
      <c r="AR59" s="459"/>
    </row>
    <row r="60" spans="1:44" ht="12.75" customHeight="1">
      <c r="A60" s="52"/>
      <c r="B60" s="634" t="s">
        <v>325</v>
      </c>
      <c r="C60" s="615"/>
      <c r="D60" s="615"/>
      <c r="E60" s="460"/>
      <c r="F60" s="468"/>
      <c r="G60" s="494"/>
      <c r="H60" s="495">
        <f>H58-H59</f>
        <v>65.279936467500022</v>
      </c>
      <c r="I60" s="469"/>
      <c r="J60" s="468"/>
      <c r="K60" s="469"/>
      <c r="L60" s="470">
        <f>L58-L59</f>
        <v>70.422866464999998</v>
      </c>
      <c r="M60" s="471"/>
      <c r="N60" s="472">
        <f t="shared" si="74"/>
        <v>5.1429299974999765</v>
      </c>
      <c r="O60" s="473">
        <f t="shared" si="75"/>
        <v>7.8782705311920956E-2</v>
      </c>
      <c r="P60" s="52"/>
      <c r="Q60" s="469"/>
      <c r="R60" s="469"/>
      <c r="S60" s="470">
        <f>S58-S59</f>
        <v>72.79461646499999</v>
      </c>
      <c r="T60" s="471"/>
      <c r="U60" s="472">
        <f t="shared" si="76"/>
        <v>2.3717499999999916</v>
      </c>
      <c r="V60" s="473">
        <f t="shared" si="77"/>
        <v>3.3678691582069382E-2</v>
      </c>
      <c r="W60" s="52"/>
      <c r="X60" s="469"/>
      <c r="Y60" s="469"/>
      <c r="Z60" s="470">
        <f>Z58-Z59</f>
        <v>75.338728249999988</v>
      </c>
      <c r="AA60" s="471"/>
      <c r="AB60" s="472">
        <f t="shared" si="78"/>
        <v>2.5441117849999983</v>
      </c>
      <c r="AC60" s="473">
        <f t="shared" si="79"/>
        <v>3.4949174932781185E-2</v>
      </c>
      <c r="AD60" s="52"/>
      <c r="AE60" s="469"/>
      <c r="AF60" s="469"/>
      <c r="AG60" s="470">
        <f>AG58-AG59</f>
        <v>76.699128249999987</v>
      </c>
      <c r="AH60" s="471"/>
      <c r="AI60" s="472">
        <f t="shared" si="80"/>
        <v>1.3603999999999985</v>
      </c>
      <c r="AJ60" s="473">
        <f t="shared" si="81"/>
        <v>1.8057113938606983E-2</v>
      </c>
      <c r="AK60" s="52"/>
      <c r="AL60" s="469"/>
      <c r="AM60" s="469"/>
      <c r="AN60" s="470">
        <f>AN58-AN59</f>
        <v>77.943178249999988</v>
      </c>
      <c r="AO60" s="471"/>
      <c r="AP60" s="472">
        <f t="shared" si="82"/>
        <v>1.2440500000000014</v>
      </c>
      <c r="AQ60" s="473">
        <f t="shared" si="83"/>
        <v>1.6219871442932621E-2</v>
      </c>
      <c r="AR60" s="467"/>
    </row>
    <row r="61" spans="1:44" ht="8.25"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75"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75"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8" t="s">
        <v>344</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A00-000000000000}">
      <formula1>"TOU,non-TOU"</formula1>
    </dataValidation>
    <dataValidation type="list" allowBlank="1" showErrorMessage="1" sqref="E15:E28 E30:E36 E38:E39 E41:E49 E55 E61" xr:uid="{00000000-0002-0000-0A00-000001000000}">
      <formula1>#REF!</formula1>
    </dataValidation>
    <dataValidation type="list" allowBlank="1" showInputMessage="1" showErrorMessage="1" prompt="Select Charge Unit - monthly, per kWh, per kW" sqref="D15:D28 D30:D36 D38:D39 D41:D49 D55 D61" xr:uid="{00000000-0002-0000-0A00-000002000000}">
      <formula1>"Monthly,per kWh,per kW"</formula1>
    </dataValidation>
  </dataValidations>
  <pageMargins left="0.74803149606299213" right="0.74803149606299213" top="0.98425196850393704" bottom="0.98425196850393704"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row>
    <row r="2" spans="1:44" ht="18.75"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4" ht="18.75"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20" t="s">
        <v>298</v>
      </c>
      <c r="C6" s="52"/>
      <c r="D6" s="380"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2"/>
      <c r="D10" s="307" t="s">
        <v>301</v>
      </c>
      <c r="E10" s="307"/>
      <c r="F10" s="385">
        <v>500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4"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4"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4"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4" ht="12.75"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row>
    <row r="16" spans="1:44" ht="12.75"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500</v>
      </c>
      <c r="H17" s="399">
        <f t="shared" si="2"/>
        <v>0</v>
      </c>
      <c r="I17" s="132"/>
      <c r="J17" s="396">
        <f>IFERROR(VLOOKUP($C17,'Proposed Rates'!$B:$J,J$11,FALSE),0)</f>
        <v>0</v>
      </c>
      <c r="K17" s="397">
        <f t="shared" si="3"/>
        <v>500</v>
      </c>
      <c r="L17" s="399">
        <f t="shared" si="4"/>
        <v>0</v>
      </c>
      <c r="M17" s="132"/>
      <c r="N17" s="400">
        <f t="shared" si="5"/>
        <v>0</v>
      </c>
      <c r="O17" s="401" t="str">
        <f t="shared" si="6"/>
        <v/>
      </c>
      <c r="P17" s="52"/>
      <c r="Q17" s="396">
        <f>IFERROR(VLOOKUP($C17,'Proposed Rates'!$B:$J,Q$11,FALSE),0)</f>
        <v>0</v>
      </c>
      <c r="R17" s="397">
        <f t="shared" si="7"/>
        <v>500</v>
      </c>
      <c r="S17" s="399">
        <f t="shared" si="8"/>
        <v>0</v>
      </c>
      <c r="T17" s="132"/>
      <c r="U17" s="400">
        <f t="shared" si="9"/>
        <v>0</v>
      </c>
      <c r="V17" s="401" t="str">
        <f t="shared" si="10"/>
        <v/>
      </c>
      <c r="W17" s="52"/>
      <c r="X17" s="396">
        <f>IFERROR(VLOOKUP($C17,'Proposed Rates'!$B:$J,X$11,FALSE),0)</f>
        <v>0</v>
      </c>
      <c r="Y17" s="397">
        <f t="shared" si="11"/>
        <v>500</v>
      </c>
      <c r="Z17" s="399">
        <f t="shared" si="12"/>
        <v>0</v>
      </c>
      <c r="AA17" s="132"/>
      <c r="AB17" s="400">
        <f t="shared" si="13"/>
        <v>0</v>
      </c>
      <c r="AC17" s="401" t="str">
        <f t="shared" si="14"/>
        <v/>
      </c>
      <c r="AD17" s="52"/>
      <c r="AE17" s="396">
        <f>IFERROR(VLOOKUP($C17,'Proposed Rates'!$B:$J,AE$11,FALSE),0)</f>
        <v>0</v>
      </c>
      <c r="AF17" s="397">
        <f t="shared" si="15"/>
        <v>500</v>
      </c>
      <c r="AG17" s="399">
        <f t="shared" si="16"/>
        <v>0</v>
      </c>
      <c r="AH17" s="132"/>
      <c r="AI17" s="400">
        <f t="shared" si="17"/>
        <v>0</v>
      </c>
      <c r="AJ17" s="401" t="str">
        <f t="shared" si="18"/>
        <v/>
      </c>
      <c r="AK17" s="52"/>
      <c r="AL17" s="396">
        <f>IFERROR(VLOOKUP($C17,'Proposed Rates'!$B:$J,AL$11,FALSE),0)</f>
        <v>0</v>
      </c>
      <c r="AM17" s="397">
        <f t="shared" si="19"/>
        <v>500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row>
    <row r="19" spans="1:44" ht="12.75" customHeight="1">
      <c r="A19" s="52"/>
      <c r="B19" s="321" t="s">
        <v>59</v>
      </c>
      <c r="C19" s="394" t="str">
        <f t="shared" si="0"/>
        <v>Residential.Distribution Volumetric Rate</v>
      </c>
      <c r="D19" s="395" t="s">
        <v>312</v>
      </c>
      <c r="E19" s="321"/>
      <c r="F19" s="396">
        <f>IFERROR(VLOOKUP($C19,'Proposed Rates'!$B:$J,F$11,FALSE),0)</f>
        <v>0</v>
      </c>
      <c r="G19" s="397">
        <f t="shared" si="1"/>
        <v>500</v>
      </c>
      <c r="H19" s="399">
        <f t="shared" si="2"/>
        <v>0</v>
      </c>
      <c r="I19" s="132"/>
      <c r="J19" s="396">
        <f>IFERROR(VLOOKUP($C19,'Proposed Rates'!$B:$J,J$11,FALSE),0)</f>
        <v>0</v>
      </c>
      <c r="K19" s="397">
        <f t="shared" si="3"/>
        <v>500</v>
      </c>
      <c r="L19" s="399">
        <f t="shared" si="4"/>
        <v>0</v>
      </c>
      <c r="M19" s="132"/>
      <c r="N19" s="400">
        <f t="shared" si="5"/>
        <v>0</v>
      </c>
      <c r="O19" s="401" t="str">
        <f t="shared" si="6"/>
        <v/>
      </c>
      <c r="P19" s="52"/>
      <c r="Q19" s="396">
        <f>IFERROR(VLOOKUP($C19,'Proposed Rates'!$B:$J,Q$11,FALSE),0)</f>
        <v>0</v>
      </c>
      <c r="R19" s="397">
        <f t="shared" si="7"/>
        <v>500</v>
      </c>
      <c r="S19" s="399">
        <f t="shared" si="8"/>
        <v>0</v>
      </c>
      <c r="T19" s="132"/>
      <c r="U19" s="400">
        <f t="shared" si="9"/>
        <v>0</v>
      </c>
      <c r="V19" s="401" t="str">
        <f t="shared" si="10"/>
        <v/>
      </c>
      <c r="W19" s="52"/>
      <c r="X19" s="396">
        <f>IFERROR(VLOOKUP($C19,'Proposed Rates'!$B:$J,X$11,FALSE),0)</f>
        <v>0</v>
      </c>
      <c r="Y19" s="397">
        <f t="shared" si="11"/>
        <v>500</v>
      </c>
      <c r="Z19" s="399">
        <f t="shared" si="12"/>
        <v>0</v>
      </c>
      <c r="AA19" s="132"/>
      <c r="AB19" s="400">
        <f t="shared" si="13"/>
        <v>0</v>
      </c>
      <c r="AC19" s="401" t="str">
        <f t="shared" si="14"/>
        <v/>
      </c>
      <c r="AD19" s="52"/>
      <c r="AE19" s="396">
        <f>IFERROR(VLOOKUP($C19,'Proposed Rates'!$B:$J,AE$11,FALSE),0)</f>
        <v>0</v>
      </c>
      <c r="AF19" s="397">
        <f t="shared" si="15"/>
        <v>500</v>
      </c>
      <c r="AG19" s="399">
        <f t="shared" si="16"/>
        <v>0</v>
      </c>
      <c r="AH19" s="132"/>
      <c r="AI19" s="400">
        <f t="shared" si="17"/>
        <v>0</v>
      </c>
      <c r="AJ19" s="401" t="str">
        <f t="shared" si="18"/>
        <v/>
      </c>
      <c r="AK19" s="52"/>
      <c r="AL19" s="396">
        <f>IFERROR(VLOOKUP($C19,'Proposed Rates'!$B:$J,AL$11,FALSE),0)</f>
        <v>0</v>
      </c>
      <c r="AM19" s="397">
        <f t="shared" si="19"/>
        <v>500</v>
      </c>
      <c r="AN19" s="399">
        <f t="shared" si="20"/>
        <v>0</v>
      </c>
      <c r="AO19" s="132"/>
      <c r="AP19" s="400">
        <f t="shared" si="21"/>
        <v>0</v>
      </c>
      <c r="AQ19" s="401" t="str">
        <f t="shared" si="22"/>
        <v/>
      </c>
      <c r="AR19" s="402"/>
    </row>
    <row r="20" spans="1:44" ht="12.75" customHeight="1">
      <c r="A20" s="52"/>
      <c r="B20" s="321" t="s">
        <v>313</v>
      </c>
      <c r="C20" s="394" t="str">
        <f t="shared" si="0"/>
        <v>Residential.Smart Meter Disposition Rider</v>
      </c>
      <c r="D20" s="395" t="s">
        <v>312</v>
      </c>
      <c r="E20" s="321"/>
      <c r="F20" s="396">
        <f>IFERROR(VLOOKUP($C20,'Proposed Rates'!$B:$J,F$11,FALSE),0)</f>
        <v>0</v>
      </c>
      <c r="G20" s="397">
        <f t="shared" si="1"/>
        <v>500</v>
      </c>
      <c r="H20" s="399">
        <f t="shared" si="2"/>
        <v>0</v>
      </c>
      <c r="I20" s="132"/>
      <c r="J20" s="396">
        <f>IFERROR(VLOOKUP($C20,'Proposed Rates'!$B:$J,J$11,FALSE),0)</f>
        <v>0</v>
      </c>
      <c r="K20" s="397">
        <f t="shared" si="3"/>
        <v>500</v>
      </c>
      <c r="L20" s="399">
        <f t="shared" si="4"/>
        <v>0</v>
      </c>
      <c r="M20" s="132"/>
      <c r="N20" s="400">
        <f t="shared" si="5"/>
        <v>0</v>
      </c>
      <c r="O20" s="401" t="str">
        <f t="shared" si="6"/>
        <v/>
      </c>
      <c r="P20" s="52"/>
      <c r="Q20" s="396">
        <f>IFERROR(VLOOKUP($C20,'Proposed Rates'!$B:$J,Q$11,FALSE),0)</f>
        <v>0</v>
      </c>
      <c r="R20" s="397">
        <f t="shared" si="7"/>
        <v>500</v>
      </c>
      <c r="S20" s="399">
        <f t="shared" si="8"/>
        <v>0</v>
      </c>
      <c r="T20" s="132"/>
      <c r="U20" s="400">
        <f t="shared" si="9"/>
        <v>0</v>
      </c>
      <c r="V20" s="401" t="str">
        <f t="shared" si="10"/>
        <v/>
      </c>
      <c r="W20" s="52"/>
      <c r="X20" s="396">
        <f>IFERROR(VLOOKUP($C20,'Proposed Rates'!$B:$J,X$11,FALSE),0)</f>
        <v>0</v>
      </c>
      <c r="Y20" s="397">
        <f t="shared" si="11"/>
        <v>500</v>
      </c>
      <c r="Z20" s="399">
        <f t="shared" si="12"/>
        <v>0</v>
      </c>
      <c r="AA20" s="132"/>
      <c r="AB20" s="400">
        <f t="shared" si="13"/>
        <v>0</v>
      </c>
      <c r="AC20" s="401" t="str">
        <f t="shared" si="14"/>
        <v/>
      </c>
      <c r="AD20" s="52"/>
      <c r="AE20" s="396">
        <f>IFERROR(VLOOKUP($C20,'Proposed Rates'!$B:$J,AE$11,FALSE),0)</f>
        <v>0</v>
      </c>
      <c r="AF20" s="397">
        <f t="shared" si="15"/>
        <v>500</v>
      </c>
      <c r="AG20" s="399">
        <f t="shared" si="16"/>
        <v>0</v>
      </c>
      <c r="AH20" s="132"/>
      <c r="AI20" s="400">
        <f t="shared" si="17"/>
        <v>0</v>
      </c>
      <c r="AJ20" s="401" t="str">
        <f t="shared" si="18"/>
        <v/>
      </c>
      <c r="AK20" s="52"/>
      <c r="AL20" s="396">
        <f>IFERROR(VLOOKUP($C20,'Proposed Rates'!$B:$J,AL$11,FALSE),0)</f>
        <v>0</v>
      </c>
      <c r="AM20" s="397">
        <f t="shared" si="19"/>
        <v>500</v>
      </c>
      <c r="AN20" s="399">
        <f t="shared" si="20"/>
        <v>0</v>
      </c>
      <c r="AO20" s="132"/>
      <c r="AP20" s="400">
        <f t="shared" si="21"/>
        <v>0</v>
      </c>
      <c r="AQ20" s="401" t="str">
        <f t="shared" si="22"/>
        <v/>
      </c>
      <c r="AR20" s="402"/>
    </row>
    <row r="21" spans="1:44" ht="12.75"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row>
    <row r="22" spans="1:44" ht="12.75" customHeight="1">
      <c r="A22" s="52"/>
      <c r="B22" s="48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row>
    <row r="23" spans="1:44" ht="12.75"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row>
    <row r="24" spans="1:44" ht="12.75"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row>
    <row r="25" spans="1:44" ht="12.75"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row>
    <row r="26" spans="1:44" ht="12.75" customHeight="1">
      <c r="A26" s="52"/>
      <c r="B26" s="48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row>
    <row r="27" spans="1:44" ht="12.75"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row>
    <row r="28" spans="1:44" ht="12.75"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row>
    <row r="29" spans="1:44" ht="12.75" customHeight="1">
      <c r="A29" s="307"/>
      <c r="B29" s="404" t="s">
        <v>314</v>
      </c>
      <c r="C29" s="405"/>
      <c r="D29" s="405"/>
      <c r="E29" s="405"/>
      <c r="F29" s="406"/>
      <c r="G29" s="407"/>
      <c r="H29" s="408">
        <f>SUM(H15:H28)</f>
        <v>34.51</v>
      </c>
      <c r="I29" s="409"/>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307"/>
      <c r="AL29" s="406"/>
      <c r="AM29" s="407"/>
      <c r="AN29" s="408">
        <f>SUM(AN15:AN28)</f>
        <v>48.36</v>
      </c>
      <c r="AO29" s="409"/>
      <c r="AP29" s="410">
        <f t="shared" si="21"/>
        <v>1.3800000000000026</v>
      </c>
      <c r="AQ29" s="411">
        <f t="shared" si="22"/>
        <v>2.9374201787994946E-2</v>
      </c>
      <c r="AR29" s="412"/>
    </row>
    <row r="30" spans="1:44" ht="12.75"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500</v>
      </c>
      <c r="H30" s="399">
        <f t="shared" ref="H30:H36" si="25">G30*F30</f>
        <v>-0.1</v>
      </c>
      <c r="I30" s="132"/>
      <c r="J30" s="413">
        <f>IFERROR(VLOOKUP($C30,'Proposed Rates'!$B:$J,J$11,FALSE),0)</f>
        <v>-5.9999999999999995E-4</v>
      </c>
      <c r="K30" s="414">
        <f t="shared" ref="K30:K33" si="26">IF($D30="Monthly",1,IF($D30="per KWH",$F$10,0))</f>
        <v>500</v>
      </c>
      <c r="L30" s="415">
        <f t="shared" ref="L30:L36" si="27">K30*J30</f>
        <v>-0.3</v>
      </c>
      <c r="M30" s="132"/>
      <c r="N30" s="400">
        <f t="shared" si="5"/>
        <v>-0.19999999999999998</v>
      </c>
      <c r="O30" s="401">
        <f t="shared" si="6"/>
        <v>1.9999999999999998</v>
      </c>
      <c r="P30" s="52"/>
      <c r="Q30" s="413">
        <f>IFERROR(VLOOKUP($C30,'Proposed Rates'!$B:$J,Q$11,FALSE),0)</f>
        <v>0</v>
      </c>
      <c r="R30" s="414">
        <f t="shared" ref="R30:R33" si="28">IF($D30="Monthly",1,IF($D30="per KWH",$F$10,0))</f>
        <v>500</v>
      </c>
      <c r="S30" s="399">
        <f t="shared" ref="S30:S36" si="29">R30*Q30</f>
        <v>0</v>
      </c>
      <c r="T30" s="132"/>
      <c r="U30" s="400">
        <f t="shared" si="9"/>
        <v>0.3</v>
      </c>
      <c r="V30" s="401">
        <f t="shared" si="10"/>
        <v>-1</v>
      </c>
      <c r="W30" s="52"/>
      <c r="X30" s="413">
        <f>IFERROR(VLOOKUP($C30,'Proposed Rates'!$B:$J,X$11,FALSE),0)</f>
        <v>0</v>
      </c>
      <c r="Y30" s="414">
        <f t="shared" ref="Y30:Y33" si="30">IF($D30="Monthly",1,IF($D30="per KWH",$F$10,0))</f>
        <v>500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500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500</v>
      </c>
      <c r="AN30" s="399">
        <f t="shared" ref="AN30:AN36" si="35">AM30*AL30</f>
        <v>0</v>
      </c>
      <c r="AO30" s="132"/>
      <c r="AP30" s="400">
        <f t="shared" si="21"/>
        <v>0</v>
      </c>
      <c r="AQ30" s="401" t="str">
        <f t="shared" si="22"/>
        <v/>
      </c>
      <c r="AR30" s="402"/>
    </row>
    <row r="31" spans="1:44" ht="12.75" customHeight="1">
      <c r="A31" s="52"/>
      <c r="B31" s="483" t="s">
        <v>239</v>
      </c>
      <c r="C31" s="394" t="str">
        <f t="shared" si="23"/>
        <v>Residential.DVA Disposition Rate Rider Group 1 - 2024</v>
      </c>
      <c r="D31" s="395" t="s">
        <v>312</v>
      </c>
      <c r="E31" s="321"/>
      <c r="F31" s="413">
        <f>IFERROR(VLOOKUP($C31,'Proposed Rates'!$B:$J,F$11,FALSE),0)</f>
        <v>0</v>
      </c>
      <c r="G31" s="414">
        <f t="shared" si="24"/>
        <v>500</v>
      </c>
      <c r="H31" s="497">
        <f t="shared" si="25"/>
        <v>0</v>
      </c>
      <c r="I31" s="484"/>
      <c r="J31" s="413">
        <f>IFERROR(VLOOKUP($C31,'Proposed Rates'!$B:$J,J$11,FALSE),0)</f>
        <v>0</v>
      </c>
      <c r="K31" s="414">
        <f t="shared" si="26"/>
        <v>500</v>
      </c>
      <c r="L31" s="497">
        <f t="shared" si="27"/>
        <v>0</v>
      </c>
      <c r="M31" s="416"/>
      <c r="N31" s="400">
        <f t="shared" si="5"/>
        <v>0</v>
      </c>
      <c r="O31" s="401" t="str">
        <f t="shared" si="6"/>
        <v/>
      </c>
      <c r="P31" s="52"/>
      <c r="Q31" s="413">
        <f>IFERROR(VLOOKUP($C31,'Proposed Rates'!$B:$J,Q$11,FALSE),0)</f>
        <v>0</v>
      </c>
      <c r="R31" s="414">
        <f t="shared" si="28"/>
        <v>500</v>
      </c>
      <c r="S31" s="497">
        <f t="shared" si="29"/>
        <v>0</v>
      </c>
      <c r="T31" s="416"/>
      <c r="U31" s="400">
        <f t="shared" si="9"/>
        <v>0</v>
      </c>
      <c r="V31" s="401" t="str">
        <f t="shared" si="10"/>
        <v/>
      </c>
      <c r="W31" s="52"/>
      <c r="X31" s="413">
        <f>IFERROR(VLOOKUP($C31,'Proposed Rates'!$B:$J,X$11,FALSE),0)</f>
        <v>0</v>
      </c>
      <c r="Y31" s="414">
        <f t="shared" si="30"/>
        <v>500</v>
      </c>
      <c r="Z31" s="497">
        <f t="shared" si="31"/>
        <v>0</v>
      </c>
      <c r="AA31" s="416"/>
      <c r="AB31" s="400">
        <f t="shared" si="13"/>
        <v>0</v>
      </c>
      <c r="AC31" s="401" t="str">
        <f t="shared" si="14"/>
        <v/>
      </c>
      <c r="AD31" s="52"/>
      <c r="AE31" s="413">
        <f>IFERROR(VLOOKUP($C31,'Proposed Rates'!$B:$J,AE$11,FALSE),0)</f>
        <v>0</v>
      </c>
      <c r="AF31" s="414">
        <f t="shared" si="32"/>
        <v>500</v>
      </c>
      <c r="AG31" s="497">
        <f t="shared" si="33"/>
        <v>0</v>
      </c>
      <c r="AH31" s="416"/>
      <c r="AI31" s="400">
        <f t="shared" si="17"/>
        <v>0</v>
      </c>
      <c r="AJ31" s="401" t="str">
        <f t="shared" si="18"/>
        <v/>
      </c>
      <c r="AK31" s="52"/>
      <c r="AL31" s="413">
        <f>IFERROR(VLOOKUP($C31,'Proposed Rates'!$B:$J,AL$11,FALSE),0)</f>
        <v>0</v>
      </c>
      <c r="AM31" s="414">
        <f t="shared" si="34"/>
        <v>500</v>
      </c>
      <c r="AN31" s="497">
        <f t="shared" si="35"/>
        <v>0</v>
      </c>
      <c r="AO31" s="416"/>
      <c r="AP31" s="400">
        <f t="shared" si="21"/>
        <v>0</v>
      </c>
      <c r="AQ31" s="401" t="str">
        <f t="shared" si="22"/>
        <v/>
      </c>
      <c r="AR31" s="402"/>
    </row>
    <row r="32" spans="1:44" ht="12.75" customHeight="1">
      <c r="A32" s="52"/>
      <c r="B32" s="483" t="s">
        <v>247</v>
      </c>
      <c r="C32" s="394" t="str">
        <f t="shared" si="23"/>
        <v>Residential.CBR Class B Rate Riders</v>
      </c>
      <c r="D32" s="395" t="s">
        <v>312</v>
      </c>
      <c r="E32" s="321"/>
      <c r="F32" s="413">
        <f>IFERROR(VLOOKUP($C32,'Proposed Rates'!$B:$J,F$11,FALSE),0)</f>
        <v>2.0000000000000001E-4</v>
      </c>
      <c r="G32" s="414">
        <f t="shared" si="24"/>
        <v>500</v>
      </c>
      <c r="H32" s="399">
        <f t="shared" si="25"/>
        <v>0.1</v>
      </c>
      <c r="I32" s="484"/>
      <c r="J32" s="413">
        <f>IFERROR(VLOOKUP($C32,'Proposed Rates'!$B:$J,J$11,FALSE),0)</f>
        <v>4.0000000000000002E-4</v>
      </c>
      <c r="K32" s="414">
        <f t="shared" si="26"/>
        <v>500</v>
      </c>
      <c r="L32" s="399">
        <f t="shared" si="27"/>
        <v>0.2</v>
      </c>
      <c r="M32" s="416"/>
      <c r="N32" s="400">
        <f t="shared" si="5"/>
        <v>0.1</v>
      </c>
      <c r="O32" s="401">
        <f t="shared" si="6"/>
        <v>1</v>
      </c>
      <c r="P32" s="52"/>
      <c r="Q32" s="413">
        <f>IFERROR(VLOOKUP($C32,'Proposed Rates'!$B:$J,Q$11,FALSE),0)</f>
        <v>0</v>
      </c>
      <c r="R32" s="414">
        <f t="shared" si="28"/>
        <v>500</v>
      </c>
      <c r="S32" s="399">
        <f t="shared" si="29"/>
        <v>0</v>
      </c>
      <c r="T32" s="416"/>
      <c r="U32" s="400">
        <f t="shared" si="9"/>
        <v>-0.2</v>
      </c>
      <c r="V32" s="401">
        <f t="shared" si="10"/>
        <v>-1</v>
      </c>
      <c r="W32" s="52"/>
      <c r="X32" s="413">
        <f>IFERROR(VLOOKUP($C32,'Proposed Rates'!$B:$J,X$11,FALSE),0)</f>
        <v>0</v>
      </c>
      <c r="Y32" s="414">
        <f t="shared" si="30"/>
        <v>500</v>
      </c>
      <c r="Z32" s="399">
        <f t="shared" si="31"/>
        <v>0</v>
      </c>
      <c r="AA32" s="416"/>
      <c r="AB32" s="400">
        <f t="shared" si="13"/>
        <v>0</v>
      </c>
      <c r="AC32" s="401" t="str">
        <f t="shared" si="14"/>
        <v/>
      </c>
      <c r="AD32" s="52"/>
      <c r="AE32" s="413">
        <f>IFERROR(VLOOKUP($C32,'Proposed Rates'!$B:$J,AE$11,FALSE),0)</f>
        <v>0</v>
      </c>
      <c r="AF32" s="414">
        <f t="shared" si="32"/>
        <v>500</v>
      </c>
      <c r="AG32" s="399">
        <f t="shared" si="33"/>
        <v>0</v>
      </c>
      <c r="AH32" s="416"/>
      <c r="AI32" s="400">
        <f t="shared" si="17"/>
        <v>0</v>
      </c>
      <c r="AJ32" s="401" t="str">
        <f t="shared" si="18"/>
        <v/>
      </c>
      <c r="AK32" s="52"/>
      <c r="AL32" s="413">
        <f>IFERROR(VLOOKUP($C32,'Proposed Rates'!$B:$J,AL$11,FALSE),0)</f>
        <v>0</v>
      </c>
      <c r="AM32" s="414">
        <f t="shared" si="34"/>
        <v>500</v>
      </c>
      <c r="AN32" s="399">
        <f t="shared" si="35"/>
        <v>0</v>
      </c>
      <c r="AO32" s="416"/>
      <c r="AP32" s="400">
        <f t="shared" si="21"/>
        <v>0</v>
      </c>
      <c r="AQ32" s="401" t="str">
        <f t="shared" si="22"/>
        <v/>
      </c>
      <c r="AR32" s="402"/>
    </row>
    <row r="33" spans="1:44" ht="12.75" customHeight="1">
      <c r="A33" s="52"/>
      <c r="B33" s="483" t="s">
        <v>315</v>
      </c>
      <c r="C33" s="394" t="str">
        <f t="shared" si="23"/>
        <v>Residential.GA Disposition Rate Rider-NonRPP</v>
      </c>
      <c r="D33" s="395" t="s">
        <v>312</v>
      </c>
      <c r="E33" s="321"/>
      <c r="F33" s="413">
        <f>IFERROR(VLOOKUP($C33,'Proposed Rates'!$B:$J,F$11,FALSE),0)</f>
        <v>0</v>
      </c>
      <c r="G33" s="414">
        <f t="shared" si="24"/>
        <v>500</v>
      </c>
      <c r="H33" s="399">
        <f t="shared" si="25"/>
        <v>0</v>
      </c>
      <c r="I33" s="484"/>
      <c r="J33" s="413">
        <f>IFERROR(VLOOKUP($C33,'Proposed Rates'!$B:$J,J$11,FALSE),0)</f>
        <v>0</v>
      </c>
      <c r="K33" s="414">
        <f t="shared" si="26"/>
        <v>500</v>
      </c>
      <c r="L33" s="399">
        <f t="shared" si="27"/>
        <v>0</v>
      </c>
      <c r="M33" s="416"/>
      <c r="N33" s="400">
        <f t="shared" si="5"/>
        <v>0</v>
      </c>
      <c r="O33" s="401" t="str">
        <f t="shared" si="6"/>
        <v/>
      </c>
      <c r="P33" s="52"/>
      <c r="Q33" s="413">
        <f>IFERROR(VLOOKUP($C33,'Proposed Rates'!$B:$J,Q$11,FALSE),0)</f>
        <v>0</v>
      </c>
      <c r="R33" s="414">
        <f t="shared" si="28"/>
        <v>500</v>
      </c>
      <c r="S33" s="399">
        <f t="shared" si="29"/>
        <v>0</v>
      </c>
      <c r="T33" s="416"/>
      <c r="U33" s="400">
        <f t="shared" si="9"/>
        <v>0</v>
      </c>
      <c r="V33" s="401" t="str">
        <f t="shared" si="10"/>
        <v/>
      </c>
      <c r="W33" s="52"/>
      <c r="X33" s="413">
        <f>IFERROR(VLOOKUP($C33,'Proposed Rates'!$B:$J,X$11,FALSE),0)</f>
        <v>0</v>
      </c>
      <c r="Y33" s="414">
        <f t="shared" si="30"/>
        <v>500</v>
      </c>
      <c r="Z33" s="399">
        <f t="shared" si="31"/>
        <v>0</v>
      </c>
      <c r="AA33" s="416"/>
      <c r="AB33" s="400">
        <f t="shared" si="13"/>
        <v>0</v>
      </c>
      <c r="AC33" s="401" t="str">
        <f t="shared" si="14"/>
        <v/>
      </c>
      <c r="AD33" s="52"/>
      <c r="AE33" s="413">
        <f>IFERROR(VLOOKUP($C33,'Proposed Rates'!$B:$J,AE$11,FALSE),0)</f>
        <v>0</v>
      </c>
      <c r="AF33" s="414">
        <f t="shared" si="32"/>
        <v>500</v>
      </c>
      <c r="AG33" s="399">
        <f t="shared" si="33"/>
        <v>0</v>
      </c>
      <c r="AH33" s="416"/>
      <c r="AI33" s="400">
        <f t="shared" si="17"/>
        <v>0</v>
      </c>
      <c r="AJ33" s="401" t="str">
        <f t="shared" si="18"/>
        <v/>
      </c>
      <c r="AK33" s="52"/>
      <c r="AL33" s="413">
        <f>IFERROR(VLOOKUP($C33,'Proposed Rates'!$B:$J,AL$11,FALSE),0)</f>
        <v>0</v>
      </c>
      <c r="AM33" s="414">
        <f t="shared" si="34"/>
        <v>500</v>
      </c>
      <c r="AN33" s="399">
        <f t="shared" si="35"/>
        <v>0</v>
      </c>
      <c r="AO33" s="416"/>
      <c r="AP33" s="400">
        <f t="shared" si="21"/>
        <v>0</v>
      </c>
      <c r="AQ33" s="401" t="str">
        <f t="shared" si="22"/>
        <v/>
      </c>
      <c r="AR33" s="402"/>
    </row>
    <row r="34" spans="1:44" ht="12.75" customHeight="1">
      <c r="A34" s="52"/>
      <c r="B34" s="321" t="s">
        <v>273</v>
      </c>
      <c r="C34" s="394" t="str">
        <f t="shared" si="23"/>
        <v>Residential.Low Voltage Service Charge</v>
      </c>
      <c r="D34" s="395" t="s">
        <v>312</v>
      </c>
      <c r="E34" s="321"/>
      <c r="F34" s="417">
        <f>IFERROR(VLOOKUP($C34,'Proposed Rates'!$B:$J,F$11,FALSE),0)</f>
        <v>5.0000000000000002E-5</v>
      </c>
      <c r="G34" s="418">
        <f>$F$10*(1+F$63)</f>
        <v>516.9</v>
      </c>
      <c r="H34" s="399">
        <f t="shared" si="25"/>
        <v>2.5845E-2</v>
      </c>
      <c r="I34" s="132"/>
      <c r="J34" s="417">
        <f>IFERROR(VLOOKUP($C34,'Proposed Rates'!$B:$J,J$11,FALSE),0)</f>
        <v>6.9999999999999994E-5</v>
      </c>
      <c r="K34" s="418">
        <f>$F$10*(1+J$63)</f>
        <v>516.59999999999991</v>
      </c>
      <c r="L34" s="399">
        <f t="shared" si="27"/>
        <v>3.6161999999999993E-2</v>
      </c>
      <c r="M34" s="132"/>
      <c r="N34" s="400">
        <f t="shared" si="5"/>
        <v>1.0316999999999993E-2</v>
      </c>
      <c r="O34" s="401">
        <f t="shared" si="6"/>
        <v>0.3991874637260589</v>
      </c>
      <c r="P34" s="52"/>
      <c r="Q34" s="417">
        <f>IFERROR(VLOOKUP($C34,'Proposed Rates'!$B:$J,Q$11,FALSE),0)</f>
        <v>6.9999999999999994E-5</v>
      </c>
      <c r="R34" s="418">
        <f>$F$10*(1+Q$63)</f>
        <v>516.59999999999991</v>
      </c>
      <c r="S34" s="399">
        <f t="shared" si="29"/>
        <v>3.6161999999999993E-2</v>
      </c>
      <c r="T34" s="132"/>
      <c r="U34" s="400">
        <f t="shared" si="9"/>
        <v>0</v>
      </c>
      <c r="V34" s="401">
        <f t="shared" si="10"/>
        <v>0</v>
      </c>
      <c r="W34" s="52"/>
      <c r="X34" s="417">
        <f>IFERROR(VLOOKUP($C34,'Proposed Rates'!$B:$J,X$11,FALSE),0)</f>
        <v>8.0000000000000007E-5</v>
      </c>
      <c r="Y34" s="418">
        <f>$F$10*(1+X$63)</f>
        <v>516.59999999999991</v>
      </c>
      <c r="Z34" s="399">
        <f t="shared" si="31"/>
        <v>4.1327999999999997E-2</v>
      </c>
      <c r="AA34" s="132"/>
      <c r="AB34" s="400">
        <f t="shared" si="13"/>
        <v>5.1660000000000039E-3</v>
      </c>
      <c r="AC34" s="401">
        <f t="shared" si="14"/>
        <v>0.14285714285714299</v>
      </c>
      <c r="AD34" s="52"/>
      <c r="AE34" s="417">
        <f>IFERROR(VLOOKUP($C34,'Proposed Rates'!$B:$J,AE$11,FALSE),0)</f>
        <v>8.0000000000000007E-5</v>
      </c>
      <c r="AF34" s="418">
        <f>$F$10*(1+AE$63)</f>
        <v>516.59999999999991</v>
      </c>
      <c r="AG34" s="399">
        <f t="shared" si="33"/>
        <v>4.1327999999999997E-2</v>
      </c>
      <c r="AH34" s="132"/>
      <c r="AI34" s="400">
        <f t="shared" si="17"/>
        <v>0</v>
      </c>
      <c r="AJ34" s="401">
        <f t="shared" si="18"/>
        <v>0</v>
      </c>
      <c r="AK34" s="52"/>
      <c r="AL34" s="417">
        <f>IFERROR(VLOOKUP($C34,'Proposed Rates'!$B:$J,AL$11,FALSE),0)</f>
        <v>8.0000000000000007E-5</v>
      </c>
      <c r="AM34" s="418">
        <f>$F$10*(1+AL$63)</f>
        <v>516.59999999999991</v>
      </c>
      <c r="AN34" s="399">
        <f t="shared" si="35"/>
        <v>4.1327999999999997E-2</v>
      </c>
      <c r="AO34" s="132"/>
      <c r="AP34" s="400">
        <f t="shared" si="21"/>
        <v>0</v>
      </c>
      <c r="AQ34" s="401">
        <f t="shared" si="22"/>
        <v>0</v>
      </c>
      <c r="AR34" s="402"/>
    </row>
    <row r="35" spans="1:44" ht="12.75"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16.899999999999977</v>
      </c>
      <c r="H35" s="399">
        <f t="shared" si="25"/>
        <v>2.1550879999999975</v>
      </c>
      <c r="I35" s="132"/>
      <c r="J35" s="419">
        <f>'Proposed Rates'!$K$253*J$44+'Proposed Rates'!$K$254*J$45+'Proposed Rates'!$K$255*J$46</f>
        <v>0.12752000000000002</v>
      </c>
      <c r="K35" s="420">
        <f>$F$10*(1+J$63)-$F$10</f>
        <v>16.599999999999909</v>
      </c>
      <c r="L35" s="399">
        <f t="shared" si="27"/>
        <v>2.1168319999999889</v>
      </c>
      <c r="M35" s="132"/>
      <c r="N35" s="400">
        <f t="shared" si="5"/>
        <v>-3.8256000000008505E-2</v>
      </c>
      <c r="O35" s="401">
        <f t="shared" si="6"/>
        <v>-1.7751479289944794E-2</v>
      </c>
      <c r="P35" s="52"/>
      <c r="Q35" s="419">
        <f>'Proposed Rates'!$K$253*Q$44+'Proposed Rates'!$K$254*Q$45+'Proposed Rates'!$K$255*Q$46</f>
        <v>0.12752000000000002</v>
      </c>
      <c r="R35" s="420">
        <f>$F$10*(1+Q$63)-$F$10</f>
        <v>16.599999999999909</v>
      </c>
      <c r="S35" s="399">
        <f t="shared" si="29"/>
        <v>2.1168319999999889</v>
      </c>
      <c r="T35" s="132"/>
      <c r="U35" s="400">
        <f t="shared" si="9"/>
        <v>0</v>
      </c>
      <c r="V35" s="401">
        <f t="shared" si="10"/>
        <v>0</v>
      </c>
      <c r="W35" s="52"/>
      <c r="X35" s="419">
        <f>'Proposed Rates'!$K$253*X$44+'Proposed Rates'!$K$254*X$45+'Proposed Rates'!$K$255*X$46</f>
        <v>0.12752000000000002</v>
      </c>
      <c r="Y35" s="420">
        <f>$F$10*(1+X$63)-$F$10</f>
        <v>16.599999999999909</v>
      </c>
      <c r="Z35" s="399">
        <f t="shared" si="31"/>
        <v>2.1168319999999889</v>
      </c>
      <c r="AA35" s="132"/>
      <c r="AB35" s="400">
        <f t="shared" si="13"/>
        <v>0</v>
      </c>
      <c r="AC35" s="401">
        <f t="shared" si="14"/>
        <v>0</v>
      </c>
      <c r="AD35" s="52"/>
      <c r="AE35" s="419">
        <f>'Proposed Rates'!$K$253*AE$44+'Proposed Rates'!$K$254*AE$45+'Proposed Rates'!$K$255*AE$46</f>
        <v>0.12752000000000002</v>
      </c>
      <c r="AF35" s="420">
        <f>$F$10*(1+AE$63)-$F$10</f>
        <v>16.599999999999909</v>
      </c>
      <c r="AG35" s="399">
        <f t="shared" si="33"/>
        <v>2.1168319999999889</v>
      </c>
      <c r="AH35" s="132"/>
      <c r="AI35" s="400">
        <f t="shared" si="17"/>
        <v>0</v>
      </c>
      <c r="AJ35" s="401">
        <f t="shared" si="18"/>
        <v>0</v>
      </c>
      <c r="AK35" s="52"/>
      <c r="AL35" s="419">
        <f>'Proposed Rates'!$K$253*AL$44+'Proposed Rates'!$K$254*AL$45+'Proposed Rates'!$K$255*AL$46</f>
        <v>0.12752000000000002</v>
      </c>
      <c r="AM35" s="420">
        <f>$F$10*(1+AL$63)-$F$10</f>
        <v>16.599999999999909</v>
      </c>
      <c r="AN35" s="399">
        <f t="shared" si="35"/>
        <v>2.1168319999999889</v>
      </c>
      <c r="AO35" s="132"/>
      <c r="AP35" s="400">
        <f t="shared" si="21"/>
        <v>0</v>
      </c>
      <c r="AQ35" s="401">
        <f t="shared" si="22"/>
        <v>0</v>
      </c>
      <c r="AR35" s="402"/>
    </row>
    <row r="36" spans="1:44" ht="12.75"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row>
    <row r="37" spans="1:44" ht="12.75" customHeight="1">
      <c r="A37" s="52"/>
      <c r="B37" s="485" t="s">
        <v>317</v>
      </c>
      <c r="C37" s="421"/>
      <c r="D37" s="421"/>
      <c r="E37" s="421"/>
      <c r="F37" s="422"/>
      <c r="G37" s="423"/>
      <c r="H37" s="408">
        <f>SUM(H30:H36)+H29</f>
        <v>37.110932999999996</v>
      </c>
      <c r="I37" s="424"/>
      <c r="J37" s="422"/>
      <c r="K37" s="423"/>
      <c r="L37" s="408">
        <f>SUM(L30:L36)+L29</f>
        <v>42.512993999999985</v>
      </c>
      <c r="M37" s="424"/>
      <c r="N37" s="410">
        <f t="shared" si="5"/>
        <v>5.4020609999999891</v>
      </c>
      <c r="O37" s="411">
        <f t="shared" si="6"/>
        <v>0.14556521658994642</v>
      </c>
      <c r="P37" s="52"/>
      <c r="Q37" s="422"/>
      <c r="R37" s="423"/>
      <c r="S37" s="408">
        <f>SUM(S30:S36)+S29</f>
        <v>45.212993999999988</v>
      </c>
      <c r="T37" s="424"/>
      <c r="U37" s="410">
        <f t="shared" si="9"/>
        <v>2.7000000000000028</v>
      </c>
      <c r="V37" s="411">
        <f t="shared" si="10"/>
        <v>6.3509994144378634E-2</v>
      </c>
      <c r="W37" s="52"/>
      <c r="X37" s="422"/>
      <c r="Y37" s="423"/>
      <c r="Z37" s="408">
        <f>SUM(Z30:Z36)+Z29</f>
        <v>48.058159999999987</v>
      </c>
      <c r="AA37" s="424"/>
      <c r="AB37" s="410">
        <f t="shared" si="13"/>
        <v>2.845165999999999</v>
      </c>
      <c r="AC37" s="411">
        <f t="shared" si="14"/>
        <v>6.2928060017436574E-2</v>
      </c>
      <c r="AD37" s="52"/>
      <c r="AE37" s="422"/>
      <c r="AF37" s="423"/>
      <c r="AG37" s="408">
        <f>SUM(AG30:AG36)+AG29</f>
        <v>49.578159999999983</v>
      </c>
      <c r="AH37" s="424"/>
      <c r="AI37" s="410">
        <f t="shared" si="17"/>
        <v>1.519999999999996</v>
      </c>
      <c r="AJ37" s="411">
        <f t="shared" si="18"/>
        <v>3.1628343656935606E-2</v>
      </c>
      <c r="AK37" s="52"/>
      <c r="AL37" s="422"/>
      <c r="AM37" s="423"/>
      <c r="AN37" s="408">
        <f>SUM(AN30:AN36)+AN29</f>
        <v>50.96815999999999</v>
      </c>
      <c r="AO37" s="424"/>
      <c r="AP37" s="410">
        <f t="shared" si="21"/>
        <v>1.3900000000000077</v>
      </c>
      <c r="AQ37" s="411">
        <f t="shared" si="22"/>
        <v>2.803653866944655E-2</v>
      </c>
      <c r="AR37" s="412"/>
    </row>
    <row r="38" spans="1:44" ht="12.75" customHeight="1">
      <c r="A38" s="52"/>
      <c r="B38" s="132" t="s">
        <v>258</v>
      </c>
      <c r="C38" s="394" t="str">
        <f t="shared" ref="C38:C39" si="36">D$6&amp;"."&amp;B38</f>
        <v>Residential.RTSR - Network</v>
      </c>
      <c r="D38" s="425" t="s">
        <v>312</v>
      </c>
      <c r="E38" s="132"/>
      <c r="F38" s="413">
        <f>IFERROR(VLOOKUP($C38,'Proposed Rates'!$B:$J,F$11,FALSE),0)</f>
        <v>1.26E-2</v>
      </c>
      <c r="G38" s="418">
        <f t="shared" ref="G38:G39" si="37">$F$10*(1+F$63)</f>
        <v>516.9</v>
      </c>
      <c r="H38" s="399">
        <f t="shared" ref="H38:H39" si="38">G38*F38</f>
        <v>6.5129399999999995</v>
      </c>
      <c r="I38" s="132"/>
      <c r="J38" s="413">
        <f>IFERROR(VLOOKUP($C38,'Proposed Rates'!$B:$J,J$11,FALSE),0)</f>
        <v>1.38E-2</v>
      </c>
      <c r="K38" s="418">
        <f t="shared" ref="K38:K39" si="39">$F$10*(1+J$63)</f>
        <v>516.59999999999991</v>
      </c>
      <c r="L38" s="399">
        <f t="shared" ref="L38:L39" si="40">K38*J38</f>
        <v>7.1290799999999983</v>
      </c>
      <c r="M38" s="132"/>
      <c r="N38" s="400">
        <f t="shared" si="5"/>
        <v>0.6161399999999988</v>
      </c>
      <c r="O38" s="401">
        <f t="shared" si="6"/>
        <v>9.4602437608821643E-2</v>
      </c>
      <c r="P38" s="52"/>
      <c r="Q38" s="413">
        <f>IFERROR(VLOOKUP($C38,'Proposed Rates'!$B:$J,Q$11,FALSE),0)</f>
        <v>1.38E-2</v>
      </c>
      <c r="R38" s="418">
        <f t="shared" ref="R38:R39" si="41">$F$10*(1+Q$63)</f>
        <v>516.59999999999991</v>
      </c>
      <c r="S38" s="399">
        <f t="shared" ref="S38:S39" si="42">R38*Q38</f>
        <v>7.1290799999999983</v>
      </c>
      <c r="T38" s="132"/>
      <c r="U38" s="400">
        <f t="shared" si="9"/>
        <v>0</v>
      </c>
      <c r="V38" s="401">
        <f t="shared" si="10"/>
        <v>0</v>
      </c>
      <c r="W38" s="52"/>
      <c r="X38" s="413">
        <f>IFERROR(VLOOKUP($C38,'Proposed Rates'!$B:$J,X$11,FALSE),0)</f>
        <v>1.38E-2</v>
      </c>
      <c r="Y38" s="418">
        <f t="shared" ref="Y38:Y39" si="43">$F$10*(1+X$63)</f>
        <v>516.59999999999991</v>
      </c>
      <c r="Z38" s="399">
        <f t="shared" ref="Z38:Z39" si="44">Y38*X38</f>
        <v>7.1290799999999983</v>
      </c>
      <c r="AA38" s="132"/>
      <c r="AB38" s="400">
        <f t="shared" si="13"/>
        <v>0</v>
      </c>
      <c r="AC38" s="401">
        <f t="shared" si="14"/>
        <v>0</v>
      </c>
      <c r="AD38" s="52"/>
      <c r="AE38" s="413">
        <f>IFERROR(VLOOKUP($C38,'Proposed Rates'!$B:$J,AE$11,FALSE),0)</f>
        <v>1.38E-2</v>
      </c>
      <c r="AF38" s="418">
        <f t="shared" ref="AF38:AF39" si="45">$F$10*(1+AE$63)</f>
        <v>516.59999999999991</v>
      </c>
      <c r="AG38" s="399">
        <f t="shared" ref="AG38:AG39" si="46">AF38*AE38</f>
        <v>7.1290799999999983</v>
      </c>
      <c r="AH38" s="132"/>
      <c r="AI38" s="400">
        <f t="shared" si="17"/>
        <v>0</v>
      </c>
      <c r="AJ38" s="401">
        <f t="shared" si="18"/>
        <v>0</v>
      </c>
      <c r="AK38" s="52"/>
      <c r="AL38" s="413">
        <f>IFERROR(VLOOKUP($C38,'Proposed Rates'!$B:$J,AL$11,FALSE),0)</f>
        <v>1.38E-2</v>
      </c>
      <c r="AM38" s="418">
        <f t="shared" ref="AM38:AM39" si="47">$F$10*(1+AL$63)</f>
        <v>516.59999999999991</v>
      </c>
      <c r="AN38" s="399">
        <f t="shared" ref="AN38:AN39" si="48">AM38*AL38</f>
        <v>7.1290799999999983</v>
      </c>
      <c r="AO38" s="132"/>
      <c r="AP38" s="400">
        <f t="shared" si="21"/>
        <v>0</v>
      </c>
      <c r="AQ38" s="401">
        <f t="shared" si="22"/>
        <v>0</v>
      </c>
      <c r="AR38" s="402"/>
    </row>
    <row r="39" spans="1:44" ht="12.75" customHeight="1">
      <c r="A39" s="52"/>
      <c r="B39" s="486" t="s">
        <v>261</v>
      </c>
      <c r="C39" s="394" t="str">
        <f t="shared" si="36"/>
        <v>Residential.RTSR - Line and Transformation Connection</v>
      </c>
      <c r="D39" s="425" t="s">
        <v>312</v>
      </c>
      <c r="E39" s="132"/>
      <c r="F39" s="413">
        <f>IFERROR(VLOOKUP($C39,'Proposed Rates'!$B:$J,F$11,FALSE),0)</f>
        <v>7.1999999999999998E-3</v>
      </c>
      <c r="G39" s="418">
        <f t="shared" si="37"/>
        <v>516.9</v>
      </c>
      <c r="H39" s="399">
        <f t="shared" si="38"/>
        <v>3.7216799999999997</v>
      </c>
      <c r="I39" s="132"/>
      <c r="J39" s="413">
        <f>IFERROR(VLOOKUP($C39,'Proposed Rates'!$B:$J,J$11,FALSE),0)</f>
        <v>7.7999999999999996E-3</v>
      </c>
      <c r="K39" s="418">
        <f t="shared" si="39"/>
        <v>516.59999999999991</v>
      </c>
      <c r="L39" s="399">
        <f t="shared" si="40"/>
        <v>4.0294799999999995</v>
      </c>
      <c r="M39" s="132"/>
      <c r="N39" s="400">
        <f t="shared" si="5"/>
        <v>0.30779999999999985</v>
      </c>
      <c r="O39" s="401">
        <f t="shared" si="6"/>
        <v>8.2704585026117203E-2</v>
      </c>
      <c r="P39" s="52"/>
      <c r="Q39" s="413">
        <f>IFERROR(VLOOKUP($C39,'Proposed Rates'!$B:$J,Q$11,FALSE),0)</f>
        <v>7.7999999999999996E-3</v>
      </c>
      <c r="R39" s="418">
        <f t="shared" si="41"/>
        <v>516.59999999999991</v>
      </c>
      <c r="S39" s="399">
        <f t="shared" si="42"/>
        <v>4.0294799999999995</v>
      </c>
      <c r="T39" s="132"/>
      <c r="U39" s="400">
        <f t="shared" si="9"/>
        <v>0</v>
      </c>
      <c r="V39" s="401">
        <f t="shared" si="10"/>
        <v>0</v>
      </c>
      <c r="W39" s="52"/>
      <c r="X39" s="413">
        <f>IFERROR(VLOOKUP($C39,'Proposed Rates'!$B:$J,X$11,FALSE),0)</f>
        <v>7.7999999999999996E-3</v>
      </c>
      <c r="Y39" s="418">
        <f t="shared" si="43"/>
        <v>516.59999999999991</v>
      </c>
      <c r="Z39" s="399">
        <f t="shared" si="44"/>
        <v>4.0294799999999995</v>
      </c>
      <c r="AA39" s="132"/>
      <c r="AB39" s="400">
        <f t="shared" si="13"/>
        <v>0</v>
      </c>
      <c r="AC39" s="401">
        <f t="shared" si="14"/>
        <v>0</v>
      </c>
      <c r="AD39" s="52"/>
      <c r="AE39" s="413">
        <f>IFERROR(VLOOKUP($C39,'Proposed Rates'!$B:$J,AE$11,FALSE),0)</f>
        <v>7.7999999999999996E-3</v>
      </c>
      <c r="AF39" s="418">
        <f t="shared" si="45"/>
        <v>516.59999999999991</v>
      </c>
      <c r="AG39" s="399">
        <f t="shared" si="46"/>
        <v>4.0294799999999995</v>
      </c>
      <c r="AH39" s="132"/>
      <c r="AI39" s="400">
        <f t="shared" si="17"/>
        <v>0</v>
      </c>
      <c r="AJ39" s="401">
        <f t="shared" si="18"/>
        <v>0</v>
      </c>
      <c r="AK39" s="52"/>
      <c r="AL39" s="413">
        <f>IFERROR(VLOOKUP($C39,'Proposed Rates'!$B:$J,AL$11,FALSE),0)</f>
        <v>7.7999999999999996E-3</v>
      </c>
      <c r="AM39" s="418">
        <f t="shared" si="47"/>
        <v>516.59999999999991</v>
      </c>
      <c r="AN39" s="399">
        <f t="shared" si="48"/>
        <v>4.0294799999999995</v>
      </c>
      <c r="AO39" s="132"/>
      <c r="AP39" s="400">
        <f t="shared" si="21"/>
        <v>0</v>
      </c>
      <c r="AQ39" s="401">
        <f t="shared" si="22"/>
        <v>0</v>
      </c>
      <c r="AR39" s="402"/>
    </row>
    <row r="40" spans="1:44" ht="12.75" customHeight="1">
      <c r="A40" s="52"/>
      <c r="B40" s="485" t="s">
        <v>318</v>
      </c>
      <c r="C40" s="426"/>
      <c r="D40" s="426"/>
      <c r="E40" s="426"/>
      <c r="F40" s="427"/>
      <c r="G40" s="428"/>
      <c r="H40" s="408">
        <f>SUM(H37:H39)</f>
        <v>47.345552999999995</v>
      </c>
      <c r="I40" s="409"/>
      <c r="J40" s="427"/>
      <c r="K40" s="428"/>
      <c r="L40" s="408">
        <f>SUM(L37:L39)</f>
        <v>53.671553999999979</v>
      </c>
      <c r="M40" s="409"/>
      <c r="N40" s="410">
        <f t="shared" si="5"/>
        <v>6.3260009999999838</v>
      </c>
      <c r="O40" s="411">
        <f t="shared" si="6"/>
        <v>0.13361341454814107</v>
      </c>
      <c r="P40" s="52"/>
      <c r="Q40" s="427"/>
      <c r="R40" s="428"/>
      <c r="S40" s="408">
        <f>SUM(S37:S39)</f>
        <v>56.371553999999982</v>
      </c>
      <c r="T40" s="409"/>
      <c r="U40" s="410">
        <f t="shared" si="9"/>
        <v>2.7000000000000028</v>
      </c>
      <c r="V40" s="411">
        <f t="shared" si="10"/>
        <v>5.030597772518388E-2</v>
      </c>
      <c r="W40" s="52"/>
      <c r="X40" s="427"/>
      <c r="Y40" s="428"/>
      <c r="Z40" s="408">
        <f>SUM(Z37:Z39)</f>
        <v>59.216719999999988</v>
      </c>
      <c r="AA40" s="409"/>
      <c r="AB40" s="410">
        <f t="shared" si="13"/>
        <v>2.8451660000000061</v>
      </c>
      <c r="AC40" s="411">
        <f t="shared" si="14"/>
        <v>5.047166164693645E-2</v>
      </c>
      <c r="AD40" s="52"/>
      <c r="AE40" s="427"/>
      <c r="AF40" s="428"/>
      <c r="AG40" s="408">
        <f>SUM(AG37:AG39)</f>
        <v>60.736719999999984</v>
      </c>
      <c r="AH40" s="409"/>
      <c r="AI40" s="410">
        <f t="shared" si="17"/>
        <v>1.519999999999996</v>
      </c>
      <c r="AJ40" s="411">
        <f t="shared" si="18"/>
        <v>2.5668426079661223E-2</v>
      </c>
      <c r="AK40" s="52"/>
      <c r="AL40" s="427"/>
      <c r="AM40" s="428"/>
      <c r="AN40" s="408">
        <f>SUM(AN37:AN39)</f>
        <v>62.126719999999985</v>
      </c>
      <c r="AO40" s="409"/>
      <c r="AP40" s="410">
        <f t="shared" si="21"/>
        <v>1.3900000000000006</v>
      </c>
      <c r="AQ40" s="411">
        <f t="shared" si="22"/>
        <v>2.2885661260601511E-2</v>
      </c>
      <c r="AR40" s="412"/>
    </row>
    <row r="41" spans="1:44" ht="12.75" customHeight="1">
      <c r="A41" s="52"/>
      <c r="B41" s="487" t="s">
        <v>262</v>
      </c>
      <c r="C41" s="394" t="str">
        <f t="shared" ref="C41:C48" si="49">D$6&amp;"."&amp;B41</f>
        <v>Residential.Wholesale Market Service Charge (WMSC)</v>
      </c>
      <c r="D41" s="395" t="s">
        <v>312</v>
      </c>
      <c r="E41" s="321"/>
      <c r="F41" s="413">
        <f>IFERROR(VLOOKUP($C41,'Proposed Rates'!$B:$J,F$11,FALSE),0)</f>
        <v>4.4999999999999997E-3</v>
      </c>
      <c r="G41" s="418">
        <f t="shared" ref="G41:G42" si="50">$F$10*(1+F$63)</f>
        <v>516.9</v>
      </c>
      <c r="H41" s="399">
        <f t="shared" ref="H41:H48" si="51">G41*F41</f>
        <v>2.3260499999999995</v>
      </c>
      <c r="I41" s="132"/>
      <c r="J41" s="413">
        <f>IFERROR(VLOOKUP($C41,'Proposed Rates'!$B:$J,J$11,FALSE),0)</f>
        <v>4.7000000000000002E-3</v>
      </c>
      <c r="K41" s="418">
        <f t="shared" ref="K41:K42" si="52">$F$10*(1+J$63)</f>
        <v>516.59999999999991</v>
      </c>
      <c r="L41" s="399">
        <f t="shared" ref="L41:L48" si="53">K41*J41</f>
        <v>2.4280199999999996</v>
      </c>
      <c r="M41" s="132"/>
      <c r="N41" s="400">
        <f t="shared" si="5"/>
        <v>0.10197000000000012</v>
      </c>
      <c r="O41" s="401">
        <f t="shared" si="6"/>
        <v>4.3838266589282318E-2</v>
      </c>
      <c r="P41" s="52"/>
      <c r="Q41" s="413">
        <f>IFERROR(VLOOKUP($C41,'Proposed Rates'!$B:$J,Q$11,FALSE),0)</f>
        <v>4.7000000000000002E-3</v>
      </c>
      <c r="R41" s="418">
        <f t="shared" ref="R41:R42" si="54">$F$10*(1+Q$63)</f>
        <v>516.59999999999991</v>
      </c>
      <c r="S41" s="399">
        <f t="shared" ref="S41:S48" si="55">R41*Q41</f>
        <v>2.4280199999999996</v>
      </c>
      <c r="T41" s="132"/>
      <c r="U41" s="400">
        <f t="shared" si="9"/>
        <v>0</v>
      </c>
      <c r="V41" s="401">
        <f t="shared" si="10"/>
        <v>0</v>
      </c>
      <c r="W41" s="52"/>
      <c r="X41" s="413">
        <f>IFERROR(VLOOKUP($C41,'Proposed Rates'!$B:$J,X$11,FALSE),0)</f>
        <v>4.7000000000000002E-3</v>
      </c>
      <c r="Y41" s="418">
        <f t="shared" ref="Y41:Y42" si="56">$F$10*(1+X$63)</f>
        <v>516.59999999999991</v>
      </c>
      <c r="Z41" s="399">
        <f t="shared" ref="Z41:Z48" si="57">Y41*X41</f>
        <v>2.4280199999999996</v>
      </c>
      <c r="AA41" s="132"/>
      <c r="AB41" s="400">
        <f t="shared" si="13"/>
        <v>0</v>
      </c>
      <c r="AC41" s="401">
        <f t="shared" si="14"/>
        <v>0</v>
      </c>
      <c r="AD41" s="52"/>
      <c r="AE41" s="413">
        <f>IFERROR(VLOOKUP($C41,'Proposed Rates'!$B:$J,AE$11,FALSE),0)</f>
        <v>4.7000000000000002E-3</v>
      </c>
      <c r="AF41" s="418">
        <f t="shared" ref="AF41:AF42" si="58">$F$10*(1+AE$63)</f>
        <v>516.59999999999991</v>
      </c>
      <c r="AG41" s="399">
        <f t="shared" ref="AG41:AG48" si="59">AF41*AE41</f>
        <v>2.4280199999999996</v>
      </c>
      <c r="AH41" s="132"/>
      <c r="AI41" s="400">
        <f t="shared" si="17"/>
        <v>0</v>
      </c>
      <c r="AJ41" s="401">
        <f t="shared" si="18"/>
        <v>0</v>
      </c>
      <c r="AK41" s="52"/>
      <c r="AL41" s="413">
        <f>IFERROR(VLOOKUP($C41,'Proposed Rates'!$B:$J,AL$11,FALSE),0)</f>
        <v>4.7000000000000002E-3</v>
      </c>
      <c r="AM41" s="418">
        <f t="shared" ref="AM41:AM42" si="60">$F$10*(1+AL$63)</f>
        <v>516.59999999999991</v>
      </c>
      <c r="AN41" s="399">
        <f t="shared" ref="AN41:AN48" si="61">AM41*AL41</f>
        <v>2.4280199999999996</v>
      </c>
      <c r="AO41" s="132"/>
      <c r="AP41" s="400">
        <f t="shared" si="21"/>
        <v>0</v>
      </c>
      <c r="AQ41" s="401">
        <f t="shared" si="22"/>
        <v>0</v>
      </c>
      <c r="AR41" s="402"/>
    </row>
    <row r="42" spans="1:44" ht="12.75" customHeight="1">
      <c r="A42" s="52"/>
      <c r="B42" s="487" t="s">
        <v>263</v>
      </c>
      <c r="C42" s="394" t="str">
        <f t="shared" si="49"/>
        <v>Residential.Rural and Remote Rate Protection (RRRP)</v>
      </c>
      <c r="D42" s="395" t="s">
        <v>312</v>
      </c>
      <c r="E42" s="321"/>
      <c r="F42" s="413">
        <f>IFERROR(VLOOKUP($C42,'Proposed Rates'!$B:$J,F$11,FALSE),0)</f>
        <v>1.5E-3</v>
      </c>
      <c r="G42" s="418">
        <f t="shared" si="50"/>
        <v>516.9</v>
      </c>
      <c r="H42" s="399">
        <f t="shared" si="51"/>
        <v>0.77534999999999998</v>
      </c>
      <c r="I42" s="132"/>
      <c r="J42" s="413">
        <f>IFERROR(VLOOKUP($C42,'Proposed Rates'!$B:$J,J$11,FALSE),0)</f>
        <v>5.9999999999999995E-4</v>
      </c>
      <c r="K42" s="418">
        <f t="shared" si="52"/>
        <v>516.59999999999991</v>
      </c>
      <c r="L42" s="399">
        <f t="shared" si="53"/>
        <v>0.3099599999999999</v>
      </c>
      <c r="M42" s="132"/>
      <c r="N42" s="400">
        <f t="shared" si="5"/>
        <v>-0.46539000000000008</v>
      </c>
      <c r="O42" s="401">
        <f t="shared" si="6"/>
        <v>-0.60023215322112611</v>
      </c>
      <c r="P42" s="52"/>
      <c r="Q42" s="413">
        <f>IFERROR(VLOOKUP($C42,'Proposed Rates'!$B:$J,Q$11,FALSE),0)</f>
        <v>5.9999999999999995E-4</v>
      </c>
      <c r="R42" s="418">
        <f t="shared" si="54"/>
        <v>516.59999999999991</v>
      </c>
      <c r="S42" s="399">
        <f t="shared" si="55"/>
        <v>0.3099599999999999</v>
      </c>
      <c r="T42" s="132"/>
      <c r="U42" s="400">
        <f t="shared" si="9"/>
        <v>0</v>
      </c>
      <c r="V42" s="401">
        <f t="shared" si="10"/>
        <v>0</v>
      </c>
      <c r="W42" s="52"/>
      <c r="X42" s="413">
        <f>IFERROR(VLOOKUP($C42,'Proposed Rates'!$B:$J,X$11,FALSE),0)</f>
        <v>5.9999999999999995E-4</v>
      </c>
      <c r="Y42" s="418">
        <f t="shared" si="56"/>
        <v>516.59999999999991</v>
      </c>
      <c r="Z42" s="399">
        <f t="shared" si="57"/>
        <v>0.3099599999999999</v>
      </c>
      <c r="AA42" s="132"/>
      <c r="AB42" s="400">
        <f t="shared" si="13"/>
        <v>0</v>
      </c>
      <c r="AC42" s="401">
        <f t="shared" si="14"/>
        <v>0</v>
      </c>
      <c r="AD42" s="52"/>
      <c r="AE42" s="413">
        <f>IFERROR(VLOOKUP($C42,'Proposed Rates'!$B:$J,AE$11,FALSE),0)</f>
        <v>5.9999999999999995E-4</v>
      </c>
      <c r="AF42" s="418">
        <f t="shared" si="58"/>
        <v>516.59999999999991</v>
      </c>
      <c r="AG42" s="399">
        <f t="shared" si="59"/>
        <v>0.3099599999999999</v>
      </c>
      <c r="AH42" s="132"/>
      <c r="AI42" s="400">
        <f t="shared" si="17"/>
        <v>0</v>
      </c>
      <c r="AJ42" s="401">
        <f t="shared" si="18"/>
        <v>0</v>
      </c>
      <c r="AK42" s="52"/>
      <c r="AL42" s="413">
        <f>IFERROR(VLOOKUP($C42,'Proposed Rates'!$B:$J,AL$11,FALSE),0)</f>
        <v>5.9999999999999995E-4</v>
      </c>
      <c r="AM42" s="418">
        <f t="shared" si="60"/>
        <v>516.59999999999991</v>
      </c>
      <c r="AN42" s="399">
        <f t="shared" si="61"/>
        <v>0.3099599999999999</v>
      </c>
      <c r="AO42" s="132"/>
      <c r="AP42" s="400">
        <f t="shared" si="21"/>
        <v>0</v>
      </c>
      <c r="AQ42" s="401">
        <f t="shared" si="22"/>
        <v>0</v>
      </c>
      <c r="AR42" s="402"/>
    </row>
    <row r="43" spans="1:44" ht="12.75" customHeight="1">
      <c r="A43" s="52"/>
      <c r="B43" s="321" t="s">
        <v>264</v>
      </c>
      <c r="C43" s="394" t="str">
        <f t="shared" si="49"/>
        <v>Residential.Standard Supply Service Charge</v>
      </c>
      <c r="D43" s="395" t="s">
        <v>310</v>
      </c>
      <c r="E43" s="321"/>
      <c r="F43" s="413">
        <f>IFERROR(VLOOKUP($C43,'Proposed Rates'!$B:$J,F$11,FALSE),0)</f>
        <v>0.25</v>
      </c>
      <c r="G43" s="414">
        <f>IF($D43="Monthly",1,IF($D43="per KWH",$F$10,0))</f>
        <v>1</v>
      </c>
      <c r="H43" s="399">
        <f t="shared" si="51"/>
        <v>0.25</v>
      </c>
      <c r="I43" s="132"/>
      <c r="J43" s="413">
        <f>IFERROR(VLOOKUP($C43,'Proposed Rates'!$B:$J,J$11,FALSE),0)</f>
        <v>0.25</v>
      </c>
      <c r="K43" s="414">
        <f>IF($D43="Monthly",1,IF($D43="per KWH",$F$10,0))</f>
        <v>1</v>
      </c>
      <c r="L43" s="399">
        <f t="shared" si="53"/>
        <v>0.25</v>
      </c>
      <c r="M43" s="132"/>
      <c r="N43" s="400">
        <f t="shared" si="5"/>
        <v>0</v>
      </c>
      <c r="O43" s="401">
        <f t="shared" si="6"/>
        <v>0</v>
      </c>
      <c r="P43" s="52"/>
      <c r="Q43" s="413">
        <f>IFERROR(VLOOKUP($C43,'Proposed Rates'!$B:$J,Q$11,FALSE),0)</f>
        <v>0.25</v>
      </c>
      <c r="R43" s="414">
        <f>IF($D43="Monthly",1,IF($D43="per KWH",$F$10,0))</f>
        <v>1</v>
      </c>
      <c r="S43" s="399">
        <f t="shared" si="55"/>
        <v>0.25</v>
      </c>
      <c r="T43" s="132"/>
      <c r="U43" s="400">
        <f t="shared" si="9"/>
        <v>0</v>
      </c>
      <c r="V43" s="401">
        <f t="shared" si="10"/>
        <v>0</v>
      </c>
      <c r="W43" s="52"/>
      <c r="X43" s="413">
        <f>IFERROR(VLOOKUP($C43,'Proposed Rates'!$B:$J,X$11,FALSE),0)</f>
        <v>0.25</v>
      </c>
      <c r="Y43" s="414">
        <f>IF($D43="Monthly",1,IF($D43="per KWH",$F$10,0))</f>
        <v>1</v>
      </c>
      <c r="Z43" s="399">
        <f t="shared" si="57"/>
        <v>0.25</v>
      </c>
      <c r="AA43" s="132"/>
      <c r="AB43" s="400">
        <f t="shared" si="13"/>
        <v>0</v>
      </c>
      <c r="AC43" s="401">
        <f t="shared" si="14"/>
        <v>0</v>
      </c>
      <c r="AD43" s="52"/>
      <c r="AE43" s="413">
        <f>IFERROR(VLOOKUP($C43,'Proposed Rates'!$B:$J,AE$11,FALSE),0)</f>
        <v>0.25</v>
      </c>
      <c r="AF43" s="414">
        <f>IF($D43="Monthly",1,IF($D43="per KWH",$F$10,0))</f>
        <v>1</v>
      </c>
      <c r="AG43" s="399">
        <f t="shared" si="59"/>
        <v>0.25</v>
      </c>
      <c r="AH43" s="132"/>
      <c r="AI43" s="400">
        <f t="shared" si="17"/>
        <v>0</v>
      </c>
      <c r="AJ43" s="401">
        <f t="shared" si="18"/>
        <v>0</v>
      </c>
      <c r="AK43" s="52"/>
      <c r="AL43" s="413">
        <f>IFERROR(VLOOKUP($C43,'Proposed Rates'!$B:$J,AL$11,FALSE),0)</f>
        <v>0.25</v>
      </c>
      <c r="AM43" s="414">
        <f>IF($D43="Monthly",1,IF($D43="per KWH",$F$10,0))</f>
        <v>1</v>
      </c>
      <c r="AN43" s="399">
        <f t="shared" si="61"/>
        <v>0.25</v>
      </c>
      <c r="AO43" s="132"/>
      <c r="AP43" s="400">
        <f t="shared" si="21"/>
        <v>0</v>
      </c>
      <c r="AQ43" s="401">
        <f t="shared" si="22"/>
        <v>0</v>
      </c>
      <c r="AR43" s="402"/>
    </row>
    <row r="44" spans="1:44" ht="12.75" customHeight="1">
      <c r="A44" s="52"/>
      <c r="B44" s="321" t="s">
        <v>266</v>
      </c>
      <c r="C44" s="394" t="str">
        <f t="shared" si="49"/>
        <v>Residential.TOU - Off Peak</v>
      </c>
      <c r="D44" s="395" t="s">
        <v>312</v>
      </c>
      <c r="E44" s="321"/>
      <c r="F44" s="429">
        <f>VLOOKUP($B44,'Proposed Rates'!$D$252:$J$258,+F$11-2,FALSE)</f>
        <v>9.8000000000000004E-2</v>
      </c>
      <c r="G44" s="420">
        <f>$F$10*'Proposed Rates'!$K$253</f>
        <v>320</v>
      </c>
      <c r="H44" s="399">
        <f t="shared" si="51"/>
        <v>31.36</v>
      </c>
      <c r="I44" s="132"/>
      <c r="J44" s="429">
        <f>VLOOKUP($B44,'Proposed Rates'!$D$252:$J$258,+J$11-2,FALSE)</f>
        <v>9.8000000000000004E-2</v>
      </c>
      <c r="K44" s="420">
        <f>$F$10*'Proposed Rates'!$K$253</f>
        <v>320</v>
      </c>
      <c r="L44" s="399">
        <f t="shared" si="53"/>
        <v>31.36</v>
      </c>
      <c r="M44" s="132"/>
      <c r="N44" s="400">
        <f t="shared" si="5"/>
        <v>0</v>
      </c>
      <c r="O44" s="401">
        <f t="shared" si="6"/>
        <v>0</v>
      </c>
      <c r="P44" s="52"/>
      <c r="Q44" s="429">
        <f>VLOOKUP($B44,'Proposed Rates'!$D$252:$J$258,+Q$11-2,FALSE)</f>
        <v>9.8000000000000004E-2</v>
      </c>
      <c r="R44" s="420">
        <f>$F$10*'Proposed Rates'!$K$253</f>
        <v>320</v>
      </c>
      <c r="S44" s="399">
        <f t="shared" si="55"/>
        <v>31.36</v>
      </c>
      <c r="T44" s="132"/>
      <c r="U44" s="400">
        <f t="shared" si="9"/>
        <v>0</v>
      </c>
      <c r="V44" s="401">
        <f t="shared" si="10"/>
        <v>0</v>
      </c>
      <c r="W44" s="52"/>
      <c r="X44" s="429">
        <f>VLOOKUP($B44,'Proposed Rates'!$D$252:$J$258,+X$11-2,FALSE)</f>
        <v>9.8000000000000004E-2</v>
      </c>
      <c r="Y44" s="420">
        <f>$F$10*'Proposed Rates'!$K$253</f>
        <v>320</v>
      </c>
      <c r="Z44" s="399">
        <f t="shared" si="57"/>
        <v>31.36</v>
      </c>
      <c r="AA44" s="132"/>
      <c r="AB44" s="400">
        <f t="shared" si="13"/>
        <v>0</v>
      </c>
      <c r="AC44" s="401">
        <f t="shared" si="14"/>
        <v>0</v>
      </c>
      <c r="AD44" s="52"/>
      <c r="AE44" s="429">
        <f>VLOOKUP($B44,'Proposed Rates'!$D$252:$J$258,+AE$11-2,FALSE)</f>
        <v>9.8000000000000004E-2</v>
      </c>
      <c r="AF44" s="420">
        <f>$F$10*'Proposed Rates'!$K$253</f>
        <v>320</v>
      </c>
      <c r="AG44" s="399">
        <f t="shared" si="59"/>
        <v>31.36</v>
      </c>
      <c r="AH44" s="132"/>
      <c r="AI44" s="400">
        <f t="shared" si="17"/>
        <v>0</v>
      </c>
      <c r="AJ44" s="401">
        <f t="shared" si="18"/>
        <v>0</v>
      </c>
      <c r="AK44" s="52"/>
      <c r="AL44" s="429">
        <f>VLOOKUP($B44,'Proposed Rates'!$D$252:$J$258,+AL$11-2,FALSE)</f>
        <v>9.8000000000000004E-2</v>
      </c>
      <c r="AM44" s="420">
        <f>$F$10*'Proposed Rates'!$K$253</f>
        <v>320</v>
      </c>
      <c r="AN44" s="399">
        <f t="shared" si="61"/>
        <v>31.36</v>
      </c>
      <c r="AO44" s="132"/>
      <c r="AP44" s="400">
        <f t="shared" si="21"/>
        <v>0</v>
      </c>
      <c r="AQ44" s="401">
        <f t="shared" si="22"/>
        <v>0</v>
      </c>
      <c r="AR44" s="402"/>
    </row>
    <row r="45" spans="1:44" ht="12.75" customHeight="1">
      <c r="A45" s="52"/>
      <c r="B45" s="321" t="s">
        <v>267</v>
      </c>
      <c r="C45" s="394" t="str">
        <f t="shared" si="49"/>
        <v>Residential.TOU - Mid Peak</v>
      </c>
      <c r="D45" s="395" t="s">
        <v>312</v>
      </c>
      <c r="E45" s="321"/>
      <c r="F45" s="429">
        <f>VLOOKUP($B45,'Proposed Rates'!$D$252:$J$258,+F$11-2,FALSE)</f>
        <v>0.157</v>
      </c>
      <c r="G45" s="420">
        <f>$F$10*'Proposed Rates'!$K$254</f>
        <v>90</v>
      </c>
      <c r="H45" s="399">
        <f t="shared" si="51"/>
        <v>14.13</v>
      </c>
      <c r="I45" s="132"/>
      <c r="J45" s="429">
        <f>VLOOKUP($B45,'Proposed Rates'!$D$252:$J$258,+J$11-2,FALSE)</f>
        <v>0.157</v>
      </c>
      <c r="K45" s="420">
        <f>$F$10*'Proposed Rates'!$K$254</f>
        <v>90</v>
      </c>
      <c r="L45" s="399">
        <f t="shared" si="53"/>
        <v>14.13</v>
      </c>
      <c r="M45" s="132"/>
      <c r="N45" s="400">
        <f t="shared" si="5"/>
        <v>0</v>
      </c>
      <c r="O45" s="401">
        <f t="shared" si="6"/>
        <v>0</v>
      </c>
      <c r="P45" s="52"/>
      <c r="Q45" s="429">
        <f>VLOOKUP($B45,'Proposed Rates'!$D$252:$J$258,+Q$11-2,FALSE)</f>
        <v>0.157</v>
      </c>
      <c r="R45" s="420">
        <f>$F$10*'Proposed Rates'!$K$254</f>
        <v>90</v>
      </c>
      <c r="S45" s="399">
        <f t="shared" si="55"/>
        <v>14.13</v>
      </c>
      <c r="T45" s="132"/>
      <c r="U45" s="400">
        <f t="shared" si="9"/>
        <v>0</v>
      </c>
      <c r="V45" s="401">
        <f t="shared" si="10"/>
        <v>0</v>
      </c>
      <c r="W45" s="52"/>
      <c r="X45" s="429">
        <f>VLOOKUP($B45,'Proposed Rates'!$D$252:$J$258,+X$11-2,FALSE)</f>
        <v>0.157</v>
      </c>
      <c r="Y45" s="420">
        <f>$F$10*'Proposed Rates'!$K$254</f>
        <v>90</v>
      </c>
      <c r="Z45" s="399">
        <f t="shared" si="57"/>
        <v>14.13</v>
      </c>
      <c r="AA45" s="132"/>
      <c r="AB45" s="400">
        <f t="shared" si="13"/>
        <v>0</v>
      </c>
      <c r="AC45" s="401">
        <f t="shared" si="14"/>
        <v>0</v>
      </c>
      <c r="AD45" s="52"/>
      <c r="AE45" s="429">
        <f>VLOOKUP($B45,'Proposed Rates'!$D$252:$J$258,+AE$11-2,FALSE)</f>
        <v>0.157</v>
      </c>
      <c r="AF45" s="420">
        <f>$F$10*'Proposed Rates'!$K$254</f>
        <v>90</v>
      </c>
      <c r="AG45" s="399">
        <f t="shared" si="59"/>
        <v>14.13</v>
      </c>
      <c r="AH45" s="132"/>
      <c r="AI45" s="400">
        <f t="shared" si="17"/>
        <v>0</v>
      </c>
      <c r="AJ45" s="401">
        <f t="shared" si="18"/>
        <v>0</v>
      </c>
      <c r="AK45" s="52"/>
      <c r="AL45" s="429">
        <f>VLOOKUP($B45,'Proposed Rates'!$D$252:$J$258,+AL$11-2,FALSE)</f>
        <v>0.157</v>
      </c>
      <c r="AM45" s="420">
        <f>$F$10*'Proposed Rates'!$K$254</f>
        <v>90</v>
      </c>
      <c r="AN45" s="399">
        <f t="shared" si="61"/>
        <v>14.13</v>
      </c>
      <c r="AO45" s="132"/>
      <c r="AP45" s="400">
        <f t="shared" si="21"/>
        <v>0</v>
      </c>
      <c r="AQ45" s="401">
        <f t="shared" si="22"/>
        <v>0</v>
      </c>
      <c r="AR45" s="402"/>
    </row>
    <row r="46" spans="1:44" ht="12.75" customHeight="1">
      <c r="A46" s="52"/>
      <c r="B46" s="52" t="s">
        <v>268</v>
      </c>
      <c r="C46" s="394" t="str">
        <f t="shared" si="49"/>
        <v>Residential.TOU - On Peak</v>
      </c>
      <c r="D46" s="395" t="s">
        <v>312</v>
      </c>
      <c r="E46" s="321"/>
      <c r="F46" s="429">
        <f>VLOOKUP($B46,'Proposed Rates'!$D$252:$J$258,+F$11-2,FALSE)</f>
        <v>0.20300000000000001</v>
      </c>
      <c r="G46" s="420">
        <f>$F$10*'Proposed Rates'!$K$255</f>
        <v>90</v>
      </c>
      <c r="H46" s="399">
        <f t="shared" si="51"/>
        <v>18.27</v>
      </c>
      <c r="I46" s="132"/>
      <c r="J46" s="429">
        <f>VLOOKUP($B46,'Proposed Rates'!$D$252:$J$258,+J$11-2,FALSE)</f>
        <v>0.20300000000000001</v>
      </c>
      <c r="K46" s="420">
        <f>$F$10*'Proposed Rates'!$K$255</f>
        <v>90</v>
      </c>
      <c r="L46" s="399">
        <f t="shared" si="53"/>
        <v>18.27</v>
      </c>
      <c r="M46" s="132"/>
      <c r="N46" s="400">
        <f t="shared" si="5"/>
        <v>0</v>
      </c>
      <c r="O46" s="401">
        <f t="shared" si="6"/>
        <v>0</v>
      </c>
      <c r="P46" s="52"/>
      <c r="Q46" s="429">
        <f>VLOOKUP($B46,'Proposed Rates'!$D$252:$J$258,+Q$11-2,FALSE)</f>
        <v>0.20300000000000001</v>
      </c>
      <c r="R46" s="420">
        <f>$F$10*'Proposed Rates'!$K$255</f>
        <v>90</v>
      </c>
      <c r="S46" s="399">
        <f t="shared" si="55"/>
        <v>18.27</v>
      </c>
      <c r="T46" s="132"/>
      <c r="U46" s="400">
        <f t="shared" si="9"/>
        <v>0</v>
      </c>
      <c r="V46" s="401">
        <f t="shared" si="10"/>
        <v>0</v>
      </c>
      <c r="W46" s="52"/>
      <c r="X46" s="429">
        <f>VLOOKUP($B46,'Proposed Rates'!$D$252:$J$258,+X$11-2,FALSE)</f>
        <v>0.20300000000000001</v>
      </c>
      <c r="Y46" s="420">
        <f>$F$10*'Proposed Rates'!$K$255</f>
        <v>90</v>
      </c>
      <c r="Z46" s="399">
        <f t="shared" si="57"/>
        <v>18.27</v>
      </c>
      <c r="AA46" s="132"/>
      <c r="AB46" s="400">
        <f t="shared" si="13"/>
        <v>0</v>
      </c>
      <c r="AC46" s="401">
        <f t="shared" si="14"/>
        <v>0</v>
      </c>
      <c r="AD46" s="52"/>
      <c r="AE46" s="429">
        <f>VLOOKUP($B46,'Proposed Rates'!$D$252:$J$258,+AE$11-2,FALSE)</f>
        <v>0.20300000000000001</v>
      </c>
      <c r="AF46" s="420">
        <f>$F$10*'Proposed Rates'!$K$255</f>
        <v>90</v>
      </c>
      <c r="AG46" s="399">
        <f t="shared" si="59"/>
        <v>18.27</v>
      </c>
      <c r="AH46" s="132"/>
      <c r="AI46" s="400">
        <f t="shared" si="17"/>
        <v>0</v>
      </c>
      <c r="AJ46" s="401">
        <f t="shared" si="18"/>
        <v>0</v>
      </c>
      <c r="AK46" s="52"/>
      <c r="AL46" s="429">
        <f>VLOOKUP($B46,'Proposed Rates'!$D$252:$J$258,+AL$11-2,FALSE)</f>
        <v>0.20300000000000001</v>
      </c>
      <c r="AM46" s="420">
        <f>$F$10*'Proposed Rates'!$K$255</f>
        <v>90</v>
      </c>
      <c r="AN46" s="399">
        <f t="shared" si="61"/>
        <v>18.27</v>
      </c>
      <c r="AO46" s="132"/>
      <c r="AP46" s="400">
        <f t="shared" si="21"/>
        <v>0</v>
      </c>
      <c r="AQ46" s="401">
        <f t="shared" si="22"/>
        <v>0</v>
      </c>
      <c r="AR46" s="402"/>
    </row>
    <row r="47" spans="1:44" ht="12.75" customHeight="1">
      <c r="A47" s="52"/>
      <c r="B47" s="321" t="s">
        <v>269</v>
      </c>
      <c r="C47" s="394" t="str">
        <f t="shared" si="49"/>
        <v>Residential.Energy - RPP - Tier 1</v>
      </c>
      <c r="D47" s="395" t="s">
        <v>312</v>
      </c>
      <c r="E47" s="321"/>
      <c r="F47" s="429">
        <f>VLOOKUP($B47,'Proposed Rates'!$D$252:$J$258,+F$11-2,FALSE)</f>
        <v>0.12</v>
      </c>
      <c r="G47" s="430">
        <f>IF(AND($S$2=1, $F$10&gt;=600), 600, IF(AND($S$2=1, AND($F$10&lt;600, $F$10&gt;=0)), $F$10, IF(AND($S$2=2, $F$10&gt;=1000), 1000, IF(AND($S$2=2, AND($F$10&lt;1000, $F$10&gt;=0)), $F$10))))</f>
        <v>500</v>
      </c>
      <c r="H47" s="399">
        <f t="shared" si="51"/>
        <v>60</v>
      </c>
      <c r="I47" s="132"/>
      <c r="J47" s="429">
        <f>VLOOKUP($B47,'Proposed Rates'!$D$252:$J$258,+J$11-2,FALSE)</f>
        <v>0.12</v>
      </c>
      <c r="K47" s="430">
        <f>IF(AND($S$2=1, $F$10&gt;=600), 600, IF(AND($S$2=1, AND($F$10&lt;600, $F$10&gt;=0)), $F$10, IF(AND($S$2=2, $F$10&gt;=1000), 1000, IF(AND($S$2=2, AND($F$10&lt;1000, $F$10&gt;=0)), $F$10))))</f>
        <v>500</v>
      </c>
      <c r="L47" s="399">
        <f t="shared" si="53"/>
        <v>60</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500</v>
      </c>
      <c r="S47" s="399">
        <f t="shared" si="55"/>
        <v>60</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500</v>
      </c>
      <c r="Z47" s="399">
        <f t="shared" si="57"/>
        <v>60</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500</v>
      </c>
      <c r="AG47" s="399">
        <f t="shared" si="59"/>
        <v>60</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500</v>
      </c>
      <c r="AN47" s="399">
        <f t="shared" si="61"/>
        <v>60</v>
      </c>
      <c r="AO47" s="132"/>
      <c r="AP47" s="400">
        <f t="shared" si="21"/>
        <v>0</v>
      </c>
      <c r="AQ47" s="401">
        <f t="shared" si="22"/>
        <v>0</v>
      </c>
      <c r="AR47" s="402"/>
    </row>
    <row r="48" spans="1:44" ht="12.75" customHeight="1">
      <c r="A48" s="52"/>
      <c r="B48" s="321" t="s">
        <v>270</v>
      </c>
      <c r="C48" s="394" t="str">
        <f t="shared" si="49"/>
        <v>Residential.Energy - RPP - Tier 2</v>
      </c>
      <c r="D48" s="395" t="s">
        <v>312</v>
      </c>
      <c r="E48" s="321"/>
      <c r="F48" s="429">
        <f>VLOOKUP($B48,'Proposed Rates'!$D$252:$J$258,+F$11-2,FALSE)</f>
        <v>0.14199999999999999</v>
      </c>
      <c r="G48" s="432">
        <f>IF(AND($S$2=1, $F$10&gt;=600), $F$10-600, IF(AND($S$2=1, AND($F$10&lt;600, $F$10&gt;=0)), 0, IF(AND($S$2=2, $F$10&gt;=1000), $F$10-1000, IF(AND($S$2=2, AND($F$10&lt;1000, $F$10&gt;=0)), 0))))</f>
        <v>0</v>
      </c>
      <c r="H48" s="399">
        <f t="shared" si="51"/>
        <v>0</v>
      </c>
      <c r="I48" s="132"/>
      <c r="J48" s="429">
        <f>VLOOKUP($B48,'Proposed Rates'!$D$252:$J$258,+J$11-2,FALSE)</f>
        <v>0.14199999999999999</v>
      </c>
      <c r="K48" s="432">
        <f>IF(AND($S$2=1, $F$10&gt;=600), $F$10-600, IF(AND($S$2=1, AND($F$10&lt;600, $F$10&gt;=0)), 0, IF(AND($S$2=2, $F$10&gt;=1000), $F$10-1000, IF(AND($S$2=2, AND($F$10&lt;1000, $F$10&gt;=0)), 0))))</f>
        <v>0</v>
      </c>
      <c r="L48" s="399">
        <f t="shared" si="53"/>
        <v>0</v>
      </c>
      <c r="M48" s="132"/>
      <c r="N48" s="400">
        <f t="shared" si="5"/>
        <v>0</v>
      </c>
      <c r="O48" s="401" t="str">
        <f t="shared" si="6"/>
        <v/>
      </c>
      <c r="P48" s="52"/>
      <c r="Q48" s="429">
        <f>VLOOKUP($B48,'Proposed Rates'!$D$252:$J$258,+Q$11-2,FALSE)</f>
        <v>0.14199999999999999</v>
      </c>
      <c r="R48" s="432">
        <f>IF(AND($S$2=1, $F$10&gt;=600), $F$10-600, IF(AND($S$2=1, AND($F$10&lt;600, $F$10&gt;=0)), 0, IF(AND($S$2=2, $F$10&gt;=1000), $F$10-1000, IF(AND($S$2=2, AND($F$10&lt;1000, $F$10&gt;=0)), 0))))</f>
        <v>0</v>
      </c>
      <c r="S48" s="399">
        <f t="shared" si="55"/>
        <v>0</v>
      </c>
      <c r="T48" s="132"/>
      <c r="U48" s="400">
        <f t="shared" si="9"/>
        <v>0</v>
      </c>
      <c r="V48" s="401" t="str">
        <f t="shared" si="10"/>
        <v/>
      </c>
      <c r="W48" s="52"/>
      <c r="X48" s="429">
        <f>VLOOKUP($B48,'Proposed Rates'!$D$252:$J$258,+X$11-2,FALSE)</f>
        <v>0.14199999999999999</v>
      </c>
      <c r="Y48" s="432">
        <f>IF(AND($S$2=1, $F$10&gt;=600), $F$10-600, IF(AND($S$2=1, AND($F$10&lt;600, $F$10&gt;=0)), 0, IF(AND($S$2=2, $F$10&gt;=1000), $F$10-1000, IF(AND($S$2=2, AND($F$10&lt;1000, $F$10&gt;=0)), 0))))</f>
        <v>0</v>
      </c>
      <c r="Z48" s="399">
        <f t="shared" si="57"/>
        <v>0</v>
      </c>
      <c r="AA48" s="132"/>
      <c r="AB48" s="400">
        <f t="shared" si="13"/>
        <v>0</v>
      </c>
      <c r="AC48" s="401" t="str">
        <f t="shared" si="14"/>
        <v/>
      </c>
      <c r="AD48" s="52"/>
      <c r="AE48" s="429">
        <f>VLOOKUP($B48,'Proposed Rates'!$D$252:$J$258,+AE$11-2,FALSE)</f>
        <v>0.14199999999999999</v>
      </c>
      <c r="AF48" s="432">
        <f>IF(AND($S$2=1, $F$10&gt;=600), $F$10-600, IF(AND($S$2=1, AND($F$10&lt;600, $F$10&gt;=0)), 0, IF(AND($S$2=2, $F$10&gt;=1000), $F$10-1000, IF(AND($S$2=2, AND($F$10&lt;1000, $F$10&gt;=0)), 0))))</f>
        <v>0</v>
      </c>
      <c r="AG48" s="399">
        <f t="shared" si="59"/>
        <v>0</v>
      </c>
      <c r="AH48" s="132"/>
      <c r="AI48" s="400">
        <f t="shared" si="17"/>
        <v>0</v>
      </c>
      <c r="AJ48" s="401" t="str">
        <f t="shared" si="18"/>
        <v/>
      </c>
      <c r="AK48" s="52"/>
      <c r="AL48" s="429">
        <f>VLOOKUP($B48,'Proposed Rates'!$D$252:$J$258,+AL$11-2,FALSE)</f>
        <v>0.14199999999999999</v>
      </c>
      <c r="AM48" s="432">
        <f>IF(AND($S$2=1, $F$10&gt;=600), $F$10-600, IF(AND($S$2=1, AND($F$10&lt;600, $F$10&gt;=0)), 0, IF(AND($S$2=2, $F$10&gt;=1000), $F$10-1000, IF(AND($S$2=2, AND($F$10&lt;1000, $F$10&gt;=0)), 0))))</f>
        <v>0</v>
      </c>
      <c r="AN48" s="399">
        <f t="shared" si="61"/>
        <v>0</v>
      </c>
      <c r="AO48" s="132"/>
      <c r="AP48" s="400">
        <f t="shared" si="21"/>
        <v>0</v>
      </c>
      <c r="AQ48" s="401" t="str">
        <f t="shared" si="22"/>
        <v/>
      </c>
      <c r="AR48" s="402"/>
    </row>
    <row r="49" spans="1:44" ht="8.25"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75" customHeight="1">
      <c r="A50" s="52"/>
      <c r="B50" s="443" t="s">
        <v>319</v>
      </c>
      <c r="C50" s="321"/>
      <c r="D50" s="321"/>
      <c r="E50" s="321"/>
      <c r="F50" s="444"/>
      <c r="G50" s="488"/>
      <c r="H50" s="446">
        <f>SUM(H41:H46,H40)</f>
        <v>114.456953</v>
      </c>
      <c r="I50" s="481"/>
      <c r="J50" s="444"/>
      <c r="K50" s="445"/>
      <c r="L50" s="446">
        <f>SUM(L41:L46,L40)</f>
        <v>120.41953399999997</v>
      </c>
      <c r="M50" s="448"/>
      <c r="N50" s="447">
        <f t="shared" ref="N50:N54" si="62">L50-H50</f>
        <v>5.9625809999999717</v>
      </c>
      <c r="O50" s="449">
        <f t="shared" ref="O50:O54" si="63">IF((H50)=0,"",(N50/H50))</f>
        <v>5.2094528499286294E-2</v>
      </c>
      <c r="P50" s="52"/>
      <c r="Q50" s="445"/>
      <c r="R50" s="445"/>
      <c r="S50" s="447">
        <f>SUM(S41:S46,S40)</f>
        <v>123.11953399999999</v>
      </c>
      <c r="T50" s="448"/>
      <c r="U50" s="447">
        <f t="shared" ref="U50:U54" si="64">S50-L50</f>
        <v>2.7000000000000171</v>
      </c>
      <c r="V50" s="449">
        <f t="shared" ref="V50:V54" si="65">IF((L50)=0,"",(U50/L50))</f>
        <v>2.242161143058416E-2</v>
      </c>
      <c r="W50" s="52"/>
      <c r="X50" s="445"/>
      <c r="Y50" s="445"/>
      <c r="Z50" s="447">
        <f>SUM(Z41:Z46,Z40)</f>
        <v>125.96469999999999</v>
      </c>
      <c r="AA50" s="448"/>
      <c r="AB50" s="447">
        <f t="shared" ref="AB50:AB54" si="66">Z50-S50</f>
        <v>2.8451660000000061</v>
      </c>
      <c r="AC50" s="449">
        <f t="shared" ref="AC50:AC54" si="67">IF((S50)=0,"",(AB50/S50))</f>
        <v>2.3108973105762456E-2</v>
      </c>
      <c r="AD50" s="52"/>
      <c r="AE50" s="445"/>
      <c r="AF50" s="445"/>
      <c r="AG50" s="447">
        <f>SUM(AG41:AG46,AG40)</f>
        <v>127.48469999999998</v>
      </c>
      <c r="AH50" s="448"/>
      <c r="AI50" s="447">
        <f t="shared" ref="AI50:AI54" si="68">AG50-Z50</f>
        <v>1.5199999999999818</v>
      </c>
      <c r="AJ50" s="449">
        <f t="shared" ref="AJ50:AJ54" si="69">IF((Z50)=0,"",(AI50/Z50))</f>
        <v>1.2066872703225442E-2</v>
      </c>
      <c r="AK50" s="52"/>
      <c r="AL50" s="445"/>
      <c r="AM50" s="445"/>
      <c r="AN50" s="447">
        <f>SUM(AN41:AN46,AN40)</f>
        <v>128.87469999999999</v>
      </c>
      <c r="AO50" s="448"/>
      <c r="AP50" s="447">
        <f t="shared" ref="AP50:AP54" si="70">AN50-AG50</f>
        <v>1.3900000000000148</v>
      </c>
      <c r="AQ50" s="449">
        <f t="shared" ref="AQ50:AQ54" si="71">IF((AG50)=0,"",(AP50/AG50))</f>
        <v>1.0903269176615037E-2</v>
      </c>
      <c r="AR50" s="450"/>
    </row>
    <row r="51" spans="1:44" ht="12.75" customHeight="1">
      <c r="A51" s="52"/>
      <c r="B51" s="451" t="s">
        <v>320</v>
      </c>
      <c r="C51" s="321"/>
      <c r="D51" s="321"/>
      <c r="E51" s="321"/>
      <c r="F51" s="444">
        <v>0.13</v>
      </c>
      <c r="G51" s="132"/>
      <c r="H51" s="489">
        <f>H50*F51</f>
        <v>14.879403890000001</v>
      </c>
      <c r="I51" s="416"/>
      <c r="J51" s="444">
        <v>0.13</v>
      </c>
      <c r="K51" s="416"/>
      <c r="L51" s="399">
        <f>L50*J51</f>
        <v>15.654539419999997</v>
      </c>
      <c r="M51" s="132"/>
      <c r="N51" s="400">
        <f t="shared" si="62"/>
        <v>0.77513552999999646</v>
      </c>
      <c r="O51" s="401">
        <f t="shared" si="63"/>
        <v>5.2094528499286301E-2</v>
      </c>
      <c r="P51" s="52"/>
      <c r="Q51" s="452">
        <v>0.13</v>
      </c>
      <c r="R51" s="416"/>
      <c r="S51" s="399">
        <f>S50*Q51</f>
        <v>16.005539419999998</v>
      </c>
      <c r="T51" s="132"/>
      <c r="U51" s="400">
        <f t="shared" si="64"/>
        <v>0.35100000000000087</v>
      </c>
      <c r="V51" s="401">
        <f t="shared" si="65"/>
        <v>2.2421611430584069E-2</v>
      </c>
      <c r="W51" s="52"/>
      <c r="X51" s="452">
        <v>0.13</v>
      </c>
      <c r="Y51" s="416"/>
      <c r="Z51" s="399">
        <f>Z50*X51</f>
        <v>16.375411</v>
      </c>
      <c r="AA51" s="132"/>
      <c r="AB51" s="400">
        <f t="shared" si="66"/>
        <v>0.36987158000000164</v>
      </c>
      <c r="AC51" s="401">
        <f t="shared" si="67"/>
        <v>2.3108973105762511E-2</v>
      </c>
      <c r="AD51" s="52"/>
      <c r="AE51" s="452">
        <v>0.13</v>
      </c>
      <c r="AF51" s="416"/>
      <c r="AG51" s="399">
        <f>AG50*AE51</f>
        <v>16.573010999999997</v>
      </c>
      <c r="AH51" s="132"/>
      <c r="AI51" s="400">
        <f t="shared" si="68"/>
        <v>0.19759999999999778</v>
      </c>
      <c r="AJ51" s="401">
        <f t="shared" si="69"/>
        <v>1.2066872703225451E-2</v>
      </c>
      <c r="AK51" s="52"/>
      <c r="AL51" s="452">
        <v>0.13</v>
      </c>
      <c r="AM51" s="416"/>
      <c r="AN51" s="399">
        <f>AN50*AL51</f>
        <v>16.753710999999999</v>
      </c>
      <c r="AO51" s="132"/>
      <c r="AP51" s="400">
        <f t="shared" si="70"/>
        <v>0.18070000000000164</v>
      </c>
      <c r="AQ51" s="401">
        <f t="shared" si="71"/>
        <v>1.090326917661502E-2</v>
      </c>
      <c r="AR51" s="402"/>
    </row>
    <row r="52" spans="1:44" ht="12.75" customHeight="1">
      <c r="A52" s="52"/>
      <c r="B52" s="490" t="s">
        <v>345</v>
      </c>
      <c r="C52" s="321"/>
      <c r="D52" s="321"/>
      <c r="E52" s="321"/>
      <c r="F52" s="454"/>
      <c r="G52" s="132"/>
      <c r="H52" s="489">
        <f>H50+H51</f>
        <v>129.33635688999999</v>
      </c>
      <c r="I52" s="416"/>
      <c r="J52" s="454"/>
      <c r="K52" s="416"/>
      <c r="L52" s="399">
        <f>L50+L51</f>
        <v>136.07407341999996</v>
      </c>
      <c r="M52" s="132"/>
      <c r="N52" s="400">
        <f t="shared" si="62"/>
        <v>6.7377165299999717</v>
      </c>
      <c r="O52" s="401">
        <f t="shared" si="63"/>
        <v>5.2094528499286322E-2</v>
      </c>
      <c r="P52" s="52"/>
      <c r="Q52" s="416"/>
      <c r="R52" s="416"/>
      <c r="S52" s="399">
        <f>S50+S51</f>
        <v>139.12507341999998</v>
      </c>
      <c r="T52" s="132"/>
      <c r="U52" s="400">
        <f t="shared" si="64"/>
        <v>3.0510000000000161</v>
      </c>
      <c r="V52" s="401">
        <f t="shared" si="65"/>
        <v>2.2421611430584135E-2</v>
      </c>
      <c r="W52" s="52"/>
      <c r="X52" s="416"/>
      <c r="Y52" s="416"/>
      <c r="Z52" s="399">
        <f>Z50+Z51</f>
        <v>142.34011099999998</v>
      </c>
      <c r="AA52" s="132"/>
      <c r="AB52" s="400">
        <f t="shared" si="66"/>
        <v>3.2150375800000006</v>
      </c>
      <c r="AC52" s="401">
        <f t="shared" si="67"/>
        <v>2.3108973105762414E-2</v>
      </c>
      <c r="AD52" s="52"/>
      <c r="AE52" s="416"/>
      <c r="AF52" s="416"/>
      <c r="AG52" s="399">
        <f>AG50+AG51</f>
        <v>144.05771099999998</v>
      </c>
      <c r="AH52" s="132"/>
      <c r="AI52" s="400">
        <f t="shared" si="68"/>
        <v>1.7176000000000045</v>
      </c>
      <c r="AJ52" s="401">
        <f t="shared" si="69"/>
        <v>1.2066872703225619E-2</v>
      </c>
      <c r="AK52" s="52"/>
      <c r="AL52" s="416"/>
      <c r="AM52" s="416"/>
      <c r="AN52" s="399">
        <f>AN50+AN51</f>
        <v>145.628411</v>
      </c>
      <c r="AO52" s="132"/>
      <c r="AP52" s="400">
        <f t="shared" si="70"/>
        <v>1.5707000000000164</v>
      </c>
      <c r="AQ52" s="401">
        <f t="shared" si="71"/>
        <v>1.0903269176615035E-2</v>
      </c>
      <c r="AR52" s="402"/>
    </row>
    <row r="53" spans="1:44" ht="15.75" customHeight="1">
      <c r="A53" s="52"/>
      <c r="B53" s="632" t="s">
        <v>277</v>
      </c>
      <c r="C53" s="623"/>
      <c r="D53" s="623"/>
      <c r="E53" s="321"/>
      <c r="F53" s="455">
        <f>'Proposed Rates'!E290</f>
        <v>0.23499999999999999</v>
      </c>
      <c r="G53" s="132"/>
      <c r="H53" s="491">
        <f>F53*H50</f>
        <v>26.897383954999999</v>
      </c>
      <c r="I53" s="416"/>
      <c r="J53" s="455">
        <f>'Proposed Rates'!F290</f>
        <v>0.23499999999999999</v>
      </c>
      <c r="K53" s="416"/>
      <c r="L53" s="456">
        <f>J53*L50</f>
        <v>28.298590489999992</v>
      </c>
      <c r="M53" s="132"/>
      <c r="N53" s="456">
        <f t="shared" si="62"/>
        <v>1.4012065349999929</v>
      </c>
      <c r="O53" s="458">
        <f t="shared" si="63"/>
        <v>5.209452849928628E-2</v>
      </c>
      <c r="P53" s="52"/>
      <c r="Q53" s="457">
        <f>'Proposed Rates'!G290</f>
        <v>0.23499999999999999</v>
      </c>
      <c r="R53" s="416"/>
      <c r="S53" s="456">
        <f>Q53*S50</f>
        <v>28.933090489999994</v>
      </c>
      <c r="T53" s="132"/>
      <c r="U53" s="456">
        <f t="shared" si="64"/>
        <v>0.63450000000000273</v>
      </c>
      <c r="V53" s="458">
        <f t="shared" si="65"/>
        <v>2.2421611430584115E-2</v>
      </c>
      <c r="W53" s="52"/>
      <c r="X53" s="457">
        <f>'Proposed Rates'!H290</f>
        <v>0.23499999999999999</v>
      </c>
      <c r="Y53" s="416"/>
      <c r="Z53" s="456">
        <f>X53*Z50</f>
        <v>29.601704499999997</v>
      </c>
      <c r="AA53" s="132"/>
      <c r="AB53" s="456">
        <f t="shared" si="66"/>
        <v>0.66861401000000242</v>
      </c>
      <c r="AC53" s="458">
        <f t="shared" si="67"/>
        <v>2.3108973105762494E-2</v>
      </c>
      <c r="AD53" s="52"/>
      <c r="AE53" s="457">
        <f>'Proposed Rates'!I290</f>
        <v>0.23499999999999999</v>
      </c>
      <c r="AF53" s="416"/>
      <c r="AG53" s="456">
        <f>AE53*AG50</f>
        <v>29.958904499999992</v>
      </c>
      <c r="AH53" s="132"/>
      <c r="AI53" s="456">
        <f t="shared" si="68"/>
        <v>0.3571999999999953</v>
      </c>
      <c r="AJ53" s="458">
        <f t="shared" si="69"/>
        <v>1.2066872703225429E-2</v>
      </c>
      <c r="AK53" s="52"/>
      <c r="AL53" s="457">
        <f>'Proposed Rates'!J290</f>
        <v>0.23499999999999999</v>
      </c>
      <c r="AM53" s="416"/>
      <c r="AN53" s="456">
        <f>AL53*AN50</f>
        <v>30.285554499999996</v>
      </c>
      <c r="AO53" s="132"/>
      <c r="AP53" s="456">
        <f t="shared" si="70"/>
        <v>0.32665000000000433</v>
      </c>
      <c r="AQ53" s="458">
        <f t="shared" si="71"/>
        <v>1.0903269176615066E-2</v>
      </c>
      <c r="AR53" s="459"/>
    </row>
    <row r="54" spans="1:44" ht="12.75" customHeight="1">
      <c r="A54" s="52"/>
      <c r="B54" s="634" t="s">
        <v>322</v>
      </c>
      <c r="C54" s="615"/>
      <c r="D54" s="615"/>
      <c r="E54" s="460"/>
      <c r="F54" s="461"/>
      <c r="G54" s="492"/>
      <c r="H54" s="493">
        <f>H52-H53</f>
        <v>102.438972935</v>
      </c>
      <c r="I54" s="462"/>
      <c r="J54" s="461"/>
      <c r="K54" s="462"/>
      <c r="L54" s="463">
        <f>L52-L53</f>
        <v>107.77548292999997</v>
      </c>
      <c r="M54" s="464"/>
      <c r="N54" s="465">
        <f t="shared" si="62"/>
        <v>5.3365099949999717</v>
      </c>
      <c r="O54" s="466">
        <f t="shared" si="63"/>
        <v>5.2094528499286266E-2</v>
      </c>
      <c r="P54" s="52"/>
      <c r="Q54" s="462"/>
      <c r="R54" s="462"/>
      <c r="S54" s="463">
        <f>S52-S53</f>
        <v>110.19198292999998</v>
      </c>
      <c r="T54" s="464"/>
      <c r="U54" s="465">
        <f t="shared" si="64"/>
        <v>2.4165000000000134</v>
      </c>
      <c r="V54" s="466">
        <f t="shared" si="65"/>
        <v>2.2421611430584142E-2</v>
      </c>
      <c r="W54" s="52"/>
      <c r="X54" s="462"/>
      <c r="Y54" s="462"/>
      <c r="Z54" s="463">
        <f>Z52-Z53</f>
        <v>112.73840649999998</v>
      </c>
      <c r="AA54" s="464"/>
      <c r="AB54" s="465">
        <f t="shared" si="66"/>
        <v>2.5464235700000017</v>
      </c>
      <c r="AC54" s="466">
        <f t="shared" si="67"/>
        <v>2.3108973105762425E-2</v>
      </c>
      <c r="AD54" s="52"/>
      <c r="AE54" s="462"/>
      <c r="AF54" s="462"/>
      <c r="AG54" s="463">
        <f>AG52-AG53</f>
        <v>114.09880649999999</v>
      </c>
      <c r="AH54" s="464"/>
      <c r="AI54" s="465">
        <f t="shared" si="68"/>
        <v>1.3604000000000127</v>
      </c>
      <c r="AJ54" s="466">
        <f t="shared" si="69"/>
        <v>1.2066872703225701E-2</v>
      </c>
      <c r="AK54" s="52"/>
      <c r="AL54" s="462"/>
      <c r="AM54" s="462"/>
      <c r="AN54" s="463">
        <f>AN52-AN53</f>
        <v>115.34285650000001</v>
      </c>
      <c r="AO54" s="464"/>
      <c r="AP54" s="465">
        <f t="shared" si="70"/>
        <v>1.2440500000000156</v>
      </c>
      <c r="AQ54" s="466">
        <f t="shared" si="71"/>
        <v>1.0903269176615056E-2</v>
      </c>
      <c r="AR54" s="467"/>
    </row>
    <row r="55" spans="1:44" ht="8.25"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75" customHeight="1">
      <c r="A56" s="52"/>
      <c r="B56" s="443" t="s">
        <v>323</v>
      </c>
      <c r="C56" s="321"/>
      <c r="D56" s="321"/>
      <c r="E56" s="321"/>
      <c r="F56" s="444"/>
      <c r="G56" s="488"/>
      <c r="H56" s="446">
        <f>SUM(H47:H48,H40,H41:H43)</f>
        <v>110.69695299999999</v>
      </c>
      <c r="I56" s="481"/>
      <c r="J56" s="444"/>
      <c r="K56" s="445"/>
      <c r="L56" s="446">
        <f>SUM(L47:L48,L40,L41:L43)</f>
        <v>116.65953399999999</v>
      </c>
      <c r="M56" s="448"/>
      <c r="N56" s="447">
        <f t="shared" ref="N56:N60" si="72">L56-H56</f>
        <v>5.9625810000000001</v>
      </c>
      <c r="O56" s="449">
        <f t="shared" ref="O56:O60" si="73">IF((H56)=0,"",(N56/H56))</f>
        <v>5.3864002923368633E-2</v>
      </c>
      <c r="P56" s="52"/>
      <c r="Q56" s="445"/>
      <c r="R56" s="445"/>
      <c r="S56" s="447">
        <f>SUM(S47:S48,S40,S41:S43)</f>
        <v>119.35953399999998</v>
      </c>
      <c r="T56" s="448"/>
      <c r="U56" s="447">
        <f t="shared" ref="U56:U60" si="74">S56-L56</f>
        <v>2.6999999999999886</v>
      </c>
      <c r="V56" s="449">
        <f t="shared" ref="V56:V60" si="75">IF((L56)=0,"",(U56/L56))</f>
        <v>2.3144272117527821E-2</v>
      </c>
      <c r="W56" s="52"/>
      <c r="X56" s="445"/>
      <c r="Y56" s="445"/>
      <c r="Z56" s="447">
        <f>SUM(Z47:Z48,Z40,Z41:Z43)</f>
        <v>122.20469999999999</v>
      </c>
      <c r="AA56" s="448"/>
      <c r="AB56" s="447">
        <f t="shared" ref="AB56:AB60" si="76">Z56-S56</f>
        <v>2.8451660000000061</v>
      </c>
      <c r="AC56" s="449">
        <f t="shared" ref="AC56:AC60" si="77">IF((S56)=0,"",(AB56/S56))</f>
        <v>2.3836939577864022E-2</v>
      </c>
      <c r="AD56" s="52"/>
      <c r="AE56" s="445"/>
      <c r="AF56" s="445"/>
      <c r="AG56" s="447">
        <f>SUM(AG47:AG48,AG40,AG41:AG43)</f>
        <v>123.7247</v>
      </c>
      <c r="AH56" s="448"/>
      <c r="AI56" s="447">
        <f t="shared" ref="AI56:AI60" si="78">AG56-Z56</f>
        <v>1.5200000000000102</v>
      </c>
      <c r="AJ56" s="449">
        <f t="shared" ref="AJ56:AJ60" si="79">IF((Z56)=0,"",(AI56/Z56))</f>
        <v>1.2438146814320646E-2</v>
      </c>
      <c r="AK56" s="52"/>
      <c r="AL56" s="445"/>
      <c r="AM56" s="445"/>
      <c r="AN56" s="447">
        <f>SUM(AN47:AN48,AN40,AN41:AN43)</f>
        <v>125.11469999999998</v>
      </c>
      <c r="AO56" s="448"/>
      <c r="AP56" s="447">
        <f t="shared" ref="AP56:AP60" si="80">AN56-AG56</f>
        <v>1.3899999999999864</v>
      </c>
      <c r="AQ56" s="449">
        <f t="shared" ref="AQ56:AQ60" si="81">IF((AG56)=0,"",(AP56/AG56))</f>
        <v>1.1234620087985555E-2</v>
      </c>
      <c r="AR56" s="450"/>
    </row>
    <row r="57" spans="1:44" ht="12.75" customHeight="1">
      <c r="A57" s="52"/>
      <c r="B57" s="451" t="s">
        <v>320</v>
      </c>
      <c r="C57" s="321"/>
      <c r="D57" s="321"/>
      <c r="E57" s="321"/>
      <c r="F57" s="444">
        <v>0.13</v>
      </c>
      <c r="G57" s="488"/>
      <c r="H57" s="489">
        <f>H56*F57</f>
        <v>14.39060389</v>
      </c>
      <c r="I57" s="416"/>
      <c r="J57" s="444">
        <v>0.13</v>
      </c>
      <c r="K57" s="452"/>
      <c r="L57" s="399">
        <f>L56*J57</f>
        <v>15.16573942</v>
      </c>
      <c r="M57" s="132"/>
      <c r="N57" s="400">
        <f t="shared" si="72"/>
        <v>0.77513553000000002</v>
      </c>
      <c r="O57" s="401">
        <f t="shared" si="73"/>
        <v>5.3864002923368633E-2</v>
      </c>
      <c r="P57" s="52"/>
      <c r="Q57" s="444">
        <v>0.13</v>
      </c>
      <c r="R57" s="452"/>
      <c r="S57" s="399">
        <f>S56*Q57</f>
        <v>15.516739419999999</v>
      </c>
      <c r="T57" s="132"/>
      <c r="U57" s="400">
        <f t="shared" si="74"/>
        <v>0.35099999999999909</v>
      </c>
      <c r="V57" s="401">
        <f t="shared" si="75"/>
        <v>2.3144272117527856E-2</v>
      </c>
      <c r="W57" s="52"/>
      <c r="X57" s="444">
        <v>0.13</v>
      </c>
      <c r="Y57" s="452"/>
      <c r="Z57" s="399">
        <f>Z56*X57</f>
        <v>15.886610999999998</v>
      </c>
      <c r="AA57" s="132"/>
      <c r="AB57" s="400">
        <f t="shared" si="76"/>
        <v>0.36987157999999987</v>
      </c>
      <c r="AC57" s="401">
        <f t="shared" si="77"/>
        <v>2.3836939577863963E-2</v>
      </c>
      <c r="AD57" s="52"/>
      <c r="AE57" s="444">
        <v>0.13</v>
      </c>
      <c r="AF57" s="452"/>
      <c r="AG57" s="399">
        <f>AG56*AE57</f>
        <v>16.084211</v>
      </c>
      <c r="AH57" s="132"/>
      <c r="AI57" s="400">
        <f t="shared" si="78"/>
        <v>0.19760000000000133</v>
      </c>
      <c r="AJ57" s="401">
        <f t="shared" si="79"/>
        <v>1.2438146814320646E-2</v>
      </c>
      <c r="AK57" s="52"/>
      <c r="AL57" s="444">
        <v>0.13</v>
      </c>
      <c r="AM57" s="452"/>
      <c r="AN57" s="399">
        <f>AN56*AL57</f>
        <v>16.264910999999998</v>
      </c>
      <c r="AO57" s="132"/>
      <c r="AP57" s="400">
        <f t="shared" si="80"/>
        <v>0.18069999999999808</v>
      </c>
      <c r="AQ57" s="401">
        <f t="shared" si="81"/>
        <v>1.1234620087985547E-2</v>
      </c>
      <c r="AR57" s="402"/>
    </row>
    <row r="58" spans="1:44" ht="12.75" customHeight="1">
      <c r="A58" s="52"/>
      <c r="B58" s="490" t="s">
        <v>346</v>
      </c>
      <c r="C58" s="321"/>
      <c r="D58" s="321"/>
      <c r="E58" s="321"/>
      <c r="F58" s="454"/>
      <c r="G58" s="132"/>
      <c r="H58" s="489">
        <f>H56+H57</f>
        <v>125.08755688999999</v>
      </c>
      <c r="I58" s="416"/>
      <c r="J58" s="454"/>
      <c r="K58" s="416"/>
      <c r="L58" s="399">
        <f>L56+L57</f>
        <v>131.82527342</v>
      </c>
      <c r="M58" s="132"/>
      <c r="N58" s="400">
        <f t="shared" si="72"/>
        <v>6.7377165300000144</v>
      </c>
      <c r="O58" s="401">
        <f t="shared" si="73"/>
        <v>5.3864002923368751E-2</v>
      </c>
      <c r="P58" s="52"/>
      <c r="Q58" s="416"/>
      <c r="R58" s="416"/>
      <c r="S58" s="399">
        <f>S56+S57</f>
        <v>134.87627341999999</v>
      </c>
      <c r="T58" s="132"/>
      <c r="U58" s="400">
        <f t="shared" si="74"/>
        <v>3.0509999999999877</v>
      </c>
      <c r="V58" s="401">
        <f t="shared" si="75"/>
        <v>2.3144272117527825E-2</v>
      </c>
      <c r="W58" s="52"/>
      <c r="X58" s="416"/>
      <c r="Y58" s="416"/>
      <c r="Z58" s="399">
        <f>Z56+Z57</f>
        <v>138.09131099999999</v>
      </c>
      <c r="AA58" s="132"/>
      <c r="AB58" s="400">
        <f t="shared" si="76"/>
        <v>3.2150375800000006</v>
      </c>
      <c r="AC58" s="401">
        <f t="shared" si="77"/>
        <v>2.3836939577863973E-2</v>
      </c>
      <c r="AD58" s="52"/>
      <c r="AE58" s="416"/>
      <c r="AF58" s="416"/>
      <c r="AG58" s="399">
        <f>AG56+AG57</f>
        <v>139.80891099999999</v>
      </c>
      <c r="AH58" s="132"/>
      <c r="AI58" s="400">
        <f t="shared" si="78"/>
        <v>1.7176000000000045</v>
      </c>
      <c r="AJ58" s="401">
        <f t="shared" si="79"/>
        <v>1.2438146814320596E-2</v>
      </c>
      <c r="AK58" s="52"/>
      <c r="AL58" s="416"/>
      <c r="AM58" s="416"/>
      <c r="AN58" s="399">
        <f>AN56+AN57</f>
        <v>141.37961099999998</v>
      </c>
      <c r="AO58" s="132"/>
      <c r="AP58" s="400">
        <f t="shared" si="80"/>
        <v>1.570699999999988</v>
      </c>
      <c r="AQ58" s="401">
        <f t="shared" si="81"/>
        <v>1.123462008798558E-2</v>
      </c>
      <c r="AR58" s="402"/>
    </row>
    <row r="59" spans="1:44" ht="15.75" customHeight="1">
      <c r="A59" s="52"/>
      <c r="B59" s="632" t="s">
        <v>277</v>
      </c>
      <c r="C59" s="623"/>
      <c r="D59" s="623"/>
      <c r="E59" s="321"/>
      <c r="F59" s="455">
        <f>F53</f>
        <v>0.23499999999999999</v>
      </c>
      <c r="G59" s="132"/>
      <c r="H59" s="491">
        <f>F59*H56</f>
        <v>26.013783954999997</v>
      </c>
      <c r="I59" s="416"/>
      <c r="J59" s="455">
        <f>J53</f>
        <v>0.23499999999999999</v>
      </c>
      <c r="K59" s="416"/>
      <c r="L59" s="456">
        <f>J59*L56</f>
        <v>27.414990489999997</v>
      </c>
      <c r="M59" s="132"/>
      <c r="N59" s="456">
        <f t="shared" si="72"/>
        <v>1.401206535</v>
      </c>
      <c r="O59" s="458">
        <f t="shared" si="73"/>
        <v>5.386400292336864E-2</v>
      </c>
      <c r="P59" s="52"/>
      <c r="Q59" s="457">
        <f>Q53</f>
        <v>0.23499999999999999</v>
      </c>
      <c r="R59" s="416"/>
      <c r="S59" s="456">
        <f>Q59*S56</f>
        <v>28.049490489999993</v>
      </c>
      <c r="T59" s="132"/>
      <c r="U59" s="456">
        <f t="shared" si="74"/>
        <v>0.63449999999999562</v>
      </c>
      <c r="V59" s="458">
        <f t="shared" si="75"/>
        <v>2.3144272117527759E-2</v>
      </c>
      <c r="W59" s="52"/>
      <c r="X59" s="457">
        <f>X53</f>
        <v>0.23499999999999999</v>
      </c>
      <c r="Y59" s="416"/>
      <c r="Z59" s="456">
        <f>X59*Z56</f>
        <v>28.718104499999995</v>
      </c>
      <c r="AA59" s="132"/>
      <c r="AB59" s="456">
        <f t="shared" si="76"/>
        <v>0.66861401000000242</v>
      </c>
      <c r="AC59" s="458">
        <f t="shared" si="77"/>
        <v>2.383693957786406E-2</v>
      </c>
      <c r="AD59" s="52"/>
      <c r="AE59" s="457">
        <f>AE53</f>
        <v>0.23499999999999999</v>
      </c>
      <c r="AF59" s="416"/>
      <c r="AG59" s="456">
        <f>AE59*AG56</f>
        <v>29.075304499999998</v>
      </c>
      <c r="AH59" s="132"/>
      <c r="AI59" s="456">
        <f t="shared" si="78"/>
        <v>0.3572000000000024</v>
      </c>
      <c r="AJ59" s="458">
        <f t="shared" si="79"/>
        <v>1.2438146814320648E-2</v>
      </c>
      <c r="AK59" s="52"/>
      <c r="AL59" s="457">
        <f>AL53</f>
        <v>0.23499999999999999</v>
      </c>
      <c r="AM59" s="416"/>
      <c r="AN59" s="456">
        <f>AL59*AN56</f>
        <v>29.401954499999995</v>
      </c>
      <c r="AO59" s="132"/>
      <c r="AP59" s="456">
        <f t="shared" si="80"/>
        <v>0.32664999999999722</v>
      </c>
      <c r="AQ59" s="458">
        <f t="shared" si="81"/>
        <v>1.1234620087985571E-2</v>
      </c>
      <c r="AR59" s="459"/>
    </row>
    <row r="60" spans="1:44" ht="12.75" customHeight="1">
      <c r="A60" s="52"/>
      <c r="B60" s="634" t="s">
        <v>325</v>
      </c>
      <c r="C60" s="615"/>
      <c r="D60" s="615"/>
      <c r="E60" s="460"/>
      <c r="F60" s="468"/>
      <c r="G60" s="494"/>
      <c r="H60" s="495">
        <f>H58-H59</f>
        <v>99.073772934999994</v>
      </c>
      <c r="I60" s="469"/>
      <c r="J60" s="468"/>
      <c r="K60" s="469"/>
      <c r="L60" s="470">
        <f>L58-L59</f>
        <v>104.41028293000001</v>
      </c>
      <c r="M60" s="471"/>
      <c r="N60" s="472">
        <f t="shared" si="72"/>
        <v>5.3365099950000143</v>
      </c>
      <c r="O60" s="473">
        <f t="shared" si="73"/>
        <v>5.3864002923368778E-2</v>
      </c>
      <c r="P60" s="52"/>
      <c r="Q60" s="469"/>
      <c r="R60" s="469"/>
      <c r="S60" s="470">
        <f>S58-S59</f>
        <v>106.82678292999999</v>
      </c>
      <c r="T60" s="471"/>
      <c r="U60" s="472">
        <f t="shared" si="74"/>
        <v>2.416499999999985</v>
      </c>
      <c r="V60" s="473">
        <f t="shared" si="75"/>
        <v>2.3144272117527773E-2</v>
      </c>
      <c r="W60" s="52"/>
      <c r="X60" s="469"/>
      <c r="Y60" s="469"/>
      <c r="Z60" s="470">
        <f>Z58-Z59</f>
        <v>109.37320649999999</v>
      </c>
      <c r="AA60" s="471"/>
      <c r="AB60" s="472">
        <f t="shared" si="76"/>
        <v>2.5464235700000017</v>
      </c>
      <c r="AC60" s="473">
        <f t="shared" si="77"/>
        <v>2.3836939577863987E-2</v>
      </c>
      <c r="AD60" s="52"/>
      <c r="AE60" s="469"/>
      <c r="AF60" s="469"/>
      <c r="AG60" s="470">
        <f>AG58-AG59</f>
        <v>110.73360649999999</v>
      </c>
      <c r="AH60" s="471"/>
      <c r="AI60" s="472">
        <f t="shared" si="78"/>
        <v>1.3603999999999985</v>
      </c>
      <c r="AJ60" s="473">
        <f t="shared" si="79"/>
        <v>1.2438146814320549E-2</v>
      </c>
      <c r="AK60" s="52"/>
      <c r="AL60" s="469"/>
      <c r="AM60" s="469"/>
      <c r="AN60" s="470">
        <f>AN58-AN59</f>
        <v>111.97765649999999</v>
      </c>
      <c r="AO60" s="471"/>
      <c r="AP60" s="472">
        <f t="shared" si="80"/>
        <v>1.2440500000000014</v>
      </c>
      <c r="AQ60" s="473">
        <f t="shared" si="81"/>
        <v>1.1234620087985678E-2</v>
      </c>
      <c r="AR60" s="467"/>
    </row>
    <row r="61" spans="1:44" ht="8.25"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75"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75"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8" t="s">
        <v>347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B00-000000000000}">
      <formula1>"TOU,non-TOU"</formula1>
    </dataValidation>
    <dataValidation type="list" allowBlank="1" showErrorMessage="1" sqref="E15:E28 E30:E36 E38:E39 E41:E49 E55 E61" xr:uid="{00000000-0002-0000-0B00-000001000000}">
      <formula1>#REF!</formula1>
    </dataValidation>
    <dataValidation type="list" allowBlank="1" showInputMessage="1" showErrorMessage="1" prompt="Select Charge Unit - monthly, per kWh, per kW" sqref="D15:D28 D30:D36 D38:D39 D41:D49 D55 D61" xr:uid="{00000000-0002-0000-0B00-000002000000}">
      <formula1>"Monthly,per kWh,per kW"</formula1>
    </dataValidation>
  </dataValidations>
  <pageMargins left="0.74803149606299213" right="0.74803149606299213" top="0.98425196850393704" bottom="0.98425196850393704"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855468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2"/>
      <c r="B2" s="52"/>
      <c r="C2" s="378"/>
      <c r="D2" s="378"/>
      <c r="E2" s="378"/>
      <c r="F2" s="378" t="s">
        <v>295</v>
      </c>
      <c r="G2" s="378"/>
      <c r="H2" s="378"/>
      <c r="I2" s="378"/>
      <c r="J2" s="378"/>
      <c r="K2" s="378"/>
      <c r="L2" s="378"/>
      <c r="M2" s="378"/>
      <c r="N2" s="378"/>
      <c r="O2" s="378"/>
      <c r="P2" s="3"/>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c r="AS2" s="52"/>
      <c r="AT2" s="52"/>
      <c r="AU2" s="3"/>
      <c r="AV2" s="3"/>
      <c r="AW2" s="3"/>
      <c r="AX2" s="3"/>
      <c r="AY2" s="3"/>
      <c r="AZ2" s="3"/>
      <c r="BA2" s="3"/>
      <c r="BB2" s="3"/>
    </row>
    <row r="3" spans="1:54" ht="18.75" customHeight="1">
      <c r="A3" s="52"/>
      <c r="B3" s="52"/>
      <c r="C3" s="378"/>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3"/>
      <c r="AV3" s="3"/>
      <c r="AW3" s="3"/>
      <c r="AX3" s="3"/>
      <c r="AY3" s="3"/>
      <c r="AZ3" s="3"/>
      <c r="BA3" s="3"/>
      <c r="BB3" s="3"/>
    </row>
    <row r="4" spans="1:54" ht="7.5"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3"/>
      <c r="AV4" s="3"/>
      <c r="AW4" s="3"/>
      <c r="AX4" s="3"/>
      <c r="AY4" s="3"/>
      <c r="AZ4" s="3"/>
      <c r="BA4" s="3"/>
      <c r="BB4" s="3"/>
    </row>
    <row r="5" spans="1:54" ht="7.5"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3"/>
      <c r="AV5" s="3"/>
      <c r="AW5" s="3"/>
      <c r="AX5" s="3"/>
      <c r="AY5" s="3"/>
      <c r="AZ5" s="3"/>
      <c r="BA5" s="3"/>
      <c r="BB5" s="3"/>
    </row>
    <row r="6" spans="1:54" ht="12.75" customHeight="1">
      <c r="A6" s="52"/>
      <c r="B6" s="320" t="s">
        <v>298</v>
      </c>
      <c r="C6" s="52"/>
      <c r="D6" s="498"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3"/>
      <c r="AV6" s="3"/>
      <c r="AW6" s="3"/>
      <c r="AX6" s="3"/>
      <c r="AY6" s="3"/>
      <c r="AZ6" s="3"/>
      <c r="BA6" s="3"/>
      <c r="BB6" s="3"/>
    </row>
    <row r="7" spans="1:54"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3"/>
      <c r="AV7" s="3"/>
      <c r="AW7" s="3"/>
      <c r="AX7" s="3"/>
      <c r="AY7" s="3"/>
      <c r="AZ7" s="3"/>
      <c r="BA7" s="3"/>
      <c r="BB7" s="3"/>
    </row>
    <row r="8" spans="1:54" ht="12.75"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3"/>
      <c r="AV8" s="3"/>
      <c r="AW8" s="3"/>
      <c r="AX8" s="3"/>
      <c r="AY8" s="3"/>
      <c r="AZ8" s="3"/>
      <c r="BA8" s="3"/>
      <c r="BB8" s="3"/>
    </row>
    <row r="9" spans="1:54" ht="12.75"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3"/>
      <c r="AV9" s="3"/>
      <c r="AW9" s="3"/>
      <c r="AX9" s="3"/>
      <c r="AY9" s="3"/>
      <c r="AZ9" s="3"/>
      <c r="BA9" s="3"/>
      <c r="BB9" s="3"/>
    </row>
    <row r="10" spans="1:54" ht="12.75" customHeight="1">
      <c r="A10" s="52"/>
      <c r="B10" s="52"/>
      <c r="C10" s="52"/>
      <c r="D10" s="307" t="s">
        <v>301</v>
      </c>
      <c r="E10" s="307"/>
      <c r="F10" s="385">
        <v>620</v>
      </c>
      <c r="G10" s="307" t="s">
        <v>348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3"/>
      <c r="AV10" s="3"/>
      <c r="AW10" s="3"/>
      <c r="AX10" s="3"/>
      <c r="AY10" s="3"/>
      <c r="AZ10" s="3"/>
      <c r="BA10" s="3"/>
      <c r="BB10" s="3"/>
    </row>
    <row r="11" spans="1:54" ht="12.75"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52"/>
      <c r="AT11" s="52"/>
      <c r="AU11" s="3"/>
      <c r="AV11" s="3"/>
      <c r="AW11" s="3"/>
      <c r="AX11" s="3"/>
      <c r="AY11" s="3"/>
      <c r="AZ11" s="3"/>
      <c r="BA11" s="3"/>
      <c r="BB11" s="3"/>
    </row>
    <row r="12" spans="1:54"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10"/>
      <c r="AT12" s="310"/>
      <c r="AU12" s="3"/>
      <c r="AV12" s="3"/>
      <c r="AW12" s="3"/>
      <c r="AX12" s="3"/>
      <c r="AY12" s="3"/>
      <c r="AZ12" s="3"/>
      <c r="BA12" s="3"/>
      <c r="BB12" s="3"/>
    </row>
    <row r="13" spans="1:54"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87"/>
      <c r="AT13" s="387"/>
      <c r="AU13" s="3"/>
      <c r="AV13" s="3"/>
      <c r="AW13" s="3"/>
      <c r="AX13" s="3"/>
      <c r="AY13" s="3"/>
      <c r="AZ13" s="3"/>
      <c r="BA13" s="3"/>
      <c r="BB13" s="3"/>
    </row>
    <row r="14" spans="1:54"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87"/>
      <c r="AT14" s="387"/>
      <c r="AU14" s="3"/>
      <c r="AV14" s="3"/>
      <c r="AW14" s="3"/>
      <c r="AX14" s="3"/>
      <c r="AY14" s="3"/>
      <c r="AZ14" s="3"/>
      <c r="BA14" s="3"/>
      <c r="BB14" s="3"/>
    </row>
    <row r="15" spans="1:54" ht="12.75"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30" si="5">L15-H15</f>
        <v>6.4600000000000009</v>
      </c>
      <c r="O15" s="401">
        <f t="shared" ref="O15:O30"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c r="AS15" s="402"/>
      <c r="AT15" s="402"/>
      <c r="AU15" s="3"/>
      <c r="AV15" s="3"/>
      <c r="AW15" s="3"/>
      <c r="AX15" s="3"/>
      <c r="AY15" s="3"/>
      <c r="AZ15" s="3"/>
      <c r="BA15" s="3"/>
      <c r="BB15" s="3"/>
    </row>
    <row r="16" spans="1:54" ht="12.75"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c r="AS16" s="402"/>
      <c r="AT16" s="402"/>
      <c r="AU16" s="3"/>
      <c r="AV16" s="3"/>
      <c r="AW16" s="3"/>
      <c r="AX16" s="3"/>
      <c r="AY16" s="3"/>
      <c r="AZ16" s="3"/>
      <c r="BA16" s="3"/>
      <c r="BB16" s="3"/>
    </row>
    <row r="17" spans="1:54" ht="12.75"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620</v>
      </c>
      <c r="H17" s="399">
        <f t="shared" si="2"/>
        <v>0</v>
      </c>
      <c r="I17" s="132"/>
      <c r="J17" s="396">
        <f>IFERROR(VLOOKUP($C17,'Proposed Rates'!$B:$J,J$11,FALSE),0)</f>
        <v>0</v>
      </c>
      <c r="K17" s="397">
        <f t="shared" si="3"/>
        <v>620</v>
      </c>
      <c r="L17" s="399">
        <f t="shared" si="4"/>
        <v>0</v>
      </c>
      <c r="M17" s="132"/>
      <c r="N17" s="400">
        <f t="shared" si="5"/>
        <v>0</v>
      </c>
      <c r="O17" s="401" t="str">
        <f t="shared" si="6"/>
        <v/>
      </c>
      <c r="P17" s="52"/>
      <c r="Q17" s="396">
        <f>IFERROR(VLOOKUP($C17,'Proposed Rates'!$B:$J,Q$11,FALSE),0)</f>
        <v>0</v>
      </c>
      <c r="R17" s="397">
        <f t="shared" si="7"/>
        <v>620</v>
      </c>
      <c r="S17" s="399">
        <f t="shared" si="8"/>
        <v>0</v>
      </c>
      <c r="T17" s="132"/>
      <c r="U17" s="400">
        <f t="shared" si="9"/>
        <v>0</v>
      </c>
      <c r="V17" s="401" t="str">
        <f t="shared" si="10"/>
        <v/>
      </c>
      <c r="W17" s="52"/>
      <c r="X17" s="396">
        <f>IFERROR(VLOOKUP($C17,'Proposed Rates'!$B:$J,X$11,FALSE),0)</f>
        <v>0</v>
      </c>
      <c r="Y17" s="397">
        <f t="shared" si="11"/>
        <v>620</v>
      </c>
      <c r="Z17" s="399">
        <f t="shared" si="12"/>
        <v>0</v>
      </c>
      <c r="AA17" s="132"/>
      <c r="AB17" s="400">
        <f t="shared" si="13"/>
        <v>0</v>
      </c>
      <c r="AC17" s="401" t="str">
        <f t="shared" si="14"/>
        <v/>
      </c>
      <c r="AD17" s="52"/>
      <c r="AE17" s="396">
        <f>IFERROR(VLOOKUP($C17,'Proposed Rates'!$B:$J,AE$11,FALSE),0)</f>
        <v>0</v>
      </c>
      <c r="AF17" s="397">
        <f t="shared" si="15"/>
        <v>620</v>
      </c>
      <c r="AG17" s="399">
        <f t="shared" si="16"/>
        <v>0</v>
      </c>
      <c r="AH17" s="132"/>
      <c r="AI17" s="400">
        <f t="shared" si="17"/>
        <v>0</v>
      </c>
      <c r="AJ17" s="401" t="str">
        <f t="shared" si="18"/>
        <v/>
      </c>
      <c r="AK17" s="52"/>
      <c r="AL17" s="396">
        <f>IFERROR(VLOOKUP($C17,'Proposed Rates'!$B:$J,AL$11,FALSE),0)</f>
        <v>0</v>
      </c>
      <c r="AM17" s="397">
        <f t="shared" si="19"/>
        <v>620</v>
      </c>
      <c r="AN17" s="399">
        <f t="shared" si="20"/>
        <v>0</v>
      </c>
      <c r="AO17" s="132"/>
      <c r="AP17" s="400">
        <f t="shared" si="21"/>
        <v>0</v>
      </c>
      <c r="AQ17" s="401" t="str">
        <f t="shared" si="22"/>
        <v/>
      </c>
      <c r="AR17" s="402"/>
      <c r="AS17" s="402"/>
      <c r="AT17" s="402"/>
      <c r="AU17" s="3"/>
      <c r="AV17" s="3"/>
      <c r="AW17" s="3"/>
      <c r="AX17" s="3"/>
      <c r="AY17" s="3"/>
      <c r="AZ17" s="3"/>
      <c r="BA17" s="3"/>
      <c r="BB17" s="3"/>
    </row>
    <row r="18" spans="1:54" ht="12.75"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c r="AS18" s="402"/>
      <c r="AT18" s="402"/>
      <c r="AU18" s="3"/>
      <c r="AV18" s="3"/>
      <c r="AW18" s="3"/>
      <c r="AX18" s="3"/>
      <c r="AY18" s="3"/>
      <c r="AZ18" s="3"/>
      <c r="BA18" s="3"/>
      <c r="BB18" s="3"/>
    </row>
    <row r="19" spans="1:54" ht="12.75" customHeight="1">
      <c r="A19" s="52"/>
      <c r="B19" s="321" t="s">
        <v>59</v>
      </c>
      <c r="C19" s="394" t="str">
        <f t="shared" si="0"/>
        <v>Residential.Distribution Volumetric Rate</v>
      </c>
      <c r="D19" s="395" t="s">
        <v>312</v>
      </c>
      <c r="E19" s="321"/>
      <c r="F19" s="396">
        <f>IFERROR(VLOOKUP($C19,'Proposed Rates'!$B:$J,F$11,FALSE),0)</f>
        <v>0</v>
      </c>
      <c r="G19" s="397">
        <f t="shared" si="1"/>
        <v>620</v>
      </c>
      <c r="H19" s="399">
        <f t="shared" si="2"/>
        <v>0</v>
      </c>
      <c r="I19" s="132"/>
      <c r="J19" s="396">
        <f>IFERROR(VLOOKUP($C19,'Proposed Rates'!$B:$J,J$11,FALSE),0)</f>
        <v>0</v>
      </c>
      <c r="K19" s="397">
        <f t="shared" si="3"/>
        <v>620</v>
      </c>
      <c r="L19" s="399">
        <f t="shared" si="4"/>
        <v>0</v>
      </c>
      <c r="M19" s="132"/>
      <c r="N19" s="400">
        <f t="shared" si="5"/>
        <v>0</v>
      </c>
      <c r="O19" s="401" t="str">
        <f t="shared" si="6"/>
        <v/>
      </c>
      <c r="P19" s="52"/>
      <c r="Q19" s="396">
        <f>IFERROR(VLOOKUP($C19,'Proposed Rates'!$B:$J,Q$11,FALSE),0)</f>
        <v>0</v>
      </c>
      <c r="R19" s="397">
        <f t="shared" si="7"/>
        <v>620</v>
      </c>
      <c r="S19" s="399">
        <f t="shared" si="8"/>
        <v>0</v>
      </c>
      <c r="T19" s="132"/>
      <c r="U19" s="400">
        <f t="shared" si="9"/>
        <v>0</v>
      </c>
      <c r="V19" s="401" t="str">
        <f t="shared" si="10"/>
        <v/>
      </c>
      <c r="W19" s="52"/>
      <c r="X19" s="396">
        <f>IFERROR(VLOOKUP($C19,'Proposed Rates'!$B:$J,X$11,FALSE),0)</f>
        <v>0</v>
      </c>
      <c r="Y19" s="397">
        <f t="shared" si="11"/>
        <v>620</v>
      </c>
      <c r="Z19" s="399">
        <f t="shared" si="12"/>
        <v>0</v>
      </c>
      <c r="AA19" s="132"/>
      <c r="AB19" s="400">
        <f t="shared" si="13"/>
        <v>0</v>
      </c>
      <c r="AC19" s="401" t="str">
        <f t="shared" si="14"/>
        <v/>
      </c>
      <c r="AD19" s="52"/>
      <c r="AE19" s="396">
        <f>IFERROR(VLOOKUP($C19,'Proposed Rates'!$B:$J,AE$11,FALSE),0)</f>
        <v>0</v>
      </c>
      <c r="AF19" s="397">
        <f t="shared" si="15"/>
        <v>620</v>
      </c>
      <c r="AG19" s="399">
        <f t="shared" si="16"/>
        <v>0</v>
      </c>
      <c r="AH19" s="132"/>
      <c r="AI19" s="400">
        <f t="shared" si="17"/>
        <v>0</v>
      </c>
      <c r="AJ19" s="401" t="str">
        <f t="shared" si="18"/>
        <v/>
      </c>
      <c r="AK19" s="52"/>
      <c r="AL19" s="396">
        <f>IFERROR(VLOOKUP($C19,'Proposed Rates'!$B:$J,AL$11,FALSE),0)</f>
        <v>0</v>
      </c>
      <c r="AM19" s="397">
        <f t="shared" si="19"/>
        <v>620</v>
      </c>
      <c r="AN19" s="399">
        <f t="shared" si="20"/>
        <v>0</v>
      </c>
      <c r="AO19" s="132"/>
      <c r="AP19" s="400">
        <f t="shared" si="21"/>
        <v>0</v>
      </c>
      <c r="AQ19" s="401" t="str">
        <f t="shared" si="22"/>
        <v/>
      </c>
      <c r="AR19" s="402"/>
      <c r="AS19" s="402"/>
      <c r="AT19" s="402"/>
      <c r="AU19" s="3"/>
      <c r="AV19" s="3"/>
      <c r="AW19" s="3"/>
      <c r="AX19" s="3"/>
      <c r="AY19" s="3"/>
      <c r="AZ19" s="3"/>
      <c r="BA19" s="3"/>
      <c r="BB19" s="3"/>
    </row>
    <row r="20" spans="1:54" ht="12.75" customHeight="1">
      <c r="A20" s="52"/>
      <c r="B20" s="321" t="s">
        <v>313</v>
      </c>
      <c r="C20" s="394" t="str">
        <f t="shared" si="0"/>
        <v>Residential.Smart Meter Disposition Rider</v>
      </c>
      <c r="D20" s="395" t="s">
        <v>312</v>
      </c>
      <c r="E20" s="321"/>
      <c r="F20" s="396">
        <f>IFERROR(VLOOKUP($C20,'Proposed Rates'!$B:$J,F$11,FALSE),0)</f>
        <v>0</v>
      </c>
      <c r="G20" s="397">
        <f t="shared" si="1"/>
        <v>620</v>
      </c>
      <c r="H20" s="399">
        <f t="shared" si="2"/>
        <v>0</v>
      </c>
      <c r="I20" s="132"/>
      <c r="J20" s="396">
        <f>IFERROR(VLOOKUP($C20,'Proposed Rates'!$B:$J,J$11,FALSE),0)</f>
        <v>0</v>
      </c>
      <c r="K20" s="397">
        <f t="shared" si="3"/>
        <v>620</v>
      </c>
      <c r="L20" s="399">
        <f t="shared" si="4"/>
        <v>0</v>
      </c>
      <c r="M20" s="132"/>
      <c r="N20" s="400">
        <f t="shared" si="5"/>
        <v>0</v>
      </c>
      <c r="O20" s="401" t="str">
        <f t="shared" si="6"/>
        <v/>
      </c>
      <c r="P20" s="52"/>
      <c r="Q20" s="396">
        <f>IFERROR(VLOOKUP($C20,'Proposed Rates'!$B:$J,Q$11,FALSE),0)</f>
        <v>0</v>
      </c>
      <c r="R20" s="397">
        <f t="shared" si="7"/>
        <v>620</v>
      </c>
      <c r="S20" s="399">
        <f t="shared" si="8"/>
        <v>0</v>
      </c>
      <c r="T20" s="132"/>
      <c r="U20" s="400">
        <f t="shared" si="9"/>
        <v>0</v>
      </c>
      <c r="V20" s="401" t="str">
        <f t="shared" si="10"/>
        <v/>
      </c>
      <c r="W20" s="52"/>
      <c r="X20" s="396">
        <f>IFERROR(VLOOKUP($C20,'Proposed Rates'!$B:$J,X$11,FALSE),0)</f>
        <v>0</v>
      </c>
      <c r="Y20" s="397">
        <f t="shared" si="11"/>
        <v>620</v>
      </c>
      <c r="Z20" s="399">
        <f t="shared" si="12"/>
        <v>0</v>
      </c>
      <c r="AA20" s="132"/>
      <c r="AB20" s="400">
        <f t="shared" si="13"/>
        <v>0</v>
      </c>
      <c r="AC20" s="401" t="str">
        <f t="shared" si="14"/>
        <v/>
      </c>
      <c r="AD20" s="52"/>
      <c r="AE20" s="396">
        <f>IFERROR(VLOOKUP($C20,'Proposed Rates'!$B:$J,AE$11,FALSE),0)</f>
        <v>0</v>
      </c>
      <c r="AF20" s="397">
        <f t="shared" si="15"/>
        <v>620</v>
      </c>
      <c r="AG20" s="399">
        <f t="shared" si="16"/>
        <v>0</v>
      </c>
      <c r="AH20" s="132"/>
      <c r="AI20" s="400">
        <f t="shared" si="17"/>
        <v>0</v>
      </c>
      <c r="AJ20" s="401" t="str">
        <f t="shared" si="18"/>
        <v/>
      </c>
      <c r="AK20" s="52"/>
      <c r="AL20" s="396">
        <f>IFERROR(VLOOKUP($C20,'Proposed Rates'!$B:$J,AL$11,FALSE),0)</f>
        <v>0</v>
      </c>
      <c r="AM20" s="397">
        <f t="shared" si="19"/>
        <v>620</v>
      </c>
      <c r="AN20" s="399">
        <f t="shared" si="20"/>
        <v>0</v>
      </c>
      <c r="AO20" s="132"/>
      <c r="AP20" s="400">
        <f t="shared" si="21"/>
        <v>0</v>
      </c>
      <c r="AQ20" s="401" t="str">
        <f t="shared" si="22"/>
        <v/>
      </c>
      <c r="AR20" s="402"/>
      <c r="AS20" s="402"/>
      <c r="AT20" s="402"/>
      <c r="AU20" s="3"/>
      <c r="AV20" s="3"/>
      <c r="AW20" s="3"/>
      <c r="AX20" s="3"/>
      <c r="AY20" s="3"/>
      <c r="AZ20" s="3"/>
      <c r="BA20" s="3"/>
      <c r="BB20" s="3"/>
    </row>
    <row r="21" spans="1:54" ht="12.75"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c r="AS21" s="402"/>
      <c r="AT21" s="402"/>
      <c r="AU21" s="3"/>
      <c r="AV21" s="3"/>
      <c r="AW21" s="3"/>
      <c r="AX21" s="3"/>
      <c r="AY21" s="3"/>
      <c r="AZ21" s="3"/>
      <c r="BA21" s="3"/>
      <c r="BB21" s="3"/>
    </row>
    <row r="22" spans="1:54" ht="12.75" customHeight="1">
      <c r="A22" s="52"/>
      <c r="B22" s="48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c r="AS22" s="402"/>
      <c r="AT22" s="402"/>
      <c r="AU22" s="3"/>
      <c r="AV22" s="3"/>
      <c r="AW22" s="3"/>
      <c r="AX22" s="3"/>
      <c r="AY22" s="3"/>
      <c r="AZ22" s="3"/>
      <c r="BA22" s="3"/>
      <c r="BB22" s="3"/>
    </row>
    <row r="23" spans="1:54" ht="12.75"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c r="AS23" s="402"/>
      <c r="AT23" s="402"/>
      <c r="AU23" s="3"/>
      <c r="AV23" s="3"/>
      <c r="AW23" s="3"/>
      <c r="AX23" s="3"/>
      <c r="AY23" s="3"/>
      <c r="AZ23" s="3"/>
      <c r="BA23" s="3"/>
      <c r="BB23" s="3"/>
    </row>
    <row r="24" spans="1:54" ht="12.75"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c r="AS24" s="402"/>
      <c r="AT24" s="402"/>
      <c r="AU24" s="3"/>
      <c r="AV24" s="3"/>
      <c r="AW24" s="3"/>
      <c r="AX24" s="3"/>
      <c r="AY24" s="3"/>
      <c r="AZ24" s="3"/>
      <c r="BA24" s="3"/>
      <c r="BB24" s="3"/>
    </row>
    <row r="25" spans="1:54" ht="12.75"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c r="AS25" s="402"/>
      <c r="AT25" s="402"/>
      <c r="AU25" s="3"/>
      <c r="AV25" s="3"/>
      <c r="AW25" s="3"/>
      <c r="AX25" s="3"/>
      <c r="AY25" s="3"/>
      <c r="AZ25" s="3"/>
      <c r="BA25" s="3"/>
      <c r="BB25" s="3"/>
    </row>
    <row r="26" spans="1:54" ht="12.75" customHeight="1">
      <c r="A26" s="52"/>
      <c r="B26" s="48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c r="AS26" s="402"/>
      <c r="AT26" s="402"/>
      <c r="AU26" s="3"/>
      <c r="AV26" s="3"/>
      <c r="AW26" s="3"/>
      <c r="AX26" s="3"/>
      <c r="AY26" s="3"/>
      <c r="AZ26" s="3"/>
      <c r="BA26" s="3"/>
      <c r="BB26" s="3"/>
    </row>
    <row r="27" spans="1:54" ht="12.75"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c r="AS27" s="402"/>
      <c r="AT27" s="402"/>
      <c r="AU27" s="3"/>
      <c r="AV27" s="3"/>
      <c r="AW27" s="3"/>
      <c r="AX27" s="3"/>
      <c r="AY27" s="3"/>
      <c r="AZ27" s="3"/>
      <c r="BA27" s="3"/>
      <c r="BB27" s="3"/>
    </row>
    <row r="28" spans="1:54" ht="12.75"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c r="AS28" s="402"/>
      <c r="AT28" s="402"/>
      <c r="AU28" s="3"/>
      <c r="AV28" s="3"/>
      <c r="AW28" s="3"/>
      <c r="AX28" s="3"/>
      <c r="AY28" s="3"/>
      <c r="AZ28" s="3"/>
      <c r="BA28" s="3"/>
      <c r="BB28" s="3"/>
    </row>
    <row r="29" spans="1:54" ht="12.75" customHeight="1">
      <c r="A29" s="307"/>
      <c r="B29" s="404" t="s">
        <v>314</v>
      </c>
      <c r="C29" s="405"/>
      <c r="D29" s="405"/>
      <c r="E29" s="405"/>
      <c r="F29" s="406"/>
      <c r="G29" s="499"/>
      <c r="H29" s="408">
        <f>SUM(H15:H28)</f>
        <v>34.51</v>
      </c>
      <c r="I29" s="409"/>
      <c r="J29" s="406"/>
      <c r="K29" s="499"/>
      <c r="L29" s="408">
        <f>SUM(L15:L28)</f>
        <v>40.04</v>
      </c>
      <c r="M29" s="409"/>
      <c r="N29" s="410">
        <f t="shared" si="5"/>
        <v>5.5300000000000011</v>
      </c>
      <c r="O29" s="411">
        <f t="shared" si="6"/>
        <v>0.16024340770791079</v>
      </c>
      <c r="P29" s="307"/>
      <c r="Q29" s="406"/>
      <c r="R29" s="499"/>
      <c r="S29" s="408">
        <f>SUM(S15:S28)</f>
        <v>42.64</v>
      </c>
      <c r="T29" s="409"/>
      <c r="U29" s="410">
        <f t="shared" si="9"/>
        <v>2.6000000000000014</v>
      </c>
      <c r="V29" s="411">
        <f t="shared" si="10"/>
        <v>6.4935064935064971E-2</v>
      </c>
      <c r="W29" s="307"/>
      <c r="X29" s="406"/>
      <c r="Y29" s="499"/>
      <c r="Z29" s="408">
        <f>SUM(Z15:Z28)</f>
        <v>45.47</v>
      </c>
      <c r="AA29" s="409"/>
      <c r="AB29" s="410">
        <f t="shared" si="13"/>
        <v>2.8299999999999983</v>
      </c>
      <c r="AC29" s="411">
        <f t="shared" si="14"/>
        <v>6.6369606003752302E-2</v>
      </c>
      <c r="AD29" s="307"/>
      <c r="AE29" s="406"/>
      <c r="AF29" s="499"/>
      <c r="AG29" s="408">
        <f>SUM(AG15:AG28)</f>
        <v>46.98</v>
      </c>
      <c r="AH29" s="409"/>
      <c r="AI29" s="410">
        <f t="shared" si="17"/>
        <v>1.509999999999998</v>
      </c>
      <c r="AJ29" s="411">
        <f t="shared" si="18"/>
        <v>3.3208709038926719E-2</v>
      </c>
      <c r="AK29" s="307"/>
      <c r="AL29" s="406"/>
      <c r="AM29" s="499"/>
      <c r="AN29" s="408">
        <f>SUM(AN15:AN28)</f>
        <v>48.36</v>
      </c>
      <c r="AO29" s="409"/>
      <c r="AP29" s="410">
        <f t="shared" si="21"/>
        <v>1.3800000000000026</v>
      </c>
      <c r="AQ29" s="411">
        <f t="shared" si="22"/>
        <v>2.9374201787994946E-2</v>
      </c>
      <c r="AR29" s="450"/>
      <c r="AS29" s="450"/>
      <c r="AT29" s="450"/>
      <c r="AU29" s="3"/>
      <c r="AV29" s="3"/>
      <c r="AW29" s="3"/>
      <c r="AX29" s="3"/>
      <c r="AY29" s="3"/>
      <c r="AZ29" s="3"/>
      <c r="BA29" s="3"/>
      <c r="BB29" s="3"/>
    </row>
    <row r="30" spans="1:54" ht="12.75"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620</v>
      </c>
      <c r="H30" s="399">
        <f t="shared" ref="H30:H36" si="25">G30*F30</f>
        <v>-0.124</v>
      </c>
      <c r="I30" s="132"/>
      <c r="J30" s="413">
        <f>IFERROR(VLOOKUP($C30,'Proposed Rates'!$B:$J,J$11,FALSE),0)</f>
        <v>-5.9999999999999995E-4</v>
      </c>
      <c r="K30" s="414">
        <f t="shared" ref="K30:K33" si="26">IF($D30="Monthly",1,IF($D30="per KWH",$F$10,0))</f>
        <v>620</v>
      </c>
      <c r="L30" s="399">
        <f t="shared" ref="L30:L36" si="27">K30*J30</f>
        <v>-0.37199999999999994</v>
      </c>
      <c r="M30" s="132"/>
      <c r="N30" s="400">
        <f t="shared" si="5"/>
        <v>-0.24799999999999994</v>
      </c>
      <c r="O30" s="401">
        <f t="shared" si="6"/>
        <v>1.9999999999999996</v>
      </c>
      <c r="P30" s="52"/>
      <c r="Q30" s="413">
        <f>IFERROR(VLOOKUP($C30,'Proposed Rates'!$B:$J,Q$11,FALSE),0)</f>
        <v>0</v>
      </c>
      <c r="R30" s="414">
        <f t="shared" ref="R30:R33" si="28">IF($D30="Monthly",1,IF($D30="per KWH",$F$10,0))</f>
        <v>620</v>
      </c>
      <c r="S30" s="399">
        <f t="shared" ref="S30:S36" si="29">R30*Q30</f>
        <v>0</v>
      </c>
      <c r="T30" s="132"/>
      <c r="U30" s="400">
        <f t="shared" si="9"/>
        <v>0.37199999999999994</v>
      </c>
      <c r="V30" s="401">
        <f t="shared" si="10"/>
        <v>-1</v>
      </c>
      <c r="W30" s="52"/>
      <c r="X30" s="413">
        <f>IFERROR(VLOOKUP($C30,'Proposed Rates'!$B:$J,X$11,FALSE),0)</f>
        <v>0</v>
      </c>
      <c r="Y30" s="414">
        <f t="shared" ref="Y30:Y33" si="30">IF($D30="Monthly",1,IF($D30="per KWH",$F$10,0))</f>
        <v>620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620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620</v>
      </c>
      <c r="AN30" s="399">
        <f t="shared" ref="AN30:AN36" si="35">AM30*AL30</f>
        <v>0</v>
      </c>
      <c r="AO30" s="132"/>
      <c r="AP30" s="400">
        <f t="shared" si="21"/>
        <v>0</v>
      </c>
      <c r="AQ30" s="401" t="str">
        <f t="shared" si="22"/>
        <v/>
      </c>
      <c r="AR30" s="402"/>
      <c r="AS30" s="402"/>
      <c r="AT30" s="402"/>
      <c r="AU30" s="3"/>
      <c r="AV30" s="3"/>
      <c r="AW30" s="3"/>
      <c r="AX30" s="3"/>
      <c r="AY30" s="3"/>
      <c r="AZ30" s="3"/>
      <c r="BA30" s="3"/>
      <c r="BB30" s="3"/>
    </row>
    <row r="31" spans="1:54" ht="12.75" customHeight="1">
      <c r="A31" s="52"/>
      <c r="B31" s="483" t="s">
        <v>239</v>
      </c>
      <c r="C31" s="394" t="str">
        <f t="shared" si="23"/>
        <v>Residential.DVA Disposition Rate Rider Group 1 - 2024</v>
      </c>
      <c r="D31" s="395" t="s">
        <v>312</v>
      </c>
      <c r="E31" s="321"/>
      <c r="F31" s="413">
        <f>IFERROR(VLOOKUP($C31,'Proposed Rates'!$B:$J,F$11,FALSE),0)</f>
        <v>0</v>
      </c>
      <c r="G31" s="414">
        <f t="shared" si="24"/>
        <v>620</v>
      </c>
      <c r="H31" s="497">
        <f t="shared" si="25"/>
        <v>0</v>
      </c>
      <c r="I31" s="484"/>
      <c r="J31" s="413">
        <f>IFERROR(VLOOKUP($C31,'Proposed Rates'!$B:$J,J$11,FALSE),0)</f>
        <v>0</v>
      </c>
      <c r="K31" s="414">
        <f t="shared" si="26"/>
        <v>620</v>
      </c>
      <c r="L31" s="497">
        <f t="shared" si="27"/>
        <v>0</v>
      </c>
      <c r="M31" s="416"/>
      <c r="N31" s="400"/>
      <c r="O31" s="401"/>
      <c r="P31" s="52"/>
      <c r="Q31" s="413">
        <f>IFERROR(VLOOKUP($C31,'Proposed Rates'!$B:$J,Q$11,FALSE),0)</f>
        <v>0</v>
      </c>
      <c r="R31" s="414">
        <f t="shared" si="28"/>
        <v>620</v>
      </c>
      <c r="S31" s="497">
        <f t="shared" si="29"/>
        <v>0</v>
      </c>
      <c r="T31" s="416"/>
      <c r="U31" s="400">
        <f t="shared" si="9"/>
        <v>0</v>
      </c>
      <c r="V31" s="401" t="str">
        <f t="shared" si="10"/>
        <v/>
      </c>
      <c r="W31" s="52"/>
      <c r="X31" s="413">
        <f>IFERROR(VLOOKUP($C31,'Proposed Rates'!$B:$J,X$11,FALSE),0)</f>
        <v>0</v>
      </c>
      <c r="Y31" s="414">
        <f t="shared" si="30"/>
        <v>620</v>
      </c>
      <c r="Z31" s="497">
        <f t="shared" si="31"/>
        <v>0</v>
      </c>
      <c r="AA31" s="416"/>
      <c r="AB31" s="400">
        <f t="shared" si="13"/>
        <v>0</v>
      </c>
      <c r="AC31" s="401" t="str">
        <f t="shared" si="14"/>
        <v/>
      </c>
      <c r="AD31" s="52"/>
      <c r="AE31" s="413">
        <f>IFERROR(VLOOKUP($C31,'Proposed Rates'!$B:$J,AE$11,FALSE),0)</f>
        <v>0</v>
      </c>
      <c r="AF31" s="414">
        <f t="shared" si="32"/>
        <v>620</v>
      </c>
      <c r="AG31" s="497">
        <f t="shared" si="33"/>
        <v>0</v>
      </c>
      <c r="AH31" s="416"/>
      <c r="AI31" s="400">
        <f t="shared" si="17"/>
        <v>0</v>
      </c>
      <c r="AJ31" s="401" t="str">
        <f t="shared" si="18"/>
        <v/>
      </c>
      <c r="AK31" s="52"/>
      <c r="AL31" s="413">
        <f>IFERROR(VLOOKUP($C31,'Proposed Rates'!$B:$J,AL$11,FALSE),0)</f>
        <v>0</v>
      </c>
      <c r="AM31" s="414">
        <f t="shared" si="34"/>
        <v>620</v>
      </c>
      <c r="AN31" s="497">
        <f t="shared" si="35"/>
        <v>0</v>
      </c>
      <c r="AO31" s="416"/>
      <c r="AP31" s="400">
        <f t="shared" si="21"/>
        <v>0</v>
      </c>
      <c r="AQ31" s="401" t="str">
        <f t="shared" si="22"/>
        <v/>
      </c>
      <c r="AR31" s="402"/>
      <c r="AS31" s="402"/>
      <c r="AT31" s="402"/>
      <c r="AU31" s="3"/>
      <c r="AV31" s="3"/>
      <c r="AW31" s="3"/>
      <c r="AX31" s="3"/>
      <c r="AY31" s="3"/>
      <c r="AZ31" s="3"/>
      <c r="BA31" s="3"/>
      <c r="BB31" s="3"/>
    </row>
    <row r="32" spans="1:54" ht="12.75" customHeight="1">
      <c r="A32" s="52"/>
      <c r="B32" s="483" t="s">
        <v>247</v>
      </c>
      <c r="C32" s="394" t="str">
        <f t="shared" si="23"/>
        <v>Residential.CBR Class B Rate Riders</v>
      </c>
      <c r="D32" s="395" t="s">
        <v>312</v>
      </c>
      <c r="E32" s="321"/>
      <c r="F32" s="413">
        <f>IFERROR(VLOOKUP($C32,'Proposed Rates'!$B:$J,F$11,FALSE),0)</f>
        <v>2.0000000000000001E-4</v>
      </c>
      <c r="G32" s="414">
        <f t="shared" si="24"/>
        <v>620</v>
      </c>
      <c r="H32" s="399">
        <f t="shared" si="25"/>
        <v>0.124</v>
      </c>
      <c r="I32" s="484"/>
      <c r="J32" s="413">
        <f>IFERROR(VLOOKUP($C32,'Proposed Rates'!$B:$J,J$11,FALSE),0)</f>
        <v>4.0000000000000002E-4</v>
      </c>
      <c r="K32" s="414">
        <f t="shared" si="26"/>
        <v>620</v>
      </c>
      <c r="L32" s="399">
        <f t="shared" si="27"/>
        <v>0.248</v>
      </c>
      <c r="M32" s="416"/>
      <c r="N32" s="400">
        <f t="shared" ref="N32:N48" si="36">L32-H32</f>
        <v>0.124</v>
      </c>
      <c r="O32" s="401">
        <f t="shared" ref="O32:O48" si="37">IF((H32)=0,"",(N32/H32))</f>
        <v>1</v>
      </c>
      <c r="P32" s="52"/>
      <c r="Q32" s="413">
        <f>IFERROR(VLOOKUP($C32,'Proposed Rates'!$B:$J,Q$11,FALSE),0)</f>
        <v>0</v>
      </c>
      <c r="R32" s="414">
        <f t="shared" si="28"/>
        <v>620</v>
      </c>
      <c r="S32" s="399">
        <f t="shared" si="29"/>
        <v>0</v>
      </c>
      <c r="T32" s="416"/>
      <c r="U32" s="400">
        <f t="shared" si="9"/>
        <v>-0.248</v>
      </c>
      <c r="V32" s="401">
        <f t="shared" si="10"/>
        <v>-1</v>
      </c>
      <c r="W32" s="52"/>
      <c r="X32" s="413">
        <f>IFERROR(VLOOKUP($C32,'Proposed Rates'!$B:$J,X$11,FALSE),0)</f>
        <v>0</v>
      </c>
      <c r="Y32" s="414">
        <f t="shared" si="30"/>
        <v>620</v>
      </c>
      <c r="Z32" s="399">
        <f t="shared" si="31"/>
        <v>0</v>
      </c>
      <c r="AA32" s="416"/>
      <c r="AB32" s="400">
        <f t="shared" si="13"/>
        <v>0</v>
      </c>
      <c r="AC32" s="401" t="str">
        <f t="shared" si="14"/>
        <v/>
      </c>
      <c r="AD32" s="52"/>
      <c r="AE32" s="413">
        <f>IFERROR(VLOOKUP($C32,'Proposed Rates'!$B:$J,AE$11,FALSE),0)</f>
        <v>0</v>
      </c>
      <c r="AF32" s="414">
        <f t="shared" si="32"/>
        <v>620</v>
      </c>
      <c r="AG32" s="399">
        <f t="shared" si="33"/>
        <v>0</v>
      </c>
      <c r="AH32" s="416"/>
      <c r="AI32" s="400">
        <f t="shared" si="17"/>
        <v>0</v>
      </c>
      <c r="AJ32" s="401" t="str">
        <f t="shared" si="18"/>
        <v/>
      </c>
      <c r="AK32" s="52"/>
      <c r="AL32" s="413">
        <f>IFERROR(VLOOKUP($C32,'Proposed Rates'!$B:$J,AL$11,FALSE),0)</f>
        <v>0</v>
      </c>
      <c r="AM32" s="414">
        <f t="shared" si="34"/>
        <v>620</v>
      </c>
      <c r="AN32" s="399">
        <f t="shared" si="35"/>
        <v>0</v>
      </c>
      <c r="AO32" s="416"/>
      <c r="AP32" s="400">
        <f t="shared" si="21"/>
        <v>0</v>
      </c>
      <c r="AQ32" s="401" t="str">
        <f t="shared" si="22"/>
        <v/>
      </c>
      <c r="AR32" s="402"/>
      <c r="AS32" s="402"/>
      <c r="AT32" s="402"/>
      <c r="AU32" s="3"/>
      <c r="AV32" s="3"/>
      <c r="AW32" s="3"/>
      <c r="AX32" s="3"/>
      <c r="AY32" s="3"/>
      <c r="AZ32" s="3"/>
      <c r="BA32" s="3"/>
      <c r="BB32" s="3"/>
    </row>
    <row r="33" spans="1:54" ht="12.75" customHeight="1">
      <c r="A33" s="52"/>
      <c r="B33" s="483" t="s">
        <v>315</v>
      </c>
      <c r="C33" s="394" t="str">
        <f t="shared" si="23"/>
        <v>Residential.GA Disposition Rate Rider-NonRPP</v>
      </c>
      <c r="D33" s="395" t="s">
        <v>312</v>
      </c>
      <c r="E33" s="321"/>
      <c r="F33" s="413">
        <f>IFERROR(VLOOKUP($C33,'Proposed Rates'!$B:$J,F$11,FALSE),0)</f>
        <v>0</v>
      </c>
      <c r="G33" s="414">
        <f t="shared" si="24"/>
        <v>620</v>
      </c>
      <c r="H33" s="399">
        <f t="shared" si="25"/>
        <v>0</v>
      </c>
      <c r="I33" s="484"/>
      <c r="J33" s="413">
        <f>IFERROR(VLOOKUP($C33,'Proposed Rates'!$B:$J,J$11,FALSE),0)</f>
        <v>0</v>
      </c>
      <c r="K33" s="414">
        <f t="shared" si="26"/>
        <v>620</v>
      </c>
      <c r="L33" s="399">
        <f t="shared" si="27"/>
        <v>0</v>
      </c>
      <c r="M33" s="416"/>
      <c r="N33" s="400">
        <f t="shared" si="36"/>
        <v>0</v>
      </c>
      <c r="O33" s="401" t="str">
        <f t="shared" si="37"/>
        <v/>
      </c>
      <c r="P33" s="52"/>
      <c r="Q33" s="413">
        <f>IFERROR(VLOOKUP($C33,'Proposed Rates'!$B:$J,Q$11,FALSE),0)</f>
        <v>0</v>
      </c>
      <c r="R33" s="414">
        <f t="shared" si="28"/>
        <v>620</v>
      </c>
      <c r="S33" s="399">
        <f t="shared" si="29"/>
        <v>0</v>
      </c>
      <c r="T33" s="416"/>
      <c r="U33" s="400">
        <f t="shared" si="9"/>
        <v>0</v>
      </c>
      <c r="V33" s="401" t="str">
        <f t="shared" si="10"/>
        <v/>
      </c>
      <c r="W33" s="52"/>
      <c r="X33" s="413">
        <f>IFERROR(VLOOKUP($C33,'Proposed Rates'!$B:$J,X$11,FALSE),0)</f>
        <v>0</v>
      </c>
      <c r="Y33" s="414">
        <f t="shared" si="30"/>
        <v>620</v>
      </c>
      <c r="Z33" s="399">
        <f t="shared" si="31"/>
        <v>0</v>
      </c>
      <c r="AA33" s="416"/>
      <c r="AB33" s="400">
        <f t="shared" si="13"/>
        <v>0</v>
      </c>
      <c r="AC33" s="401" t="str">
        <f t="shared" si="14"/>
        <v/>
      </c>
      <c r="AD33" s="52"/>
      <c r="AE33" s="413">
        <f>IFERROR(VLOOKUP($C33,'Proposed Rates'!$B:$J,AE$11,FALSE),0)</f>
        <v>0</v>
      </c>
      <c r="AF33" s="414">
        <f t="shared" si="32"/>
        <v>620</v>
      </c>
      <c r="AG33" s="399">
        <f t="shared" si="33"/>
        <v>0</v>
      </c>
      <c r="AH33" s="416"/>
      <c r="AI33" s="400">
        <f t="shared" si="17"/>
        <v>0</v>
      </c>
      <c r="AJ33" s="401" t="str">
        <f t="shared" si="18"/>
        <v/>
      </c>
      <c r="AK33" s="52"/>
      <c r="AL33" s="413">
        <f>IFERROR(VLOOKUP($C33,'Proposed Rates'!$B:$J,AL$11,FALSE),0)</f>
        <v>0</v>
      </c>
      <c r="AM33" s="414">
        <f t="shared" si="34"/>
        <v>620</v>
      </c>
      <c r="AN33" s="399">
        <f t="shared" si="35"/>
        <v>0</v>
      </c>
      <c r="AO33" s="416"/>
      <c r="AP33" s="400">
        <f t="shared" si="21"/>
        <v>0</v>
      </c>
      <c r="AQ33" s="401" t="str">
        <f t="shared" si="22"/>
        <v/>
      </c>
      <c r="AR33" s="402"/>
      <c r="AS33" s="402"/>
      <c r="AT33" s="402"/>
      <c r="AU33" s="3"/>
      <c r="AV33" s="3"/>
      <c r="AW33" s="3"/>
      <c r="AX33" s="3"/>
      <c r="AY33" s="3"/>
      <c r="AZ33" s="3"/>
      <c r="BA33" s="3"/>
      <c r="BB33" s="3"/>
    </row>
    <row r="34" spans="1:54" ht="12.75" customHeight="1">
      <c r="A34" s="52"/>
      <c r="B34" s="321" t="s">
        <v>273</v>
      </c>
      <c r="C34" s="394" t="str">
        <f t="shared" si="23"/>
        <v>Residential.Low Voltage Service Charge</v>
      </c>
      <c r="D34" s="395" t="s">
        <v>312</v>
      </c>
      <c r="E34" s="321"/>
      <c r="F34" s="417">
        <f>IFERROR(VLOOKUP($C34,'Proposed Rates'!$B:$J,F$11,FALSE),0)</f>
        <v>5.0000000000000002E-5</v>
      </c>
      <c r="G34" s="418">
        <f>$F$10*(1+F$63)</f>
        <v>640.95600000000002</v>
      </c>
      <c r="H34" s="399">
        <f t="shared" si="25"/>
        <v>3.2047800000000001E-2</v>
      </c>
      <c r="I34" s="132"/>
      <c r="J34" s="417">
        <f>IFERROR(VLOOKUP($C34,'Proposed Rates'!$B:$J,J$11,FALSE),0)</f>
        <v>6.9999999999999994E-5</v>
      </c>
      <c r="K34" s="418">
        <f>$F$10*(1+J$63)</f>
        <v>640.58399999999995</v>
      </c>
      <c r="L34" s="399">
        <f t="shared" si="27"/>
        <v>4.4840879999999993E-2</v>
      </c>
      <c r="M34" s="132"/>
      <c r="N34" s="400">
        <f t="shared" si="36"/>
        <v>1.2793079999999991E-2</v>
      </c>
      <c r="O34" s="401">
        <f t="shared" si="37"/>
        <v>0.3991874637260589</v>
      </c>
      <c r="P34" s="52"/>
      <c r="Q34" s="417">
        <f>IFERROR(VLOOKUP($C34,'Proposed Rates'!$B:$J,Q$11,FALSE),0)</f>
        <v>6.9999999999999994E-5</v>
      </c>
      <c r="R34" s="418">
        <f>$F$10*(1+Q$63)</f>
        <v>640.58399999999995</v>
      </c>
      <c r="S34" s="399">
        <f t="shared" si="29"/>
        <v>4.4840879999999993E-2</v>
      </c>
      <c r="T34" s="132"/>
      <c r="U34" s="400">
        <f t="shared" si="9"/>
        <v>0</v>
      </c>
      <c r="V34" s="401">
        <f t="shared" si="10"/>
        <v>0</v>
      </c>
      <c r="W34" s="52"/>
      <c r="X34" s="417">
        <f>IFERROR(VLOOKUP($C34,'Proposed Rates'!$B:$J,X$11,FALSE),0)</f>
        <v>8.0000000000000007E-5</v>
      </c>
      <c r="Y34" s="418">
        <f>$F$10*(1+X$63)</f>
        <v>640.58399999999995</v>
      </c>
      <c r="Z34" s="399">
        <f t="shared" si="31"/>
        <v>5.1246720000000003E-2</v>
      </c>
      <c r="AA34" s="132"/>
      <c r="AB34" s="400">
        <f t="shared" si="13"/>
        <v>6.4058400000000099E-3</v>
      </c>
      <c r="AC34" s="401">
        <f t="shared" si="14"/>
        <v>0.1428571428571431</v>
      </c>
      <c r="AD34" s="52"/>
      <c r="AE34" s="417">
        <f>IFERROR(VLOOKUP($C34,'Proposed Rates'!$B:$J,AE$11,FALSE),0)</f>
        <v>8.0000000000000007E-5</v>
      </c>
      <c r="AF34" s="418">
        <f>$F$10*(1+AE$63)</f>
        <v>640.58399999999995</v>
      </c>
      <c r="AG34" s="399">
        <f t="shared" si="33"/>
        <v>5.1246720000000003E-2</v>
      </c>
      <c r="AH34" s="132"/>
      <c r="AI34" s="400">
        <f t="shared" si="17"/>
        <v>0</v>
      </c>
      <c r="AJ34" s="401">
        <f t="shared" si="18"/>
        <v>0</v>
      </c>
      <c r="AK34" s="52"/>
      <c r="AL34" s="417">
        <f>IFERROR(VLOOKUP($C34,'Proposed Rates'!$B:$J,AL$11,FALSE),0)</f>
        <v>8.0000000000000007E-5</v>
      </c>
      <c r="AM34" s="418">
        <f>$F$10*(1+AL$63)</f>
        <v>640.58399999999995</v>
      </c>
      <c r="AN34" s="399">
        <f t="shared" si="35"/>
        <v>5.1246720000000003E-2</v>
      </c>
      <c r="AO34" s="132"/>
      <c r="AP34" s="400">
        <f t="shared" si="21"/>
        <v>0</v>
      </c>
      <c r="AQ34" s="401">
        <f t="shared" si="22"/>
        <v>0</v>
      </c>
      <c r="AR34" s="402"/>
      <c r="AS34" s="402"/>
      <c r="AT34" s="402"/>
      <c r="AU34" s="3"/>
      <c r="AV34" s="3"/>
      <c r="AW34" s="3"/>
      <c r="AX34" s="3"/>
      <c r="AY34" s="3"/>
      <c r="AZ34" s="3"/>
      <c r="BA34" s="3"/>
      <c r="BB34" s="3"/>
    </row>
    <row r="35" spans="1:54" ht="12.75" customHeight="1">
      <c r="A35" s="52"/>
      <c r="B35" s="321" t="s">
        <v>316</v>
      </c>
      <c r="C35" s="394" t="str">
        <f t="shared" si="23"/>
        <v>Residential.Line Losses on Cost of Power</v>
      </c>
      <c r="D35" s="395" t="s">
        <v>312</v>
      </c>
      <c r="E35" s="321"/>
      <c r="F35" s="419">
        <f>'Proposed Rates'!$K$253*F$44+'Proposed Rates'!$K$254*F$46+'Proposed Rates'!$K$255*F$45</f>
        <v>0.12751999999999999</v>
      </c>
      <c r="G35" s="420">
        <f>$F$10*(1+F$63)-$F$10</f>
        <v>20.956000000000017</v>
      </c>
      <c r="H35" s="399">
        <f t="shared" si="25"/>
        <v>2.6723091200000022</v>
      </c>
      <c r="I35" s="132"/>
      <c r="J35" s="419">
        <f>'Proposed Rates'!$K$253*J$44+'Proposed Rates'!$K$254*J$46+'Proposed Rates'!$K$255*J$45</f>
        <v>0.12751999999999999</v>
      </c>
      <c r="K35" s="420">
        <f>$F$10*(1+J$63)-$F$10</f>
        <v>20.583999999999946</v>
      </c>
      <c r="L35" s="399">
        <f t="shared" si="27"/>
        <v>2.6248716799999929</v>
      </c>
      <c r="M35" s="132"/>
      <c r="N35" s="400">
        <f t="shared" si="36"/>
        <v>-4.7437440000009268E-2</v>
      </c>
      <c r="O35" s="401">
        <f t="shared" si="37"/>
        <v>-1.7751479289944281E-2</v>
      </c>
      <c r="P35" s="52"/>
      <c r="Q35" s="419">
        <f>'Proposed Rates'!$K$253*Q$44+'Proposed Rates'!$K$254*Q$46+'Proposed Rates'!$K$255*Q$45</f>
        <v>0.12751999999999999</v>
      </c>
      <c r="R35" s="420">
        <f>$F$10*(1+Q$63)-$F$10</f>
        <v>20.583999999999946</v>
      </c>
      <c r="S35" s="399">
        <f t="shared" si="29"/>
        <v>2.6248716799999929</v>
      </c>
      <c r="T35" s="132"/>
      <c r="U35" s="400">
        <f t="shared" si="9"/>
        <v>0</v>
      </c>
      <c r="V35" s="401">
        <f t="shared" si="10"/>
        <v>0</v>
      </c>
      <c r="W35" s="52"/>
      <c r="X35" s="419">
        <f>'Proposed Rates'!$K$253*X$44+'Proposed Rates'!$K$254*X$46+'Proposed Rates'!$K$255*X$45</f>
        <v>0.12751999999999999</v>
      </c>
      <c r="Y35" s="420">
        <f>$F$10*(1+X$63)-$F$10</f>
        <v>20.583999999999946</v>
      </c>
      <c r="Z35" s="399">
        <f t="shared" si="31"/>
        <v>2.6248716799999929</v>
      </c>
      <c r="AA35" s="132"/>
      <c r="AB35" s="400">
        <f t="shared" si="13"/>
        <v>0</v>
      </c>
      <c r="AC35" s="401">
        <f t="shared" si="14"/>
        <v>0</v>
      </c>
      <c r="AD35" s="52"/>
      <c r="AE35" s="419">
        <f>'Proposed Rates'!$K$253*AE$44+'Proposed Rates'!$K$254*AE$46+'Proposed Rates'!$K$255*AE$45</f>
        <v>0.12751999999999999</v>
      </c>
      <c r="AF35" s="420">
        <f>$F$10*(1+AE$63)-$F$10</f>
        <v>20.583999999999946</v>
      </c>
      <c r="AG35" s="399">
        <f t="shared" si="33"/>
        <v>2.6248716799999929</v>
      </c>
      <c r="AH35" s="132"/>
      <c r="AI35" s="400">
        <f t="shared" si="17"/>
        <v>0</v>
      </c>
      <c r="AJ35" s="401">
        <f t="shared" si="18"/>
        <v>0</v>
      </c>
      <c r="AK35" s="52"/>
      <c r="AL35" s="419">
        <f>'Proposed Rates'!$K$253*AL$44+'Proposed Rates'!$K$254*AL$46+'Proposed Rates'!$K$255*AL$45</f>
        <v>0.12751999999999999</v>
      </c>
      <c r="AM35" s="420">
        <f>$F$10*(1+AL$63)-$F$10</f>
        <v>20.583999999999946</v>
      </c>
      <c r="AN35" s="399">
        <f t="shared" si="35"/>
        <v>2.6248716799999929</v>
      </c>
      <c r="AO35" s="132"/>
      <c r="AP35" s="400">
        <f t="shared" si="21"/>
        <v>0</v>
      </c>
      <c r="AQ35" s="401">
        <f t="shared" si="22"/>
        <v>0</v>
      </c>
      <c r="AR35" s="402"/>
      <c r="AS35" s="402"/>
      <c r="AT35" s="402"/>
      <c r="AU35" s="3"/>
      <c r="AV35" s="3"/>
      <c r="AW35" s="3"/>
      <c r="AX35" s="3"/>
      <c r="AY35" s="3"/>
      <c r="AZ35" s="3"/>
      <c r="BA35" s="3"/>
      <c r="BB35" s="3"/>
    </row>
    <row r="36" spans="1:54" ht="12.75"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36"/>
        <v>0</v>
      </c>
      <c r="O36" s="401">
        <f t="shared" si="37"/>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c r="AS36" s="402"/>
      <c r="AT36" s="402"/>
      <c r="AU36" s="3"/>
      <c r="AV36" s="3"/>
      <c r="AW36" s="3"/>
      <c r="AX36" s="3"/>
      <c r="AY36" s="3"/>
      <c r="AZ36" s="3"/>
      <c r="BA36" s="3"/>
      <c r="BB36" s="3"/>
    </row>
    <row r="37" spans="1:54" ht="12.75" customHeight="1">
      <c r="A37" s="52"/>
      <c r="B37" s="485" t="s">
        <v>317</v>
      </c>
      <c r="C37" s="421"/>
      <c r="D37" s="421"/>
      <c r="E37" s="421"/>
      <c r="F37" s="422"/>
      <c r="G37" s="500"/>
      <c r="H37" s="408">
        <f>SUM(H30:H36)+H29</f>
        <v>37.634356920000002</v>
      </c>
      <c r="I37" s="424"/>
      <c r="J37" s="422"/>
      <c r="K37" s="500"/>
      <c r="L37" s="408">
        <f>SUM(L30:L36)+L29</f>
        <v>43.005712559999992</v>
      </c>
      <c r="M37" s="424"/>
      <c r="N37" s="410">
        <f t="shared" si="36"/>
        <v>5.3713556399999902</v>
      </c>
      <c r="O37" s="411">
        <f t="shared" si="37"/>
        <v>0.14272478871946645</v>
      </c>
      <c r="P37" s="52"/>
      <c r="Q37" s="422"/>
      <c r="R37" s="500"/>
      <c r="S37" s="408">
        <f>SUM(S30:S36)+S29</f>
        <v>45.729712559999996</v>
      </c>
      <c r="T37" s="424"/>
      <c r="U37" s="410">
        <f t="shared" si="9"/>
        <v>2.7240000000000038</v>
      </c>
      <c r="V37" s="411">
        <f t="shared" si="10"/>
        <v>6.3340422419453674E-2</v>
      </c>
      <c r="W37" s="52"/>
      <c r="X37" s="422"/>
      <c r="Y37" s="500"/>
      <c r="Z37" s="408">
        <f>SUM(Z30:Z36)+Z29</f>
        <v>48.576118399999991</v>
      </c>
      <c r="AA37" s="424"/>
      <c r="AB37" s="410">
        <f t="shared" si="13"/>
        <v>2.8464058399999956</v>
      </c>
      <c r="AC37" s="411">
        <f t="shared" si="14"/>
        <v>6.2244122708301493E-2</v>
      </c>
      <c r="AD37" s="52"/>
      <c r="AE37" s="422"/>
      <c r="AF37" s="500"/>
      <c r="AG37" s="408">
        <f>SUM(AG30:AG36)+AG29</f>
        <v>50.096118399999988</v>
      </c>
      <c r="AH37" s="424"/>
      <c r="AI37" s="410">
        <f t="shared" si="17"/>
        <v>1.519999999999996</v>
      </c>
      <c r="AJ37" s="411">
        <f t="shared" si="18"/>
        <v>3.1291096326049719E-2</v>
      </c>
      <c r="AK37" s="52"/>
      <c r="AL37" s="422"/>
      <c r="AM37" s="500"/>
      <c r="AN37" s="408">
        <f>SUM(AN30:AN36)+AN29</f>
        <v>51.486118399999995</v>
      </c>
      <c r="AO37" s="424"/>
      <c r="AP37" s="410">
        <f t="shared" si="21"/>
        <v>1.3900000000000077</v>
      </c>
      <c r="AQ37" s="411">
        <f t="shared" si="22"/>
        <v>2.7746660707349494E-2</v>
      </c>
      <c r="AR37" s="450"/>
      <c r="AS37" s="450"/>
      <c r="AT37" s="450"/>
      <c r="AU37" s="3"/>
      <c r="AV37" s="3"/>
      <c r="AW37" s="3"/>
      <c r="AX37" s="3"/>
      <c r="AY37" s="3"/>
      <c r="AZ37" s="3"/>
      <c r="BA37" s="3"/>
      <c r="BB37" s="3"/>
    </row>
    <row r="38" spans="1:54" ht="12.75" customHeight="1">
      <c r="A38" s="52"/>
      <c r="B38" s="132" t="s">
        <v>258</v>
      </c>
      <c r="C38" s="394" t="str">
        <f t="shared" ref="C38:C39" si="38">D$6&amp;"."&amp;B38</f>
        <v>Residential.RTSR - Network</v>
      </c>
      <c r="D38" s="425" t="s">
        <v>312</v>
      </c>
      <c r="E38" s="132"/>
      <c r="F38" s="413">
        <f>IFERROR(VLOOKUP($C38,'Proposed Rates'!$B:$J,F$11,FALSE),0)</f>
        <v>1.26E-2</v>
      </c>
      <c r="G38" s="418">
        <f t="shared" ref="G38:G39" si="39">$F$10*(1+F$63)</f>
        <v>640.95600000000002</v>
      </c>
      <c r="H38" s="399">
        <f t="shared" ref="H38:H39" si="40">G38*F38</f>
        <v>8.0760456000000005</v>
      </c>
      <c r="I38" s="132"/>
      <c r="J38" s="413">
        <f>IFERROR(VLOOKUP($C38,'Proposed Rates'!$B:$J,J$11,FALSE),0)</f>
        <v>1.38E-2</v>
      </c>
      <c r="K38" s="418">
        <f t="shared" ref="K38:K39" si="41">$F$10*(1+J$63)</f>
        <v>640.58399999999995</v>
      </c>
      <c r="L38" s="399">
        <f t="shared" ref="L38:L39" si="42">K38*J38</f>
        <v>8.8400591999999989</v>
      </c>
      <c r="M38" s="132"/>
      <c r="N38" s="400">
        <f t="shared" si="36"/>
        <v>0.76401359999999841</v>
      </c>
      <c r="O38" s="401">
        <f t="shared" si="37"/>
        <v>9.4602437608821616E-2</v>
      </c>
      <c r="P38" s="52"/>
      <c r="Q38" s="413">
        <f>IFERROR(VLOOKUP($C38,'Proposed Rates'!$B:$J,Q$11,FALSE),0)</f>
        <v>1.38E-2</v>
      </c>
      <c r="R38" s="418">
        <f t="shared" ref="R38:R39" si="43">$F$10*(1+Q$63)</f>
        <v>640.58399999999995</v>
      </c>
      <c r="S38" s="399">
        <f t="shared" ref="S38:S39" si="44">R38*Q38</f>
        <v>8.8400591999999989</v>
      </c>
      <c r="T38" s="132"/>
      <c r="U38" s="400">
        <f t="shared" si="9"/>
        <v>0</v>
      </c>
      <c r="V38" s="401">
        <f t="shared" si="10"/>
        <v>0</v>
      </c>
      <c r="W38" s="52"/>
      <c r="X38" s="413">
        <f>IFERROR(VLOOKUP($C38,'Proposed Rates'!$B:$J,X$11,FALSE),0)</f>
        <v>1.38E-2</v>
      </c>
      <c r="Y38" s="418">
        <f t="shared" ref="Y38:Y39" si="45">$F$10*(1+X$63)</f>
        <v>640.58399999999995</v>
      </c>
      <c r="Z38" s="399">
        <f t="shared" ref="Z38:Z39" si="46">Y38*X38</f>
        <v>8.8400591999999989</v>
      </c>
      <c r="AA38" s="132"/>
      <c r="AB38" s="400">
        <f t="shared" si="13"/>
        <v>0</v>
      </c>
      <c r="AC38" s="401">
        <f t="shared" si="14"/>
        <v>0</v>
      </c>
      <c r="AD38" s="52"/>
      <c r="AE38" s="413">
        <f>IFERROR(VLOOKUP($C38,'Proposed Rates'!$B:$J,AE$11,FALSE),0)</f>
        <v>1.38E-2</v>
      </c>
      <c r="AF38" s="418">
        <f t="shared" ref="AF38:AF39" si="47">$F$10*(1+AE$63)</f>
        <v>640.58399999999995</v>
      </c>
      <c r="AG38" s="399">
        <f t="shared" ref="AG38:AG39" si="48">AF38*AE38</f>
        <v>8.8400591999999989</v>
      </c>
      <c r="AH38" s="132"/>
      <c r="AI38" s="400">
        <f t="shared" si="17"/>
        <v>0</v>
      </c>
      <c r="AJ38" s="401">
        <f t="shared" si="18"/>
        <v>0</v>
      </c>
      <c r="AK38" s="52"/>
      <c r="AL38" s="413">
        <f>IFERROR(VLOOKUP($C38,'Proposed Rates'!$B:$J,AL$11,FALSE),0)</f>
        <v>1.38E-2</v>
      </c>
      <c r="AM38" s="418">
        <f t="shared" ref="AM38:AM39" si="49">$F$10*(1+AL$63)</f>
        <v>640.58399999999995</v>
      </c>
      <c r="AN38" s="399">
        <f t="shared" ref="AN38:AN39" si="50">AM38*AL38</f>
        <v>8.8400591999999989</v>
      </c>
      <c r="AO38" s="132"/>
      <c r="AP38" s="400">
        <f t="shared" si="21"/>
        <v>0</v>
      </c>
      <c r="AQ38" s="401">
        <f t="shared" si="22"/>
        <v>0</v>
      </c>
      <c r="AR38" s="402"/>
      <c r="AS38" s="402"/>
      <c r="AT38" s="402"/>
      <c r="AU38" s="3"/>
      <c r="AV38" s="3"/>
      <c r="AW38" s="3"/>
      <c r="AX38" s="3"/>
      <c r="AY38" s="3"/>
      <c r="AZ38" s="3"/>
      <c r="BA38" s="3"/>
      <c r="BB38" s="3"/>
    </row>
    <row r="39" spans="1:54" ht="12.75" customHeight="1">
      <c r="A39" s="52"/>
      <c r="B39" s="486" t="s">
        <v>261</v>
      </c>
      <c r="C39" s="394" t="str">
        <f t="shared" si="38"/>
        <v>Residential.RTSR - Line and Transformation Connection</v>
      </c>
      <c r="D39" s="425" t="s">
        <v>312</v>
      </c>
      <c r="E39" s="132"/>
      <c r="F39" s="413">
        <f>IFERROR(VLOOKUP($C39,'Proposed Rates'!$B:$J,F$11,FALSE),0)</f>
        <v>7.1999999999999998E-3</v>
      </c>
      <c r="G39" s="418">
        <f t="shared" si="39"/>
        <v>640.95600000000002</v>
      </c>
      <c r="H39" s="399">
        <f t="shared" si="40"/>
        <v>4.6148832000000004</v>
      </c>
      <c r="I39" s="132"/>
      <c r="J39" s="413">
        <f>IFERROR(VLOOKUP($C39,'Proposed Rates'!$B:$J,J$11,FALSE),0)</f>
        <v>7.7999999999999996E-3</v>
      </c>
      <c r="K39" s="418">
        <f t="shared" si="41"/>
        <v>640.58399999999995</v>
      </c>
      <c r="L39" s="399">
        <f t="shared" si="42"/>
        <v>4.9965551999999995</v>
      </c>
      <c r="M39" s="132"/>
      <c r="N39" s="400">
        <f t="shared" si="36"/>
        <v>0.38167199999999912</v>
      </c>
      <c r="O39" s="401">
        <f t="shared" si="37"/>
        <v>8.2704585026117036E-2</v>
      </c>
      <c r="P39" s="52"/>
      <c r="Q39" s="413">
        <f>IFERROR(VLOOKUP($C39,'Proposed Rates'!$B:$J,Q$11,FALSE),0)</f>
        <v>7.7999999999999996E-3</v>
      </c>
      <c r="R39" s="418">
        <f t="shared" si="43"/>
        <v>640.58399999999995</v>
      </c>
      <c r="S39" s="399">
        <f t="shared" si="44"/>
        <v>4.9965551999999995</v>
      </c>
      <c r="T39" s="132"/>
      <c r="U39" s="400">
        <f t="shared" si="9"/>
        <v>0</v>
      </c>
      <c r="V39" s="401">
        <f t="shared" si="10"/>
        <v>0</v>
      </c>
      <c r="W39" s="52"/>
      <c r="X39" s="413">
        <f>IFERROR(VLOOKUP($C39,'Proposed Rates'!$B:$J,X$11,FALSE),0)</f>
        <v>7.7999999999999996E-3</v>
      </c>
      <c r="Y39" s="418">
        <f t="shared" si="45"/>
        <v>640.58399999999995</v>
      </c>
      <c r="Z39" s="399">
        <f t="shared" si="46"/>
        <v>4.9965551999999995</v>
      </c>
      <c r="AA39" s="132"/>
      <c r="AB39" s="400">
        <f t="shared" si="13"/>
        <v>0</v>
      </c>
      <c r="AC39" s="401">
        <f t="shared" si="14"/>
        <v>0</v>
      </c>
      <c r="AD39" s="52"/>
      <c r="AE39" s="413">
        <f>IFERROR(VLOOKUP($C39,'Proposed Rates'!$B:$J,AE$11,FALSE),0)</f>
        <v>7.7999999999999996E-3</v>
      </c>
      <c r="AF39" s="418">
        <f t="shared" si="47"/>
        <v>640.58399999999995</v>
      </c>
      <c r="AG39" s="399">
        <f t="shared" si="48"/>
        <v>4.9965551999999995</v>
      </c>
      <c r="AH39" s="132"/>
      <c r="AI39" s="400">
        <f t="shared" si="17"/>
        <v>0</v>
      </c>
      <c r="AJ39" s="401">
        <f t="shared" si="18"/>
        <v>0</v>
      </c>
      <c r="AK39" s="52"/>
      <c r="AL39" s="413">
        <f>IFERROR(VLOOKUP($C39,'Proposed Rates'!$B:$J,AL$11,FALSE),0)</f>
        <v>7.7999999999999996E-3</v>
      </c>
      <c r="AM39" s="418">
        <f t="shared" si="49"/>
        <v>640.58399999999995</v>
      </c>
      <c r="AN39" s="399">
        <f t="shared" si="50"/>
        <v>4.9965551999999995</v>
      </c>
      <c r="AO39" s="132"/>
      <c r="AP39" s="400">
        <f t="shared" si="21"/>
        <v>0</v>
      </c>
      <c r="AQ39" s="401">
        <f t="shared" si="22"/>
        <v>0</v>
      </c>
      <c r="AR39" s="402"/>
      <c r="AS39" s="402"/>
      <c r="AT39" s="402"/>
      <c r="AU39" s="3"/>
      <c r="AV39" s="3"/>
      <c r="AW39" s="3"/>
      <c r="AX39" s="3"/>
      <c r="AY39" s="3"/>
      <c r="AZ39" s="3"/>
      <c r="BA39" s="3"/>
      <c r="BB39" s="3"/>
    </row>
    <row r="40" spans="1:54" ht="12.75" customHeight="1">
      <c r="A40" s="52"/>
      <c r="B40" s="485" t="s">
        <v>318</v>
      </c>
      <c r="C40" s="426"/>
      <c r="D40" s="426"/>
      <c r="E40" s="426"/>
      <c r="F40" s="427"/>
      <c r="G40" s="428"/>
      <c r="H40" s="408">
        <f>SUM(H37:H39)</f>
        <v>50.325285720000004</v>
      </c>
      <c r="I40" s="409"/>
      <c r="J40" s="427"/>
      <c r="K40" s="428"/>
      <c r="L40" s="408">
        <f>SUM(L37:L39)</f>
        <v>56.842326959999994</v>
      </c>
      <c r="M40" s="409"/>
      <c r="N40" s="410">
        <f t="shared" si="36"/>
        <v>6.5170412399999904</v>
      </c>
      <c r="O40" s="411">
        <f t="shared" si="37"/>
        <v>0.12949834554858816</v>
      </c>
      <c r="P40" s="52"/>
      <c r="Q40" s="427"/>
      <c r="R40" s="428"/>
      <c r="S40" s="408">
        <f>SUM(S37:S39)</f>
        <v>59.566326959999998</v>
      </c>
      <c r="T40" s="409"/>
      <c r="U40" s="410">
        <f t="shared" si="9"/>
        <v>2.7240000000000038</v>
      </c>
      <c r="V40" s="411">
        <f t="shared" si="10"/>
        <v>4.7922035315635221E-2</v>
      </c>
      <c r="W40" s="52"/>
      <c r="X40" s="427"/>
      <c r="Y40" s="428"/>
      <c r="Z40" s="408">
        <f>SUM(Z37:Z39)</f>
        <v>62.412732799999986</v>
      </c>
      <c r="AA40" s="409"/>
      <c r="AB40" s="410">
        <f t="shared" si="13"/>
        <v>2.8464058399999885</v>
      </c>
      <c r="AC40" s="411">
        <f t="shared" si="14"/>
        <v>4.7785485277804823E-2</v>
      </c>
      <c r="AD40" s="52"/>
      <c r="AE40" s="427"/>
      <c r="AF40" s="428"/>
      <c r="AG40" s="408">
        <f>SUM(AG37:AG39)</f>
        <v>63.932732799999982</v>
      </c>
      <c r="AH40" s="409"/>
      <c r="AI40" s="410">
        <f t="shared" si="17"/>
        <v>1.519999999999996</v>
      </c>
      <c r="AJ40" s="411">
        <f t="shared" si="18"/>
        <v>2.435400489305279E-2</v>
      </c>
      <c r="AK40" s="52"/>
      <c r="AL40" s="427"/>
      <c r="AM40" s="428"/>
      <c r="AN40" s="408">
        <f>SUM(AN37:AN39)</f>
        <v>65.322732799999997</v>
      </c>
      <c r="AO40" s="409"/>
      <c r="AP40" s="410">
        <f t="shared" si="21"/>
        <v>1.3900000000000148</v>
      </c>
      <c r="AQ40" s="411">
        <f t="shared" si="22"/>
        <v>2.1741601510267605E-2</v>
      </c>
      <c r="AR40" s="450"/>
      <c r="AS40" s="450"/>
      <c r="AT40" s="450"/>
      <c r="AU40" s="3"/>
      <c r="AV40" s="3"/>
      <c r="AW40" s="3"/>
      <c r="AX40" s="3"/>
      <c r="AY40" s="3"/>
      <c r="AZ40" s="3"/>
      <c r="BA40" s="3"/>
      <c r="BB40" s="3"/>
    </row>
    <row r="41" spans="1:54" ht="12.75" customHeight="1">
      <c r="A41" s="52"/>
      <c r="B41" s="487" t="s">
        <v>262</v>
      </c>
      <c r="C41" s="394" t="str">
        <f t="shared" ref="C41:C48" si="51">D$6&amp;"."&amp;B41</f>
        <v>Residential.Wholesale Market Service Charge (WMSC)</v>
      </c>
      <c r="D41" s="395" t="s">
        <v>312</v>
      </c>
      <c r="E41" s="321"/>
      <c r="F41" s="413">
        <f>IFERROR(VLOOKUP($C41,'Proposed Rates'!$B:$J,F$11,FALSE),0)</f>
        <v>4.4999999999999997E-3</v>
      </c>
      <c r="G41" s="418">
        <f t="shared" ref="G41:G42" si="52">$F$10*(1+F$63)</f>
        <v>640.95600000000002</v>
      </c>
      <c r="H41" s="399">
        <f t="shared" ref="H41:H48" si="53">G41*F41</f>
        <v>2.8843019999999999</v>
      </c>
      <c r="I41" s="132"/>
      <c r="J41" s="413">
        <f>IFERROR(VLOOKUP($C41,'Proposed Rates'!$B:$J,J$11,FALSE),0)</f>
        <v>4.7000000000000002E-3</v>
      </c>
      <c r="K41" s="418">
        <f t="shared" ref="K41:K42" si="54">$F$10*(1+J$63)</f>
        <v>640.58399999999995</v>
      </c>
      <c r="L41" s="399">
        <f t="shared" ref="L41:L48" si="55">K41*J41</f>
        <v>3.0107447999999999</v>
      </c>
      <c r="M41" s="132"/>
      <c r="N41" s="400">
        <f t="shared" si="36"/>
        <v>0.12644279999999997</v>
      </c>
      <c r="O41" s="401">
        <f t="shared" si="37"/>
        <v>4.3838266589282249E-2</v>
      </c>
      <c r="P41" s="52"/>
      <c r="Q41" s="413">
        <f>IFERROR(VLOOKUP($C41,'Proposed Rates'!$B:$J,Q$11,FALSE),0)</f>
        <v>4.7000000000000002E-3</v>
      </c>
      <c r="R41" s="418">
        <f t="shared" ref="R41:R42" si="56">$F$10*(1+Q$63)</f>
        <v>640.58399999999995</v>
      </c>
      <c r="S41" s="399">
        <f t="shared" ref="S41:S48" si="57">R41*Q41</f>
        <v>3.0107447999999999</v>
      </c>
      <c r="T41" s="132"/>
      <c r="U41" s="400">
        <f t="shared" si="9"/>
        <v>0</v>
      </c>
      <c r="V41" s="401">
        <f t="shared" si="10"/>
        <v>0</v>
      </c>
      <c r="W41" s="52"/>
      <c r="X41" s="413">
        <f>IFERROR(VLOOKUP($C41,'Proposed Rates'!$B:$J,X$11,FALSE),0)</f>
        <v>4.7000000000000002E-3</v>
      </c>
      <c r="Y41" s="418">
        <f t="shared" ref="Y41:Y42" si="58">$F$10*(1+X$63)</f>
        <v>640.58399999999995</v>
      </c>
      <c r="Z41" s="399">
        <f t="shared" ref="Z41:Z48" si="59">Y41*X41</f>
        <v>3.0107447999999999</v>
      </c>
      <c r="AA41" s="132"/>
      <c r="AB41" s="400">
        <f t="shared" si="13"/>
        <v>0</v>
      </c>
      <c r="AC41" s="401">
        <f t="shared" si="14"/>
        <v>0</v>
      </c>
      <c r="AD41" s="52"/>
      <c r="AE41" s="413">
        <f>IFERROR(VLOOKUP($C41,'Proposed Rates'!$B:$J,AE$11,FALSE),0)</f>
        <v>4.7000000000000002E-3</v>
      </c>
      <c r="AF41" s="418">
        <f t="shared" ref="AF41:AF42" si="60">$F$10*(1+AE$63)</f>
        <v>640.58399999999995</v>
      </c>
      <c r="AG41" s="399">
        <f t="shared" ref="AG41:AG48" si="61">AF41*AE41</f>
        <v>3.0107447999999999</v>
      </c>
      <c r="AH41" s="132"/>
      <c r="AI41" s="400">
        <f t="shared" si="17"/>
        <v>0</v>
      </c>
      <c r="AJ41" s="401">
        <f t="shared" si="18"/>
        <v>0</v>
      </c>
      <c r="AK41" s="52"/>
      <c r="AL41" s="413">
        <f>IFERROR(VLOOKUP($C41,'Proposed Rates'!$B:$J,AL$11,FALSE),0)</f>
        <v>4.7000000000000002E-3</v>
      </c>
      <c r="AM41" s="418">
        <f t="shared" ref="AM41:AM42" si="62">$F$10*(1+AL$63)</f>
        <v>640.58399999999995</v>
      </c>
      <c r="AN41" s="399">
        <f t="shared" ref="AN41:AN48" si="63">AM41*AL41</f>
        <v>3.0107447999999999</v>
      </c>
      <c r="AO41" s="132"/>
      <c r="AP41" s="400">
        <f t="shared" si="21"/>
        <v>0</v>
      </c>
      <c r="AQ41" s="401">
        <f t="shared" si="22"/>
        <v>0</v>
      </c>
      <c r="AR41" s="402"/>
      <c r="AS41" s="402"/>
      <c r="AT41" s="402"/>
      <c r="AU41" s="3"/>
      <c r="AV41" s="3"/>
      <c r="AW41" s="3"/>
      <c r="AX41" s="3"/>
      <c r="AY41" s="3"/>
      <c r="AZ41" s="3"/>
      <c r="BA41" s="3"/>
      <c r="BB41" s="3"/>
    </row>
    <row r="42" spans="1:54" ht="12.75" customHeight="1">
      <c r="A42" s="52"/>
      <c r="B42" s="487" t="s">
        <v>263</v>
      </c>
      <c r="C42" s="394" t="str">
        <f t="shared" si="51"/>
        <v>Residential.Rural and Remote Rate Protection (RRRP)</v>
      </c>
      <c r="D42" s="395" t="s">
        <v>312</v>
      </c>
      <c r="E42" s="321"/>
      <c r="F42" s="413">
        <f>IFERROR(VLOOKUP($C42,'Proposed Rates'!$B:$J,F$11,FALSE),0)</f>
        <v>1.5E-3</v>
      </c>
      <c r="G42" s="418">
        <f t="shared" si="52"/>
        <v>640.95600000000002</v>
      </c>
      <c r="H42" s="399">
        <f t="shared" si="53"/>
        <v>0.96143400000000001</v>
      </c>
      <c r="I42" s="132"/>
      <c r="J42" s="413">
        <f>IFERROR(VLOOKUP($C42,'Proposed Rates'!$B:$J,J$11,FALSE),0)</f>
        <v>5.9999999999999995E-4</v>
      </c>
      <c r="K42" s="418">
        <f t="shared" si="54"/>
        <v>640.58399999999995</v>
      </c>
      <c r="L42" s="399">
        <f t="shared" si="55"/>
        <v>0.38435039999999993</v>
      </c>
      <c r="M42" s="132"/>
      <c r="N42" s="400">
        <f t="shared" si="36"/>
        <v>-0.57708360000000014</v>
      </c>
      <c r="O42" s="401">
        <f t="shared" si="37"/>
        <v>-0.60023215322112611</v>
      </c>
      <c r="P42" s="52"/>
      <c r="Q42" s="413">
        <f>IFERROR(VLOOKUP($C42,'Proposed Rates'!$B:$J,Q$11,FALSE),0)</f>
        <v>5.9999999999999995E-4</v>
      </c>
      <c r="R42" s="418">
        <f t="shared" si="56"/>
        <v>640.58399999999995</v>
      </c>
      <c r="S42" s="399">
        <f t="shared" si="57"/>
        <v>0.38435039999999993</v>
      </c>
      <c r="T42" s="132"/>
      <c r="U42" s="400">
        <f t="shared" si="9"/>
        <v>0</v>
      </c>
      <c r="V42" s="401">
        <f t="shared" si="10"/>
        <v>0</v>
      </c>
      <c r="W42" s="52"/>
      <c r="X42" s="413">
        <f>IFERROR(VLOOKUP($C42,'Proposed Rates'!$B:$J,X$11,FALSE),0)</f>
        <v>5.9999999999999995E-4</v>
      </c>
      <c r="Y42" s="418">
        <f t="shared" si="58"/>
        <v>640.58399999999995</v>
      </c>
      <c r="Z42" s="399">
        <f t="shared" si="59"/>
        <v>0.38435039999999993</v>
      </c>
      <c r="AA42" s="132"/>
      <c r="AB42" s="400">
        <f t="shared" si="13"/>
        <v>0</v>
      </c>
      <c r="AC42" s="401">
        <f t="shared" si="14"/>
        <v>0</v>
      </c>
      <c r="AD42" s="52"/>
      <c r="AE42" s="413">
        <f>IFERROR(VLOOKUP($C42,'Proposed Rates'!$B:$J,AE$11,FALSE),0)</f>
        <v>5.9999999999999995E-4</v>
      </c>
      <c r="AF42" s="418">
        <f t="shared" si="60"/>
        <v>640.58399999999995</v>
      </c>
      <c r="AG42" s="399">
        <f t="shared" si="61"/>
        <v>0.38435039999999993</v>
      </c>
      <c r="AH42" s="132"/>
      <c r="AI42" s="400">
        <f t="shared" si="17"/>
        <v>0</v>
      </c>
      <c r="AJ42" s="401">
        <f t="shared" si="18"/>
        <v>0</v>
      </c>
      <c r="AK42" s="52"/>
      <c r="AL42" s="413">
        <f>IFERROR(VLOOKUP($C42,'Proposed Rates'!$B:$J,AL$11,FALSE),0)</f>
        <v>5.9999999999999995E-4</v>
      </c>
      <c r="AM42" s="418">
        <f t="shared" si="62"/>
        <v>640.58399999999995</v>
      </c>
      <c r="AN42" s="399">
        <f t="shared" si="63"/>
        <v>0.38435039999999993</v>
      </c>
      <c r="AO42" s="132"/>
      <c r="AP42" s="400">
        <f t="shared" si="21"/>
        <v>0</v>
      </c>
      <c r="AQ42" s="401">
        <f t="shared" si="22"/>
        <v>0</v>
      </c>
      <c r="AR42" s="402"/>
      <c r="AS42" s="402"/>
      <c r="AT42" s="402"/>
      <c r="AU42" s="3"/>
      <c r="AV42" s="3"/>
      <c r="AW42" s="3"/>
      <c r="AX42" s="3"/>
      <c r="AY42" s="3"/>
      <c r="AZ42" s="3"/>
      <c r="BA42" s="3"/>
      <c r="BB42" s="3"/>
    </row>
    <row r="43" spans="1:54" ht="12.75" customHeight="1">
      <c r="A43" s="52"/>
      <c r="B43" s="321" t="s">
        <v>264</v>
      </c>
      <c r="C43" s="394" t="str">
        <f t="shared" si="51"/>
        <v>Residential.Standard Supply Service Charge</v>
      </c>
      <c r="D43" s="395" t="s">
        <v>310</v>
      </c>
      <c r="E43" s="321"/>
      <c r="F43" s="413">
        <f>IFERROR(VLOOKUP($C43,'Proposed Rates'!$B:$J,F$11,FALSE),0)</f>
        <v>0.25</v>
      </c>
      <c r="G43" s="414">
        <f>IF($D43="Monthly",1,IF($D43="per KWH",$F$10,0))</f>
        <v>1</v>
      </c>
      <c r="H43" s="399">
        <f t="shared" si="53"/>
        <v>0.25</v>
      </c>
      <c r="I43" s="132"/>
      <c r="J43" s="413">
        <f>IFERROR(VLOOKUP($C43,'Proposed Rates'!$B:$J,J$11,FALSE),0)</f>
        <v>0.25</v>
      </c>
      <c r="K43" s="414">
        <f>IF($D43="Monthly",1,IF($D43="per KWH",$F$10,0))</f>
        <v>1</v>
      </c>
      <c r="L43" s="399">
        <f t="shared" si="55"/>
        <v>0.25</v>
      </c>
      <c r="M43" s="132"/>
      <c r="N43" s="400">
        <f t="shared" si="36"/>
        <v>0</v>
      </c>
      <c r="O43" s="401">
        <f t="shared" si="37"/>
        <v>0</v>
      </c>
      <c r="P43" s="52"/>
      <c r="Q43" s="413">
        <f>IFERROR(VLOOKUP($C43,'Proposed Rates'!$B:$J,Q$11,FALSE),0)</f>
        <v>0.25</v>
      </c>
      <c r="R43" s="414">
        <f>IF($D43="Monthly",1,IF($D43="per KWH",$F$10,0))</f>
        <v>1</v>
      </c>
      <c r="S43" s="399">
        <f t="shared" si="57"/>
        <v>0.25</v>
      </c>
      <c r="T43" s="132"/>
      <c r="U43" s="400">
        <f t="shared" si="9"/>
        <v>0</v>
      </c>
      <c r="V43" s="401">
        <f t="shared" si="10"/>
        <v>0</v>
      </c>
      <c r="W43" s="52"/>
      <c r="X43" s="413">
        <f>IFERROR(VLOOKUP($C43,'Proposed Rates'!$B:$J,X$11,FALSE),0)</f>
        <v>0.25</v>
      </c>
      <c r="Y43" s="414">
        <f>IF($D43="Monthly",1,IF($D43="per KWH",$F$10,0))</f>
        <v>1</v>
      </c>
      <c r="Z43" s="399">
        <f t="shared" si="59"/>
        <v>0.25</v>
      </c>
      <c r="AA43" s="132"/>
      <c r="AB43" s="400">
        <f t="shared" si="13"/>
        <v>0</v>
      </c>
      <c r="AC43" s="401">
        <f t="shared" si="14"/>
        <v>0</v>
      </c>
      <c r="AD43" s="52"/>
      <c r="AE43" s="413">
        <f>IFERROR(VLOOKUP($C43,'Proposed Rates'!$B:$J,AE$11,FALSE),0)</f>
        <v>0.25</v>
      </c>
      <c r="AF43" s="414">
        <f>IF($D43="Monthly",1,IF($D43="per KWH",$F$10,0))</f>
        <v>1</v>
      </c>
      <c r="AG43" s="399">
        <f t="shared" si="61"/>
        <v>0.25</v>
      </c>
      <c r="AH43" s="132"/>
      <c r="AI43" s="400">
        <f t="shared" si="17"/>
        <v>0</v>
      </c>
      <c r="AJ43" s="401">
        <f t="shared" si="18"/>
        <v>0</v>
      </c>
      <c r="AK43" s="52"/>
      <c r="AL43" s="413">
        <f>IFERROR(VLOOKUP($C43,'Proposed Rates'!$B:$J,AL$11,FALSE),0)</f>
        <v>0.25</v>
      </c>
      <c r="AM43" s="414">
        <f>IF($D43="Monthly",1,IF($D43="per KWH",$F$10,0))</f>
        <v>1</v>
      </c>
      <c r="AN43" s="399">
        <f t="shared" si="63"/>
        <v>0.25</v>
      </c>
      <c r="AO43" s="132"/>
      <c r="AP43" s="400">
        <f t="shared" si="21"/>
        <v>0</v>
      </c>
      <c r="AQ43" s="401">
        <f t="shared" si="22"/>
        <v>0</v>
      </c>
      <c r="AR43" s="402"/>
      <c r="AS43" s="402"/>
      <c r="AT43" s="402"/>
      <c r="AU43" s="3"/>
      <c r="AV43" s="3"/>
      <c r="AW43" s="3"/>
      <c r="AX43" s="3"/>
      <c r="AY43" s="3"/>
      <c r="AZ43" s="3"/>
      <c r="BA43" s="3"/>
      <c r="BB43" s="3"/>
    </row>
    <row r="44" spans="1:54" ht="12.75" customHeight="1">
      <c r="A44" s="52"/>
      <c r="B44" s="321" t="s">
        <v>266</v>
      </c>
      <c r="C44" s="394" t="str">
        <f t="shared" si="51"/>
        <v>Residential.TOU - Off Peak</v>
      </c>
      <c r="D44" s="395" t="s">
        <v>312</v>
      </c>
      <c r="E44" s="321"/>
      <c r="F44" s="429">
        <f>VLOOKUP($B44,'Proposed Rates'!$D$252:$J$258,+F$11-2,FALSE)</f>
        <v>9.8000000000000004E-2</v>
      </c>
      <c r="G44" s="420">
        <f>$F$10*'Proposed Rates'!$K$253</f>
        <v>396.8</v>
      </c>
      <c r="H44" s="399">
        <f t="shared" si="53"/>
        <v>38.886400000000002</v>
      </c>
      <c r="I44" s="132"/>
      <c r="J44" s="429">
        <f>VLOOKUP($B44,'Proposed Rates'!$D$252:$J$258,+J$11-2,FALSE)</f>
        <v>9.8000000000000004E-2</v>
      </c>
      <c r="K44" s="420">
        <f>$F$10*'Proposed Rates'!$K$253</f>
        <v>396.8</v>
      </c>
      <c r="L44" s="399">
        <f t="shared" si="55"/>
        <v>38.886400000000002</v>
      </c>
      <c r="M44" s="132"/>
      <c r="N44" s="400">
        <f t="shared" si="36"/>
        <v>0</v>
      </c>
      <c r="O44" s="401">
        <f t="shared" si="37"/>
        <v>0</v>
      </c>
      <c r="P44" s="52"/>
      <c r="Q44" s="429">
        <f>VLOOKUP($B44,'Proposed Rates'!$D$252:$J$258,+Q$11-2,FALSE)</f>
        <v>9.8000000000000004E-2</v>
      </c>
      <c r="R44" s="420">
        <f>$F$10*'Proposed Rates'!$K$253</f>
        <v>396.8</v>
      </c>
      <c r="S44" s="399">
        <f t="shared" si="57"/>
        <v>38.886400000000002</v>
      </c>
      <c r="T44" s="132"/>
      <c r="U44" s="400">
        <f t="shared" si="9"/>
        <v>0</v>
      </c>
      <c r="V44" s="401">
        <f t="shared" si="10"/>
        <v>0</v>
      </c>
      <c r="W44" s="52"/>
      <c r="X44" s="429">
        <f>VLOOKUP($B44,'Proposed Rates'!$D$252:$J$258,+X$11-2,FALSE)</f>
        <v>9.8000000000000004E-2</v>
      </c>
      <c r="Y44" s="420">
        <f>$F$10*'Proposed Rates'!$K$253</f>
        <v>396.8</v>
      </c>
      <c r="Z44" s="399">
        <f t="shared" si="59"/>
        <v>38.886400000000002</v>
      </c>
      <c r="AA44" s="132"/>
      <c r="AB44" s="400">
        <f t="shared" si="13"/>
        <v>0</v>
      </c>
      <c r="AC44" s="401">
        <f t="shared" si="14"/>
        <v>0</v>
      </c>
      <c r="AD44" s="52"/>
      <c r="AE44" s="429">
        <f>VLOOKUP($B44,'Proposed Rates'!$D$252:$J$258,+AE$11-2,FALSE)</f>
        <v>9.8000000000000004E-2</v>
      </c>
      <c r="AF44" s="420">
        <f>$F$10*'Proposed Rates'!$K$253</f>
        <v>396.8</v>
      </c>
      <c r="AG44" s="399">
        <f t="shared" si="61"/>
        <v>38.886400000000002</v>
      </c>
      <c r="AH44" s="132"/>
      <c r="AI44" s="400">
        <f t="shared" si="17"/>
        <v>0</v>
      </c>
      <c r="AJ44" s="401">
        <f t="shared" si="18"/>
        <v>0</v>
      </c>
      <c r="AK44" s="52"/>
      <c r="AL44" s="429">
        <f>VLOOKUP($B44,'Proposed Rates'!$D$252:$J$258,+AL$11-2,FALSE)</f>
        <v>9.8000000000000004E-2</v>
      </c>
      <c r="AM44" s="420">
        <f>$F$10*'Proposed Rates'!$K$253</f>
        <v>396.8</v>
      </c>
      <c r="AN44" s="399">
        <f t="shared" si="63"/>
        <v>38.886400000000002</v>
      </c>
      <c r="AO44" s="132"/>
      <c r="AP44" s="400">
        <f t="shared" si="21"/>
        <v>0</v>
      </c>
      <c r="AQ44" s="401">
        <f t="shared" si="22"/>
        <v>0</v>
      </c>
      <c r="AR44" s="402"/>
      <c r="AS44" s="402"/>
      <c r="AT44" s="402"/>
      <c r="AU44" s="3"/>
      <c r="AV44" s="3"/>
      <c r="AW44" s="3"/>
      <c r="AX44" s="3"/>
      <c r="AY44" s="3"/>
      <c r="AZ44" s="3"/>
      <c r="BA44" s="3"/>
      <c r="BB44" s="3"/>
    </row>
    <row r="45" spans="1:54" ht="12.75" customHeight="1">
      <c r="A45" s="52"/>
      <c r="B45" s="321" t="s">
        <v>267</v>
      </c>
      <c r="C45" s="394" t="str">
        <f t="shared" si="51"/>
        <v>Residential.TOU - Mid Peak</v>
      </c>
      <c r="D45" s="395" t="s">
        <v>312</v>
      </c>
      <c r="E45" s="321"/>
      <c r="F45" s="429">
        <f>VLOOKUP($B45,'Proposed Rates'!$D$252:$J$258,+F$11-2,FALSE)</f>
        <v>0.157</v>
      </c>
      <c r="G45" s="420">
        <f>$F$10*'Proposed Rates'!$K$254</f>
        <v>111.6</v>
      </c>
      <c r="H45" s="399">
        <f t="shared" si="53"/>
        <v>17.5212</v>
      </c>
      <c r="I45" s="132"/>
      <c r="J45" s="429">
        <f>VLOOKUP($B45,'Proposed Rates'!$D$252:$J$258,+J$11-2,FALSE)</f>
        <v>0.157</v>
      </c>
      <c r="K45" s="420">
        <f>$F$10*'Proposed Rates'!$K$254</f>
        <v>111.6</v>
      </c>
      <c r="L45" s="399">
        <f t="shared" si="55"/>
        <v>17.5212</v>
      </c>
      <c r="M45" s="132"/>
      <c r="N45" s="400">
        <f t="shared" si="36"/>
        <v>0</v>
      </c>
      <c r="O45" s="401">
        <f t="shared" si="37"/>
        <v>0</v>
      </c>
      <c r="P45" s="52"/>
      <c r="Q45" s="429">
        <f>VLOOKUP($B45,'Proposed Rates'!$D$252:$J$258,+Q$11-2,FALSE)</f>
        <v>0.157</v>
      </c>
      <c r="R45" s="420">
        <f>$F$10*'Proposed Rates'!$K$254</f>
        <v>111.6</v>
      </c>
      <c r="S45" s="399">
        <f t="shared" si="57"/>
        <v>17.5212</v>
      </c>
      <c r="T45" s="132"/>
      <c r="U45" s="400">
        <f t="shared" si="9"/>
        <v>0</v>
      </c>
      <c r="V45" s="401">
        <f t="shared" si="10"/>
        <v>0</v>
      </c>
      <c r="W45" s="52"/>
      <c r="X45" s="429">
        <f>VLOOKUP($B45,'Proposed Rates'!$D$252:$J$258,+X$11-2,FALSE)</f>
        <v>0.157</v>
      </c>
      <c r="Y45" s="420">
        <f>$F$10*'Proposed Rates'!$K$254</f>
        <v>111.6</v>
      </c>
      <c r="Z45" s="399">
        <f t="shared" si="59"/>
        <v>17.5212</v>
      </c>
      <c r="AA45" s="132"/>
      <c r="AB45" s="400">
        <f t="shared" si="13"/>
        <v>0</v>
      </c>
      <c r="AC45" s="401">
        <f t="shared" si="14"/>
        <v>0</v>
      </c>
      <c r="AD45" s="52"/>
      <c r="AE45" s="429">
        <f>VLOOKUP($B45,'Proposed Rates'!$D$252:$J$258,+AE$11-2,FALSE)</f>
        <v>0.157</v>
      </c>
      <c r="AF45" s="420">
        <f>$F$10*'Proposed Rates'!$K$254</f>
        <v>111.6</v>
      </c>
      <c r="AG45" s="399">
        <f t="shared" si="61"/>
        <v>17.5212</v>
      </c>
      <c r="AH45" s="132"/>
      <c r="AI45" s="400">
        <f t="shared" si="17"/>
        <v>0</v>
      </c>
      <c r="AJ45" s="401">
        <f t="shared" si="18"/>
        <v>0</v>
      </c>
      <c r="AK45" s="52"/>
      <c r="AL45" s="429">
        <f>VLOOKUP($B45,'Proposed Rates'!$D$252:$J$258,+AL$11-2,FALSE)</f>
        <v>0.157</v>
      </c>
      <c r="AM45" s="420">
        <f>$F$10*'Proposed Rates'!$K$254</f>
        <v>111.6</v>
      </c>
      <c r="AN45" s="399">
        <f t="shared" si="63"/>
        <v>17.5212</v>
      </c>
      <c r="AO45" s="132"/>
      <c r="AP45" s="400">
        <f t="shared" si="21"/>
        <v>0</v>
      </c>
      <c r="AQ45" s="401">
        <f t="shared" si="22"/>
        <v>0</v>
      </c>
      <c r="AR45" s="402"/>
      <c r="AS45" s="402"/>
      <c r="AT45" s="402"/>
      <c r="AU45" s="3"/>
      <c r="AV45" s="3"/>
      <c r="AW45" s="3"/>
      <c r="AX45" s="3"/>
      <c r="AY45" s="3"/>
      <c r="AZ45" s="3"/>
      <c r="BA45" s="3"/>
      <c r="BB45" s="3"/>
    </row>
    <row r="46" spans="1:54" ht="12.75" customHeight="1">
      <c r="A46" s="52"/>
      <c r="B46" s="52" t="s">
        <v>268</v>
      </c>
      <c r="C46" s="394" t="str">
        <f t="shared" si="51"/>
        <v>Residential.TOU - On Peak</v>
      </c>
      <c r="D46" s="395" t="s">
        <v>312</v>
      </c>
      <c r="E46" s="321"/>
      <c r="F46" s="429">
        <f>VLOOKUP($B46,'Proposed Rates'!$D$252:$J$258,+F$11-2,FALSE)</f>
        <v>0.20300000000000001</v>
      </c>
      <c r="G46" s="420">
        <f>$F$10*'Proposed Rates'!$K$255</f>
        <v>111.6</v>
      </c>
      <c r="H46" s="399">
        <f t="shared" si="53"/>
        <v>22.654800000000002</v>
      </c>
      <c r="I46" s="132"/>
      <c r="J46" s="429">
        <f>VLOOKUP($B46,'Proposed Rates'!$D$252:$J$258,+J$11-2,FALSE)</f>
        <v>0.20300000000000001</v>
      </c>
      <c r="K46" s="420">
        <f>$F$10*'Proposed Rates'!$K$255</f>
        <v>111.6</v>
      </c>
      <c r="L46" s="399">
        <f t="shared" si="55"/>
        <v>22.654800000000002</v>
      </c>
      <c r="M46" s="132"/>
      <c r="N46" s="400">
        <f t="shared" si="36"/>
        <v>0</v>
      </c>
      <c r="O46" s="401">
        <f t="shared" si="37"/>
        <v>0</v>
      </c>
      <c r="P46" s="52"/>
      <c r="Q46" s="429">
        <f>VLOOKUP($B46,'Proposed Rates'!$D$252:$J$258,+Q$11-2,FALSE)</f>
        <v>0.20300000000000001</v>
      </c>
      <c r="R46" s="420">
        <f>$F$10*'Proposed Rates'!$K$255</f>
        <v>111.6</v>
      </c>
      <c r="S46" s="399">
        <f t="shared" si="57"/>
        <v>22.654800000000002</v>
      </c>
      <c r="T46" s="132"/>
      <c r="U46" s="400">
        <f t="shared" si="9"/>
        <v>0</v>
      </c>
      <c r="V46" s="401">
        <f t="shared" si="10"/>
        <v>0</v>
      </c>
      <c r="W46" s="52"/>
      <c r="X46" s="429">
        <f>VLOOKUP($B46,'Proposed Rates'!$D$252:$J$258,+X$11-2,FALSE)</f>
        <v>0.20300000000000001</v>
      </c>
      <c r="Y46" s="420">
        <f>$F$10*'Proposed Rates'!$K$255</f>
        <v>111.6</v>
      </c>
      <c r="Z46" s="399">
        <f t="shared" si="59"/>
        <v>22.654800000000002</v>
      </c>
      <c r="AA46" s="132"/>
      <c r="AB46" s="400">
        <f t="shared" si="13"/>
        <v>0</v>
      </c>
      <c r="AC46" s="401">
        <f t="shared" si="14"/>
        <v>0</v>
      </c>
      <c r="AD46" s="52"/>
      <c r="AE46" s="429">
        <f>VLOOKUP($B46,'Proposed Rates'!$D$252:$J$258,+AE$11-2,FALSE)</f>
        <v>0.20300000000000001</v>
      </c>
      <c r="AF46" s="420">
        <f>$F$10*'Proposed Rates'!$K$255</f>
        <v>111.6</v>
      </c>
      <c r="AG46" s="399">
        <f t="shared" si="61"/>
        <v>22.654800000000002</v>
      </c>
      <c r="AH46" s="132"/>
      <c r="AI46" s="400">
        <f t="shared" si="17"/>
        <v>0</v>
      </c>
      <c r="AJ46" s="401">
        <f t="shared" si="18"/>
        <v>0</v>
      </c>
      <c r="AK46" s="52"/>
      <c r="AL46" s="429">
        <f>VLOOKUP($B46,'Proposed Rates'!$D$252:$J$258,+AL$11-2,FALSE)</f>
        <v>0.20300000000000001</v>
      </c>
      <c r="AM46" s="420">
        <f>$F$10*'Proposed Rates'!$K$255</f>
        <v>111.6</v>
      </c>
      <c r="AN46" s="399">
        <f t="shared" si="63"/>
        <v>22.654800000000002</v>
      </c>
      <c r="AO46" s="132"/>
      <c r="AP46" s="400">
        <f t="shared" si="21"/>
        <v>0</v>
      </c>
      <c r="AQ46" s="401">
        <f t="shared" si="22"/>
        <v>0</v>
      </c>
      <c r="AR46" s="402"/>
      <c r="AS46" s="402"/>
      <c r="AT46" s="402"/>
      <c r="AU46" s="3"/>
      <c r="AV46" s="3"/>
      <c r="AW46" s="3"/>
      <c r="AX46" s="3"/>
      <c r="AY46" s="3"/>
      <c r="AZ46" s="3"/>
      <c r="BA46" s="3"/>
      <c r="BB46" s="3"/>
    </row>
    <row r="47" spans="1:54" ht="12.75" customHeight="1">
      <c r="A47" s="52"/>
      <c r="B47" s="321" t="s">
        <v>269</v>
      </c>
      <c r="C47" s="394" t="str">
        <f t="shared" si="51"/>
        <v>Residential.Energy - RPP - Tier 1</v>
      </c>
      <c r="D47" s="395" t="s">
        <v>312</v>
      </c>
      <c r="E47" s="321"/>
      <c r="F47" s="429">
        <f>VLOOKUP($B47,'Proposed Rates'!$D$252:$J$258,+F$11-2,FALSE)</f>
        <v>0.12</v>
      </c>
      <c r="G47" s="430">
        <f>IF(AND($S$2=1, $F$10&gt;=600), 600, IF(AND($S$2=1, AND($F$10&lt;600, $F$10&gt;=0)), $F$10, IF(AND($S$2=2, $F$10&gt;=1000), 1000, IF(AND($S$2=2, AND($F$10&lt;1000, $F$10&gt;=0)), $F$10))))</f>
        <v>600</v>
      </c>
      <c r="H47" s="399">
        <f t="shared" si="53"/>
        <v>72</v>
      </c>
      <c r="I47" s="132"/>
      <c r="J47" s="429">
        <f>VLOOKUP($B47,'Proposed Rates'!$D$252:$J$258,+J$11-2,FALSE)</f>
        <v>0.12</v>
      </c>
      <c r="K47" s="430">
        <f>IF(AND($S$2=1, $F$10&gt;=600), 600, IF(AND($S$2=1, AND($F$10&lt;600, $F$10&gt;=0)), $F$10, IF(AND($S$2=2, $F$10&gt;=1000), 1000, IF(AND($S$2=2, AND($F$10&lt;1000, $F$10&gt;=0)), $F$10))))</f>
        <v>600</v>
      </c>
      <c r="L47" s="399">
        <f t="shared" si="55"/>
        <v>72</v>
      </c>
      <c r="M47" s="132"/>
      <c r="N47" s="400">
        <f t="shared" si="36"/>
        <v>0</v>
      </c>
      <c r="O47" s="401">
        <f t="shared" si="37"/>
        <v>0</v>
      </c>
      <c r="P47" s="52"/>
      <c r="Q47" s="429">
        <f>VLOOKUP($B47,'Proposed Rates'!$D$252:$J$258,+Q$11-2,FALSE)</f>
        <v>0.12</v>
      </c>
      <c r="R47" s="430">
        <f>IF(AND($S$2=1, $F$10&gt;=600), 600, IF(AND($S$2=1, AND($F$10&lt;600, $F$10&gt;=0)), $F$10, IF(AND($S$2=2, $F$10&gt;=1000), 1000, IF(AND($S$2=2, AND($F$10&lt;1000, $F$10&gt;=0)), $F$10))))</f>
        <v>600</v>
      </c>
      <c r="S47" s="399">
        <f t="shared" si="57"/>
        <v>72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600</v>
      </c>
      <c r="Z47" s="399">
        <f t="shared" si="59"/>
        <v>72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600</v>
      </c>
      <c r="AG47" s="399">
        <f t="shared" si="61"/>
        <v>72</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600</v>
      </c>
      <c r="AN47" s="399">
        <f t="shared" si="63"/>
        <v>72</v>
      </c>
      <c r="AO47" s="132"/>
      <c r="AP47" s="400">
        <f t="shared" si="21"/>
        <v>0</v>
      </c>
      <c r="AQ47" s="401">
        <f t="shared" si="22"/>
        <v>0</v>
      </c>
      <c r="AR47" s="402"/>
      <c r="AS47" s="402"/>
      <c r="AT47" s="402"/>
      <c r="AU47" s="3"/>
      <c r="AV47" s="3"/>
      <c r="AW47" s="3"/>
      <c r="AX47" s="3"/>
      <c r="AY47" s="3"/>
      <c r="AZ47" s="3"/>
      <c r="BA47" s="3"/>
      <c r="BB47" s="3"/>
    </row>
    <row r="48" spans="1:54" ht="12.75" customHeight="1">
      <c r="A48" s="52"/>
      <c r="B48" s="321" t="s">
        <v>270</v>
      </c>
      <c r="C48" s="394" t="str">
        <f t="shared" si="51"/>
        <v>Residential.Energy - RPP - Tier 2</v>
      </c>
      <c r="D48" s="395" t="s">
        <v>312</v>
      </c>
      <c r="E48" s="321"/>
      <c r="F48" s="429">
        <f>VLOOKUP($B48,'Proposed Rates'!$D$252:$J$258,+F$11-2,FALSE)</f>
        <v>0.14199999999999999</v>
      </c>
      <c r="G48" s="432">
        <f>IF(AND($S$2=1, $F$10&gt;=600), $F$10-600, IF(AND($S$2=1, AND($F$10&lt;600, $F$10&gt;=0)), 0, IF(AND($S$2=2, $F$10&gt;=1000), $F$10-1000, IF(AND($S$2=2, AND($F$10&lt;1000, $F$10&gt;=0)), 0))))</f>
        <v>20</v>
      </c>
      <c r="H48" s="399">
        <f t="shared" si="53"/>
        <v>2.84</v>
      </c>
      <c r="I48" s="132"/>
      <c r="J48" s="429">
        <f>VLOOKUP($B48,'Proposed Rates'!$D$252:$J$258,+J$11-2,FALSE)</f>
        <v>0.14199999999999999</v>
      </c>
      <c r="K48" s="432">
        <f>IF(AND($S$2=1, $F$10&gt;=600), $F$10-600, IF(AND($S$2=1, AND($F$10&lt;600, $F$10&gt;=0)), 0, IF(AND($S$2=2, $F$10&gt;=1000), $F$10-1000, IF(AND($S$2=2, AND($F$10&lt;1000, $F$10&gt;=0)), 0))))</f>
        <v>20</v>
      </c>
      <c r="L48" s="399">
        <f t="shared" si="55"/>
        <v>2.84</v>
      </c>
      <c r="M48" s="132"/>
      <c r="N48" s="400">
        <f t="shared" si="36"/>
        <v>0</v>
      </c>
      <c r="O48" s="401">
        <f t="shared" si="37"/>
        <v>0</v>
      </c>
      <c r="P48" s="52"/>
      <c r="Q48" s="429">
        <f>VLOOKUP($B48,'Proposed Rates'!$D$252:$J$258,+Q$11-2,FALSE)</f>
        <v>0.14199999999999999</v>
      </c>
      <c r="R48" s="432">
        <f>IF(AND($S$2=1, $F$10&gt;=600), $F$10-600, IF(AND($S$2=1, AND($F$10&lt;600, $F$10&gt;=0)), 0, IF(AND($S$2=2, $F$10&gt;=1000), $F$10-1000, IF(AND($S$2=2, AND($F$10&lt;1000, $F$10&gt;=0)), 0))))</f>
        <v>20</v>
      </c>
      <c r="S48" s="399">
        <f t="shared" si="57"/>
        <v>2.84</v>
      </c>
      <c r="T48" s="132"/>
      <c r="U48" s="400">
        <f t="shared" si="9"/>
        <v>0</v>
      </c>
      <c r="V48" s="401">
        <f t="shared" si="10"/>
        <v>0</v>
      </c>
      <c r="W48" s="52"/>
      <c r="X48" s="429">
        <f>VLOOKUP($B48,'Proposed Rates'!$D$252:$J$258,+X$11-2,FALSE)</f>
        <v>0.14199999999999999</v>
      </c>
      <c r="Y48" s="432">
        <f>IF(AND($S$2=1, $F$10&gt;=600), $F$10-600, IF(AND($S$2=1, AND($F$10&lt;600, $F$10&gt;=0)), 0, IF(AND($S$2=2, $F$10&gt;=1000), $F$10-1000, IF(AND($S$2=2, AND($F$10&lt;1000, $F$10&gt;=0)), 0))))</f>
        <v>20</v>
      </c>
      <c r="Z48" s="399">
        <f t="shared" si="59"/>
        <v>2.84</v>
      </c>
      <c r="AA48" s="132"/>
      <c r="AB48" s="400">
        <f t="shared" si="13"/>
        <v>0</v>
      </c>
      <c r="AC48" s="401">
        <f t="shared" si="14"/>
        <v>0</v>
      </c>
      <c r="AD48" s="52"/>
      <c r="AE48" s="429">
        <f>VLOOKUP($B48,'Proposed Rates'!$D$252:$J$258,+AE$11-2,FALSE)</f>
        <v>0.14199999999999999</v>
      </c>
      <c r="AF48" s="432">
        <f>IF(AND($S$2=1, $F$10&gt;=600), $F$10-600, IF(AND($S$2=1, AND($F$10&lt;600, $F$10&gt;=0)), 0, IF(AND($S$2=2, $F$10&gt;=1000), $F$10-1000, IF(AND($S$2=2, AND($F$10&lt;1000, $F$10&gt;=0)), 0))))</f>
        <v>20</v>
      </c>
      <c r="AG48" s="399">
        <f t="shared" si="61"/>
        <v>2.84</v>
      </c>
      <c r="AH48" s="132"/>
      <c r="AI48" s="400">
        <f t="shared" si="17"/>
        <v>0</v>
      </c>
      <c r="AJ48" s="401">
        <f t="shared" si="18"/>
        <v>0</v>
      </c>
      <c r="AK48" s="52"/>
      <c r="AL48" s="429">
        <f>VLOOKUP($B48,'Proposed Rates'!$D$252:$J$258,+AL$11-2,FALSE)</f>
        <v>0.14199999999999999</v>
      </c>
      <c r="AM48" s="432">
        <f>IF(AND($S$2=1, $F$10&gt;=600), $F$10-600, IF(AND($S$2=1, AND($F$10&lt;600, $F$10&gt;=0)), 0, IF(AND($S$2=2, $F$10&gt;=1000), $F$10-1000, IF(AND($S$2=2, AND($F$10&lt;1000, $F$10&gt;=0)), 0))))</f>
        <v>20</v>
      </c>
      <c r="AN48" s="399">
        <f t="shared" si="63"/>
        <v>2.84</v>
      </c>
      <c r="AO48" s="132"/>
      <c r="AP48" s="400">
        <f t="shared" si="21"/>
        <v>0</v>
      </c>
      <c r="AQ48" s="401">
        <f t="shared" si="22"/>
        <v>0</v>
      </c>
      <c r="AR48" s="402"/>
      <c r="AS48" s="402"/>
      <c r="AT48" s="402"/>
      <c r="AU48" s="3"/>
      <c r="AV48" s="3"/>
      <c r="AW48" s="3"/>
      <c r="AX48" s="3"/>
      <c r="AY48" s="3"/>
      <c r="AZ48" s="3"/>
      <c r="BA48" s="3"/>
      <c r="BB48" s="3"/>
    </row>
    <row r="49" spans="1:54" ht="8.25"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02"/>
      <c r="AS49" s="402"/>
      <c r="AT49" s="402"/>
      <c r="AU49" s="3"/>
      <c r="AV49" s="3"/>
      <c r="AW49" s="3"/>
      <c r="AX49" s="3"/>
      <c r="AY49" s="3"/>
      <c r="AZ49" s="3"/>
      <c r="BA49" s="3"/>
      <c r="BB49" s="3"/>
    </row>
    <row r="50" spans="1:54" ht="12.75" customHeight="1">
      <c r="A50" s="52"/>
      <c r="B50" s="443" t="s">
        <v>319</v>
      </c>
      <c r="C50" s="321"/>
      <c r="D50" s="321"/>
      <c r="E50" s="321"/>
      <c r="F50" s="444"/>
      <c r="G50" s="488"/>
      <c r="H50" s="446">
        <f>SUM(H41:H46,H40)</f>
        <v>133.48342172000002</v>
      </c>
      <c r="I50" s="481"/>
      <c r="J50" s="444"/>
      <c r="K50" s="445"/>
      <c r="L50" s="446">
        <f>SUM(L41:L46,L40)</f>
        <v>139.54982216000002</v>
      </c>
      <c r="M50" s="448"/>
      <c r="N50" s="447">
        <f t="shared" ref="N50:N54" si="64">L50-H50</f>
        <v>6.0664004399999953</v>
      </c>
      <c r="O50" s="449">
        <f t="shared" ref="O50:O54" si="65">IF((H50)=0,"",(N50/H50))</f>
        <v>4.5446845472129946E-2</v>
      </c>
      <c r="P50" s="52"/>
      <c r="Q50" s="445"/>
      <c r="R50" s="445"/>
      <c r="S50" s="447">
        <f>SUM(S41:S46,S40)</f>
        <v>142.27382216000001</v>
      </c>
      <c r="T50" s="448"/>
      <c r="U50" s="447">
        <f t="shared" ref="U50:U54" si="66">S50-L50</f>
        <v>2.7239999999999895</v>
      </c>
      <c r="V50" s="449">
        <f t="shared" ref="V50:V54" si="67">IF((L50)=0,"",(U50/L50))</f>
        <v>1.9519910221575228E-2</v>
      </c>
      <c r="W50" s="52"/>
      <c r="X50" s="445"/>
      <c r="Y50" s="445"/>
      <c r="Z50" s="447">
        <f>SUM(Z41:Z46,Z40)</f>
        <v>145.120228</v>
      </c>
      <c r="AA50" s="448"/>
      <c r="AB50" s="447">
        <f t="shared" ref="AB50:AB54" si="68">Z50-S50</f>
        <v>2.8464058399999885</v>
      </c>
      <c r="AC50" s="449">
        <f t="shared" ref="AC50:AC54" si="69">IF((S50)=0,"",(AB50/S50))</f>
        <v>2.0006532451197826E-2</v>
      </c>
      <c r="AD50" s="52"/>
      <c r="AE50" s="445"/>
      <c r="AF50" s="445"/>
      <c r="AG50" s="447">
        <f>SUM(AG41:AG46,AG40)</f>
        <v>146.64022799999998</v>
      </c>
      <c r="AH50" s="448"/>
      <c r="AI50" s="447">
        <f t="shared" ref="AI50:AI54" si="70">AG50-Z50</f>
        <v>1.5199999999999818</v>
      </c>
      <c r="AJ50" s="449">
        <f t="shared" ref="AJ50:AJ54" si="71">IF((Z50)=0,"",(AI50/Z50))</f>
        <v>1.0474073951978505E-2</v>
      </c>
      <c r="AK50" s="52"/>
      <c r="AL50" s="445"/>
      <c r="AM50" s="445"/>
      <c r="AN50" s="447">
        <f>SUM(AN41:AN46,AN40)</f>
        <v>148.03022800000002</v>
      </c>
      <c r="AO50" s="448"/>
      <c r="AP50" s="447">
        <f t="shared" ref="AP50:AP54" si="72">AN50-AG50</f>
        <v>1.3900000000000432</v>
      </c>
      <c r="AQ50" s="449">
        <f t="shared" ref="AQ50:AQ54" si="73">IF((AG50)=0,"",(AP50/AG50))</f>
        <v>9.4789814429369502E-3</v>
      </c>
      <c r="AR50" s="450"/>
      <c r="AS50" s="450"/>
      <c r="AT50" s="450"/>
      <c r="AU50" s="3"/>
      <c r="AV50" s="3"/>
      <c r="AW50" s="3"/>
      <c r="AX50" s="3"/>
      <c r="AY50" s="3"/>
      <c r="AZ50" s="3"/>
      <c r="BA50" s="3"/>
      <c r="BB50" s="3"/>
    </row>
    <row r="51" spans="1:54" ht="12.75" customHeight="1">
      <c r="A51" s="52"/>
      <c r="B51" s="451" t="s">
        <v>320</v>
      </c>
      <c r="C51" s="321"/>
      <c r="D51" s="321"/>
      <c r="E51" s="321"/>
      <c r="F51" s="444">
        <v>0.13</v>
      </c>
      <c r="G51" s="132"/>
      <c r="H51" s="489">
        <f>H50*F51</f>
        <v>17.352844823600005</v>
      </c>
      <c r="I51" s="416"/>
      <c r="J51" s="444">
        <v>0.13</v>
      </c>
      <c r="K51" s="416"/>
      <c r="L51" s="399">
        <f>L50*J51</f>
        <v>18.141476880800003</v>
      </c>
      <c r="M51" s="132"/>
      <c r="N51" s="400">
        <f t="shared" si="64"/>
        <v>0.7886320571999974</v>
      </c>
      <c r="O51" s="401">
        <f t="shared" si="65"/>
        <v>4.5446845472129828E-2</v>
      </c>
      <c r="P51" s="52"/>
      <c r="Q51" s="452">
        <v>0.13</v>
      </c>
      <c r="R51" s="416"/>
      <c r="S51" s="399">
        <f>S50*Q51</f>
        <v>18.495596880800001</v>
      </c>
      <c r="T51" s="132"/>
      <c r="U51" s="400">
        <f t="shared" si="66"/>
        <v>0.35411999999999821</v>
      </c>
      <c r="V51" s="401">
        <f t="shared" si="67"/>
        <v>1.9519910221575204E-2</v>
      </c>
      <c r="W51" s="52"/>
      <c r="X51" s="452">
        <v>0.13</v>
      </c>
      <c r="Y51" s="416"/>
      <c r="Z51" s="399">
        <f>Z50*X51</f>
        <v>18.865629640000002</v>
      </c>
      <c r="AA51" s="132"/>
      <c r="AB51" s="400">
        <f t="shared" si="68"/>
        <v>0.37003275920000078</v>
      </c>
      <c r="AC51" s="401">
        <f t="shared" si="69"/>
        <v>2.0006532451197948E-2</v>
      </c>
      <c r="AD51" s="52"/>
      <c r="AE51" s="452">
        <v>0.13</v>
      </c>
      <c r="AF51" s="416"/>
      <c r="AG51" s="399">
        <f>AG50*AE51</f>
        <v>19.063229639999999</v>
      </c>
      <c r="AH51" s="132"/>
      <c r="AI51" s="400">
        <f t="shared" si="70"/>
        <v>0.19759999999999778</v>
      </c>
      <c r="AJ51" s="401">
        <f t="shared" si="71"/>
        <v>1.0474073951978512E-2</v>
      </c>
      <c r="AK51" s="52"/>
      <c r="AL51" s="452">
        <v>0.13</v>
      </c>
      <c r="AM51" s="416"/>
      <c r="AN51" s="399">
        <f>AN50*AL51</f>
        <v>19.243929640000005</v>
      </c>
      <c r="AO51" s="132"/>
      <c r="AP51" s="400">
        <f t="shared" si="72"/>
        <v>0.18070000000000519</v>
      </c>
      <c r="AQ51" s="401">
        <f t="shared" si="73"/>
        <v>9.4789814429369276E-3</v>
      </c>
      <c r="AR51" s="402"/>
      <c r="AS51" s="402"/>
      <c r="AT51" s="402"/>
      <c r="AU51" s="3"/>
      <c r="AV51" s="3"/>
      <c r="AW51" s="3"/>
      <c r="AX51" s="3"/>
      <c r="AY51" s="3"/>
      <c r="AZ51" s="3"/>
      <c r="BA51" s="3"/>
      <c r="BB51" s="3"/>
    </row>
    <row r="52" spans="1:54" ht="12.75" customHeight="1">
      <c r="A52" s="52"/>
      <c r="B52" s="490" t="s">
        <v>349</v>
      </c>
      <c r="C52" s="321"/>
      <c r="D52" s="321"/>
      <c r="E52" s="321"/>
      <c r="F52" s="454"/>
      <c r="G52" s="132"/>
      <c r="H52" s="489">
        <f>H50+H51</f>
        <v>150.83626654360003</v>
      </c>
      <c r="I52" s="416"/>
      <c r="J52" s="454"/>
      <c r="K52" s="416"/>
      <c r="L52" s="399">
        <f>L50+L51</f>
        <v>157.69129904080003</v>
      </c>
      <c r="M52" s="132"/>
      <c r="N52" s="400">
        <f t="shared" si="64"/>
        <v>6.8550324971999999</v>
      </c>
      <c r="O52" s="401">
        <f t="shared" si="65"/>
        <v>4.5446845472129981E-2</v>
      </c>
      <c r="P52" s="52"/>
      <c r="Q52" s="416"/>
      <c r="R52" s="416"/>
      <c r="S52" s="399">
        <f>S50+S51</f>
        <v>160.76941904080002</v>
      </c>
      <c r="T52" s="132"/>
      <c r="U52" s="400">
        <f t="shared" si="66"/>
        <v>3.0781199999999842</v>
      </c>
      <c r="V52" s="401">
        <f t="shared" si="67"/>
        <v>1.9519910221575201E-2</v>
      </c>
      <c r="W52" s="52"/>
      <c r="X52" s="416"/>
      <c r="Y52" s="416"/>
      <c r="Z52" s="399">
        <f>Z50+Z51</f>
        <v>163.98585764000001</v>
      </c>
      <c r="AA52" s="132"/>
      <c r="AB52" s="400">
        <f t="shared" si="68"/>
        <v>3.2164385991999893</v>
      </c>
      <c r="AC52" s="401">
        <f t="shared" si="69"/>
        <v>2.000653245119784E-2</v>
      </c>
      <c r="AD52" s="52"/>
      <c r="AE52" s="416"/>
      <c r="AF52" s="416"/>
      <c r="AG52" s="399">
        <f>AG50+AG51</f>
        <v>165.70345763999998</v>
      </c>
      <c r="AH52" s="132"/>
      <c r="AI52" s="400">
        <f t="shared" si="70"/>
        <v>1.717599999999976</v>
      </c>
      <c r="AJ52" s="401">
        <f t="shared" si="71"/>
        <v>1.0474073951978484E-2</v>
      </c>
      <c r="AK52" s="52"/>
      <c r="AL52" s="416"/>
      <c r="AM52" s="416"/>
      <c r="AN52" s="399">
        <f>AN50+AN51</f>
        <v>167.27415764000003</v>
      </c>
      <c r="AO52" s="132"/>
      <c r="AP52" s="400">
        <f t="shared" si="72"/>
        <v>1.5707000000000448</v>
      </c>
      <c r="AQ52" s="401">
        <f t="shared" si="73"/>
        <v>9.4789814429369259E-3</v>
      </c>
      <c r="AR52" s="402"/>
      <c r="AS52" s="402"/>
      <c r="AT52" s="402"/>
      <c r="AU52" s="3"/>
      <c r="AV52" s="3"/>
      <c r="AW52" s="3"/>
      <c r="AX52" s="3"/>
      <c r="AY52" s="3"/>
      <c r="AZ52" s="3"/>
      <c r="BA52" s="3"/>
      <c r="BB52" s="3"/>
    </row>
    <row r="53" spans="1:54" ht="15.75" customHeight="1">
      <c r="A53" s="52"/>
      <c r="B53" s="632" t="s">
        <v>277</v>
      </c>
      <c r="C53" s="623"/>
      <c r="D53" s="623"/>
      <c r="E53" s="321"/>
      <c r="F53" s="455">
        <f>'Proposed Rates'!E290</f>
        <v>0.23499999999999999</v>
      </c>
      <c r="G53" s="132"/>
      <c r="H53" s="491">
        <f>F53*H50</f>
        <v>31.368604104200003</v>
      </c>
      <c r="I53" s="416"/>
      <c r="J53" s="455">
        <f>'Proposed Rates'!F290</f>
        <v>0.23499999999999999</v>
      </c>
      <c r="K53" s="416"/>
      <c r="L53" s="456">
        <f>J53*L50</f>
        <v>32.794208207600001</v>
      </c>
      <c r="M53" s="132"/>
      <c r="N53" s="456">
        <f t="shared" si="64"/>
        <v>1.4256041033999978</v>
      </c>
      <c r="O53" s="458">
        <f t="shared" si="65"/>
        <v>4.5446845472129918E-2</v>
      </c>
      <c r="P53" s="52"/>
      <c r="Q53" s="457">
        <f>'Proposed Rates'!G290</f>
        <v>0.23499999999999999</v>
      </c>
      <c r="R53" s="416"/>
      <c r="S53" s="456">
        <f>Q53*S50</f>
        <v>33.434348207600003</v>
      </c>
      <c r="T53" s="132"/>
      <c r="U53" s="456">
        <f t="shared" si="66"/>
        <v>0.64014000000000237</v>
      </c>
      <c r="V53" s="458">
        <f t="shared" si="67"/>
        <v>1.9519910221575378E-2</v>
      </c>
      <c r="W53" s="52"/>
      <c r="X53" s="457">
        <f>'Proposed Rates'!H290</f>
        <v>0.23499999999999999</v>
      </c>
      <c r="Y53" s="416"/>
      <c r="Z53" s="456">
        <f>X53*Z50</f>
        <v>34.103253580000001</v>
      </c>
      <c r="AA53" s="132"/>
      <c r="AB53" s="456">
        <f t="shared" si="68"/>
        <v>0.66890537239999759</v>
      </c>
      <c r="AC53" s="458">
        <f t="shared" si="69"/>
        <v>2.0006532451197833E-2</v>
      </c>
      <c r="AD53" s="52"/>
      <c r="AE53" s="457">
        <f>'Proposed Rates'!I290</f>
        <v>0.23499999999999999</v>
      </c>
      <c r="AF53" s="416"/>
      <c r="AG53" s="456">
        <f>AE53*AG50</f>
        <v>34.460453579999992</v>
      </c>
      <c r="AH53" s="132"/>
      <c r="AI53" s="456">
        <f t="shared" si="70"/>
        <v>0.35719999999999175</v>
      </c>
      <c r="AJ53" s="458">
        <f t="shared" si="71"/>
        <v>1.0474073951978389E-2</v>
      </c>
      <c r="AK53" s="52"/>
      <c r="AL53" s="457">
        <f>'Proposed Rates'!J290</f>
        <v>0.23499999999999999</v>
      </c>
      <c r="AM53" s="416"/>
      <c r="AN53" s="456">
        <f>AL53*AN50</f>
        <v>34.78710358</v>
      </c>
      <c r="AO53" s="132"/>
      <c r="AP53" s="456">
        <f t="shared" si="72"/>
        <v>0.32665000000000788</v>
      </c>
      <c r="AQ53" s="458">
        <f t="shared" si="73"/>
        <v>9.478981442936886E-3</v>
      </c>
      <c r="AR53" s="459"/>
      <c r="AS53" s="459"/>
      <c r="AT53" s="459"/>
      <c r="AU53" s="3"/>
      <c r="AV53" s="3"/>
      <c r="AW53" s="3"/>
      <c r="AX53" s="3"/>
      <c r="AY53" s="3"/>
      <c r="AZ53" s="3"/>
      <c r="BA53" s="3"/>
      <c r="BB53" s="3"/>
    </row>
    <row r="54" spans="1:54" ht="12.75" customHeight="1">
      <c r="A54" s="52"/>
      <c r="B54" s="634" t="s">
        <v>322</v>
      </c>
      <c r="C54" s="615"/>
      <c r="D54" s="615"/>
      <c r="E54" s="460"/>
      <c r="F54" s="461"/>
      <c r="G54" s="492"/>
      <c r="H54" s="493">
        <f>H52-H53</f>
        <v>119.46766243940003</v>
      </c>
      <c r="I54" s="462"/>
      <c r="J54" s="461"/>
      <c r="K54" s="462"/>
      <c r="L54" s="463">
        <f>L52-L53</f>
        <v>124.89709083320002</v>
      </c>
      <c r="M54" s="464"/>
      <c r="N54" s="465">
        <f t="shared" si="64"/>
        <v>5.429428393799995</v>
      </c>
      <c r="O54" s="466">
        <f t="shared" si="65"/>
        <v>4.5446845472129939E-2</v>
      </c>
      <c r="P54" s="52"/>
      <c r="Q54" s="462"/>
      <c r="R54" s="462"/>
      <c r="S54" s="463">
        <f>S52-S53</f>
        <v>127.33507083320001</v>
      </c>
      <c r="T54" s="464"/>
      <c r="U54" s="465">
        <f t="shared" si="66"/>
        <v>2.4379799999999818</v>
      </c>
      <c r="V54" s="466">
        <f t="shared" si="67"/>
        <v>1.9519910221575155E-2</v>
      </c>
      <c r="W54" s="52"/>
      <c r="X54" s="462"/>
      <c r="Y54" s="462"/>
      <c r="Z54" s="463">
        <f>Z52-Z53</f>
        <v>129.88260406000001</v>
      </c>
      <c r="AA54" s="464"/>
      <c r="AB54" s="465">
        <f t="shared" si="68"/>
        <v>2.5475332267999988</v>
      </c>
      <c r="AC54" s="466">
        <f t="shared" si="69"/>
        <v>2.0006532451197899E-2</v>
      </c>
      <c r="AD54" s="52"/>
      <c r="AE54" s="462"/>
      <c r="AF54" s="462"/>
      <c r="AG54" s="463">
        <f>AG52-AG53</f>
        <v>131.24300405999998</v>
      </c>
      <c r="AH54" s="464"/>
      <c r="AI54" s="465">
        <f t="shared" si="70"/>
        <v>1.3603999999999701</v>
      </c>
      <c r="AJ54" s="466">
        <f t="shared" si="71"/>
        <v>1.0474073951978401E-2</v>
      </c>
      <c r="AK54" s="52"/>
      <c r="AL54" s="462"/>
      <c r="AM54" s="462"/>
      <c r="AN54" s="463">
        <f>AN52-AN53</f>
        <v>132.48705406000002</v>
      </c>
      <c r="AO54" s="464"/>
      <c r="AP54" s="465">
        <f t="shared" si="72"/>
        <v>1.2440500000000441</v>
      </c>
      <c r="AQ54" s="466">
        <f t="shared" si="73"/>
        <v>9.4789814429369918E-3</v>
      </c>
      <c r="AR54" s="450"/>
      <c r="AS54" s="450"/>
      <c r="AT54" s="450"/>
      <c r="AU54" s="3"/>
      <c r="AV54" s="3"/>
      <c r="AW54" s="3"/>
      <c r="AX54" s="3"/>
      <c r="AY54" s="3"/>
      <c r="AZ54" s="3"/>
      <c r="BA54" s="3"/>
      <c r="BB54" s="3"/>
    </row>
    <row r="55" spans="1:54" ht="8.25"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02"/>
      <c r="AS55" s="402"/>
      <c r="AT55" s="402"/>
      <c r="AU55" s="3"/>
      <c r="AV55" s="3"/>
      <c r="AW55" s="3"/>
      <c r="AX55" s="3"/>
      <c r="AY55" s="3"/>
      <c r="AZ55" s="3"/>
      <c r="BA55" s="3"/>
      <c r="BB55" s="3"/>
    </row>
    <row r="56" spans="1:54" ht="12.75" customHeight="1">
      <c r="A56" s="52"/>
      <c r="B56" s="443" t="s">
        <v>323</v>
      </c>
      <c r="C56" s="321"/>
      <c r="D56" s="321"/>
      <c r="E56" s="321"/>
      <c r="F56" s="444"/>
      <c r="G56" s="488"/>
      <c r="H56" s="446">
        <f>SUM(H47:H48,H40,H41:H43)</f>
        <v>129.26102172</v>
      </c>
      <c r="I56" s="481"/>
      <c r="J56" s="444"/>
      <c r="K56" s="445"/>
      <c r="L56" s="446">
        <f>SUM(L47:L48,L40,L41:L43)</f>
        <v>135.32742216</v>
      </c>
      <c r="M56" s="448"/>
      <c r="N56" s="447">
        <f t="shared" ref="N56:N60" si="74">L56-H56</f>
        <v>6.0664004399999953</v>
      </c>
      <c r="O56" s="449">
        <f t="shared" ref="O56:O60" si="75">IF((H56)=0,"",(N56/H56))</f>
        <v>4.693139787445582E-2</v>
      </c>
      <c r="P56" s="52"/>
      <c r="Q56" s="445"/>
      <c r="R56" s="445"/>
      <c r="S56" s="447">
        <f>SUM(S47:S48,S40,S41:S43)</f>
        <v>138.05142215999999</v>
      </c>
      <c r="T56" s="448"/>
      <c r="U56" s="447">
        <f t="shared" ref="U56:U60" si="76">S56-L56</f>
        <v>2.7239999999999895</v>
      </c>
      <c r="V56" s="449">
        <f t="shared" ref="V56:V60" si="77">IF((L56)=0,"",(U56/L56))</f>
        <v>2.0128958022856271E-2</v>
      </c>
      <c r="W56" s="52"/>
      <c r="X56" s="445"/>
      <c r="Y56" s="445"/>
      <c r="Z56" s="447">
        <f>SUM(Z47:Z48,Z40,Z41:Z43)</f>
        <v>140.89782799999998</v>
      </c>
      <c r="AA56" s="448"/>
      <c r="AB56" s="447">
        <f t="shared" ref="AB56:AB60" si="78">Z56-S56</f>
        <v>2.8464058399999885</v>
      </c>
      <c r="AC56" s="449">
        <f t="shared" ref="AC56:AC60" si="79">IF((S56)=0,"",(AB56/S56))</f>
        <v>2.0618446340241518E-2</v>
      </c>
      <c r="AD56" s="52"/>
      <c r="AE56" s="445"/>
      <c r="AF56" s="445"/>
      <c r="AG56" s="447">
        <f>SUM(AG47:AG48,AG40,AG41:AG43)</f>
        <v>142.41782799999996</v>
      </c>
      <c r="AH56" s="448"/>
      <c r="AI56" s="447">
        <f t="shared" ref="AI56:AI60" si="80">AG56-Z56</f>
        <v>1.5199999999999818</v>
      </c>
      <c r="AJ56" s="449">
        <f t="shared" ref="AJ56:AJ60" si="81">IF((Z56)=0,"",(AI56/Z56))</f>
        <v>1.0787959059241013E-2</v>
      </c>
      <c r="AK56" s="52"/>
      <c r="AL56" s="445"/>
      <c r="AM56" s="445"/>
      <c r="AN56" s="447">
        <f>SUM(AN47:AN48,AN40,AN41:AN43)</f>
        <v>143.807828</v>
      </c>
      <c r="AO56" s="448"/>
      <c r="AP56" s="447">
        <f t="shared" ref="AP56:AP60" si="82">AN56-AG56</f>
        <v>1.3900000000000432</v>
      </c>
      <c r="AQ56" s="449">
        <f t="shared" ref="AQ56:AQ60" si="83">IF((AG56)=0,"",(AP56/AG56))</f>
        <v>9.7600140341983273E-3</v>
      </c>
      <c r="AR56" s="450"/>
      <c r="AS56" s="450"/>
      <c r="AT56" s="450"/>
      <c r="AU56" s="3"/>
      <c r="AV56" s="3"/>
      <c r="AW56" s="3"/>
      <c r="AX56" s="3"/>
      <c r="AY56" s="3"/>
      <c r="AZ56" s="3"/>
      <c r="BA56" s="3"/>
      <c r="BB56" s="3"/>
    </row>
    <row r="57" spans="1:54" ht="12.75" customHeight="1">
      <c r="A57" s="52"/>
      <c r="B57" s="451" t="s">
        <v>320</v>
      </c>
      <c r="C57" s="321"/>
      <c r="D57" s="321"/>
      <c r="E57" s="321"/>
      <c r="F57" s="444">
        <v>0.13</v>
      </c>
      <c r="G57" s="488"/>
      <c r="H57" s="489">
        <f>H56*F57</f>
        <v>16.8039328236</v>
      </c>
      <c r="I57" s="416"/>
      <c r="J57" s="444">
        <v>0.13</v>
      </c>
      <c r="K57" s="452"/>
      <c r="L57" s="399">
        <f>L56*J57</f>
        <v>17.592564880800001</v>
      </c>
      <c r="M57" s="132"/>
      <c r="N57" s="400">
        <f t="shared" si="74"/>
        <v>0.78863205720000096</v>
      </c>
      <c r="O57" s="401">
        <f t="shared" si="75"/>
        <v>4.693139787445591E-2</v>
      </c>
      <c r="P57" s="52"/>
      <c r="Q57" s="444">
        <v>0.13</v>
      </c>
      <c r="R57" s="452"/>
      <c r="S57" s="399">
        <f>S56*Q57</f>
        <v>17.946684880799999</v>
      </c>
      <c r="T57" s="132"/>
      <c r="U57" s="400">
        <f t="shared" si="76"/>
        <v>0.35411999999999821</v>
      </c>
      <c r="V57" s="401">
        <f t="shared" si="77"/>
        <v>2.0128958022856247E-2</v>
      </c>
      <c r="W57" s="52"/>
      <c r="X57" s="444">
        <v>0.13</v>
      </c>
      <c r="Y57" s="452"/>
      <c r="Z57" s="399">
        <f>Z56*X57</f>
        <v>18.316717639999997</v>
      </c>
      <c r="AA57" s="132"/>
      <c r="AB57" s="400">
        <f t="shared" si="78"/>
        <v>0.37003275919999723</v>
      </c>
      <c r="AC57" s="401">
        <f t="shared" si="79"/>
        <v>2.0618446340241445E-2</v>
      </c>
      <c r="AD57" s="52"/>
      <c r="AE57" s="444">
        <v>0.13</v>
      </c>
      <c r="AF57" s="452"/>
      <c r="AG57" s="399">
        <f>AG56*AE57</f>
        <v>18.514317639999994</v>
      </c>
      <c r="AH57" s="132"/>
      <c r="AI57" s="400">
        <f t="shared" si="80"/>
        <v>0.19759999999999778</v>
      </c>
      <c r="AJ57" s="401">
        <f t="shared" si="81"/>
        <v>1.0787959059241022E-2</v>
      </c>
      <c r="AK57" s="52"/>
      <c r="AL57" s="444">
        <v>0.13</v>
      </c>
      <c r="AM57" s="452"/>
      <c r="AN57" s="399">
        <f>AN56*AL57</f>
        <v>18.69501764</v>
      </c>
      <c r="AO57" s="132"/>
      <c r="AP57" s="400">
        <f t="shared" si="82"/>
        <v>0.18070000000000519</v>
      </c>
      <c r="AQ57" s="401">
        <f t="shared" si="83"/>
        <v>9.7600140341983048E-3</v>
      </c>
      <c r="AR57" s="402"/>
      <c r="AS57" s="402"/>
      <c r="AT57" s="402"/>
      <c r="AU57" s="3"/>
      <c r="AV57" s="3"/>
      <c r="AW57" s="3"/>
      <c r="AX57" s="3"/>
      <c r="AY57" s="3"/>
      <c r="AZ57" s="3"/>
      <c r="BA57" s="3"/>
      <c r="BB57" s="3"/>
    </row>
    <row r="58" spans="1:54" ht="12.75" customHeight="1">
      <c r="A58" s="52"/>
      <c r="B58" s="490" t="s">
        <v>350</v>
      </c>
      <c r="C58" s="321"/>
      <c r="D58" s="321"/>
      <c r="E58" s="321"/>
      <c r="F58" s="454"/>
      <c r="G58" s="132"/>
      <c r="H58" s="489">
        <f>H56+H57</f>
        <v>146.06495454360001</v>
      </c>
      <c r="I58" s="416"/>
      <c r="J58" s="454"/>
      <c r="K58" s="416"/>
      <c r="L58" s="399">
        <f>L56+L57</f>
        <v>152.91998704080001</v>
      </c>
      <c r="M58" s="132"/>
      <c r="N58" s="400">
        <f t="shared" si="74"/>
        <v>6.8550324971999999</v>
      </c>
      <c r="O58" s="401">
        <f t="shared" si="75"/>
        <v>4.6931397874455848E-2</v>
      </c>
      <c r="P58" s="52"/>
      <c r="Q58" s="416"/>
      <c r="R58" s="416"/>
      <c r="S58" s="399">
        <f>S56+S57</f>
        <v>155.99810704079999</v>
      </c>
      <c r="T58" s="132"/>
      <c r="U58" s="400">
        <f t="shared" si="76"/>
        <v>3.0781199999999842</v>
      </c>
      <c r="V58" s="401">
        <f t="shared" si="77"/>
        <v>2.0128958022856244E-2</v>
      </c>
      <c r="W58" s="52"/>
      <c r="X58" s="416"/>
      <c r="Y58" s="416"/>
      <c r="Z58" s="399">
        <f>Z56+Z57</f>
        <v>159.21454563999998</v>
      </c>
      <c r="AA58" s="132"/>
      <c r="AB58" s="400">
        <f t="shared" si="78"/>
        <v>3.2164385991999893</v>
      </c>
      <c r="AC58" s="401">
        <f t="shared" si="79"/>
        <v>2.0618446340241531E-2</v>
      </c>
      <c r="AD58" s="52"/>
      <c r="AE58" s="416"/>
      <c r="AF58" s="416"/>
      <c r="AG58" s="399">
        <f>AG56+AG57</f>
        <v>160.93214563999996</v>
      </c>
      <c r="AH58" s="132"/>
      <c r="AI58" s="400">
        <f t="shared" si="80"/>
        <v>1.717599999999976</v>
      </c>
      <c r="AJ58" s="401">
        <f t="shared" si="81"/>
        <v>1.078795905924099E-2</v>
      </c>
      <c r="AK58" s="52"/>
      <c r="AL58" s="416"/>
      <c r="AM58" s="416"/>
      <c r="AN58" s="399">
        <f>AN56+AN57</f>
        <v>162.50284564</v>
      </c>
      <c r="AO58" s="132"/>
      <c r="AP58" s="400">
        <f t="shared" si="82"/>
        <v>1.5707000000000448</v>
      </c>
      <c r="AQ58" s="401">
        <f t="shared" si="83"/>
        <v>9.7600140341983031E-3</v>
      </c>
      <c r="AR58" s="402"/>
      <c r="AS58" s="402"/>
      <c r="AT58" s="402"/>
      <c r="AU58" s="3"/>
      <c r="AV58" s="3"/>
      <c r="AW58" s="3"/>
      <c r="AX58" s="3"/>
      <c r="AY58" s="3"/>
      <c r="AZ58" s="3"/>
      <c r="BA58" s="3"/>
      <c r="BB58" s="3"/>
    </row>
    <row r="59" spans="1:54" ht="15.75" customHeight="1">
      <c r="A59" s="52"/>
      <c r="B59" s="632" t="s">
        <v>277</v>
      </c>
      <c r="C59" s="623"/>
      <c r="D59" s="623"/>
      <c r="E59" s="321"/>
      <c r="F59" s="455">
        <f>F53</f>
        <v>0.23499999999999999</v>
      </c>
      <c r="G59" s="132"/>
      <c r="H59" s="491">
        <f>F59*H56</f>
        <v>30.376340104200001</v>
      </c>
      <c r="I59" s="416"/>
      <c r="J59" s="455">
        <f>J53</f>
        <v>0.23499999999999999</v>
      </c>
      <c r="K59" s="416"/>
      <c r="L59" s="456">
        <f>J59*L56</f>
        <v>31.801944207599998</v>
      </c>
      <c r="M59" s="132"/>
      <c r="N59" s="456">
        <f t="shared" si="74"/>
        <v>1.4256041033999978</v>
      </c>
      <c r="O59" s="458">
        <f t="shared" si="75"/>
        <v>4.6931397874455778E-2</v>
      </c>
      <c r="P59" s="52"/>
      <c r="Q59" s="457">
        <f>Q53</f>
        <v>0.23499999999999999</v>
      </c>
      <c r="R59" s="416"/>
      <c r="S59" s="456">
        <f>Q59*S56</f>
        <v>32.442084207599997</v>
      </c>
      <c r="T59" s="132"/>
      <c r="U59" s="456">
        <f t="shared" si="76"/>
        <v>0.64013999999999882</v>
      </c>
      <c r="V59" s="458">
        <f t="shared" si="77"/>
        <v>2.0128958022856313E-2</v>
      </c>
      <c r="W59" s="52"/>
      <c r="X59" s="457">
        <f>X53</f>
        <v>0.23499999999999999</v>
      </c>
      <c r="Y59" s="416"/>
      <c r="Z59" s="456">
        <f>X59*Z56</f>
        <v>33.110989579999995</v>
      </c>
      <c r="AA59" s="132"/>
      <c r="AB59" s="456">
        <f t="shared" si="78"/>
        <v>0.66890537239999759</v>
      </c>
      <c r="AC59" s="458">
        <f t="shared" si="79"/>
        <v>2.0618446340241528E-2</v>
      </c>
      <c r="AD59" s="52"/>
      <c r="AE59" s="457">
        <f>AE53</f>
        <v>0.23499999999999999</v>
      </c>
      <c r="AF59" s="416"/>
      <c r="AG59" s="456">
        <f>AE59*AG56</f>
        <v>33.468189579999986</v>
      </c>
      <c r="AH59" s="132"/>
      <c r="AI59" s="456">
        <f t="shared" si="80"/>
        <v>0.35719999999999175</v>
      </c>
      <c r="AJ59" s="458">
        <f t="shared" si="81"/>
        <v>1.0787959059240893E-2</v>
      </c>
      <c r="AK59" s="52"/>
      <c r="AL59" s="457">
        <f>AL53</f>
        <v>0.23499999999999999</v>
      </c>
      <c r="AM59" s="416"/>
      <c r="AN59" s="456">
        <f>AL59*AN56</f>
        <v>33.794839580000001</v>
      </c>
      <c r="AO59" s="132"/>
      <c r="AP59" s="456">
        <f t="shared" si="82"/>
        <v>0.32665000000001498</v>
      </c>
      <c r="AQ59" s="458">
        <f t="shared" si="83"/>
        <v>9.7600140341984731E-3</v>
      </c>
      <c r="AR59" s="459"/>
      <c r="AS59" s="459"/>
      <c r="AT59" s="459"/>
      <c r="AU59" s="3"/>
      <c r="AV59" s="3"/>
      <c r="AW59" s="3"/>
      <c r="AX59" s="3"/>
      <c r="AY59" s="3"/>
      <c r="AZ59" s="3"/>
      <c r="BA59" s="3"/>
      <c r="BB59" s="3"/>
    </row>
    <row r="60" spans="1:54" ht="12.75" customHeight="1">
      <c r="A60" s="52"/>
      <c r="B60" s="634" t="s">
        <v>325</v>
      </c>
      <c r="C60" s="615"/>
      <c r="D60" s="615"/>
      <c r="E60" s="460"/>
      <c r="F60" s="468"/>
      <c r="G60" s="494"/>
      <c r="H60" s="495">
        <f>H58-H59</f>
        <v>115.68861443940001</v>
      </c>
      <c r="I60" s="469"/>
      <c r="J60" s="468"/>
      <c r="K60" s="469"/>
      <c r="L60" s="470">
        <f>L58-L59</f>
        <v>121.11804283320001</v>
      </c>
      <c r="M60" s="471"/>
      <c r="N60" s="472">
        <f t="shared" si="74"/>
        <v>5.429428393799995</v>
      </c>
      <c r="O60" s="473">
        <f t="shared" si="75"/>
        <v>4.6931397874455806E-2</v>
      </c>
      <c r="P60" s="52"/>
      <c r="Q60" s="469"/>
      <c r="R60" s="469"/>
      <c r="S60" s="470">
        <f>S58-S59</f>
        <v>123.55602283319999</v>
      </c>
      <c r="T60" s="471"/>
      <c r="U60" s="472">
        <f t="shared" si="76"/>
        <v>2.4379799999999818</v>
      </c>
      <c r="V60" s="473">
        <f t="shared" si="77"/>
        <v>2.0128958022856198E-2</v>
      </c>
      <c r="W60" s="52"/>
      <c r="X60" s="469"/>
      <c r="Y60" s="469"/>
      <c r="Z60" s="470">
        <f>Z58-Z59</f>
        <v>126.10355605999999</v>
      </c>
      <c r="AA60" s="471"/>
      <c r="AB60" s="472">
        <f t="shared" si="78"/>
        <v>2.5475332267999988</v>
      </c>
      <c r="AC60" s="473">
        <f t="shared" si="79"/>
        <v>2.061844634024159E-2</v>
      </c>
      <c r="AD60" s="52"/>
      <c r="AE60" s="469"/>
      <c r="AF60" s="469"/>
      <c r="AG60" s="470">
        <f>AG58-AG59</f>
        <v>127.46395605999997</v>
      </c>
      <c r="AH60" s="471"/>
      <c r="AI60" s="472">
        <f t="shared" si="80"/>
        <v>1.3603999999999843</v>
      </c>
      <c r="AJ60" s="473">
        <f t="shared" si="81"/>
        <v>1.0787959059241016E-2</v>
      </c>
      <c r="AK60" s="52"/>
      <c r="AL60" s="469"/>
      <c r="AM60" s="469"/>
      <c r="AN60" s="470">
        <f>AN58-AN59</f>
        <v>128.70800606</v>
      </c>
      <c r="AO60" s="471"/>
      <c r="AP60" s="472">
        <f t="shared" si="82"/>
        <v>1.2440500000000299</v>
      </c>
      <c r="AQ60" s="473">
        <f t="shared" si="83"/>
        <v>9.760014034198258E-3</v>
      </c>
      <c r="AR60" s="450"/>
      <c r="AS60" s="450"/>
      <c r="AT60" s="450"/>
      <c r="AU60" s="3"/>
      <c r="AV60" s="3"/>
      <c r="AW60" s="3"/>
      <c r="AX60" s="3"/>
      <c r="AY60" s="3"/>
      <c r="AZ60" s="3"/>
      <c r="BA60" s="3"/>
      <c r="BB60" s="3"/>
    </row>
    <row r="61" spans="1:54" ht="8.25"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02"/>
      <c r="AS61" s="402"/>
      <c r="AT61" s="402"/>
      <c r="AU61" s="3"/>
      <c r="AV61" s="3"/>
      <c r="AW61" s="3"/>
      <c r="AX61" s="3"/>
      <c r="AY61" s="3"/>
      <c r="AZ61" s="3"/>
      <c r="BA61" s="3"/>
      <c r="BB61" s="3"/>
    </row>
    <row r="62" spans="1:54" ht="12.75"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c r="AS62" s="52"/>
      <c r="AT62" s="52"/>
      <c r="AU62" s="3"/>
      <c r="AV62" s="3"/>
      <c r="AW62" s="3"/>
      <c r="AX62" s="3"/>
      <c r="AY62" s="3"/>
      <c r="AZ62" s="3"/>
      <c r="BA62" s="3"/>
      <c r="BB62" s="3"/>
    </row>
    <row r="63" spans="1:54" ht="12.75"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c r="AS63" s="52"/>
      <c r="AT63" s="52"/>
      <c r="AU63" s="3"/>
      <c r="AV63" s="3"/>
      <c r="AW63" s="3"/>
      <c r="AX63" s="3"/>
      <c r="AY63" s="3"/>
      <c r="AZ63" s="3"/>
      <c r="BA63" s="3"/>
      <c r="BB63" s="3"/>
    </row>
    <row r="64" spans="1:5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3"/>
      <c r="AV64" s="3"/>
      <c r="AW64" s="3"/>
      <c r="AX64" s="3"/>
      <c r="AY64" s="3"/>
      <c r="AZ64" s="3"/>
      <c r="BA64" s="3"/>
      <c r="BB64" s="3"/>
    </row>
    <row r="65" spans="1:54" ht="15.75" customHeight="1">
      <c r="A65" s="478" t="s">
        <v>351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3"/>
      <c r="AV65" s="3"/>
      <c r="AW65" s="3"/>
      <c r="AX65" s="3"/>
      <c r="AY65" s="3"/>
      <c r="AZ65" s="3"/>
      <c r="BA65" s="3"/>
      <c r="BB65" s="3"/>
    </row>
    <row r="66" spans="1:5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3"/>
      <c r="AV66" s="3"/>
      <c r="AW66" s="3"/>
      <c r="AX66" s="3"/>
      <c r="AY66" s="3"/>
      <c r="AZ66" s="3"/>
      <c r="BA66" s="3"/>
      <c r="BB66" s="3"/>
    </row>
    <row r="67" spans="1:54" ht="8.25"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3"/>
      <c r="AV67" s="3"/>
      <c r="AW67" s="3"/>
      <c r="AX67" s="3"/>
      <c r="AY67" s="3"/>
      <c r="AZ67" s="3"/>
      <c r="BA67" s="3"/>
      <c r="BB67" s="3"/>
    </row>
    <row r="68" spans="1:54" ht="12.75"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3"/>
      <c r="AV68" s="3"/>
      <c r="AW68" s="3"/>
      <c r="AX68" s="3"/>
      <c r="AY68" s="3"/>
      <c r="AZ68" s="3"/>
      <c r="BA68" s="3"/>
      <c r="BB68" s="3"/>
    </row>
    <row r="69" spans="1:5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3"/>
      <c r="AV69" s="3"/>
      <c r="AW69" s="3"/>
      <c r="AX69" s="3"/>
      <c r="AY69" s="3"/>
      <c r="AZ69" s="3"/>
      <c r="BA69" s="3"/>
      <c r="BB69" s="3"/>
    </row>
    <row r="70" spans="1:54" ht="12.75"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3"/>
      <c r="AV70" s="3"/>
      <c r="AW70" s="3"/>
      <c r="AX70" s="3"/>
      <c r="AY70" s="3"/>
      <c r="AZ70" s="3"/>
      <c r="BA70" s="3"/>
      <c r="BB70" s="3"/>
    </row>
    <row r="71" spans="1:54" ht="12.75"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3"/>
      <c r="AV71" s="3"/>
      <c r="AW71" s="3"/>
      <c r="AX71" s="3"/>
      <c r="AY71" s="3"/>
      <c r="AZ71" s="3"/>
      <c r="BA71" s="3"/>
      <c r="BB71" s="3"/>
    </row>
    <row r="72" spans="1:5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3"/>
      <c r="AV72" s="3"/>
      <c r="AW72" s="3"/>
      <c r="AX72" s="3"/>
      <c r="AY72" s="3"/>
      <c r="AZ72" s="3"/>
      <c r="BA72" s="3"/>
      <c r="BB72" s="3"/>
    </row>
    <row r="73" spans="1:54" ht="12.75"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3"/>
      <c r="AV73" s="3"/>
      <c r="AW73" s="3"/>
      <c r="AX73" s="3"/>
      <c r="AY73" s="3"/>
      <c r="AZ73" s="3"/>
      <c r="BA73" s="3"/>
      <c r="BB73" s="3"/>
    </row>
    <row r="74" spans="1:54" ht="12.75"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3"/>
      <c r="AV74" s="3"/>
      <c r="AW74" s="3"/>
      <c r="AX74" s="3"/>
      <c r="AY74" s="3"/>
      <c r="AZ74" s="3"/>
      <c r="BA74" s="3"/>
      <c r="BB74" s="3"/>
    </row>
    <row r="75" spans="1:54" ht="12.75"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3"/>
      <c r="AV75" s="3"/>
      <c r="AW75" s="3"/>
      <c r="AX75" s="3"/>
      <c r="AY75" s="3"/>
      <c r="AZ75" s="3"/>
      <c r="BA75" s="3"/>
      <c r="BB75" s="3"/>
    </row>
    <row r="76" spans="1:54" ht="12.75"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3"/>
      <c r="AV76" s="3"/>
      <c r="AW76" s="3"/>
      <c r="AX76" s="3"/>
      <c r="AY76" s="3"/>
      <c r="AZ76" s="3"/>
      <c r="BA76" s="3"/>
      <c r="BB76" s="3"/>
    </row>
    <row r="77" spans="1:54" ht="12.75"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3"/>
      <c r="AV77" s="3"/>
      <c r="AW77" s="3"/>
      <c r="AX77" s="3"/>
      <c r="AY77" s="3"/>
      <c r="AZ77" s="3"/>
      <c r="BA77" s="3"/>
      <c r="BB77" s="3"/>
    </row>
    <row r="78" spans="1:5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3"/>
      <c r="AV78" s="3"/>
      <c r="AW78" s="3"/>
      <c r="AX78" s="3"/>
      <c r="AY78" s="3"/>
      <c r="AZ78" s="3"/>
      <c r="BA78" s="3"/>
      <c r="BB78" s="3"/>
    </row>
    <row r="79" spans="1:54" ht="12.75"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3"/>
      <c r="AV79" s="3"/>
      <c r="AW79" s="3"/>
      <c r="AX79" s="3"/>
      <c r="AY79" s="3"/>
      <c r="AZ79" s="3"/>
      <c r="BA79" s="3"/>
      <c r="BB79" s="3"/>
    </row>
    <row r="80" spans="1:5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3"/>
      <c r="AV80" s="3"/>
      <c r="AW80" s="3"/>
      <c r="AX80" s="3"/>
      <c r="AY80" s="3"/>
      <c r="AZ80" s="3"/>
      <c r="BA80" s="3"/>
      <c r="BB80" s="3"/>
    </row>
    <row r="81" spans="1:54" ht="12.75"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3"/>
      <c r="AV81" s="3"/>
      <c r="AW81" s="3"/>
      <c r="AX81" s="3"/>
      <c r="AY81" s="3"/>
      <c r="AZ81" s="3"/>
      <c r="BA81" s="3"/>
      <c r="BB81" s="3"/>
    </row>
    <row r="82" spans="1:5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3"/>
      <c r="AV82" s="3"/>
      <c r="AW82" s="3"/>
      <c r="AX82" s="3"/>
      <c r="AY82" s="3"/>
      <c r="AZ82" s="3"/>
      <c r="BA82" s="3"/>
      <c r="BB82" s="3"/>
    </row>
    <row r="83" spans="1:5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3"/>
      <c r="AV83" s="3"/>
      <c r="AW83" s="3"/>
      <c r="AX83" s="3"/>
      <c r="AY83" s="3"/>
      <c r="AZ83" s="3"/>
      <c r="BA83" s="3"/>
      <c r="BB83" s="3"/>
    </row>
    <row r="84" spans="1:5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3"/>
      <c r="AV84" s="3"/>
      <c r="AW84" s="3"/>
      <c r="AX84" s="3"/>
      <c r="AY84" s="3"/>
      <c r="AZ84" s="3"/>
      <c r="BA84" s="3"/>
      <c r="BB84" s="3"/>
    </row>
    <row r="85" spans="1:5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3"/>
      <c r="AV85" s="3"/>
      <c r="AW85" s="3"/>
      <c r="AX85" s="3"/>
      <c r="AY85" s="3"/>
      <c r="AZ85" s="3"/>
      <c r="BA85" s="3"/>
      <c r="BB85" s="3"/>
    </row>
    <row r="86" spans="1:5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3"/>
      <c r="AV86" s="3"/>
      <c r="AW86" s="3"/>
      <c r="AX86" s="3"/>
      <c r="AY86" s="3"/>
      <c r="AZ86" s="3"/>
      <c r="BA86" s="3"/>
      <c r="BB86" s="3"/>
    </row>
    <row r="87" spans="1:5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3"/>
      <c r="AV87" s="3"/>
      <c r="AW87" s="3"/>
      <c r="AX87" s="3"/>
      <c r="AY87" s="3"/>
      <c r="AZ87" s="3"/>
      <c r="BA87" s="3"/>
      <c r="BB87" s="3"/>
    </row>
    <row r="88" spans="1:5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3"/>
      <c r="AV88" s="3"/>
      <c r="AW88" s="3"/>
      <c r="AX88" s="3"/>
      <c r="AY88" s="3"/>
      <c r="AZ88" s="3"/>
      <c r="BA88" s="3"/>
      <c r="BB88" s="3"/>
    </row>
    <row r="89" spans="1:5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3"/>
      <c r="AV89" s="3"/>
      <c r="AW89" s="3"/>
      <c r="AX89" s="3"/>
      <c r="AY89" s="3"/>
      <c r="AZ89" s="3"/>
      <c r="BA89" s="3"/>
      <c r="BB89" s="3"/>
    </row>
    <row r="90" spans="1:5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3"/>
      <c r="AV90" s="3"/>
      <c r="AW90" s="3"/>
      <c r="AX90" s="3"/>
      <c r="AY90" s="3"/>
      <c r="AZ90" s="3"/>
      <c r="BA90" s="3"/>
      <c r="BB90" s="3"/>
    </row>
    <row r="91" spans="1:5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3"/>
      <c r="AV91" s="3"/>
      <c r="AW91" s="3"/>
      <c r="AX91" s="3"/>
      <c r="AY91" s="3"/>
      <c r="AZ91" s="3"/>
      <c r="BA91" s="3"/>
      <c r="BB91" s="3"/>
    </row>
    <row r="92" spans="1:5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3"/>
      <c r="AV92" s="3"/>
      <c r="AW92" s="3"/>
      <c r="AX92" s="3"/>
      <c r="AY92" s="3"/>
      <c r="AZ92" s="3"/>
      <c r="BA92" s="3"/>
      <c r="BB92" s="3"/>
    </row>
    <row r="93" spans="1:5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3"/>
      <c r="AV93" s="3"/>
      <c r="AW93" s="3"/>
      <c r="AX93" s="3"/>
      <c r="AY93" s="3"/>
      <c r="AZ93" s="3"/>
      <c r="BA93" s="3"/>
      <c r="BB93" s="3"/>
    </row>
    <row r="94" spans="1:5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3"/>
      <c r="AV94" s="3"/>
      <c r="AW94" s="3"/>
      <c r="AX94" s="3"/>
      <c r="AY94" s="3"/>
      <c r="AZ94" s="3"/>
      <c r="BA94" s="3"/>
      <c r="BB94" s="3"/>
    </row>
    <row r="95" spans="1:5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3"/>
      <c r="AV95" s="3"/>
      <c r="AW95" s="3"/>
      <c r="AX95" s="3"/>
      <c r="AY95" s="3"/>
      <c r="AZ95" s="3"/>
      <c r="BA95" s="3"/>
      <c r="BB95" s="3"/>
    </row>
    <row r="96" spans="1:5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3"/>
      <c r="AV96" s="3"/>
      <c r="AW96" s="3"/>
      <c r="AX96" s="3"/>
      <c r="AY96" s="3"/>
      <c r="AZ96" s="3"/>
      <c r="BA96" s="3"/>
      <c r="BB96" s="3"/>
    </row>
    <row r="97" spans="1:5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3"/>
      <c r="AV97" s="3"/>
      <c r="AW97" s="3"/>
      <c r="AX97" s="3"/>
      <c r="AY97" s="3"/>
      <c r="AZ97" s="3"/>
      <c r="BA97" s="3"/>
      <c r="BB97" s="3"/>
    </row>
    <row r="98" spans="1:5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3"/>
      <c r="AV98" s="3"/>
      <c r="AW98" s="3"/>
      <c r="AX98" s="3"/>
      <c r="AY98" s="3"/>
      <c r="AZ98" s="3"/>
      <c r="BA98" s="3"/>
      <c r="BB98" s="3"/>
    </row>
    <row r="99" spans="1:5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3"/>
      <c r="AV99" s="3"/>
      <c r="AW99" s="3"/>
      <c r="AX99" s="3"/>
      <c r="AY99" s="3"/>
      <c r="AZ99" s="3"/>
      <c r="BA99" s="3"/>
      <c r="BB99" s="3"/>
    </row>
    <row r="100" spans="1:5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3"/>
      <c r="AV100" s="3"/>
      <c r="AW100" s="3"/>
      <c r="AX100" s="3"/>
      <c r="AY100" s="3"/>
      <c r="AZ100" s="3"/>
      <c r="BA100" s="3"/>
      <c r="BB100" s="3"/>
    </row>
    <row r="101" spans="1:5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3"/>
      <c r="AV101" s="3"/>
      <c r="AW101" s="3"/>
      <c r="AX101" s="3"/>
      <c r="AY101" s="3"/>
      <c r="AZ101" s="3"/>
      <c r="BA101" s="3"/>
      <c r="BB101" s="3"/>
    </row>
    <row r="102" spans="1:5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3"/>
      <c r="AV102" s="3"/>
      <c r="AW102" s="3"/>
      <c r="AX102" s="3"/>
      <c r="AY102" s="3"/>
      <c r="AZ102" s="3"/>
      <c r="BA102" s="3"/>
      <c r="BB102" s="3"/>
    </row>
    <row r="103" spans="1:5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3"/>
      <c r="AV103" s="3"/>
      <c r="AW103" s="3"/>
      <c r="AX103" s="3"/>
      <c r="AY103" s="3"/>
      <c r="AZ103" s="3"/>
      <c r="BA103" s="3"/>
      <c r="BB103" s="3"/>
    </row>
    <row r="104" spans="1:5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3"/>
      <c r="AV104" s="3"/>
      <c r="AW104" s="3"/>
      <c r="AX104" s="3"/>
      <c r="AY104" s="3"/>
      <c r="AZ104" s="3"/>
      <c r="BA104" s="3"/>
      <c r="BB104" s="3"/>
    </row>
    <row r="105" spans="1:5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3"/>
      <c r="AV105" s="3"/>
      <c r="AW105" s="3"/>
      <c r="AX105" s="3"/>
      <c r="AY105" s="3"/>
      <c r="AZ105" s="3"/>
      <c r="BA105" s="3"/>
      <c r="BB105" s="3"/>
    </row>
    <row r="106" spans="1:5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3"/>
      <c r="AV106" s="3"/>
      <c r="AW106" s="3"/>
      <c r="AX106" s="3"/>
      <c r="AY106" s="3"/>
      <c r="AZ106" s="3"/>
      <c r="BA106" s="3"/>
      <c r="BB106" s="3"/>
    </row>
    <row r="107" spans="1:5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3"/>
      <c r="AV107" s="3"/>
      <c r="AW107" s="3"/>
      <c r="AX107" s="3"/>
      <c r="AY107" s="3"/>
      <c r="AZ107" s="3"/>
      <c r="BA107" s="3"/>
      <c r="BB107" s="3"/>
    </row>
    <row r="108" spans="1:5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3"/>
      <c r="AV108" s="3"/>
      <c r="AW108" s="3"/>
      <c r="AX108" s="3"/>
      <c r="AY108" s="3"/>
      <c r="AZ108" s="3"/>
      <c r="BA108" s="3"/>
      <c r="BB108" s="3"/>
    </row>
    <row r="109" spans="1:5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3"/>
      <c r="AV109" s="3"/>
      <c r="AW109" s="3"/>
      <c r="AX109" s="3"/>
      <c r="AY109" s="3"/>
      <c r="AZ109" s="3"/>
      <c r="BA109" s="3"/>
      <c r="BB109" s="3"/>
    </row>
    <row r="110" spans="1:5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3"/>
      <c r="AV110" s="3"/>
      <c r="AW110" s="3"/>
      <c r="AX110" s="3"/>
      <c r="AY110" s="3"/>
      <c r="AZ110" s="3"/>
      <c r="BA110" s="3"/>
      <c r="BB110" s="3"/>
    </row>
    <row r="111" spans="1:5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3"/>
      <c r="AV111" s="3"/>
      <c r="AW111" s="3"/>
      <c r="AX111" s="3"/>
      <c r="AY111" s="3"/>
      <c r="AZ111" s="3"/>
      <c r="BA111" s="3"/>
      <c r="BB111" s="3"/>
    </row>
    <row r="112" spans="1:5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3"/>
      <c r="AV112" s="3"/>
      <c r="AW112" s="3"/>
      <c r="AX112" s="3"/>
      <c r="AY112" s="3"/>
      <c r="AZ112" s="3"/>
      <c r="BA112" s="3"/>
      <c r="BB112" s="3"/>
    </row>
    <row r="113" spans="1:5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3"/>
      <c r="AV113" s="3"/>
      <c r="AW113" s="3"/>
      <c r="AX113" s="3"/>
      <c r="AY113" s="3"/>
      <c r="AZ113" s="3"/>
      <c r="BA113" s="3"/>
      <c r="BB113" s="3"/>
    </row>
    <row r="114" spans="1:5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3"/>
      <c r="AV114" s="3"/>
      <c r="AW114" s="3"/>
      <c r="AX114" s="3"/>
      <c r="AY114" s="3"/>
      <c r="AZ114" s="3"/>
      <c r="BA114" s="3"/>
      <c r="BB114" s="3"/>
    </row>
    <row r="115" spans="1:5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3"/>
      <c r="AV115" s="3"/>
      <c r="AW115" s="3"/>
      <c r="AX115" s="3"/>
      <c r="AY115" s="3"/>
      <c r="AZ115" s="3"/>
      <c r="BA115" s="3"/>
      <c r="BB115" s="3"/>
    </row>
    <row r="116" spans="1:5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3"/>
      <c r="AV116" s="3"/>
      <c r="AW116" s="3"/>
      <c r="AX116" s="3"/>
      <c r="AY116" s="3"/>
      <c r="AZ116" s="3"/>
      <c r="BA116" s="3"/>
      <c r="BB116" s="3"/>
    </row>
    <row r="117" spans="1:5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3"/>
      <c r="AV117" s="3"/>
      <c r="AW117" s="3"/>
      <c r="AX117" s="3"/>
      <c r="AY117" s="3"/>
      <c r="AZ117" s="3"/>
      <c r="BA117" s="3"/>
      <c r="BB117" s="3"/>
    </row>
    <row r="118" spans="1:5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3"/>
      <c r="AV118" s="3"/>
      <c r="AW118" s="3"/>
      <c r="AX118" s="3"/>
      <c r="AY118" s="3"/>
      <c r="AZ118" s="3"/>
      <c r="BA118" s="3"/>
      <c r="BB118" s="3"/>
    </row>
    <row r="119" spans="1:5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3"/>
      <c r="AV119" s="3"/>
      <c r="AW119" s="3"/>
      <c r="AX119" s="3"/>
      <c r="AY119" s="3"/>
      <c r="AZ119" s="3"/>
      <c r="BA119" s="3"/>
      <c r="BB119" s="3"/>
    </row>
    <row r="120" spans="1:5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3"/>
      <c r="AV120" s="3"/>
      <c r="AW120" s="3"/>
      <c r="AX120" s="3"/>
      <c r="AY120" s="3"/>
      <c r="AZ120" s="3"/>
      <c r="BA120" s="3"/>
      <c r="BB120" s="3"/>
    </row>
    <row r="121" spans="1:5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3"/>
      <c r="AV121" s="3"/>
      <c r="AW121" s="3"/>
      <c r="AX121" s="3"/>
      <c r="AY121" s="3"/>
      <c r="AZ121" s="3"/>
      <c r="BA121" s="3"/>
      <c r="BB121" s="3"/>
    </row>
    <row r="122" spans="1:5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3"/>
      <c r="AV122" s="3"/>
      <c r="AW122" s="3"/>
      <c r="AX122" s="3"/>
      <c r="AY122" s="3"/>
      <c r="AZ122" s="3"/>
      <c r="BA122" s="3"/>
      <c r="BB122" s="3"/>
    </row>
    <row r="123" spans="1:5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3"/>
      <c r="AV123" s="3"/>
      <c r="AW123" s="3"/>
      <c r="AX123" s="3"/>
      <c r="AY123" s="3"/>
      <c r="AZ123" s="3"/>
      <c r="BA123" s="3"/>
      <c r="BB123" s="3"/>
    </row>
    <row r="124" spans="1:5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3"/>
      <c r="AV124" s="3"/>
      <c r="AW124" s="3"/>
      <c r="AX124" s="3"/>
      <c r="AY124" s="3"/>
      <c r="AZ124" s="3"/>
      <c r="BA124" s="3"/>
      <c r="BB124" s="3"/>
    </row>
    <row r="125" spans="1:5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3"/>
      <c r="AV125" s="3"/>
      <c r="AW125" s="3"/>
      <c r="AX125" s="3"/>
      <c r="AY125" s="3"/>
      <c r="AZ125" s="3"/>
      <c r="BA125" s="3"/>
      <c r="BB125" s="3"/>
    </row>
    <row r="126" spans="1:5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3"/>
      <c r="AV126" s="3"/>
      <c r="AW126" s="3"/>
      <c r="AX126" s="3"/>
      <c r="AY126" s="3"/>
      <c r="AZ126" s="3"/>
      <c r="BA126" s="3"/>
      <c r="BB126" s="3"/>
    </row>
    <row r="127" spans="1:5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3"/>
      <c r="AV127" s="3"/>
      <c r="AW127" s="3"/>
      <c r="AX127" s="3"/>
      <c r="AY127" s="3"/>
      <c r="AZ127" s="3"/>
      <c r="BA127" s="3"/>
      <c r="BB127" s="3"/>
    </row>
    <row r="128" spans="1:5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3"/>
      <c r="AV128" s="3"/>
      <c r="AW128" s="3"/>
      <c r="AX128" s="3"/>
      <c r="AY128" s="3"/>
      <c r="AZ128" s="3"/>
      <c r="BA128" s="3"/>
      <c r="BB128" s="3"/>
    </row>
    <row r="129" spans="1:5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3"/>
      <c r="AV129" s="3"/>
      <c r="AW129" s="3"/>
      <c r="AX129" s="3"/>
      <c r="AY129" s="3"/>
      <c r="AZ129" s="3"/>
      <c r="BA129" s="3"/>
      <c r="BB129" s="3"/>
    </row>
    <row r="130" spans="1:5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3"/>
      <c r="AV130" s="3"/>
      <c r="AW130" s="3"/>
      <c r="AX130" s="3"/>
      <c r="AY130" s="3"/>
      <c r="AZ130" s="3"/>
      <c r="BA130" s="3"/>
      <c r="BB130" s="3"/>
    </row>
    <row r="131" spans="1:5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3"/>
      <c r="AV131" s="3"/>
      <c r="AW131" s="3"/>
      <c r="AX131" s="3"/>
      <c r="AY131" s="3"/>
      <c r="AZ131" s="3"/>
      <c r="BA131" s="3"/>
      <c r="BB131" s="3"/>
    </row>
    <row r="132" spans="1:5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3"/>
      <c r="AV132" s="3"/>
      <c r="AW132" s="3"/>
      <c r="AX132" s="3"/>
      <c r="AY132" s="3"/>
      <c r="AZ132" s="3"/>
      <c r="BA132" s="3"/>
      <c r="BB132" s="3"/>
    </row>
    <row r="133" spans="1:5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3"/>
      <c r="AV133" s="3"/>
      <c r="AW133" s="3"/>
      <c r="AX133" s="3"/>
      <c r="AY133" s="3"/>
      <c r="AZ133" s="3"/>
      <c r="BA133" s="3"/>
      <c r="BB133" s="3"/>
    </row>
    <row r="134" spans="1:5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3"/>
      <c r="AV134" s="3"/>
      <c r="AW134" s="3"/>
      <c r="AX134" s="3"/>
      <c r="AY134" s="3"/>
      <c r="AZ134" s="3"/>
      <c r="BA134" s="3"/>
      <c r="BB134" s="3"/>
    </row>
    <row r="135" spans="1:5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3"/>
      <c r="AV135" s="3"/>
      <c r="AW135" s="3"/>
      <c r="AX135" s="3"/>
      <c r="AY135" s="3"/>
      <c r="AZ135" s="3"/>
      <c r="BA135" s="3"/>
      <c r="BB135" s="3"/>
    </row>
    <row r="136" spans="1:5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3"/>
      <c r="AV136" s="3"/>
      <c r="AW136" s="3"/>
      <c r="AX136" s="3"/>
      <c r="AY136" s="3"/>
      <c r="AZ136" s="3"/>
      <c r="BA136" s="3"/>
      <c r="BB136" s="3"/>
    </row>
    <row r="137" spans="1:5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3"/>
      <c r="AV137" s="3"/>
      <c r="AW137" s="3"/>
      <c r="AX137" s="3"/>
      <c r="AY137" s="3"/>
      <c r="AZ137" s="3"/>
      <c r="BA137" s="3"/>
      <c r="BB137" s="3"/>
    </row>
    <row r="138" spans="1:5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3"/>
      <c r="AV138" s="3"/>
      <c r="AW138" s="3"/>
      <c r="AX138" s="3"/>
      <c r="AY138" s="3"/>
      <c r="AZ138" s="3"/>
      <c r="BA138" s="3"/>
      <c r="BB138" s="3"/>
    </row>
    <row r="139" spans="1:5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3"/>
      <c r="AV139" s="3"/>
      <c r="AW139" s="3"/>
      <c r="AX139" s="3"/>
      <c r="AY139" s="3"/>
      <c r="AZ139" s="3"/>
      <c r="BA139" s="3"/>
      <c r="BB139" s="3"/>
    </row>
    <row r="140" spans="1:5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3"/>
      <c r="AV140" s="3"/>
      <c r="AW140" s="3"/>
      <c r="AX140" s="3"/>
      <c r="AY140" s="3"/>
      <c r="AZ140" s="3"/>
      <c r="BA140" s="3"/>
      <c r="BB140" s="3"/>
    </row>
    <row r="141" spans="1:5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3"/>
      <c r="AV141" s="3"/>
      <c r="AW141" s="3"/>
      <c r="AX141" s="3"/>
      <c r="AY141" s="3"/>
      <c r="AZ141" s="3"/>
      <c r="BA141" s="3"/>
      <c r="BB141" s="3"/>
    </row>
    <row r="142" spans="1:5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3"/>
      <c r="AV142" s="3"/>
      <c r="AW142" s="3"/>
      <c r="AX142" s="3"/>
      <c r="AY142" s="3"/>
      <c r="AZ142" s="3"/>
      <c r="BA142" s="3"/>
      <c r="BB142" s="3"/>
    </row>
    <row r="143" spans="1:5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3"/>
      <c r="AV143" s="3"/>
      <c r="AW143" s="3"/>
      <c r="AX143" s="3"/>
      <c r="AY143" s="3"/>
      <c r="AZ143" s="3"/>
      <c r="BA143" s="3"/>
      <c r="BB143" s="3"/>
    </row>
    <row r="144" spans="1:5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3"/>
      <c r="AV144" s="3"/>
      <c r="AW144" s="3"/>
      <c r="AX144" s="3"/>
      <c r="AY144" s="3"/>
      <c r="AZ144" s="3"/>
      <c r="BA144" s="3"/>
      <c r="BB144" s="3"/>
    </row>
    <row r="145" spans="1:5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3"/>
      <c r="AV145" s="3"/>
      <c r="AW145" s="3"/>
      <c r="AX145" s="3"/>
      <c r="AY145" s="3"/>
      <c r="AZ145" s="3"/>
      <c r="BA145" s="3"/>
      <c r="BB145" s="3"/>
    </row>
    <row r="146" spans="1:5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3"/>
      <c r="AV146" s="3"/>
      <c r="AW146" s="3"/>
      <c r="AX146" s="3"/>
      <c r="AY146" s="3"/>
      <c r="AZ146" s="3"/>
      <c r="BA146" s="3"/>
      <c r="BB146" s="3"/>
    </row>
    <row r="147" spans="1:5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3"/>
      <c r="AV147" s="3"/>
      <c r="AW147" s="3"/>
      <c r="AX147" s="3"/>
      <c r="AY147" s="3"/>
      <c r="AZ147" s="3"/>
      <c r="BA147" s="3"/>
      <c r="BB147" s="3"/>
    </row>
    <row r="148" spans="1:5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3"/>
      <c r="AV148" s="3"/>
      <c r="AW148" s="3"/>
      <c r="AX148" s="3"/>
      <c r="AY148" s="3"/>
      <c r="AZ148" s="3"/>
      <c r="BA148" s="3"/>
      <c r="BB148" s="3"/>
    </row>
    <row r="149" spans="1:5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3"/>
      <c r="AV149" s="3"/>
      <c r="AW149" s="3"/>
      <c r="AX149" s="3"/>
      <c r="AY149" s="3"/>
      <c r="AZ149" s="3"/>
      <c r="BA149" s="3"/>
      <c r="BB149" s="3"/>
    </row>
    <row r="150" spans="1:5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3"/>
      <c r="AV150" s="3"/>
      <c r="AW150" s="3"/>
      <c r="AX150" s="3"/>
      <c r="AY150" s="3"/>
      <c r="AZ150" s="3"/>
      <c r="BA150" s="3"/>
      <c r="BB150" s="3"/>
    </row>
    <row r="151" spans="1:5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3"/>
      <c r="AV151" s="3"/>
      <c r="AW151" s="3"/>
      <c r="AX151" s="3"/>
      <c r="AY151" s="3"/>
      <c r="AZ151" s="3"/>
      <c r="BA151" s="3"/>
      <c r="BB151" s="3"/>
    </row>
    <row r="152" spans="1:5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3"/>
      <c r="AV152" s="3"/>
      <c r="AW152" s="3"/>
      <c r="AX152" s="3"/>
      <c r="AY152" s="3"/>
      <c r="AZ152" s="3"/>
      <c r="BA152" s="3"/>
      <c r="BB152" s="3"/>
    </row>
    <row r="153" spans="1:5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3"/>
      <c r="AV153" s="3"/>
      <c r="AW153" s="3"/>
      <c r="AX153" s="3"/>
      <c r="AY153" s="3"/>
      <c r="AZ153" s="3"/>
      <c r="BA153" s="3"/>
      <c r="BB153" s="3"/>
    </row>
    <row r="154" spans="1:5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3"/>
      <c r="AV154" s="3"/>
      <c r="AW154" s="3"/>
      <c r="AX154" s="3"/>
      <c r="AY154" s="3"/>
      <c r="AZ154" s="3"/>
      <c r="BA154" s="3"/>
      <c r="BB154" s="3"/>
    </row>
    <row r="155" spans="1:5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3"/>
      <c r="AV155" s="3"/>
      <c r="AW155" s="3"/>
      <c r="AX155" s="3"/>
      <c r="AY155" s="3"/>
      <c r="AZ155" s="3"/>
      <c r="BA155" s="3"/>
      <c r="BB155" s="3"/>
    </row>
    <row r="156" spans="1:5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3"/>
      <c r="AV156" s="3"/>
      <c r="AW156" s="3"/>
      <c r="AX156" s="3"/>
      <c r="AY156" s="3"/>
      <c r="AZ156" s="3"/>
      <c r="BA156" s="3"/>
      <c r="BB156" s="3"/>
    </row>
    <row r="157" spans="1:5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3"/>
      <c r="AV157" s="3"/>
      <c r="AW157" s="3"/>
      <c r="AX157" s="3"/>
      <c r="AY157" s="3"/>
      <c r="AZ157" s="3"/>
      <c r="BA157" s="3"/>
      <c r="BB157" s="3"/>
    </row>
    <row r="158" spans="1:5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3"/>
      <c r="AV158" s="3"/>
      <c r="AW158" s="3"/>
      <c r="AX158" s="3"/>
      <c r="AY158" s="3"/>
      <c r="AZ158" s="3"/>
      <c r="BA158" s="3"/>
      <c r="BB158" s="3"/>
    </row>
    <row r="159" spans="1:5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3"/>
      <c r="AV159" s="3"/>
      <c r="AW159" s="3"/>
      <c r="AX159" s="3"/>
      <c r="AY159" s="3"/>
      <c r="AZ159" s="3"/>
      <c r="BA159" s="3"/>
      <c r="BB159" s="3"/>
    </row>
    <row r="160" spans="1:5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3"/>
      <c r="AV160" s="3"/>
      <c r="AW160" s="3"/>
      <c r="AX160" s="3"/>
      <c r="AY160" s="3"/>
      <c r="AZ160" s="3"/>
      <c r="BA160" s="3"/>
      <c r="BB160" s="3"/>
    </row>
    <row r="161" spans="1:5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3"/>
      <c r="AV161" s="3"/>
      <c r="AW161" s="3"/>
      <c r="AX161" s="3"/>
      <c r="AY161" s="3"/>
      <c r="AZ161" s="3"/>
      <c r="BA161" s="3"/>
      <c r="BB161" s="3"/>
    </row>
    <row r="162" spans="1:5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3"/>
      <c r="AV162" s="3"/>
      <c r="AW162" s="3"/>
      <c r="AX162" s="3"/>
      <c r="AY162" s="3"/>
      <c r="AZ162" s="3"/>
      <c r="BA162" s="3"/>
      <c r="BB162" s="3"/>
    </row>
    <row r="163" spans="1:5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3"/>
      <c r="AV163" s="3"/>
      <c r="AW163" s="3"/>
      <c r="AX163" s="3"/>
      <c r="AY163" s="3"/>
      <c r="AZ163" s="3"/>
      <c r="BA163" s="3"/>
      <c r="BB163" s="3"/>
    </row>
    <row r="164" spans="1:5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3"/>
      <c r="AV164" s="3"/>
      <c r="AW164" s="3"/>
      <c r="AX164" s="3"/>
      <c r="AY164" s="3"/>
      <c r="AZ164" s="3"/>
      <c r="BA164" s="3"/>
      <c r="BB164" s="3"/>
    </row>
    <row r="165" spans="1:5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3"/>
      <c r="AV165" s="3"/>
      <c r="AW165" s="3"/>
      <c r="AX165" s="3"/>
      <c r="AY165" s="3"/>
      <c r="AZ165" s="3"/>
      <c r="BA165" s="3"/>
      <c r="BB165" s="3"/>
    </row>
    <row r="166" spans="1:5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3"/>
      <c r="AV166" s="3"/>
      <c r="AW166" s="3"/>
      <c r="AX166" s="3"/>
      <c r="AY166" s="3"/>
      <c r="AZ166" s="3"/>
      <c r="BA166" s="3"/>
      <c r="BB166" s="3"/>
    </row>
    <row r="167" spans="1:5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3"/>
      <c r="AV167" s="3"/>
      <c r="AW167" s="3"/>
      <c r="AX167" s="3"/>
      <c r="AY167" s="3"/>
      <c r="AZ167" s="3"/>
      <c r="BA167" s="3"/>
      <c r="BB167" s="3"/>
    </row>
    <row r="168" spans="1:5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3"/>
      <c r="AV168" s="3"/>
      <c r="AW168" s="3"/>
      <c r="AX168" s="3"/>
      <c r="AY168" s="3"/>
      <c r="AZ168" s="3"/>
      <c r="BA168" s="3"/>
      <c r="BB168" s="3"/>
    </row>
    <row r="169" spans="1:5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3"/>
      <c r="AV169" s="3"/>
      <c r="AW169" s="3"/>
      <c r="AX169" s="3"/>
      <c r="AY169" s="3"/>
      <c r="AZ169" s="3"/>
      <c r="BA169" s="3"/>
      <c r="BB169" s="3"/>
    </row>
    <row r="170" spans="1:5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3"/>
      <c r="AV170" s="3"/>
      <c r="AW170" s="3"/>
      <c r="AX170" s="3"/>
      <c r="AY170" s="3"/>
      <c r="AZ170" s="3"/>
      <c r="BA170" s="3"/>
      <c r="BB170" s="3"/>
    </row>
    <row r="171" spans="1:5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3"/>
      <c r="AV171" s="3"/>
      <c r="AW171" s="3"/>
      <c r="AX171" s="3"/>
      <c r="AY171" s="3"/>
      <c r="AZ171" s="3"/>
      <c r="BA171" s="3"/>
      <c r="BB171" s="3"/>
    </row>
    <row r="172" spans="1:5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3"/>
      <c r="AV172" s="3"/>
      <c r="AW172" s="3"/>
      <c r="AX172" s="3"/>
      <c r="AY172" s="3"/>
      <c r="AZ172" s="3"/>
      <c r="BA172" s="3"/>
      <c r="BB172" s="3"/>
    </row>
    <row r="173" spans="1:5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3"/>
      <c r="AV173" s="3"/>
      <c r="AW173" s="3"/>
      <c r="AX173" s="3"/>
      <c r="AY173" s="3"/>
      <c r="AZ173" s="3"/>
      <c r="BA173" s="3"/>
      <c r="BB173" s="3"/>
    </row>
    <row r="174" spans="1:5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3"/>
      <c r="AV174" s="3"/>
      <c r="AW174" s="3"/>
      <c r="AX174" s="3"/>
      <c r="AY174" s="3"/>
      <c r="AZ174" s="3"/>
      <c r="BA174" s="3"/>
      <c r="BB174" s="3"/>
    </row>
    <row r="175" spans="1:5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3"/>
      <c r="AV175" s="3"/>
      <c r="AW175" s="3"/>
      <c r="AX175" s="3"/>
      <c r="AY175" s="3"/>
      <c r="AZ175" s="3"/>
      <c r="BA175" s="3"/>
      <c r="BB175" s="3"/>
    </row>
    <row r="176" spans="1:5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3"/>
      <c r="AV176" s="3"/>
      <c r="AW176" s="3"/>
      <c r="AX176" s="3"/>
      <c r="AY176" s="3"/>
      <c r="AZ176" s="3"/>
      <c r="BA176" s="3"/>
      <c r="BB176" s="3"/>
    </row>
    <row r="177" spans="1:5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3"/>
      <c r="AV177" s="3"/>
      <c r="AW177" s="3"/>
      <c r="AX177" s="3"/>
      <c r="AY177" s="3"/>
      <c r="AZ177" s="3"/>
      <c r="BA177" s="3"/>
      <c r="BB177" s="3"/>
    </row>
    <row r="178" spans="1:5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3"/>
      <c r="AV178" s="3"/>
      <c r="AW178" s="3"/>
      <c r="AX178" s="3"/>
      <c r="AY178" s="3"/>
      <c r="AZ178" s="3"/>
      <c r="BA178" s="3"/>
      <c r="BB178" s="3"/>
    </row>
    <row r="179" spans="1:5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3"/>
      <c r="AV179" s="3"/>
      <c r="AW179" s="3"/>
      <c r="AX179" s="3"/>
      <c r="AY179" s="3"/>
      <c r="AZ179" s="3"/>
      <c r="BA179" s="3"/>
      <c r="BB179" s="3"/>
    </row>
    <row r="180" spans="1:5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3"/>
      <c r="AV180" s="3"/>
      <c r="AW180" s="3"/>
      <c r="AX180" s="3"/>
      <c r="AY180" s="3"/>
      <c r="AZ180" s="3"/>
      <c r="BA180" s="3"/>
      <c r="BB180" s="3"/>
    </row>
    <row r="181" spans="1:5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3"/>
      <c r="AV181" s="3"/>
      <c r="AW181" s="3"/>
      <c r="AX181" s="3"/>
      <c r="AY181" s="3"/>
      <c r="AZ181" s="3"/>
      <c r="BA181" s="3"/>
      <c r="BB181" s="3"/>
    </row>
    <row r="182" spans="1:5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3"/>
      <c r="AV182" s="3"/>
      <c r="AW182" s="3"/>
      <c r="AX182" s="3"/>
      <c r="AY182" s="3"/>
      <c r="AZ182" s="3"/>
      <c r="BA182" s="3"/>
      <c r="BB182" s="3"/>
    </row>
    <row r="183" spans="1:5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3"/>
      <c r="AV183" s="3"/>
      <c r="AW183" s="3"/>
      <c r="AX183" s="3"/>
      <c r="AY183" s="3"/>
      <c r="AZ183" s="3"/>
      <c r="BA183" s="3"/>
      <c r="BB183" s="3"/>
    </row>
    <row r="184" spans="1:5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3"/>
      <c r="AV184" s="3"/>
      <c r="AW184" s="3"/>
      <c r="AX184" s="3"/>
      <c r="AY184" s="3"/>
      <c r="AZ184" s="3"/>
      <c r="BA184" s="3"/>
      <c r="BB184" s="3"/>
    </row>
    <row r="185" spans="1:5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3"/>
      <c r="AV185" s="3"/>
      <c r="AW185" s="3"/>
      <c r="AX185" s="3"/>
      <c r="AY185" s="3"/>
      <c r="AZ185" s="3"/>
      <c r="BA185" s="3"/>
      <c r="BB185" s="3"/>
    </row>
    <row r="186" spans="1:5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3"/>
      <c r="AV186" s="3"/>
      <c r="AW186" s="3"/>
      <c r="AX186" s="3"/>
      <c r="AY186" s="3"/>
      <c r="AZ186" s="3"/>
      <c r="BA186" s="3"/>
      <c r="BB186" s="3"/>
    </row>
    <row r="187" spans="1:5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3"/>
      <c r="AV187" s="3"/>
      <c r="AW187" s="3"/>
      <c r="AX187" s="3"/>
      <c r="AY187" s="3"/>
      <c r="AZ187" s="3"/>
      <c r="BA187" s="3"/>
      <c r="BB187" s="3"/>
    </row>
    <row r="188" spans="1:5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3"/>
      <c r="AV188" s="3"/>
      <c r="AW188" s="3"/>
      <c r="AX188" s="3"/>
      <c r="AY188" s="3"/>
      <c r="AZ188" s="3"/>
      <c r="BA188" s="3"/>
      <c r="BB188" s="3"/>
    </row>
    <row r="189" spans="1:5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3"/>
      <c r="AV189" s="3"/>
      <c r="AW189" s="3"/>
      <c r="AX189" s="3"/>
      <c r="AY189" s="3"/>
      <c r="AZ189" s="3"/>
      <c r="BA189" s="3"/>
      <c r="BB189" s="3"/>
    </row>
    <row r="190" spans="1:5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3"/>
      <c r="AV190" s="3"/>
      <c r="AW190" s="3"/>
      <c r="AX190" s="3"/>
      <c r="AY190" s="3"/>
      <c r="AZ190" s="3"/>
      <c r="BA190" s="3"/>
      <c r="BB190" s="3"/>
    </row>
    <row r="191" spans="1:5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3"/>
      <c r="AV191" s="3"/>
      <c r="AW191" s="3"/>
      <c r="AX191" s="3"/>
      <c r="AY191" s="3"/>
      <c r="AZ191" s="3"/>
      <c r="BA191" s="3"/>
      <c r="BB191" s="3"/>
    </row>
    <row r="192" spans="1:5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3"/>
      <c r="AV192" s="3"/>
      <c r="AW192" s="3"/>
      <c r="AX192" s="3"/>
      <c r="AY192" s="3"/>
      <c r="AZ192" s="3"/>
      <c r="BA192" s="3"/>
      <c r="BB192" s="3"/>
    </row>
    <row r="193" spans="1:5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3"/>
      <c r="AV193" s="3"/>
      <c r="AW193" s="3"/>
      <c r="AX193" s="3"/>
      <c r="AY193" s="3"/>
      <c r="AZ193" s="3"/>
      <c r="BA193" s="3"/>
      <c r="BB193" s="3"/>
    </row>
    <row r="194" spans="1:5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3"/>
      <c r="AV194" s="3"/>
      <c r="AW194" s="3"/>
      <c r="AX194" s="3"/>
      <c r="AY194" s="3"/>
      <c r="AZ194" s="3"/>
      <c r="BA194" s="3"/>
      <c r="BB194" s="3"/>
    </row>
    <row r="195" spans="1:5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3"/>
      <c r="AV195" s="3"/>
      <c r="AW195" s="3"/>
      <c r="AX195" s="3"/>
      <c r="AY195" s="3"/>
      <c r="AZ195" s="3"/>
      <c r="BA195" s="3"/>
      <c r="BB195" s="3"/>
    </row>
    <row r="196" spans="1:5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3"/>
      <c r="AV196" s="3"/>
      <c r="AW196" s="3"/>
      <c r="AX196" s="3"/>
      <c r="AY196" s="3"/>
      <c r="AZ196" s="3"/>
      <c r="BA196" s="3"/>
      <c r="BB196" s="3"/>
    </row>
    <row r="197" spans="1:5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3"/>
      <c r="AV197" s="3"/>
      <c r="AW197" s="3"/>
      <c r="AX197" s="3"/>
      <c r="AY197" s="3"/>
      <c r="AZ197" s="3"/>
      <c r="BA197" s="3"/>
      <c r="BB197" s="3"/>
    </row>
    <row r="198" spans="1:5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3"/>
      <c r="AV198" s="3"/>
      <c r="AW198" s="3"/>
      <c r="AX198" s="3"/>
      <c r="AY198" s="3"/>
      <c r="AZ198" s="3"/>
      <c r="BA198" s="3"/>
      <c r="BB198" s="3"/>
    </row>
    <row r="199" spans="1:5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3"/>
      <c r="AV199" s="3"/>
      <c r="AW199" s="3"/>
      <c r="AX199" s="3"/>
      <c r="AY199" s="3"/>
      <c r="AZ199" s="3"/>
      <c r="BA199" s="3"/>
      <c r="BB199" s="3"/>
    </row>
    <row r="200" spans="1:5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3"/>
      <c r="AV200" s="3"/>
      <c r="AW200" s="3"/>
      <c r="AX200" s="3"/>
      <c r="AY200" s="3"/>
      <c r="AZ200" s="3"/>
      <c r="BA200" s="3"/>
      <c r="BB200" s="3"/>
    </row>
    <row r="201" spans="1:5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3"/>
      <c r="AV201" s="3"/>
      <c r="AW201" s="3"/>
      <c r="AX201" s="3"/>
      <c r="AY201" s="3"/>
      <c r="AZ201" s="3"/>
      <c r="BA201" s="3"/>
      <c r="BB201" s="3"/>
    </row>
    <row r="202" spans="1:5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3"/>
      <c r="AV202" s="3"/>
      <c r="AW202" s="3"/>
      <c r="AX202" s="3"/>
      <c r="AY202" s="3"/>
      <c r="AZ202" s="3"/>
      <c r="BA202" s="3"/>
      <c r="BB202" s="3"/>
    </row>
    <row r="203" spans="1:5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3"/>
      <c r="AV203" s="3"/>
      <c r="AW203" s="3"/>
      <c r="AX203" s="3"/>
      <c r="AY203" s="3"/>
      <c r="AZ203" s="3"/>
      <c r="BA203" s="3"/>
      <c r="BB203" s="3"/>
    </row>
    <row r="204" spans="1:5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3"/>
      <c r="AV204" s="3"/>
      <c r="AW204" s="3"/>
      <c r="AX204" s="3"/>
      <c r="AY204" s="3"/>
      <c r="AZ204" s="3"/>
      <c r="BA204" s="3"/>
      <c r="BB204" s="3"/>
    </row>
    <row r="205" spans="1:5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3"/>
      <c r="AV205" s="3"/>
      <c r="AW205" s="3"/>
      <c r="AX205" s="3"/>
      <c r="AY205" s="3"/>
      <c r="AZ205" s="3"/>
      <c r="BA205" s="3"/>
      <c r="BB205" s="3"/>
    </row>
    <row r="206" spans="1:5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3"/>
      <c r="AV206" s="3"/>
      <c r="AW206" s="3"/>
      <c r="AX206" s="3"/>
      <c r="AY206" s="3"/>
      <c r="AZ206" s="3"/>
      <c r="BA206" s="3"/>
      <c r="BB206" s="3"/>
    </row>
    <row r="207" spans="1:5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3"/>
      <c r="AV207" s="3"/>
      <c r="AW207" s="3"/>
      <c r="AX207" s="3"/>
      <c r="AY207" s="3"/>
      <c r="AZ207" s="3"/>
      <c r="BA207" s="3"/>
      <c r="BB207" s="3"/>
    </row>
    <row r="208" spans="1:5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3"/>
      <c r="AV208" s="3"/>
      <c r="AW208" s="3"/>
      <c r="AX208" s="3"/>
      <c r="AY208" s="3"/>
      <c r="AZ208" s="3"/>
      <c r="BA208" s="3"/>
      <c r="BB208" s="3"/>
    </row>
    <row r="209" spans="1:5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3"/>
      <c r="AV209" s="3"/>
      <c r="AW209" s="3"/>
      <c r="AX209" s="3"/>
      <c r="AY209" s="3"/>
      <c r="AZ209" s="3"/>
      <c r="BA209" s="3"/>
      <c r="BB209" s="3"/>
    </row>
    <row r="210" spans="1:5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3"/>
      <c r="AV210" s="3"/>
      <c r="AW210" s="3"/>
      <c r="AX210" s="3"/>
      <c r="AY210" s="3"/>
      <c r="AZ210" s="3"/>
      <c r="BA210" s="3"/>
      <c r="BB210" s="3"/>
    </row>
    <row r="211" spans="1:5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3"/>
      <c r="AV211" s="3"/>
      <c r="AW211" s="3"/>
      <c r="AX211" s="3"/>
      <c r="AY211" s="3"/>
      <c r="AZ211" s="3"/>
      <c r="BA211" s="3"/>
      <c r="BB211" s="3"/>
    </row>
    <row r="212" spans="1:5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3"/>
      <c r="AV212" s="3"/>
      <c r="AW212" s="3"/>
      <c r="AX212" s="3"/>
      <c r="AY212" s="3"/>
      <c r="AZ212" s="3"/>
      <c r="BA212" s="3"/>
      <c r="BB212" s="3"/>
    </row>
    <row r="213" spans="1:5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3"/>
      <c r="AV213" s="3"/>
      <c r="AW213" s="3"/>
      <c r="AX213" s="3"/>
      <c r="AY213" s="3"/>
      <c r="AZ213" s="3"/>
      <c r="BA213" s="3"/>
      <c r="BB213" s="3"/>
    </row>
    <row r="214" spans="1:5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3"/>
      <c r="AV214" s="3"/>
      <c r="AW214" s="3"/>
      <c r="AX214" s="3"/>
      <c r="AY214" s="3"/>
      <c r="AZ214" s="3"/>
      <c r="BA214" s="3"/>
      <c r="BB214" s="3"/>
    </row>
    <row r="215" spans="1:5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3"/>
      <c r="AV215" s="3"/>
      <c r="AW215" s="3"/>
      <c r="AX215" s="3"/>
      <c r="AY215" s="3"/>
      <c r="AZ215" s="3"/>
      <c r="BA215" s="3"/>
      <c r="BB215" s="3"/>
    </row>
    <row r="216" spans="1:5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3"/>
      <c r="AV216" s="3"/>
      <c r="AW216" s="3"/>
      <c r="AX216" s="3"/>
      <c r="AY216" s="3"/>
      <c r="AZ216" s="3"/>
      <c r="BA216" s="3"/>
      <c r="BB216" s="3"/>
    </row>
    <row r="217" spans="1:5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3"/>
      <c r="AV217" s="3"/>
      <c r="AW217" s="3"/>
      <c r="AX217" s="3"/>
      <c r="AY217" s="3"/>
      <c r="AZ217" s="3"/>
      <c r="BA217" s="3"/>
      <c r="BB217" s="3"/>
    </row>
    <row r="218" spans="1:5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3"/>
      <c r="AV218" s="3"/>
      <c r="AW218" s="3"/>
      <c r="AX218" s="3"/>
      <c r="AY218" s="3"/>
      <c r="AZ218" s="3"/>
      <c r="BA218" s="3"/>
      <c r="BB218" s="3"/>
    </row>
    <row r="219" spans="1:5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3"/>
      <c r="AV219" s="3"/>
      <c r="AW219" s="3"/>
      <c r="AX219" s="3"/>
      <c r="AY219" s="3"/>
      <c r="AZ219" s="3"/>
      <c r="BA219" s="3"/>
      <c r="BB219" s="3"/>
    </row>
    <row r="220" spans="1:5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3"/>
      <c r="AV220" s="3"/>
      <c r="AW220" s="3"/>
      <c r="AX220" s="3"/>
      <c r="AY220" s="3"/>
      <c r="AZ220" s="3"/>
      <c r="BA220" s="3"/>
      <c r="BB220" s="3"/>
    </row>
    <row r="221" spans="1:5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3"/>
      <c r="AV221" s="3"/>
      <c r="AW221" s="3"/>
      <c r="AX221" s="3"/>
      <c r="AY221" s="3"/>
      <c r="AZ221" s="3"/>
      <c r="BA221" s="3"/>
      <c r="BB221" s="3"/>
    </row>
    <row r="222" spans="1:5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3"/>
      <c r="AV222" s="3"/>
      <c r="AW222" s="3"/>
      <c r="AX222" s="3"/>
      <c r="AY222" s="3"/>
      <c r="AZ222" s="3"/>
      <c r="BA222" s="3"/>
      <c r="BB222" s="3"/>
    </row>
    <row r="223" spans="1:5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3"/>
      <c r="AV223" s="3"/>
      <c r="AW223" s="3"/>
      <c r="AX223" s="3"/>
      <c r="AY223" s="3"/>
      <c r="AZ223" s="3"/>
      <c r="BA223" s="3"/>
      <c r="BB223" s="3"/>
    </row>
    <row r="224" spans="1:5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3"/>
      <c r="AV224" s="3"/>
      <c r="AW224" s="3"/>
      <c r="AX224" s="3"/>
      <c r="AY224" s="3"/>
      <c r="AZ224" s="3"/>
      <c r="BA224" s="3"/>
      <c r="BB224" s="3"/>
    </row>
    <row r="225" spans="1:5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3"/>
      <c r="AV225" s="3"/>
      <c r="AW225" s="3"/>
      <c r="AX225" s="3"/>
      <c r="AY225" s="3"/>
      <c r="AZ225" s="3"/>
      <c r="BA225" s="3"/>
      <c r="BB225" s="3"/>
    </row>
    <row r="226" spans="1:5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3"/>
      <c r="AV226" s="3"/>
      <c r="AW226" s="3"/>
      <c r="AX226" s="3"/>
      <c r="AY226" s="3"/>
      <c r="AZ226" s="3"/>
      <c r="BA226" s="3"/>
      <c r="BB226" s="3"/>
    </row>
    <row r="227" spans="1:5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3"/>
      <c r="AV227" s="3"/>
      <c r="AW227" s="3"/>
      <c r="AX227" s="3"/>
      <c r="AY227" s="3"/>
      <c r="AZ227" s="3"/>
      <c r="BA227" s="3"/>
      <c r="BB227" s="3"/>
    </row>
    <row r="228" spans="1:5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3"/>
      <c r="AV228" s="3"/>
      <c r="AW228" s="3"/>
      <c r="AX228" s="3"/>
      <c r="AY228" s="3"/>
      <c r="AZ228" s="3"/>
      <c r="BA228" s="3"/>
      <c r="BB228" s="3"/>
    </row>
    <row r="229" spans="1:5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3"/>
      <c r="AV229" s="3"/>
      <c r="AW229" s="3"/>
      <c r="AX229" s="3"/>
      <c r="AY229" s="3"/>
      <c r="AZ229" s="3"/>
      <c r="BA229" s="3"/>
      <c r="BB229" s="3"/>
    </row>
    <row r="230" spans="1:5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3"/>
      <c r="AV230" s="3"/>
      <c r="AW230" s="3"/>
      <c r="AX230" s="3"/>
      <c r="AY230" s="3"/>
      <c r="AZ230" s="3"/>
      <c r="BA230" s="3"/>
      <c r="BB230" s="3"/>
    </row>
    <row r="231" spans="1:5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3"/>
      <c r="AV231" s="3"/>
      <c r="AW231" s="3"/>
      <c r="AX231" s="3"/>
      <c r="AY231" s="3"/>
      <c r="AZ231" s="3"/>
      <c r="BA231" s="3"/>
      <c r="BB231" s="3"/>
    </row>
    <row r="232" spans="1:5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3"/>
      <c r="AV232" s="3"/>
      <c r="AW232" s="3"/>
      <c r="AX232" s="3"/>
      <c r="AY232" s="3"/>
      <c r="AZ232" s="3"/>
      <c r="BA232" s="3"/>
      <c r="BB232" s="3"/>
    </row>
    <row r="233" spans="1:5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3"/>
      <c r="AV233" s="3"/>
      <c r="AW233" s="3"/>
      <c r="AX233" s="3"/>
      <c r="AY233" s="3"/>
      <c r="AZ233" s="3"/>
      <c r="BA233" s="3"/>
      <c r="BB233" s="3"/>
    </row>
    <row r="234" spans="1:5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3"/>
      <c r="AV234" s="3"/>
      <c r="AW234" s="3"/>
      <c r="AX234" s="3"/>
      <c r="AY234" s="3"/>
      <c r="AZ234" s="3"/>
      <c r="BA234" s="3"/>
      <c r="BB234" s="3"/>
    </row>
    <row r="235" spans="1:5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3"/>
      <c r="AV235" s="3"/>
      <c r="AW235" s="3"/>
      <c r="AX235" s="3"/>
      <c r="AY235" s="3"/>
      <c r="AZ235" s="3"/>
      <c r="BA235" s="3"/>
      <c r="BB235" s="3"/>
    </row>
    <row r="236" spans="1:5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3"/>
      <c r="AV236" s="3"/>
      <c r="AW236" s="3"/>
      <c r="AX236" s="3"/>
      <c r="AY236" s="3"/>
      <c r="AZ236" s="3"/>
      <c r="BA236" s="3"/>
      <c r="BB236" s="3"/>
    </row>
    <row r="237" spans="1:5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3"/>
      <c r="AV237" s="3"/>
      <c r="AW237" s="3"/>
      <c r="AX237" s="3"/>
      <c r="AY237" s="3"/>
      <c r="AZ237" s="3"/>
      <c r="BA237" s="3"/>
      <c r="BB237" s="3"/>
    </row>
    <row r="238" spans="1:5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3"/>
      <c r="AV238" s="3"/>
      <c r="AW238" s="3"/>
      <c r="AX238" s="3"/>
      <c r="AY238" s="3"/>
      <c r="AZ238" s="3"/>
      <c r="BA238" s="3"/>
      <c r="BB238" s="3"/>
    </row>
    <row r="239" spans="1:5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3"/>
      <c r="AV239" s="3"/>
      <c r="AW239" s="3"/>
      <c r="AX239" s="3"/>
      <c r="AY239" s="3"/>
      <c r="AZ239" s="3"/>
      <c r="BA239" s="3"/>
      <c r="BB239" s="3"/>
    </row>
    <row r="240" spans="1:5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3"/>
      <c r="AV240" s="3"/>
      <c r="AW240" s="3"/>
      <c r="AX240" s="3"/>
      <c r="AY240" s="3"/>
      <c r="AZ240" s="3"/>
      <c r="BA240" s="3"/>
      <c r="BB240" s="3"/>
    </row>
    <row r="241" spans="1:5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3"/>
      <c r="AV241" s="3"/>
      <c r="AW241" s="3"/>
      <c r="AX241" s="3"/>
      <c r="AY241" s="3"/>
      <c r="AZ241" s="3"/>
      <c r="BA241" s="3"/>
      <c r="BB241" s="3"/>
    </row>
    <row r="242" spans="1:5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3"/>
      <c r="AV242" s="3"/>
      <c r="AW242" s="3"/>
      <c r="AX242" s="3"/>
      <c r="AY242" s="3"/>
      <c r="AZ242" s="3"/>
      <c r="BA242" s="3"/>
      <c r="BB242" s="3"/>
    </row>
    <row r="243" spans="1:5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3"/>
      <c r="AV243" s="3"/>
      <c r="AW243" s="3"/>
      <c r="AX243" s="3"/>
      <c r="AY243" s="3"/>
      <c r="AZ243" s="3"/>
      <c r="BA243" s="3"/>
      <c r="BB243" s="3"/>
    </row>
    <row r="244" spans="1:5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3"/>
      <c r="AV244" s="3"/>
      <c r="AW244" s="3"/>
      <c r="AX244" s="3"/>
      <c r="AY244" s="3"/>
      <c r="AZ244" s="3"/>
      <c r="BA244" s="3"/>
      <c r="BB244" s="3"/>
    </row>
    <row r="245" spans="1:5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3"/>
      <c r="AV245" s="3"/>
      <c r="AW245" s="3"/>
      <c r="AX245" s="3"/>
      <c r="AY245" s="3"/>
      <c r="AZ245" s="3"/>
      <c r="BA245" s="3"/>
      <c r="BB245" s="3"/>
    </row>
    <row r="246" spans="1:5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3"/>
      <c r="AV246" s="3"/>
      <c r="AW246" s="3"/>
      <c r="AX246" s="3"/>
      <c r="AY246" s="3"/>
      <c r="AZ246" s="3"/>
      <c r="BA246" s="3"/>
      <c r="BB246" s="3"/>
    </row>
    <row r="247" spans="1:5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3"/>
      <c r="AV247" s="3"/>
      <c r="AW247" s="3"/>
      <c r="AX247" s="3"/>
      <c r="AY247" s="3"/>
      <c r="AZ247" s="3"/>
      <c r="BA247" s="3"/>
      <c r="BB247" s="3"/>
    </row>
    <row r="248" spans="1:5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3"/>
      <c r="AV248" s="3"/>
      <c r="AW248" s="3"/>
      <c r="AX248" s="3"/>
      <c r="AY248" s="3"/>
      <c r="AZ248" s="3"/>
      <c r="BA248" s="3"/>
      <c r="BB248" s="3"/>
    </row>
    <row r="249" spans="1:5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3"/>
      <c r="AV249" s="3"/>
      <c r="AW249" s="3"/>
      <c r="AX249" s="3"/>
      <c r="AY249" s="3"/>
      <c r="AZ249" s="3"/>
      <c r="BA249" s="3"/>
      <c r="BB249" s="3"/>
    </row>
    <row r="250" spans="1:5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3"/>
      <c r="AV250" s="3"/>
      <c r="AW250" s="3"/>
      <c r="AX250" s="3"/>
      <c r="AY250" s="3"/>
      <c r="AZ250" s="3"/>
      <c r="BA250" s="3"/>
      <c r="BB250" s="3"/>
    </row>
    <row r="251" spans="1:5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3"/>
      <c r="AV251" s="3"/>
      <c r="AW251" s="3"/>
      <c r="AX251" s="3"/>
      <c r="AY251" s="3"/>
      <c r="AZ251" s="3"/>
      <c r="BA251" s="3"/>
      <c r="BB251" s="3"/>
    </row>
    <row r="252" spans="1:5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3"/>
      <c r="AV252" s="3"/>
      <c r="AW252" s="3"/>
      <c r="AX252" s="3"/>
      <c r="AY252" s="3"/>
      <c r="AZ252" s="3"/>
      <c r="BA252" s="3"/>
      <c r="BB252" s="3"/>
    </row>
    <row r="253" spans="1:5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3"/>
      <c r="AV253" s="3"/>
      <c r="AW253" s="3"/>
      <c r="AX253" s="3"/>
      <c r="AY253" s="3"/>
      <c r="AZ253" s="3"/>
      <c r="BA253" s="3"/>
      <c r="BB253" s="3"/>
    </row>
    <row r="254" spans="1:5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3"/>
      <c r="AV254" s="3"/>
      <c r="AW254" s="3"/>
      <c r="AX254" s="3"/>
      <c r="AY254" s="3"/>
      <c r="AZ254" s="3"/>
      <c r="BA254" s="3"/>
      <c r="BB254" s="3"/>
    </row>
    <row r="255" spans="1:5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3"/>
      <c r="AV255" s="3"/>
      <c r="AW255" s="3"/>
      <c r="AX255" s="3"/>
      <c r="AY255" s="3"/>
      <c r="AZ255" s="3"/>
      <c r="BA255" s="3"/>
      <c r="BB255" s="3"/>
    </row>
    <row r="256" spans="1:5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3"/>
      <c r="AV256" s="3"/>
      <c r="AW256" s="3"/>
      <c r="AX256" s="3"/>
      <c r="AY256" s="3"/>
      <c r="AZ256" s="3"/>
      <c r="BA256" s="3"/>
      <c r="BB256" s="3"/>
    </row>
    <row r="257" spans="1:5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3"/>
      <c r="AV257" s="3"/>
      <c r="AW257" s="3"/>
      <c r="AX257" s="3"/>
      <c r="AY257" s="3"/>
      <c r="AZ257" s="3"/>
      <c r="BA257" s="3"/>
      <c r="BB257" s="3"/>
    </row>
    <row r="258" spans="1:5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3"/>
      <c r="AV258" s="3"/>
      <c r="AW258" s="3"/>
      <c r="AX258" s="3"/>
      <c r="AY258" s="3"/>
      <c r="AZ258" s="3"/>
      <c r="BA258" s="3"/>
      <c r="BB258" s="3"/>
    </row>
    <row r="259" spans="1:5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3"/>
      <c r="AV259" s="3"/>
      <c r="AW259" s="3"/>
      <c r="AX259" s="3"/>
      <c r="AY259" s="3"/>
      <c r="AZ259" s="3"/>
      <c r="BA259" s="3"/>
      <c r="BB259" s="3"/>
    </row>
    <row r="260" spans="1:5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3"/>
      <c r="AV260" s="3"/>
      <c r="AW260" s="3"/>
      <c r="AX260" s="3"/>
      <c r="AY260" s="3"/>
      <c r="AZ260" s="3"/>
      <c r="BA260" s="3"/>
      <c r="BB260" s="3"/>
    </row>
    <row r="261" spans="1:5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3"/>
      <c r="AV261" s="3"/>
      <c r="AW261" s="3"/>
      <c r="AX261" s="3"/>
      <c r="AY261" s="3"/>
      <c r="AZ261" s="3"/>
      <c r="BA261" s="3"/>
      <c r="BB261" s="3"/>
    </row>
    <row r="262" spans="1:5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3"/>
      <c r="AV262" s="3"/>
      <c r="AW262" s="3"/>
      <c r="AX262" s="3"/>
      <c r="AY262" s="3"/>
      <c r="AZ262" s="3"/>
      <c r="BA262" s="3"/>
      <c r="BB262" s="3"/>
    </row>
    <row r="263" spans="1:5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3"/>
      <c r="AV263" s="3"/>
      <c r="AW263" s="3"/>
      <c r="AX263" s="3"/>
      <c r="AY263" s="3"/>
      <c r="AZ263" s="3"/>
      <c r="BA263" s="3"/>
      <c r="BB263" s="3"/>
    </row>
    <row r="264" spans="1:5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3"/>
      <c r="AV264" s="3"/>
      <c r="AW264" s="3"/>
      <c r="AX264" s="3"/>
      <c r="AY264" s="3"/>
      <c r="AZ264" s="3"/>
      <c r="BA264" s="3"/>
      <c r="BB264" s="3"/>
    </row>
    <row r="265" spans="1:5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3"/>
      <c r="AV265" s="3"/>
      <c r="AW265" s="3"/>
      <c r="AX265" s="3"/>
      <c r="AY265" s="3"/>
      <c r="AZ265" s="3"/>
      <c r="BA265" s="3"/>
      <c r="BB265" s="3"/>
    </row>
    <row r="266" spans="1:5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3"/>
      <c r="AV266" s="3"/>
      <c r="AW266" s="3"/>
      <c r="AX266" s="3"/>
      <c r="AY266" s="3"/>
      <c r="AZ266" s="3"/>
      <c r="BA266" s="3"/>
      <c r="BB266" s="3"/>
    </row>
    <row r="267" spans="1:5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3"/>
      <c r="AV267" s="3"/>
      <c r="AW267" s="3"/>
      <c r="AX267" s="3"/>
      <c r="AY267" s="3"/>
      <c r="AZ267" s="3"/>
      <c r="BA267" s="3"/>
      <c r="BB267" s="3"/>
    </row>
    <row r="268" spans="1:5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3"/>
      <c r="AV268" s="3"/>
      <c r="AW268" s="3"/>
      <c r="AX268" s="3"/>
      <c r="AY268" s="3"/>
      <c r="AZ268" s="3"/>
      <c r="BA268" s="3"/>
      <c r="BB268" s="3"/>
    </row>
    <row r="269" spans="1:5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3"/>
      <c r="AV269" s="3"/>
      <c r="AW269" s="3"/>
      <c r="AX269" s="3"/>
      <c r="AY269" s="3"/>
      <c r="AZ269" s="3"/>
      <c r="BA269" s="3"/>
      <c r="BB269" s="3"/>
    </row>
    <row r="270" spans="1:5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3"/>
      <c r="AV270" s="3"/>
      <c r="AW270" s="3"/>
      <c r="AX270" s="3"/>
      <c r="AY270" s="3"/>
      <c r="AZ270" s="3"/>
      <c r="BA270" s="3"/>
      <c r="BB270" s="3"/>
    </row>
    <row r="271" spans="1:5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3"/>
      <c r="AV271" s="3"/>
      <c r="AW271" s="3"/>
      <c r="AX271" s="3"/>
      <c r="AY271" s="3"/>
      <c r="AZ271" s="3"/>
      <c r="BA271" s="3"/>
      <c r="BB271" s="3"/>
    </row>
    <row r="272" spans="1:5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3"/>
      <c r="AV272" s="3"/>
      <c r="AW272" s="3"/>
      <c r="AX272" s="3"/>
      <c r="AY272" s="3"/>
      <c r="AZ272" s="3"/>
      <c r="BA272" s="3"/>
      <c r="BB272" s="3"/>
    </row>
    <row r="273" spans="1:5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3"/>
      <c r="AV273" s="3"/>
      <c r="AW273" s="3"/>
      <c r="AX273" s="3"/>
      <c r="AY273" s="3"/>
      <c r="AZ273" s="3"/>
      <c r="BA273" s="3"/>
      <c r="BB273" s="3"/>
    </row>
    <row r="274" spans="1:5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3"/>
      <c r="AV274" s="3"/>
      <c r="AW274" s="3"/>
      <c r="AX274" s="3"/>
      <c r="AY274" s="3"/>
      <c r="AZ274" s="3"/>
      <c r="BA274" s="3"/>
      <c r="BB274" s="3"/>
    </row>
    <row r="275" spans="1:5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3"/>
      <c r="AV275" s="3"/>
      <c r="AW275" s="3"/>
      <c r="AX275" s="3"/>
      <c r="AY275" s="3"/>
      <c r="AZ275" s="3"/>
      <c r="BA275" s="3"/>
      <c r="BB275" s="3"/>
    </row>
    <row r="276" spans="1:5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3"/>
      <c r="AV276" s="3"/>
      <c r="AW276" s="3"/>
      <c r="AX276" s="3"/>
      <c r="AY276" s="3"/>
      <c r="AZ276" s="3"/>
      <c r="BA276" s="3"/>
      <c r="BB276" s="3"/>
    </row>
    <row r="277" spans="1:5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3"/>
      <c r="AV277" s="3"/>
      <c r="AW277" s="3"/>
      <c r="AX277" s="3"/>
      <c r="AY277" s="3"/>
      <c r="AZ277" s="3"/>
      <c r="BA277" s="3"/>
      <c r="BB277" s="3"/>
    </row>
    <row r="278" spans="1:5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3"/>
      <c r="AV278" s="3"/>
      <c r="AW278" s="3"/>
      <c r="AX278" s="3"/>
      <c r="AY278" s="3"/>
      <c r="AZ278" s="3"/>
      <c r="BA278" s="3"/>
      <c r="BB278" s="3"/>
    </row>
    <row r="279" spans="1:5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3"/>
      <c r="AV279" s="3"/>
      <c r="AW279" s="3"/>
      <c r="AX279" s="3"/>
      <c r="AY279" s="3"/>
      <c r="AZ279" s="3"/>
      <c r="BA279" s="3"/>
      <c r="BB279" s="3"/>
    </row>
    <row r="280" spans="1:5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3"/>
      <c r="AV280" s="3"/>
      <c r="AW280" s="3"/>
      <c r="AX280" s="3"/>
      <c r="AY280" s="3"/>
      <c r="AZ280" s="3"/>
      <c r="BA280" s="3"/>
      <c r="BB280" s="3"/>
    </row>
    <row r="281" spans="1:5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3"/>
      <c r="AV281" s="3"/>
      <c r="AW281" s="3"/>
      <c r="AX281" s="3"/>
      <c r="AY281" s="3"/>
      <c r="AZ281" s="3"/>
      <c r="BA281" s="3"/>
      <c r="BB281" s="3"/>
    </row>
    <row r="282" spans="1:54"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1:54"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1:5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1:5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1:5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1:5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1:5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1:5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1:5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1:5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1:5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1:5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1:5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1:5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1:5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1:5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1:5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1:5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1:5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1:5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1:5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1:5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1:5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1:5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1:5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1:5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1:5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1:5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1:5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1:5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1:5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1:5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1:5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1:5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1:5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1:5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1:5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1:5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1:5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1:5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1:5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1:5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1:5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1:5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1:5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1:5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1:5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1:5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1:5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1:5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1:5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1:5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1:5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1:5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1:5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1:5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1:5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1:5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1:5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1:5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1:5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1:5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1:5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1:5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1:5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1:5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1:5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1:5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1:5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1:5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1:5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1:5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1: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1:5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1:5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1:5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1:5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1:5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1:5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1:5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1:5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1:5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1:5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1:5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1:5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1:5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1:5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1:5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1:5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1:5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1:5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1:5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1:5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1:5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1:5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1:5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1:5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1:5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1:5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1:5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1:5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1:5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1:5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1:5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1:5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1:5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1:5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1:5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1:5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1:5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1:5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1:5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1:5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1:5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1:5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1:5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1:5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1:5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1:5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1:5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1:5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1:5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1:5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1:5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1:5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1:5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1:5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1:5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1:5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1:5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1:5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1:5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1:5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1:5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1:5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1:5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1:5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1:5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1:5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1:5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1:5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1:5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1:5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1:5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1:5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1:5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1:5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1:5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1:5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1:5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1:5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1:5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1:5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1:5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1:5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1:5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1:5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1:5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1:5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1:5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1:5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1:5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1:5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1:5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1:5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1:5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1:5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1:5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1:5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1:5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1:5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1:5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1: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1:5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1:5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1:5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1:5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1:5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1:5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1:5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1:5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1:5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1:5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1:5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1:5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1:5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1:5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1:5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1:5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1:5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1:5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1:5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1:5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1:5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1:5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1:5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1:5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1:5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1:5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1:5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1:5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1:5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1:5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1:5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1:5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1:5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1:5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1:5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1:5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1:5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1:5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1:5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1:5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1:5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1:5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1:5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1:5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1:5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1:5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1:5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1:5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1:5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1:5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1:5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1:5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1:5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1:5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1:5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1:5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1:5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1:5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1:5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1:5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1:5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1:5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1:5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1:5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1:5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1:5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1:5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1:5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1:5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1:5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1:5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1:5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1:5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1:5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1:5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1:5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1:5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1:5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1:5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1:5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1:5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1:5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1:5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1:5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1:5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1:5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1:5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1:5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1:5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1:5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1:5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1:5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1:5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1:5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1:5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1:5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1:5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1:5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1:5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1: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1:5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1:5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1:5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1:5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1:5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1:5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1:5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1:5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1:5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1:5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1:5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1:5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1:5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1:5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1:5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1:5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1:5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1:5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1:5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1:5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1:5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1:5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1:5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1:5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1:5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1:5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1:5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1:5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1:5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1:5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1:5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1:5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1:5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1:5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1:5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1:5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1:5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1:5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1:5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1:5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1:5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1:5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1:5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1:5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1:5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1:5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1:5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1:5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1:5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1:5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1:5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1:5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1:5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1:5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1:5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1:5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1:5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1:5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1:5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1:5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1:5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1:5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1:5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1:5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1:5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1:5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1:5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1:5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1:5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1:5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1:5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1:5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1:5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1:5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1:5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1:5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1:5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1:5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1:5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1:5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1:5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1:5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1:5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1:5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1:5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1:5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1:5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1:5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1:5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1:5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1:5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1:5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1:5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1:5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1:5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1:5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1:5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1:5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1:5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1: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1:5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1:5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1:5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1:5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1:5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1:5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1:5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1:5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1:5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1:5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1:5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1:5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1:5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1:5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1:5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1:5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1:5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1:5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1:5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1:5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1:5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1:5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1:5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1:5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1:5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1:5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1:5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1:5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1:5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1:5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1:5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1:5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1:5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1:5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1:5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1:5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1:5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1:5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1:5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1:5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1:5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1:5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1:5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1:5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1:5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1:5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1:5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1:5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1:5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1:5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1:5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1:5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1:5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1:5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1:5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1:5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1:5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1:5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1:5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1:5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1:5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1:5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1:5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1:5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1:5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1:5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1:5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1:5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1:5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1:5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1:5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1:5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1:5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1:5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1:5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1:5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1:5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1:5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1:5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1:5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1:5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1:5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1:5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1:5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1:5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1:5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1:5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1:5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1:5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1:5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1:5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1:5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1:5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1:5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1:5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1:5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1:5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1:5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1:5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1: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1:5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1:5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1:5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1:5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1:5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1:5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1:5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1:5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1:5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1:5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1:5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1:5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1:5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1:5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1:5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1:5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1:5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1:5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1:5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1:5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1:5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1:5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1:5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1:5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1:5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1:5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1:5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1:5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1:5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1:5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1:5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1:5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1:5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1:5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1:5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1:5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1:5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1:5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1:5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1:5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1:5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1:5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1:5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1:5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1:5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1:5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1:5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1:5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1:5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1:5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1:5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1:5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1:5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1:5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1:5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1:5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1:5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1:5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1:5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1:5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1:5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1:5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1:5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1:5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1:5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1:5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1:5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1:5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1:5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1:5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1:5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1:5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1:5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1:5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1:5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1:5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1:5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1:5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1:5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1:5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1:5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1:5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1:5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1:5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1:5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1:5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1:5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1:5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1:5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1:5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1:5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1:5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1:5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1:5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1:5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1:5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1:5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1:5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1:5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1: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1:5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1:5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1:5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1:5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1:5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1:5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1:5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1:5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1:5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1:5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1:5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1:5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1:5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1:5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1:5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1:5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1:5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1:5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1:5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1:5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1:5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1:5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1:5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1:5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1:5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1:5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1:5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1:5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1:5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1:5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1:5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1:5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1:5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1:5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1:5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1:5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1:5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1:5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1:5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1:5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1:5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1:5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1:5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1:5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1:5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1:5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1:5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1:5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1:5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1:5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1:5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1:5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1:5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1:5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1:5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1:5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1:5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1:5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1:5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1:5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1:5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1:5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1:5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1:5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1:5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1:5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1:5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1:5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1:5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1:5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1:5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1:5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1:5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1:5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1:5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1:5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1:5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1:5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1:5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1:5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1:5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1:5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1:5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1:5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1:5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1:5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1:5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1:5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1:5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1:5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1:5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1:5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1:5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1:5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1:5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1:5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1:5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1:5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1:5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1: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1:5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1:5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1:5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1:5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1:5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1:5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1:5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1:5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1:5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1:5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1:5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1:5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1:5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1:5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1:5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1:5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1:5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1:5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1:5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1:5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1:5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1:5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1:5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1:5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spans="1:5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spans="1:5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spans="1:5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spans="1:5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spans="1:5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spans="1:5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spans="1:5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spans="1:5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spans="1:5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spans="1:5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row>
    <row r="989" spans="1:5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row>
    <row r="990" spans="1:5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row>
    <row r="991" spans="1:5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row>
    <row r="992" spans="1:5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row>
    <row r="993" spans="1:5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row>
    <row r="994" spans="1:5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row>
    <row r="995" spans="1:5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row>
    <row r="996" spans="1:5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row>
    <row r="997" spans="1:5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row>
    <row r="998" spans="1:5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row>
    <row r="999" spans="1:5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row>
    <row r="1000" spans="1:5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row>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C00-000000000000}">
      <formula1>"TOU,non-TOU"</formula1>
    </dataValidation>
    <dataValidation type="list" allowBlank="1" showErrorMessage="1" sqref="E15:E28 E30:E36 E38:E39 E41:E49 E55 E61" xr:uid="{00000000-0002-0000-0C00-000001000000}">
      <formula1>#REF!</formula1>
    </dataValidation>
    <dataValidation type="list" allowBlank="1" showInputMessage="1" showErrorMessage="1" prompt="Select Charge Unit - monthly, per kWh, per kW" sqref="D15:D28 D30:D36 D38:D39 D41:D49 D55 D61" xr:uid="{00000000-0002-0000-0C00-000002000000}">
      <formula1>"Monthly,per kWh,per kW"</formula1>
    </dataValidation>
  </dataValidations>
  <pageMargins left="0.74803149606299213" right="0.74803149606299213" top="0.98425196850393704" bottom="0.98425196850393704"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c r="AS2" s="52"/>
      <c r="AT2" s="52"/>
      <c r="AU2" s="3"/>
      <c r="AV2" s="3"/>
      <c r="AW2" s="3"/>
      <c r="AX2" s="3"/>
      <c r="AY2" s="3"/>
      <c r="AZ2" s="3"/>
      <c r="BA2" s="3"/>
      <c r="BB2" s="3"/>
    </row>
    <row r="3" spans="1:54" ht="18.75"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3"/>
      <c r="AV3" s="3"/>
      <c r="AW3" s="3"/>
      <c r="AX3" s="3"/>
      <c r="AY3" s="3"/>
      <c r="AZ3" s="3"/>
      <c r="BA3" s="3"/>
      <c r="BB3" s="3"/>
    </row>
    <row r="4" spans="1:54"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3"/>
      <c r="AV4" s="3"/>
      <c r="AW4" s="3"/>
      <c r="AX4" s="3"/>
      <c r="AY4" s="3"/>
      <c r="AZ4" s="3"/>
      <c r="BA4" s="3"/>
      <c r="BB4" s="3"/>
    </row>
    <row r="5" spans="1:54"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3"/>
      <c r="AV5" s="3"/>
      <c r="AW5" s="3"/>
      <c r="AX5" s="3"/>
      <c r="AY5" s="3"/>
      <c r="AZ5" s="3"/>
      <c r="BA5" s="3"/>
      <c r="BB5" s="3"/>
    </row>
    <row r="6" spans="1:54" ht="12.75" customHeight="1">
      <c r="A6" s="52"/>
      <c r="B6" s="320" t="s">
        <v>298</v>
      </c>
      <c r="C6" s="52"/>
      <c r="D6" s="498"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3"/>
      <c r="AV6" s="3"/>
      <c r="AW6" s="3"/>
      <c r="AX6" s="3"/>
      <c r="AY6" s="3"/>
      <c r="AZ6" s="3"/>
      <c r="BA6" s="3"/>
      <c r="BB6" s="3"/>
    </row>
    <row r="7" spans="1:54"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3"/>
      <c r="AV7" s="3"/>
      <c r="AW7" s="3"/>
      <c r="AX7" s="3"/>
      <c r="AY7" s="3"/>
      <c r="AZ7" s="3"/>
      <c r="BA7" s="3"/>
      <c r="BB7" s="3"/>
    </row>
    <row r="8" spans="1:54" ht="12.75"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3"/>
      <c r="AV8" s="3"/>
      <c r="AW8" s="3"/>
      <c r="AX8" s="3"/>
      <c r="AY8" s="3"/>
      <c r="AZ8" s="3"/>
      <c r="BA8" s="3"/>
      <c r="BB8" s="3"/>
    </row>
    <row r="9" spans="1:54" ht="12.75"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3"/>
      <c r="AV9" s="3"/>
      <c r="AW9" s="3"/>
      <c r="AX9" s="3"/>
      <c r="AY9" s="3"/>
      <c r="AZ9" s="3"/>
      <c r="BA9" s="3"/>
      <c r="BB9" s="3"/>
    </row>
    <row r="10" spans="1:54" ht="12.75" customHeight="1">
      <c r="A10" s="52"/>
      <c r="B10" s="52"/>
      <c r="C10" s="52"/>
      <c r="D10" s="307" t="s">
        <v>301</v>
      </c>
      <c r="E10" s="307"/>
      <c r="F10" s="385">
        <v>640</v>
      </c>
      <c r="G10" s="307" t="s">
        <v>348</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3"/>
      <c r="AV10" s="3"/>
      <c r="AW10" s="3"/>
      <c r="AX10" s="3"/>
      <c r="AY10" s="3"/>
      <c r="AZ10" s="3"/>
      <c r="BA10" s="3"/>
      <c r="BB10" s="3"/>
    </row>
    <row r="11" spans="1:54" ht="12.75"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52"/>
      <c r="AT11" s="52"/>
      <c r="AU11" s="3"/>
      <c r="AV11" s="3"/>
      <c r="AW11" s="3"/>
      <c r="AX11" s="3"/>
      <c r="AY11" s="3"/>
      <c r="AZ11" s="3"/>
      <c r="BA11" s="3"/>
      <c r="BB11" s="3"/>
    </row>
    <row r="12" spans="1:54"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10"/>
      <c r="AT12" s="310"/>
      <c r="AU12" s="3"/>
      <c r="AV12" s="3"/>
      <c r="AW12" s="3"/>
      <c r="AX12" s="3"/>
      <c r="AY12" s="3"/>
      <c r="AZ12" s="3"/>
      <c r="BA12" s="3"/>
      <c r="BB12" s="3"/>
    </row>
    <row r="13" spans="1:54"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87"/>
      <c r="AT13" s="387"/>
      <c r="AU13" s="3"/>
      <c r="AV13" s="3"/>
      <c r="AW13" s="3"/>
      <c r="AX13" s="3"/>
      <c r="AY13" s="3"/>
      <c r="AZ13" s="3"/>
      <c r="BA13" s="3"/>
      <c r="BB13" s="3"/>
    </row>
    <row r="14" spans="1:54"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87"/>
      <c r="AT14" s="387"/>
      <c r="AU14" s="3"/>
      <c r="AV14" s="3"/>
      <c r="AW14" s="3"/>
      <c r="AX14" s="3"/>
      <c r="AY14" s="3"/>
      <c r="AZ14" s="3"/>
      <c r="BA14" s="3"/>
      <c r="BB14" s="3"/>
    </row>
    <row r="15" spans="1:54" ht="12.75"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30" si="5">L15-H15</f>
        <v>6.4600000000000009</v>
      </c>
      <c r="O15" s="401">
        <f t="shared" ref="O15:O30"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c r="AS15" s="402"/>
      <c r="AT15" s="402"/>
      <c r="AU15" s="3"/>
      <c r="AV15" s="3"/>
      <c r="AW15" s="3"/>
      <c r="AX15" s="3"/>
      <c r="AY15" s="3"/>
      <c r="AZ15" s="3"/>
      <c r="BA15" s="3"/>
      <c r="BB15" s="3"/>
    </row>
    <row r="16" spans="1:54" ht="12.75"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c r="AS16" s="402"/>
      <c r="AT16" s="402"/>
      <c r="AU16" s="3"/>
      <c r="AV16" s="3"/>
      <c r="AW16" s="3"/>
      <c r="AX16" s="3"/>
      <c r="AY16" s="3"/>
      <c r="AZ16" s="3"/>
      <c r="BA16" s="3"/>
      <c r="BB16" s="3"/>
    </row>
    <row r="17" spans="1:54" ht="12.75"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640</v>
      </c>
      <c r="H17" s="399">
        <f t="shared" si="2"/>
        <v>0</v>
      </c>
      <c r="I17" s="132"/>
      <c r="J17" s="396">
        <f>IFERROR(VLOOKUP($C17,'Proposed Rates'!$B:$J,J$11,FALSE),0)</f>
        <v>0</v>
      </c>
      <c r="K17" s="397">
        <f t="shared" si="3"/>
        <v>640</v>
      </c>
      <c r="L17" s="399">
        <f t="shared" si="4"/>
        <v>0</v>
      </c>
      <c r="M17" s="132"/>
      <c r="N17" s="400">
        <f t="shared" si="5"/>
        <v>0</v>
      </c>
      <c r="O17" s="401" t="str">
        <f t="shared" si="6"/>
        <v/>
      </c>
      <c r="P17" s="52"/>
      <c r="Q17" s="396">
        <f>IFERROR(VLOOKUP($C17,'Proposed Rates'!$B:$J,Q$11,FALSE),0)</f>
        <v>0</v>
      </c>
      <c r="R17" s="397">
        <f t="shared" si="7"/>
        <v>640</v>
      </c>
      <c r="S17" s="399">
        <f t="shared" si="8"/>
        <v>0</v>
      </c>
      <c r="T17" s="132"/>
      <c r="U17" s="400">
        <f t="shared" si="9"/>
        <v>0</v>
      </c>
      <c r="V17" s="401" t="str">
        <f t="shared" si="10"/>
        <v/>
      </c>
      <c r="W17" s="52"/>
      <c r="X17" s="396">
        <f>IFERROR(VLOOKUP($C17,'Proposed Rates'!$B:$J,X$11,FALSE),0)</f>
        <v>0</v>
      </c>
      <c r="Y17" s="397">
        <f t="shared" si="11"/>
        <v>640</v>
      </c>
      <c r="Z17" s="399">
        <f t="shared" si="12"/>
        <v>0</v>
      </c>
      <c r="AA17" s="132"/>
      <c r="AB17" s="400">
        <f t="shared" si="13"/>
        <v>0</v>
      </c>
      <c r="AC17" s="401" t="str">
        <f t="shared" si="14"/>
        <v/>
      </c>
      <c r="AD17" s="52"/>
      <c r="AE17" s="396">
        <f>IFERROR(VLOOKUP($C17,'Proposed Rates'!$B:$J,AE$11,FALSE),0)</f>
        <v>0</v>
      </c>
      <c r="AF17" s="397">
        <f t="shared" si="15"/>
        <v>640</v>
      </c>
      <c r="AG17" s="399">
        <f t="shared" si="16"/>
        <v>0</v>
      </c>
      <c r="AH17" s="132"/>
      <c r="AI17" s="400">
        <f t="shared" si="17"/>
        <v>0</v>
      </c>
      <c r="AJ17" s="401" t="str">
        <f t="shared" si="18"/>
        <v/>
      </c>
      <c r="AK17" s="52"/>
      <c r="AL17" s="396">
        <f>IFERROR(VLOOKUP($C17,'Proposed Rates'!$B:$J,AL$11,FALSE),0)</f>
        <v>0</v>
      </c>
      <c r="AM17" s="397">
        <f t="shared" si="19"/>
        <v>640</v>
      </c>
      <c r="AN17" s="399">
        <f t="shared" si="20"/>
        <v>0</v>
      </c>
      <c r="AO17" s="132"/>
      <c r="AP17" s="400">
        <f t="shared" si="21"/>
        <v>0</v>
      </c>
      <c r="AQ17" s="401" t="str">
        <f t="shared" si="22"/>
        <v/>
      </c>
      <c r="AR17" s="402"/>
      <c r="AS17" s="402"/>
      <c r="AT17" s="402"/>
      <c r="AU17" s="3"/>
      <c r="AV17" s="3"/>
      <c r="AW17" s="3"/>
      <c r="AX17" s="3"/>
      <c r="AY17" s="3"/>
      <c r="AZ17" s="3"/>
      <c r="BA17" s="3"/>
      <c r="BB17" s="3"/>
    </row>
    <row r="18" spans="1:54" ht="12.75"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c r="AS18" s="402"/>
      <c r="AT18" s="402"/>
      <c r="AU18" s="3"/>
      <c r="AV18" s="3"/>
      <c r="AW18" s="3"/>
      <c r="AX18" s="3"/>
      <c r="AY18" s="3"/>
      <c r="AZ18" s="3"/>
      <c r="BA18" s="3"/>
      <c r="BB18" s="3"/>
    </row>
    <row r="19" spans="1:54" ht="12.75" customHeight="1">
      <c r="A19" s="52"/>
      <c r="B19" s="321" t="s">
        <v>59</v>
      </c>
      <c r="C19" s="394" t="str">
        <f t="shared" si="0"/>
        <v>Residential.Distribution Volumetric Rate</v>
      </c>
      <c r="D19" s="395" t="s">
        <v>312</v>
      </c>
      <c r="E19" s="321"/>
      <c r="F19" s="396">
        <f>IFERROR(VLOOKUP($C19,'Proposed Rates'!$B:$J,F$11,FALSE),0)</f>
        <v>0</v>
      </c>
      <c r="G19" s="397">
        <f t="shared" si="1"/>
        <v>640</v>
      </c>
      <c r="H19" s="399">
        <f t="shared" si="2"/>
        <v>0</v>
      </c>
      <c r="I19" s="132"/>
      <c r="J19" s="396">
        <f>IFERROR(VLOOKUP($C19,'Proposed Rates'!$B:$J,J$11,FALSE),0)</f>
        <v>0</v>
      </c>
      <c r="K19" s="397">
        <f t="shared" si="3"/>
        <v>640</v>
      </c>
      <c r="L19" s="399">
        <f t="shared" si="4"/>
        <v>0</v>
      </c>
      <c r="M19" s="132"/>
      <c r="N19" s="400">
        <f t="shared" si="5"/>
        <v>0</v>
      </c>
      <c r="O19" s="401" t="str">
        <f t="shared" si="6"/>
        <v/>
      </c>
      <c r="P19" s="52"/>
      <c r="Q19" s="396">
        <f>IFERROR(VLOOKUP($C19,'Proposed Rates'!$B:$J,Q$11,FALSE),0)</f>
        <v>0</v>
      </c>
      <c r="R19" s="397">
        <f t="shared" si="7"/>
        <v>640</v>
      </c>
      <c r="S19" s="399">
        <f t="shared" si="8"/>
        <v>0</v>
      </c>
      <c r="T19" s="132"/>
      <c r="U19" s="400">
        <f t="shared" si="9"/>
        <v>0</v>
      </c>
      <c r="V19" s="401" t="str">
        <f t="shared" si="10"/>
        <v/>
      </c>
      <c r="W19" s="52"/>
      <c r="X19" s="396">
        <f>IFERROR(VLOOKUP($C19,'Proposed Rates'!$B:$J,X$11,FALSE),0)</f>
        <v>0</v>
      </c>
      <c r="Y19" s="397">
        <f t="shared" si="11"/>
        <v>640</v>
      </c>
      <c r="Z19" s="399">
        <f t="shared" si="12"/>
        <v>0</v>
      </c>
      <c r="AA19" s="132"/>
      <c r="AB19" s="400">
        <f t="shared" si="13"/>
        <v>0</v>
      </c>
      <c r="AC19" s="401" t="str">
        <f t="shared" si="14"/>
        <v/>
      </c>
      <c r="AD19" s="52"/>
      <c r="AE19" s="396">
        <f>IFERROR(VLOOKUP($C19,'Proposed Rates'!$B:$J,AE$11,FALSE),0)</f>
        <v>0</v>
      </c>
      <c r="AF19" s="397">
        <f t="shared" si="15"/>
        <v>640</v>
      </c>
      <c r="AG19" s="399">
        <f t="shared" si="16"/>
        <v>0</v>
      </c>
      <c r="AH19" s="132"/>
      <c r="AI19" s="400">
        <f t="shared" si="17"/>
        <v>0</v>
      </c>
      <c r="AJ19" s="401" t="str">
        <f t="shared" si="18"/>
        <v/>
      </c>
      <c r="AK19" s="52"/>
      <c r="AL19" s="396">
        <f>IFERROR(VLOOKUP($C19,'Proposed Rates'!$B:$J,AL$11,FALSE),0)</f>
        <v>0</v>
      </c>
      <c r="AM19" s="397">
        <f t="shared" si="19"/>
        <v>640</v>
      </c>
      <c r="AN19" s="399">
        <f t="shared" si="20"/>
        <v>0</v>
      </c>
      <c r="AO19" s="132"/>
      <c r="AP19" s="400">
        <f t="shared" si="21"/>
        <v>0</v>
      </c>
      <c r="AQ19" s="401" t="str">
        <f t="shared" si="22"/>
        <v/>
      </c>
      <c r="AR19" s="402"/>
      <c r="AS19" s="402"/>
      <c r="AT19" s="402"/>
      <c r="AU19" s="3"/>
      <c r="AV19" s="3"/>
      <c r="AW19" s="3"/>
      <c r="AX19" s="3"/>
      <c r="AY19" s="3"/>
      <c r="AZ19" s="3"/>
      <c r="BA19" s="3"/>
      <c r="BB19" s="3"/>
    </row>
    <row r="20" spans="1:54" ht="12.75" customHeight="1">
      <c r="A20" s="52"/>
      <c r="B20" s="321" t="s">
        <v>313</v>
      </c>
      <c r="C20" s="394" t="str">
        <f t="shared" si="0"/>
        <v>Residential.Smart Meter Disposition Rider</v>
      </c>
      <c r="D20" s="395" t="s">
        <v>312</v>
      </c>
      <c r="E20" s="321"/>
      <c r="F20" s="396">
        <f>IFERROR(VLOOKUP($C20,'Proposed Rates'!$B:$J,F$11,FALSE),0)</f>
        <v>0</v>
      </c>
      <c r="G20" s="397">
        <f t="shared" si="1"/>
        <v>640</v>
      </c>
      <c r="H20" s="399">
        <f t="shared" si="2"/>
        <v>0</v>
      </c>
      <c r="I20" s="132"/>
      <c r="J20" s="396">
        <f>IFERROR(VLOOKUP($C20,'Proposed Rates'!$B:$J,J$11,FALSE),0)</f>
        <v>0</v>
      </c>
      <c r="K20" s="397">
        <f t="shared" si="3"/>
        <v>640</v>
      </c>
      <c r="L20" s="399">
        <f t="shared" si="4"/>
        <v>0</v>
      </c>
      <c r="M20" s="132"/>
      <c r="N20" s="400">
        <f t="shared" si="5"/>
        <v>0</v>
      </c>
      <c r="O20" s="401" t="str">
        <f t="shared" si="6"/>
        <v/>
      </c>
      <c r="P20" s="52"/>
      <c r="Q20" s="396">
        <f>IFERROR(VLOOKUP($C20,'Proposed Rates'!$B:$J,Q$11,FALSE),0)</f>
        <v>0</v>
      </c>
      <c r="R20" s="397">
        <f t="shared" si="7"/>
        <v>640</v>
      </c>
      <c r="S20" s="399">
        <f t="shared" si="8"/>
        <v>0</v>
      </c>
      <c r="T20" s="132"/>
      <c r="U20" s="400">
        <f t="shared" si="9"/>
        <v>0</v>
      </c>
      <c r="V20" s="401" t="str">
        <f t="shared" si="10"/>
        <v/>
      </c>
      <c r="W20" s="52"/>
      <c r="X20" s="396">
        <f>IFERROR(VLOOKUP($C20,'Proposed Rates'!$B:$J,X$11,FALSE),0)</f>
        <v>0</v>
      </c>
      <c r="Y20" s="397">
        <f t="shared" si="11"/>
        <v>640</v>
      </c>
      <c r="Z20" s="399">
        <f t="shared" si="12"/>
        <v>0</v>
      </c>
      <c r="AA20" s="132"/>
      <c r="AB20" s="400">
        <f t="shared" si="13"/>
        <v>0</v>
      </c>
      <c r="AC20" s="401" t="str">
        <f t="shared" si="14"/>
        <v/>
      </c>
      <c r="AD20" s="52"/>
      <c r="AE20" s="396">
        <f>IFERROR(VLOOKUP($C20,'Proposed Rates'!$B:$J,AE$11,FALSE),0)</f>
        <v>0</v>
      </c>
      <c r="AF20" s="397">
        <f t="shared" si="15"/>
        <v>640</v>
      </c>
      <c r="AG20" s="399">
        <f t="shared" si="16"/>
        <v>0</v>
      </c>
      <c r="AH20" s="132"/>
      <c r="AI20" s="400">
        <f t="shared" si="17"/>
        <v>0</v>
      </c>
      <c r="AJ20" s="401" t="str">
        <f t="shared" si="18"/>
        <v/>
      </c>
      <c r="AK20" s="52"/>
      <c r="AL20" s="396">
        <f>IFERROR(VLOOKUP($C20,'Proposed Rates'!$B:$J,AL$11,FALSE),0)</f>
        <v>0</v>
      </c>
      <c r="AM20" s="397">
        <f t="shared" si="19"/>
        <v>640</v>
      </c>
      <c r="AN20" s="399">
        <f t="shared" si="20"/>
        <v>0</v>
      </c>
      <c r="AO20" s="132"/>
      <c r="AP20" s="400">
        <f t="shared" si="21"/>
        <v>0</v>
      </c>
      <c r="AQ20" s="401" t="str">
        <f t="shared" si="22"/>
        <v/>
      </c>
      <c r="AR20" s="402"/>
      <c r="AS20" s="402"/>
      <c r="AT20" s="402"/>
      <c r="AU20" s="3"/>
      <c r="AV20" s="3"/>
      <c r="AW20" s="3"/>
      <c r="AX20" s="3"/>
      <c r="AY20" s="3"/>
      <c r="AZ20" s="3"/>
      <c r="BA20" s="3"/>
      <c r="BB20" s="3"/>
    </row>
    <row r="21" spans="1:54" ht="12.75"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c r="AS21" s="402"/>
      <c r="AT21" s="402"/>
      <c r="AU21" s="3"/>
      <c r="AV21" s="3"/>
      <c r="AW21" s="3"/>
      <c r="AX21" s="3"/>
      <c r="AY21" s="3"/>
      <c r="AZ21" s="3"/>
      <c r="BA21" s="3"/>
      <c r="BB21" s="3"/>
    </row>
    <row r="22" spans="1:54" ht="12.75" customHeight="1">
      <c r="A22" s="52"/>
      <c r="B22" s="48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c r="AS22" s="402"/>
      <c r="AT22" s="402"/>
      <c r="AU22" s="3"/>
      <c r="AV22" s="3"/>
      <c r="AW22" s="3"/>
      <c r="AX22" s="3"/>
      <c r="AY22" s="3"/>
      <c r="AZ22" s="3"/>
      <c r="BA22" s="3"/>
      <c r="BB22" s="3"/>
    </row>
    <row r="23" spans="1:54" ht="12.75"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c r="AS23" s="402"/>
      <c r="AT23" s="402"/>
      <c r="AU23" s="3"/>
      <c r="AV23" s="3"/>
      <c r="AW23" s="3"/>
      <c r="AX23" s="3"/>
      <c r="AY23" s="3"/>
      <c r="AZ23" s="3"/>
      <c r="BA23" s="3"/>
      <c r="BB23" s="3"/>
    </row>
    <row r="24" spans="1:54" ht="12.75"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c r="AS24" s="402"/>
      <c r="AT24" s="402"/>
      <c r="AU24" s="3"/>
      <c r="AV24" s="3"/>
      <c r="AW24" s="3"/>
      <c r="AX24" s="3"/>
      <c r="AY24" s="3"/>
      <c r="AZ24" s="3"/>
      <c r="BA24" s="3"/>
      <c r="BB24" s="3"/>
    </row>
    <row r="25" spans="1:54" ht="12.75"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c r="AS25" s="402"/>
      <c r="AT25" s="402"/>
      <c r="AU25" s="3"/>
      <c r="AV25" s="3"/>
      <c r="AW25" s="3"/>
      <c r="AX25" s="3"/>
      <c r="AY25" s="3"/>
      <c r="AZ25" s="3"/>
      <c r="BA25" s="3"/>
      <c r="BB25" s="3"/>
    </row>
    <row r="26" spans="1:54" ht="12.75" customHeight="1">
      <c r="A26" s="52"/>
      <c r="B26" s="48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c r="AS26" s="402"/>
      <c r="AT26" s="402"/>
      <c r="AU26" s="3"/>
      <c r="AV26" s="3"/>
      <c r="AW26" s="3"/>
      <c r="AX26" s="3"/>
      <c r="AY26" s="3"/>
      <c r="AZ26" s="3"/>
      <c r="BA26" s="3"/>
      <c r="BB26" s="3"/>
    </row>
    <row r="27" spans="1:54" ht="12.75"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c r="AS27" s="402"/>
      <c r="AT27" s="402"/>
      <c r="AU27" s="3"/>
      <c r="AV27" s="3"/>
      <c r="AW27" s="3"/>
      <c r="AX27" s="3"/>
      <c r="AY27" s="3"/>
      <c r="AZ27" s="3"/>
      <c r="BA27" s="3"/>
      <c r="BB27" s="3"/>
    </row>
    <row r="28" spans="1:54" ht="12.75"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c r="AS28" s="402"/>
      <c r="AT28" s="402"/>
      <c r="AU28" s="3"/>
      <c r="AV28" s="3"/>
      <c r="AW28" s="3"/>
      <c r="AX28" s="3"/>
      <c r="AY28" s="3"/>
      <c r="AZ28" s="3"/>
      <c r="BA28" s="3"/>
      <c r="BB28" s="3"/>
    </row>
    <row r="29" spans="1:54" ht="12.75" customHeight="1">
      <c r="A29" s="307"/>
      <c r="B29" s="404" t="s">
        <v>314</v>
      </c>
      <c r="C29" s="405"/>
      <c r="D29" s="405"/>
      <c r="E29" s="405"/>
      <c r="F29" s="406"/>
      <c r="G29" s="499"/>
      <c r="H29" s="408">
        <f>SUM(H15:H28)</f>
        <v>34.51</v>
      </c>
      <c r="I29" s="409"/>
      <c r="J29" s="406"/>
      <c r="K29" s="499"/>
      <c r="L29" s="408">
        <f>SUM(L15:L28)</f>
        <v>40.04</v>
      </c>
      <c r="M29" s="409"/>
      <c r="N29" s="410">
        <f t="shared" si="5"/>
        <v>5.5300000000000011</v>
      </c>
      <c r="O29" s="411">
        <f t="shared" si="6"/>
        <v>0.16024340770791079</v>
      </c>
      <c r="P29" s="307"/>
      <c r="Q29" s="406"/>
      <c r="R29" s="499"/>
      <c r="S29" s="408">
        <f>SUM(S15:S28)</f>
        <v>42.64</v>
      </c>
      <c r="T29" s="409"/>
      <c r="U29" s="410">
        <f t="shared" si="9"/>
        <v>2.6000000000000014</v>
      </c>
      <c r="V29" s="411">
        <f t="shared" si="10"/>
        <v>6.4935064935064971E-2</v>
      </c>
      <c r="W29" s="307"/>
      <c r="X29" s="406"/>
      <c r="Y29" s="499"/>
      <c r="Z29" s="408">
        <f>SUM(Z15:Z28)</f>
        <v>45.47</v>
      </c>
      <c r="AA29" s="409"/>
      <c r="AB29" s="410">
        <f t="shared" si="13"/>
        <v>2.8299999999999983</v>
      </c>
      <c r="AC29" s="411">
        <f t="shared" si="14"/>
        <v>6.6369606003752302E-2</v>
      </c>
      <c r="AD29" s="307"/>
      <c r="AE29" s="406"/>
      <c r="AF29" s="499"/>
      <c r="AG29" s="408">
        <f>SUM(AG15:AG28)</f>
        <v>46.98</v>
      </c>
      <c r="AH29" s="409"/>
      <c r="AI29" s="410">
        <f t="shared" si="17"/>
        <v>1.509999999999998</v>
      </c>
      <c r="AJ29" s="411">
        <f t="shared" si="18"/>
        <v>3.3208709038926719E-2</v>
      </c>
      <c r="AK29" s="307"/>
      <c r="AL29" s="406"/>
      <c r="AM29" s="499"/>
      <c r="AN29" s="408">
        <f>SUM(AN15:AN28)</f>
        <v>48.36</v>
      </c>
      <c r="AO29" s="409"/>
      <c r="AP29" s="410">
        <f t="shared" si="21"/>
        <v>1.3800000000000026</v>
      </c>
      <c r="AQ29" s="411">
        <f t="shared" si="22"/>
        <v>2.9374201787994946E-2</v>
      </c>
      <c r="AR29" s="450"/>
      <c r="AS29" s="450"/>
      <c r="AT29" s="450"/>
      <c r="AU29" s="3"/>
      <c r="AV29" s="3"/>
      <c r="AW29" s="3"/>
      <c r="AX29" s="3"/>
      <c r="AY29" s="3"/>
      <c r="AZ29" s="3"/>
      <c r="BA29" s="3"/>
      <c r="BB29" s="3"/>
    </row>
    <row r="30" spans="1:54" ht="12.75"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640</v>
      </c>
      <c r="H30" s="399">
        <f t="shared" ref="H30:H36" si="25">G30*F30</f>
        <v>-0.128</v>
      </c>
      <c r="I30" s="132"/>
      <c r="J30" s="413">
        <f>IFERROR(VLOOKUP($C30,'Proposed Rates'!$B:$J,J$11,FALSE),0)</f>
        <v>-5.9999999999999995E-4</v>
      </c>
      <c r="K30" s="414">
        <f t="shared" ref="K30:K33" si="26">IF($D30="Monthly",1,IF($D30="per KWH",$F$10,0))</f>
        <v>640</v>
      </c>
      <c r="L30" s="399">
        <f t="shared" ref="L30:L36" si="27">K30*J30</f>
        <v>-0.38399999999999995</v>
      </c>
      <c r="M30" s="132"/>
      <c r="N30" s="400">
        <f t="shared" si="5"/>
        <v>-0.25599999999999995</v>
      </c>
      <c r="O30" s="401">
        <f t="shared" si="6"/>
        <v>1.9999999999999996</v>
      </c>
      <c r="P30" s="52"/>
      <c r="Q30" s="413">
        <f>IFERROR(VLOOKUP($C30,'Proposed Rates'!$B:$J,Q$11,FALSE),0)</f>
        <v>0</v>
      </c>
      <c r="R30" s="414">
        <f t="shared" ref="R30:R33" si="28">IF($D30="Monthly",1,IF($D30="per KWH",$F$10,0))</f>
        <v>640</v>
      </c>
      <c r="S30" s="399">
        <f t="shared" ref="S30:S36" si="29">R30*Q30</f>
        <v>0</v>
      </c>
      <c r="T30" s="132"/>
      <c r="U30" s="400">
        <f t="shared" si="9"/>
        <v>0.38399999999999995</v>
      </c>
      <c r="V30" s="401">
        <f t="shared" si="10"/>
        <v>-1</v>
      </c>
      <c r="W30" s="52"/>
      <c r="X30" s="413">
        <f>IFERROR(VLOOKUP($C30,'Proposed Rates'!$B:$J,X$11,FALSE),0)</f>
        <v>0</v>
      </c>
      <c r="Y30" s="414">
        <f t="shared" ref="Y30:Y33" si="30">IF($D30="Monthly",1,IF($D30="per KWH",$F$10,0))</f>
        <v>640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640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640</v>
      </c>
      <c r="AN30" s="399">
        <f t="shared" ref="AN30:AN36" si="35">AM30*AL30</f>
        <v>0</v>
      </c>
      <c r="AO30" s="132"/>
      <c r="AP30" s="400">
        <f t="shared" si="21"/>
        <v>0</v>
      </c>
      <c r="AQ30" s="401" t="str">
        <f t="shared" si="22"/>
        <v/>
      </c>
      <c r="AR30" s="402"/>
      <c r="AS30" s="402"/>
      <c r="AT30" s="402"/>
      <c r="AU30" s="3"/>
      <c r="AV30" s="3"/>
      <c r="AW30" s="3"/>
      <c r="AX30" s="3"/>
      <c r="AY30" s="3"/>
      <c r="AZ30" s="3"/>
      <c r="BA30" s="3"/>
      <c r="BB30" s="3"/>
    </row>
    <row r="31" spans="1:54" ht="12.75" customHeight="1">
      <c r="A31" s="52"/>
      <c r="B31" s="483" t="s">
        <v>239</v>
      </c>
      <c r="C31" s="394" t="str">
        <f t="shared" si="23"/>
        <v>Residential.DVA Disposition Rate Rider Group 1 - 2024</v>
      </c>
      <c r="D31" s="395" t="s">
        <v>312</v>
      </c>
      <c r="E31" s="321"/>
      <c r="F31" s="413">
        <f>IFERROR(VLOOKUP($C31,'Proposed Rates'!$B:$J,F$11,FALSE),0)</f>
        <v>0</v>
      </c>
      <c r="G31" s="414">
        <f t="shared" si="24"/>
        <v>640</v>
      </c>
      <c r="H31" s="497">
        <f t="shared" si="25"/>
        <v>0</v>
      </c>
      <c r="I31" s="484"/>
      <c r="J31" s="413">
        <f>IFERROR(VLOOKUP($C31,'Proposed Rates'!$B:$J,J$11,FALSE),0)</f>
        <v>0</v>
      </c>
      <c r="K31" s="414">
        <f t="shared" si="26"/>
        <v>640</v>
      </c>
      <c r="L31" s="497">
        <f t="shared" si="27"/>
        <v>0</v>
      </c>
      <c r="M31" s="416"/>
      <c r="N31" s="400"/>
      <c r="O31" s="401"/>
      <c r="P31" s="52"/>
      <c r="Q31" s="413">
        <f>IFERROR(VLOOKUP($C31,'Proposed Rates'!$B:$J,Q$11,FALSE),0)</f>
        <v>0</v>
      </c>
      <c r="R31" s="414">
        <f t="shared" si="28"/>
        <v>640</v>
      </c>
      <c r="S31" s="497">
        <f t="shared" si="29"/>
        <v>0</v>
      </c>
      <c r="T31" s="416"/>
      <c r="U31" s="400">
        <f t="shared" si="9"/>
        <v>0</v>
      </c>
      <c r="V31" s="401" t="str">
        <f t="shared" si="10"/>
        <v/>
      </c>
      <c r="W31" s="52"/>
      <c r="X31" s="413">
        <f>IFERROR(VLOOKUP($C31,'Proposed Rates'!$B:$J,X$11,FALSE),0)</f>
        <v>0</v>
      </c>
      <c r="Y31" s="414">
        <f t="shared" si="30"/>
        <v>640</v>
      </c>
      <c r="Z31" s="497">
        <f t="shared" si="31"/>
        <v>0</v>
      </c>
      <c r="AA31" s="416"/>
      <c r="AB31" s="400">
        <f t="shared" si="13"/>
        <v>0</v>
      </c>
      <c r="AC31" s="401" t="str">
        <f t="shared" si="14"/>
        <v/>
      </c>
      <c r="AD31" s="52"/>
      <c r="AE31" s="413">
        <f>IFERROR(VLOOKUP($C31,'Proposed Rates'!$B:$J,AE$11,FALSE),0)</f>
        <v>0</v>
      </c>
      <c r="AF31" s="414">
        <f t="shared" si="32"/>
        <v>640</v>
      </c>
      <c r="AG31" s="497">
        <f t="shared" si="33"/>
        <v>0</v>
      </c>
      <c r="AH31" s="416"/>
      <c r="AI31" s="400">
        <f t="shared" si="17"/>
        <v>0</v>
      </c>
      <c r="AJ31" s="401" t="str">
        <f t="shared" si="18"/>
        <v/>
      </c>
      <c r="AK31" s="52"/>
      <c r="AL31" s="413">
        <f>IFERROR(VLOOKUP($C31,'Proposed Rates'!$B:$J,AL$11,FALSE),0)</f>
        <v>0</v>
      </c>
      <c r="AM31" s="414">
        <f t="shared" si="34"/>
        <v>640</v>
      </c>
      <c r="AN31" s="497">
        <f t="shared" si="35"/>
        <v>0</v>
      </c>
      <c r="AO31" s="416"/>
      <c r="AP31" s="400">
        <f t="shared" si="21"/>
        <v>0</v>
      </c>
      <c r="AQ31" s="401" t="str">
        <f t="shared" si="22"/>
        <v/>
      </c>
      <c r="AR31" s="402"/>
      <c r="AS31" s="402"/>
      <c r="AT31" s="402"/>
      <c r="AU31" s="3"/>
      <c r="AV31" s="3"/>
      <c r="AW31" s="3"/>
      <c r="AX31" s="3"/>
      <c r="AY31" s="3"/>
      <c r="AZ31" s="3"/>
      <c r="BA31" s="3"/>
      <c r="BB31" s="3"/>
    </row>
    <row r="32" spans="1:54" ht="12.75" customHeight="1">
      <c r="A32" s="52"/>
      <c r="B32" s="483" t="s">
        <v>247</v>
      </c>
      <c r="C32" s="394" t="str">
        <f t="shared" si="23"/>
        <v>Residential.CBR Class B Rate Riders</v>
      </c>
      <c r="D32" s="395" t="s">
        <v>312</v>
      </c>
      <c r="E32" s="321"/>
      <c r="F32" s="413">
        <f>IFERROR(VLOOKUP($C32,'Proposed Rates'!$B:$J,F$11,FALSE),0)</f>
        <v>2.0000000000000001E-4</v>
      </c>
      <c r="G32" s="414">
        <f t="shared" si="24"/>
        <v>640</v>
      </c>
      <c r="H32" s="399">
        <f t="shared" si="25"/>
        <v>0.128</v>
      </c>
      <c r="I32" s="484"/>
      <c r="J32" s="413">
        <f>IFERROR(VLOOKUP($C32,'Proposed Rates'!$B:$J,J$11,FALSE),0)</f>
        <v>4.0000000000000002E-4</v>
      </c>
      <c r="K32" s="414">
        <f t="shared" si="26"/>
        <v>640</v>
      </c>
      <c r="L32" s="399">
        <f t="shared" si="27"/>
        <v>0.25600000000000001</v>
      </c>
      <c r="M32" s="416"/>
      <c r="N32" s="400">
        <f t="shared" ref="N32:N48" si="36">L32-H32</f>
        <v>0.128</v>
      </c>
      <c r="O32" s="401">
        <f t="shared" ref="O32:O48" si="37">IF((H32)=0,"",(N32/H32))</f>
        <v>1</v>
      </c>
      <c r="P32" s="52"/>
      <c r="Q32" s="413">
        <f>IFERROR(VLOOKUP($C32,'Proposed Rates'!$B:$J,Q$11,FALSE),0)</f>
        <v>0</v>
      </c>
      <c r="R32" s="414">
        <f t="shared" si="28"/>
        <v>640</v>
      </c>
      <c r="S32" s="399">
        <f t="shared" si="29"/>
        <v>0</v>
      </c>
      <c r="T32" s="416"/>
      <c r="U32" s="400">
        <f t="shared" si="9"/>
        <v>-0.25600000000000001</v>
      </c>
      <c r="V32" s="401">
        <f t="shared" si="10"/>
        <v>-1</v>
      </c>
      <c r="W32" s="52"/>
      <c r="X32" s="413">
        <f>IFERROR(VLOOKUP($C32,'Proposed Rates'!$B:$J,X$11,FALSE),0)</f>
        <v>0</v>
      </c>
      <c r="Y32" s="414">
        <f t="shared" si="30"/>
        <v>640</v>
      </c>
      <c r="Z32" s="399">
        <f t="shared" si="31"/>
        <v>0</v>
      </c>
      <c r="AA32" s="416"/>
      <c r="AB32" s="400">
        <f t="shared" si="13"/>
        <v>0</v>
      </c>
      <c r="AC32" s="401" t="str">
        <f t="shared" si="14"/>
        <v/>
      </c>
      <c r="AD32" s="52"/>
      <c r="AE32" s="413">
        <f>IFERROR(VLOOKUP($C32,'Proposed Rates'!$B:$J,AE$11,FALSE),0)</f>
        <v>0</v>
      </c>
      <c r="AF32" s="414">
        <f t="shared" si="32"/>
        <v>640</v>
      </c>
      <c r="AG32" s="399">
        <f t="shared" si="33"/>
        <v>0</v>
      </c>
      <c r="AH32" s="416"/>
      <c r="AI32" s="400">
        <f t="shared" si="17"/>
        <v>0</v>
      </c>
      <c r="AJ32" s="401" t="str">
        <f t="shared" si="18"/>
        <v/>
      </c>
      <c r="AK32" s="52"/>
      <c r="AL32" s="413">
        <f>IFERROR(VLOOKUP($C32,'Proposed Rates'!$B:$J,AL$11,FALSE),0)</f>
        <v>0</v>
      </c>
      <c r="AM32" s="414">
        <f t="shared" si="34"/>
        <v>640</v>
      </c>
      <c r="AN32" s="399">
        <f t="shared" si="35"/>
        <v>0</v>
      </c>
      <c r="AO32" s="416"/>
      <c r="AP32" s="400">
        <f t="shared" si="21"/>
        <v>0</v>
      </c>
      <c r="AQ32" s="401" t="str">
        <f t="shared" si="22"/>
        <v/>
      </c>
      <c r="AR32" s="402"/>
      <c r="AS32" s="402"/>
      <c r="AT32" s="402"/>
      <c r="AU32" s="3"/>
      <c r="AV32" s="3"/>
      <c r="AW32" s="3"/>
      <c r="AX32" s="3"/>
      <c r="AY32" s="3"/>
      <c r="AZ32" s="3"/>
      <c r="BA32" s="3"/>
      <c r="BB32" s="3"/>
    </row>
    <row r="33" spans="1:54" ht="12.75" customHeight="1">
      <c r="A33" s="52"/>
      <c r="B33" s="483" t="s">
        <v>315</v>
      </c>
      <c r="C33" s="394" t="str">
        <f t="shared" si="23"/>
        <v>Residential.GA Disposition Rate Rider-NonRPP</v>
      </c>
      <c r="D33" s="395" t="s">
        <v>312</v>
      </c>
      <c r="E33" s="321"/>
      <c r="F33" s="413">
        <f>IFERROR(VLOOKUP($C33,'Proposed Rates'!$B:$J,F$11,FALSE),0)</f>
        <v>0</v>
      </c>
      <c r="G33" s="414">
        <f t="shared" si="24"/>
        <v>640</v>
      </c>
      <c r="H33" s="399">
        <f t="shared" si="25"/>
        <v>0</v>
      </c>
      <c r="I33" s="484"/>
      <c r="J33" s="413">
        <f>IFERROR(VLOOKUP($C33,'Proposed Rates'!$B:$J,J$11,FALSE),0)</f>
        <v>0</v>
      </c>
      <c r="K33" s="414">
        <f t="shared" si="26"/>
        <v>640</v>
      </c>
      <c r="L33" s="399">
        <f t="shared" si="27"/>
        <v>0</v>
      </c>
      <c r="M33" s="416"/>
      <c r="N33" s="400">
        <f t="shared" si="36"/>
        <v>0</v>
      </c>
      <c r="O33" s="401" t="str">
        <f t="shared" si="37"/>
        <v/>
      </c>
      <c r="P33" s="52"/>
      <c r="Q33" s="413">
        <f>IFERROR(VLOOKUP($C33,'Proposed Rates'!$B:$J,Q$11,FALSE),0)</f>
        <v>0</v>
      </c>
      <c r="R33" s="414">
        <f t="shared" si="28"/>
        <v>640</v>
      </c>
      <c r="S33" s="399">
        <f t="shared" si="29"/>
        <v>0</v>
      </c>
      <c r="T33" s="416"/>
      <c r="U33" s="400">
        <f t="shared" si="9"/>
        <v>0</v>
      </c>
      <c r="V33" s="401" t="str">
        <f t="shared" si="10"/>
        <v/>
      </c>
      <c r="W33" s="52"/>
      <c r="X33" s="413">
        <f>IFERROR(VLOOKUP($C33,'Proposed Rates'!$B:$J,X$11,FALSE),0)</f>
        <v>0</v>
      </c>
      <c r="Y33" s="414">
        <f t="shared" si="30"/>
        <v>640</v>
      </c>
      <c r="Z33" s="399">
        <f t="shared" si="31"/>
        <v>0</v>
      </c>
      <c r="AA33" s="416"/>
      <c r="AB33" s="400">
        <f t="shared" si="13"/>
        <v>0</v>
      </c>
      <c r="AC33" s="401" t="str">
        <f t="shared" si="14"/>
        <v/>
      </c>
      <c r="AD33" s="52"/>
      <c r="AE33" s="413">
        <f>IFERROR(VLOOKUP($C33,'Proposed Rates'!$B:$J,AE$11,FALSE),0)</f>
        <v>0</v>
      </c>
      <c r="AF33" s="414">
        <f t="shared" si="32"/>
        <v>640</v>
      </c>
      <c r="AG33" s="399">
        <f t="shared" si="33"/>
        <v>0</v>
      </c>
      <c r="AH33" s="416"/>
      <c r="AI33" s="400">
        <f t="shared" si="17"/>
        <v>0</v>
      </c>
      <c r="AJ33" s="401" t="str">
        <f t="shared" si="18"/>
        <v/>
      </c>
      <c r="AK33" s="52"/>
      <c r="AL33" s="413">
        <f>IFERROR(VLOOKUP($C33,'Proposed Rates'!$B:$J,AL$11,FALSE),0)</f>
        <v>0</v>
      </c>
      <c r="AM33" s="414">
        <f t="shared" si="34"/>
        <v>640</v>
      </c>
      <c r="AN33" s="399">
        <f t="shared" si="35"/>
        <v>0</v>
      </c>
      <c r="AO33" s="416"/>
      <c r="AP33" s="400">
        <f t="shared" si="21"/>
        <v>0</v>
      </c>
      <c r="AQ33" s="401" t="str">
        <f t="shared" si="22"/>
        <v/>
      </c>
      <c r="AR33" s="402"/>
      <c r="AS33" s="402"/>
      <c r="AT33" s="402"/>
      <c r="AU33" s="3"/>
      <c r="AV33" s="3"/>
      <c r="AW33" s="3"/>
      <c r="AX33" s="3"/>
      <c r="AY33" s="3"/>
      <c r="AZ33" s="3"/>
      <c r="BA33" s="3"/>
      <c r="BB33" s="3"/>
    </row>
    <row r="34" spans="1:54" ht="12.75" customHeight="1">
      <c r="A34" s="52"/>
      <c r="B34" s="321" t="s">
        <v>273</v>
      </c>
      <c r="C34" s="394" t="str">
        <f t="shared" si="23"/>
        <v>Residential.Low Voltage Service Charge</v>
      </c>
      <c r="D34" s="395" t="s">
        <v>312</v>
      </c>
      <c r="E34" s="321"/>
      <c r="F34" s="417">
        <f>IFERROR(VLOOKUP($C34,'Proposed Rates'!$B:$J,F$11,FALSE),0)</f>
        <v>5.0000000000000002E-5</v>
      </c>
      <c r="G34" s="418">
        <f>$F$10*(1+F$63)</f>
        <v>661.63200000000006</v>
      </c>
      <c r="H34" s="399">
        <f t="shared" si="25"/>
        <v>3.3081600000000003E-2</v>
      </c>
      <c r="I34" s="132"/>
      <c r="J34" s="417">
        <f>IFERROR(VLOOKUP($C34,'Proposed Rates'!$B:$J,J$11,FALSE),0)</f>
        <v>6.9999999999999994E-5</v>
      </c>
      <c r="K34" s="418">
        <f>$F$10*(1+J$63)</f>
        <v>661.24799999999993</v>
      </c>
      <c r="L34" s="399">
        <f t="shared" si="27"/>
        <v>4.6287359999999993E-2</v>
      </c>
      <c r="M34" s="132"/>
      <c r="N34" s="400">
        <f t="shared" si="36"/>
        <v>1.320575999999999E-2</v>
      </c>
      <c r="O34" s="401">
        <f t="shared" si="37"/>
        <v>0.39918746372605884</v>
      </c>
      <c r="P34" s="52"/>
      <c r="Q34" s="417">
        <f>IFERROR(VLOOKUP($C34,'Proposed Rates'!$B:$J,Q$11,FALSE),0)</f>
        <v>6.9999999999999994E-5</v>
      </c>
      <c r="R34" s="418">
        <f>$F$10*(1+Q$63)</f>
        <v>661.24799999999993</v>
      </c>
      <c r="S34" s="399">
        <f t="shared" si="29"/>
        <v>4.6287359999999993E-2</v>
      </c>
      <c r="T34" s="132"/>
      <c r="U34" s="400">
        <f t="shared" si="9"/>
        <v>0</v>
      </c>
      <c r="V34" s="401">
        <f t="shared" si="10"/>
        <v>0</v>
      </c>
      <c r="W34" s="52"/>
      <c r="X34" s="417">
        <f>IFERROR(VLOOKUP($C34,'Proposed Rates'!$B:$J,X$11,FALSE),0)</f>
        <v>8.0000000000000007E-5</v>
      </c>
      <c r="Y34" s="418">
        <f>$F$10*(1+X$63)</f>
        <v>661.24799999999993</v>
      </c>
      <c r="Z34" s="399">
        <f t="shared" si="31"/>
        <v>5.2899839999999997E-2</v>
      </c>
      <c r="AA34" s="132"/>
      <c r="AB34" s="400">
        <f t="shared" si="13"/>
        <v>6.6124800000000039E-3</v>
      </c>
      <c r="AC34" s="401">
        <f t="shared" si="14"/>
        <v>0.14285714285714296</v>
      </c>
      <c r="AD34" s="52"/>
      <c r="AE34" s="417">
        <f>IFERROR(VLOOKUP($C34,'Proposed Rates'!$B:$J,AE$11,FALSE),0)</f>
        <v>8.0000000000000007E-5</v>
      </c>
      <c r="AF34" s="418">
        <f>$F$10*(1+AE$63)</f>
        <v>661.24799999999993</v>
      </c>
      <c r="AG34" s="399">
        <f t="shared" si="33"/>
        <v>5.2899839999999997E-2</v>
      </c>
      <c r="AH34" s="132"/>
      <c r="AI34" s="400">
        <f t="shared" si="17"/>
        <v>0</v>
      </c>
      <c r="AJ34" s="401">
        <f t="shared" si="18"/>
        <v>0</v>
      </c>
      <c r="AK34" s="52"/>
      <c r="AL34" s="417">
        <f>IFERROR(VLOOKUP($C34,'Proposed Rates'!$B:$J,AL$11,FALSE),0)</f>
        <v>8.0000000000000007E-5</v>
      </c>
      <c r="AM34" s="418">
        <f>$F$10*(1+AL$63)</f>
        <v>661.24799999999993</v>
      </c>
      <c r="AN34" s="399">
        <f t="shared" si="35"/>
        <v>5.2899839999999997E-2</v>
      </c>
      <c r="AO34" s="132"/>
      <c r="AP34" s="400">
        <f t="shared" si="21"/>
        <v>0</v>
      </c>
      <c r="AQ34" s="401">
        <f t="shared" si="22"/>
        <v>0</v>
      </c>
      <c r="AR34" s="402"/>
      <c r="AS34" s="402"/>
      <c r="AT34" s="402"/>
      <c r="AU34" s="3"/>
      <c r="AV34" s="3"/>
      <c r="AW34" s="3"/>
      <c r="AX34" s="3"/>
      <c r="AY34" s="3"/>
      <c r="AZ34" s="3"/>
      <c r="BA34" s="3"/>
      <c r="BB34" s="3"/>
    </row>
    <row r="35" spans="1:54" ht="12.75" customHeight="1">
      <c r="A35" s="52"/>
      <c r="B35" s="321" t="s">
        <v>316</v>
      </c>
      <c r="C35" s="394" t="str">
        <f t="shared" si="23"/>
        <v>Residential.Line Losses on Cost of Power</v>
      </c>
      <c r="D35" s="395" t="s">
        <v>312</v>
      </c>
      <c r="E35" s="321"/>
      <c r="F35" s="419">
        <f>'Proposed Rates'!$K$253*F$44+'Proposed Rates'!$K$254*F$46+'Proposed Rates'!$K$255*F$45</f>
        <v>0.12751999999999999</v>
      </c>
      <c r="G35" s="420">
        <f>$F$10*(1+F$63)-$F$10</f>
        <v>21.632000000000062</v>
      </c>
      <c r="H35" s="399">
        <f t="shared" si="25"/>
        <v>2.7585126400000077</v>
      </c>
      <c r="I35" s="132"/>
      <c r="J35" s="419">
        <f>'Proposed Rates'!$K$253*J$44+'Proposed Rates'!$K$254*J$46+'Proposed Rates'!$K$255*J$45</f>
        <v>0.12751999999999999</v>
      </c>
      <c r="K35" s="420">
        <f>$F$10*(1+J$63)-$F$10</f>
        <v>21.247999999999934</v>
      </c>
      <c r="L35" s="399">
        <f t="shared" si="27"/>
        <v>2.7095449599999912</v>
      </c>
      <c r="M35" s="132"/>
      <c r="N35" s="400">
        <f t="shared" si="36"/>
        <v>-4.89676800000165E-2</v>
      </c>
      <c r="O35" s="401">
        <f t="shared" si="37"/>
        <v>-1.7751479289946762E-2</v>
      </c>
      <c r="P35" s="52"/>
      <c r="Q35" s="419">
        <f>'Proposed Rates'!$K$253*Q$44+'Proposed Rates'!$K$254*Q$46+'Proposed Rates'!$K$255*Q$45</f>
        <v>0.12751999999999999</v>
      </c>
      <c r="R35" s="420">
        <f>$F$10*(1+Q$63)-$F$10</f>
        <v>21.247999999999934</v>
      </c>
      <c r="S35" s="399">
        <f t="shared" si="29"/>
        <v>2.7095449599999912</v>
      </c>
      <c r="T35" s="132"/>
      <c r="U35" s="400">
        <f t="shared" si="9"/>
        <v>0</v>
      </c>
      <c r="V35" s="401">
        <f t="shared" si="10"/>
        <v>0</v>
      </c>
      <c r="W35" s="52"/>
      <c r="X35" s="419">
        <f>'Proposed Rates'!$K$253*X$44+'Proposed Rates'!$K$254*X$46+'Proposed Rates'!$K$255*X$45</f>
        <v>0.12751999999999999</v>
      </c>
      <c r="Y35" s="420">
        <f>$F$10*(1+X$63)-$F$10</f>
        <v>21.247999999999934</v>
      </c>
      <c r="Z35" s="399">
        <f t="shared" si="31"/>
        <v>2.7095449599999912</v>
      </c>
      <c r="AA35" s="132"/>
      <c r="AB35" s="400">
        <f t="shared" si="13"/>
        <v>0</v>
      </c>
      <c r="AC35" s="401">
        <f t="shared" si="14"/>
        <v>0</v>
      </c>
      <c r="AD35" s="52"/>
      <c r="AE35" s="419">
        <f>'Proposed Rates'!$K$253*AE$44+'Proposed Rates'!$K$254*AE$46+'Proposed Rates'!$K$255*AE$45</f>
        <v>0.12751999999999999</v>
      </c>
      <c r="AF35" s="420">
        <f>$F$10*(1+AE$63)-$F$10</f>
        <v>21.247999999999934</v>
      </c>
      <c r="AG35" s="399">
        <f t="shared" si="33"/>
        <v>2.7095449599999912</v>
      </c>
      <c r="AH35" s="132"/>
      <c r="AI35" s="400">
        <f t="shared" si="17"/>
        <v>0</v>
      </c>
      <c r="AJ35" s="401">
        <f t="shared" si="18"/>
        <v>0</v>
      </c>
      <c r="AK35" s="52"/>
      <c r="AL35" s="419">
        <f>'Proposed Rates'!$K$253*AL$44+'Proposed Rates'!$K$254*AL$46+'Proposed Rates'!$K$255*AL$45</f>
        <v>0.12751999999999999</v>
      </c>
      <c r="AM35" s="420">
        <f>$F$10*(1+AL$63)-$F$10</f>
        <v>21.247999999999934</v>
      </c>
      <c r="AN35" s="399">
        <f t="shared" si="35"/>
        <v>2.7095449599999912</v>
      </c>
      <c r="AO35" s="132"/>
      <c r="AP35" s="400">
        <f t="shared" si="21"/>
        <v>0</v>
      </c>
      <c r="AQ35" s="401">
        <f t="shared" si="22"/>
        <v>0</v>
      </c>
      <c r="AR35" s="402"/>
      <c r="AS35" s="402"/>
      <c r="AT35" s="402"/>
      <c r="AU35" s="3"/>
      <c r="AV35" s="3"/>
      <c r="AW35" s="3"/>
      <c r="AX35" s="3"/>
      <c r="AY35" s="3"/>
      <c r="AZ35" s="3"/>
      <c r="BA35" s="3"/>
      <c r="BB35" s="3"/>
    </row>
    <row r="36" spans="1:54" ht="12.75"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36"/>
        <v>0</v>
      </c>
      <c r="O36" s="401">
        <f t="shared" si="37"/>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c r="AS36" s="402"/>
      <c r="AT36" s="402"/>
      <c r="AU36" s="3"/>
      <c r="AV36" s="3"/>
      <c r="AW36" s="3"/>
      <c r="AX36" s="3"/>
      <c r="AY36" s="3"/>
      <c r="AZ36" s="3"/>
      <c r="BA36" s="3"/>
      <c r="BB36" s="3"/>
    </row>
    <row r="37" spans="1:54" ht="12.75" customHeight="1">
      <c r="A37" s="52"/>
      <c r="B37" s="485" t="s">
        <v>317</v>
      </c>
      <c r="C37" s="421"/>
      <c r="D37" s="421"/>
      <c r="E37" s="421"/>
      <c r="F37" s="422"/>
      <c r="G37" s="500"/>
      <c r="H37" s="408">
        <f>SUM(H30:H36)+H29</f>
        <v>37.721594240000009</v>
      </c>
      <c r="I37" s="424"/>
      <c r="J37" s="422"/>
      <c r="K37" s="500"/>
      <c r="L37" s="408">
        <f>SUM(L30:L36)+L29</f>
        <v>43.08783231999999</v>
      </c>
      <c r="M37" s="424"/>
      <c r="N37" s="410">
        <f t="shared" si="36"/>
        <v>5.3662380799999809</v>
      </c>
      <c r="O37" s="411">
        <f t="shared" si="37"/>
        <v>0.14225904785088903</v>
      </c>
      <c r="P37" s="52"/>
      <c r="Q37" s="422"/>
      <c r="R37" s="500"/>
      <c r="S37" s="408">
        <f>SUM(S30:S36)+S29</f>
        <v>45.815832319999991</v>
      </c>
      <c r="T37" s="424"/>
      <c r="U37" s="410">
        <f t="shared" si="9"/>
        <v>2.7280000000000015</v>
      </c>
      <c r="V37" s="411">
        <f t="shared" si="10"/>
        <v>6.3312537510357689E-2</v>
      </c>
      <c r="W37" s="52"/>
      <c r="X37" s="422"/>
      <c r="Y37" s="500"/>
      <c r="Z37" s="408">
        <f>SUM(Z30:Z36)+Z29</f>
        <v>48.662444799999989</v>
      </c>
      <c r="AA37" s="424"/>
      <c r="AB37" s="410">
        <f t="shared" si="13"/>
        <v>2.8466124799999974</v>
      </c>
      <c r="AC37" s="411">
        <f t="shared" si="14"/>
        <v>6.2131633015370655E-2</v>
      </c>
      <c r="AD37" s="52"/>
      <c r="AE37" s="422"/>
      <c r="AF37" s="500"/>
      <c r="AG37" s="408">
        <f>SUM(AG30:AG36)+AG29</f>
        <v>50.182444799999985</v>
      </c>
      <c r="AH37" s="424"/>
      <c r="AI37" s="410">
        <f t="shared" si="17"/>
        <v>1.519999999999996</v>
      </c>
      <c r="AJ37" s="411">
        <f t="shared" si="18"/>
        <v>3.1235586420844938E-2</v>
      </c>
      <c r="AK37" s="52"/>
      <c r="AL37" s="422"/>
      <c r="AM37" s="500"/>
      <c r="AN37" s="408">
        <f>SUM(AN30:AN36)+AN29</f>
        <v>51.572444799999992</v>
      </c>
      <c r="AO37" s="424"/>
      <c r="AP37" s="410">
        <f t="shared" si="21"/>
        <v>1.3900000000000077</v>
      </c>
      <c r="AQ37" s="411">
        <f t="shared" si="22"/>
        <v>2.7698929486990799E-2</v>
      </c>
      <c r="AR37" s="450"/>
      <c r="AS37" s="450"/>
      <c r="AT37" s="450"/>
      <c r="AU37" s="3"/>
      <c r="AV37" s="3"/>
      <c r="AW37" s="3"/>
      <c r="AX37" s="3"/>
      <c r="AY37" s="3"/>
      <c r="AZ37" s="3"/>
      <c r="BA37" s="3"/>
      <c r="BB37" s="3"/>
    </row>
    <row r="38" spans="1:54" ht="12.75" customHeight="1">
      <c r="A38" s="52"/>
      <c r="B38" s="132" t="s">
        <v>258</v>
      </c>
      <c r="C38" s="394" t="str">
        <f t="shared" ref="C38:C39" si="38">D$6&amp;"."&amp;B38</f>
        <v>Residential.RTSR - Network</v>
      </c>
      <c r="D38" s="425" t="s">
        <v>312</v>
      </c>
      <c r="E38" s="132"/>
      <c r="F38" s="413">
        <f>IFERROR(VLOOKUP($C38,'Proposed Rates'!$B:$J,F$11,FALSE),0)</f>
        <v>1.26E-2</v>
      </c>
      <c r="G38" s="418">
        <f t="shared" ref="G38:G39" si="39">$F$10*(1+F$63)</f>
        <v>661.63200000000006</v>
      </c>
      <c r="H38" s="399">
        <f t="shared" ref="H38:H39" si="40">G38*F38</f>
        <v>8.3365632000000005</v>
      </c>
      <c r="I38" s="132"/>
      <c r="J38" s="413">
        <f>IFERROR(VLOOKUP($C38,'Proposed Rates'!$B:$J,J$11,FALSE),0)</f>
        <v>1.38E-2</v>
      </c>
      <c r="K38" s="418">
        <f t="shared" ref="K38:K39" si="41">$F$10*(1+J$63)</f>
        <v>661.24799999999993</v>
      </c>
      <c r="L38" s="399">
        <f t="shared" ref="L38:L39" si="42">K38*J38</f>
        <v>9.1252223999999984</v>
      </c>
      <c r="M38" s="132"/>
      <c r="N38" s="400">
        <f t="shared" si="36"/>
        <v>0.7886591999999979</v>
      </c>
      <c r="O38" s="401">
        <f t="shared" si="37"/>
        <v>9.460243760882156E-2</v>
      </c>
      <c r="P38" s="52"/>
      <c r="Q38" s="413">
        <f>IFERROR(VLOOKUP($C38,'Proposed Rates'!$B:$J,Q$11,FALSE),0)</f>
        <v>1.38E-2</v>
      </c>
      <c r="R38" s="418">
        <f t="shared" ref="R38:R39" si="43">$F$10*(1+Q$63)</f>
        <v>661.24799999999993</v>
      </c>
      <c r="S38" s="399">
        <f t="shared" ref="S38:S39" si="44">R38*Q38</f>
        <v>9.1252223999999984</v>
      </c>
      <c r="T38" s="132"/>
      <c r="U38" s="400">
        <f t="shared" si="9"/>
        <v>0</v>
      </c>
      <c r="V38" s="401">
        <f t="shared" si="10"/>
        <v>0</v>
      </c>
      <c r="W38" s="52"/>
      <c r="X38" s="413">
        <f>IFERROR(VLOOKUP($C38,'Proposed Rates'!$B:$J,X$11,FALSE),0)</f>
        <v>1.38E-2</v>
      </c>
      <c r="Y38" s="418">
        <f t="shared" ref="Y38:Y39" si="45">$F$10*(1+X$63)</f>
        <v>661.24799999999993</v>
      </c>
      <c r="Z38" s="399">
        <f t="shared" ref="Z38:Z39" si="46">Y38*X38</f>
        <v>9.1252223999999984</v>
      </c>
      <c r="AA38" s="132"/>
      <c r="AB38" s="400">
        <f t="shared" si="13"/>
        <v>0</v>
      </c>
      <c r="AC38" s="401">
        <f t="shared" si="14"/>
        <v>0</v>
      </c>
      <c r="AD38" s="52"/>
      <c r="AE38" s="413">
        <f>IFERROR(VLOOKUP($C38,'Proposed Rates'!$B:$J,AE$11,FALSE),0)</f>
        <v>1.38E-2</v>
      </c>
      <c r="AF38" s="418">
        <f t="shared" ref="AF38:AF39" si="47">$F$10*(1+AE$63)</f>
        <v>661.24799999999993</v>
      </c>
      <c r="AG38" s="399">
        <f t="shared" ref="AG38:AG39" si="48">AF38*AE38</f>
        <v>9.1252223999999984</v>
      </c>
      <c r="AH38" s="132"/>
      <c r="AI38" s="400">
        <f t="shared" si="17"/>
        <v>0</v>
      </c>
      <c r="AJ38" s="401">
        <f t="shared" si="18"/>
        <v>0</v>
      </c>
      <c r="AK38" s="52"/>
      <c r="AL38" s="413">
        <f>IFERROR(VLOOKUP($C38,'Proposed Rates'!$B:$J,AL$11,FALSE),0)</f>
        <v>1.38E-2</v>
      </c>
      <c r="AM38" s="418">
        <f t="shared" ref="AM38:AM39" si="49">$F$10*(1+AL$63)</f>
        <v>661.24799999999993</v>
      </c>
      <c r="AN38" s="399">
        <f t="shared" ref="AN38:AN39" si="50">AM38*AL38</f>
        <v>9.1252223999999984</v>
      </c>
      <c r="AO38" s="132"/>
      <c r="AP38" s="400">
        <f t="shared" si="21"/>
        <v>0</v>
      </c>
      <c r="AQ38" s="401">
        <f t="shared" si="22"/>
        <v>0</v>
      </c>
      <c r="AR38" s="402"/>
      <c r="AS38" s="402"/>
      <c r="AT38" s="402"/>
      <c r="AU38" s="3"/>
      <c r="AV38" s="3"/>
      <c r="AW38" s="3"/>
      <c r="AX38" s="3"/>
      <c r="AY38" s="3"/>
      <c r="AZ38" s="3"/>
      <c r="BA38" s="3"/>
      <c r="BB38" s="3"/>
    </row>
    <row r="39" spans="1:54" ht="12.75" customHeight="1">
      <c r="A39" s="52"/>
      <c r="B39" s="486" t="s">
        <v>261</v>
      </c>
      <c r="C39" s="394" t="str">
        <f t="shared" si="38"/>
        <v>Residential.RTSR - Line and Transformation Connection</v>
      </c>
      <c r="D39" s="425" t="s">
        <v>312</v>
      </c>
      <c r="E39" s="132"/>
      <c r="F39" s="413">
        <f>IFERROR(VLOOKUP($C39,'Proposed Rates'!$B:$J,F$11,FALSE),0)</f>
        <v>7.1999999999999998E-3</v>
      </c>
      <c r="G39" s="418">
        <f t="shared" si="39"/>
        <v>661.63200000000006</v>
      </c>
      <c r="H39" s="399">
        <f t="shared" si="40"/>
        <v>4.7637504000000002</v>
      </c>
      <c r="I39" s="132"/>
      <c r="J39" s="413">
        <f>IFERROR(VLOOKUP($C39,'Proposed Rates'!$B:$J,J$11,FALSE),0)</f>
        <v>7.7999999999999996E-3</v>
      </c>
      <c r="K39" s="418">
        <f t="shared" si="41"/>
        <v>661.24799999999993</v>
      </c>
      <c r="L39" s="399">
        <f t="shared" si="42"/>
        <v>5.1577343999999989</v>
      </c>
      <c r="M39" s="132"/>
      <c r="N39" s="400">
        <f t="shared" si="36"/>
        <v>0.39398399999999878</v>
      </c>
      <c r="O39" s="401">
        <f t="shared" si="37"/>
        <v>8.2704585026116981E-2</v>
      </c>
      <c r="P39" s="52"/>
      <c r="Q39" s="413">
        <f>IFERROR(VLOOKUP($C39,'Proposed Rates'!$B:$J,Q$11,FALSE),0)</f>
        <v>7.7999999999999996E-3</v>
      </c>
      <c r="R39" s="418">
        <f t="shared" si="43"/>
        <v>661.24799999999993</v>
      </c>
      <c r="S39" s="399">
        <f t="shared" si="44"/>
        <v>5.1577343999999989</v>
      </c>
      <c r="T39" s="132"/>
      <c r="U39" s="400">
        <f t="shared" si="9"/>
        <v>0</v>
      </c>
      <c r="V39" s="401">
        <f t="shared" si="10"/>
        <v>0</v>
      </c>
      <c r="W39" s="52"/>
      <c r="X39" s="413">
        <f>IFERROR(VLOOKUP($C39,'Proposed Rates'!$B:$J,X$11,FALSE),0)</f>
        <v>7.7999999999999996E-3</v>
      </c>
      <c r="Y39" s="418">
        <f t="shared" si="45"/>
        <v>661.24799999999993</v>
      </c>
      <c r="Z39" s="399">
        <f t="shared" si="46"/>
        <v>5.1577343999999989</v>
      </c>
      <c r="AA39" s="132"/>
      <c r="AB39" s="400">
        <f t="shared" si="13"/>
        <v>0</v>
      </c>
      <c r="AC39" s="401">
        <f t="shared" si="14"/>
        <v>0</v>
      </c>
      <c r="AD39" s="52"/>
      <c r="AE39" s="413">
        <f>IFERROR(VLOOKUP($C39,'Proposed Rates'!$B:$J,AE$11,FALSE),0)</f>
        <v>7.7999999999999996E-3</v>
      </c>
      <c r="AF39" s="418">
        <f t="shared" si="47"/>
        <v>661.24799999999993</v>
      </c>
      <c r="AG39" s="399">
        <f t="shared" si="48"/>
        <v>5.1577343999999989</v>
      </c>
      <c r="AH39" s="132"/>
      <c r="AI39" s="400">
        <f t="shared" si="17"/>
        <v>0</v>
      </c>
      <c r="AJ39" s="401">
        <f t="shared" si="18"/>
        <v>0</v>
      </c>
      <c r="AK39" s="52"/>
      <c r="AL39" s="413">
        <f>IFERROR(VLOOKUP($C39,'Proposed Rates'!$B:$J,AL$11,FALSE),0)</f>
        <v>7.7999999999999996E-3</v>
      </c>
      <c r="AM39" s="418">
        <f t="shared" si="49"/>
        <v>661.24799999999993</v>
      </c>
      <c r="AN39" s="399">
        <f t="shared" si="50"/>
        <v>5.1577343999999989</v>
      </c>
      <c r="AO39" s="132"/>
      <c r="AP39" s="400">
        <f t="shared" si="21"/>
        <v>0</v>
      </c>
      <c r="AQ39" s="401">
        <f t="shared" si="22"/>
        <v>0</v>
      </c>
      <c r="AR39" s="402"/>
      <c r="AS39" s="402"/>
      <c r="AT39" s="402"/>
      <c r="AU39" s="3"/>
      <c r="AV39" s="3"/>
      <c r="AW39" s="3"/>
      <c r="AX39" s="3"/>
      <c r="AY39" s="3"/>
      <c r="AZ39" s="3"/>
      <c r="BA39" s="3"/>
      <c r="BB39" s="3"/>
    </row>
    <row r="40" spans="1:54" ht="12.75" customHeight="1">
      <c r="A40" s="52"/>
      <c r="B40" s="485" t="s">
        <v>318</v>
      </c>
      <c r="C40" s="426"/>
      <c r="D40" s="426"/>
      <c r="E40" s="426"/>
      <c r="F40" s="427"/>
      <c r="G40" s="428"/>
      <c r="H40" s="408">
        <f>SUM(H37:H39)</f>
        <v>50.821907840000009</v>
      </c>
      <c r="I40" s="409"/>
      <c r="J40" s="427"/>
      <c r="K40" s="428"/>
      <c r="L40" s="408">
        <f>SUM(L37:L39)</f>
        <v>57.370789119999984</v>
      </c>
      <c r="M40" s="409"/>
      <c r="N40" s="410">
        <f t="shared" si="36"/>
        <v>6.5488812799999749</v>
      </c>
      <c r="O40" s="411">
        <f t="shared" si="37"/>
        <v>0.1288594143418913</v>
      </c>
      <c r="P40" s="52"/>
      <c r="Q40" s="427"/>
      <c r="R40" s="428"/>
      <c r="S40" s="408">
        <f>SUM(S37:S39)</f>
        <v>60.098789119999992</v>
      </c>
      <c r="T40" s="409"/>
      <c r="U40" s="410">
        <f t="shared" si="9"/>
        <v>2.7280000000000086</v>
      </c>
      <c r="V40" s="411">
        <f t="shared" si="10"/>
        <v>4.755033078408543E-2</v>
      </c>
      <c r="W40" s="52"/>
      <c r="X40" s="427"/>
      <c r="Y40" s="428"/>
      <c r="Z40" s="408">
        <f>SUM(Z37:Z39)</f>
        <v>62.945401599999983</v>
      </c>
      <c r="AA40" s="409"/>
      <c r="AB40" s="410">
        <f t="shared" si="13"/>
        <v>2.8466124799999903</v>
      </c>
      <c r="AC40" s="411">
        <f t="shared" si="14"/>
        <v>4.7365554642309418E-2</v>
      </c>
      <c r="AD40" s="52"/>
      <c r="AE40" s="427"/>
      <c r="AF40" s="428"/>
      <c r="AG40" s="408">
        <f>SUM(AG37:AG39)</f>
        <v>64.465401599999979</v>
      </c>
      <c r="AH40" s="409"/>
      <c r="AI40" s="410">
        <f t="shared" si="17"/>
        <v>1.519999999999996</v>
      </c>
      <c r="AJ40" s="411">
        <f t="shared" si="18"/>
        <v>2.4147911703847107E-2</v>
      </c>
      <c r="AK40" s="52"/>
      <c r="AL40" s="427"/>
      <c r="AM40" s="428"/>
      <c r="AN40" s="408">
        <f>SUM(AN37:AN39)</f>
        <v>65.855401599999993</v>
      </c>
      <c r="AO40" s="409"/>
      <c r="AP40" s="410">
        <f t="shared" si="21"/>
        <v>1.3900000000000148</v>
      </c>
      <c r="AQ40" s="411">
        <f t="shared" si="22"/>
        <v>2.1561953629402584E-2</v>
      </c>
      <c r="AR40" s="450"/>
      <c r="AS40" s="450"/>
      <c r="AT40" s="450"/>
      <c r="AU40" s="3"/>
      <c r="AV40" s="3"/>
      <c r="AW40" s="3"/>
      <c r="AX40" s="3"/>
      <c r="AY40" s="3"/>
      <c r="AZ40" s="3"/>
      <c r="BA40" s="3"/>
      <c r="BB40" s="3"/>
    </row>
    <row r="41" spans="1:54" ht="12.75" customHeight="1">
      <c r="A41" s="52"/>
      <c r="B41" s="487" t="s">
        <v>262</v>
      </c>
      <c r="C41" s="394" t="str">
        <f t="shared" ref="C41:C48" si="51">D$6&amp;"."&amp;B41</f>
        <v>Residential.Wholesale Market Service Charge (WMSC)</v>
      </c>
      <c r="D41" s="395" t="s">
        <v>312</v>
      </c>
      <c r="E41" s="321"/>
      <c r="F41" s="413">
        <f>IFERROR(VLOOKUP($C41,'Proposed Rates'!$B:$J,F$11,FALSE),0)</f>
        <v>4.4999999999999997E-3</v>
      </c>
      <c r="G41" s="418">
        <f t="shared" ref="G41:G42" si="52">$F$10*(1+F$63)</f>
        <v>661.63200000000006</v>
      </c>
      <c r="H41" s="399">
        <f t="shared" ref="H41:H48" si="53">G41*F41</f>
        <v>2.977344</v>
      </c>
      <c r="I41" s="132"/>
      <c r="J41" s="413">
        <f>IFERROR(VLOOKUP($C41,'Proposed Rates'!$B:$J,J$11,FALSE),0)</f>
        <v>4.7000000000000002E-3</v>
      </c>
      <c r="K41" s="418">
        <f t="shared" ref="K41:K42" si="54">$F$10*(1+J$63)</f>
        <v>661.24799999999993</v>
      </c>
      <c r="L41" s="399">
        <f t="shared" ref="L41:L48" si="55">K41*J41</f>
        <v>3.1078655999999998</v>
      </c>
      <c r="M41" s="132"/>
      <c r="N41" s="400">
        <f t="shared" si="36"/>
        <v>0.13052159999999979</v>
      </c>
      <c r="O41" s="401">
        <f t="shared" si="37"/>
        <v>4.3838266589282193E-2</v>
      </c>
      <c r="P41" s="52"/>
      <c r="Q41" s="413">
        <f>IFERROR(VLOOKUP($C41,'Proposed Rates'!$B:$J,Q$11,FALSE),0)</f>
        <v>4.7000000000000002E-3</v>
      </c>
      <c r="R41" s="418">
        <f t="shared" ref="R41:R42" si="56">$F$10*(1+Q$63)</f>
        <v>661.24799999999993</v>
      </c>
      <c r="S41" s="399">
        <f t="shared" ref="S41:S48" si="57">R41*Q41</f>
        <v>3.1078655999999998</v>
      </c>
      <c r="T41" s="132"/>
      <c r="U41" s="400">
        <f t="shared" si="9"/>
        <v>0</v>
      </c>
      <c r="V41" s="401">
        <f t="shared" si="10"/>
        <v>0</v>
      </c>
      <c r="W41" s="52"/>
      <c r="X41" s="413">
        <f>IFERROR(VLOOKUP($C41,'Proposed Rates'!$B:$J,X$11,FALSE),0)</f>
        <v>4.7000000000000002E-3</v>
      </c>
      <c r="Y41" s="418">
        <f t="shared" ref="Y41:Y42" si="58">$F$10*(1+X$63)</f>
        <v>661.24799999999993</v>
      </c>
      <c r="Z41" s="399">
        <f t="shared" ref="Z41:Z48" si="59">Y41*X41</f>
        <v>3.1078655999999998</v>
      </c>
      <c r="AA41" s="132"/>
      <c r="AB41" s="400">
        <f t="shared" si="13"/>
        <v>0</v>
      </c>
      <c r="AC41" s="401">
        <f t="shared" si="14"/>
        <v>0</v>
      </c>
      <c r="AD41" s="52"/>
      <c r="AE41" s="413">
        <f>IFERROR(VLOOKUP($C41,'Proposed Rates'!$B:$J,AE$11,FALSE),0)</f>
        <v>4.7000000000000002E-3</v>
      </c>
      <c r="AF41" s="418">
        <f t="shared" ref="AF41:AF42" si="60">$F$10*(1+AE$63)</f>
        <v>661.24799999999993</v>
      </c>
      <c r="AG41" s="399">
        <f t="shared" ref="AG41:AG48" si="61">AF41*AE41</f>
        <v>3.1078655999999998</v>
      </c>
      <c r="AH41" s="132"/>
      <c r="AI41" s="400">
        <f t="shared" si="17"/>
        <v>0</v>
      </c>
      <c r="AJ41" s="401">
        <f t="shared" si="18"/>
        <v>0</v>
      </c>
      <c r="AK41" s="52"/>
      <c r="AL41" s="413">
        <f>IFERROR(VLOOKUP($C41,'Proposed Rates'!$B:$J,AL$11,FALSE),0)</f>
        <v>4.7000000000000002E-3</v>
      </c>
      <c r="AM41" s="418">
        <f t="shared" ref="AM41:AM42" si="62">$F$10*(1+AL$63)</f>
        <v>661.24799999999993</v>
      </c>
      <c r="AN41" s="399">
        <f t="shared" ref="AN41:AN48" si="63">AM41*AL41</f>
        <v>3.1078655999999998</v>
      </c>
      <c r="AO41" s="132"/>
      <c r="AP41" s="400">
        <f t="shared" si="21"/>
        <v>0</v>
      </c>
      <c r="AQ41" s="401">
        <f t="shared" si="22"/>
        <v>0</v>
      </c>
      <c r="AR41" s="402"/>
      <c r="AS41" s="402"/>
      <c r="AT41" s="402"/>
      <c r="AU41" s="3"/>
      <c r="AV41" s="3"/>
      <c r="AW41" s="3"/>
      <c r="AX41" s="3"/>
      <c r="AY41" s="3"/>
      <c r="AZ41" s="3"/>
      <c r="BA41" s="3"/>
      <c r="BB41" s="3"/>
    </row>
    <row r="42" spans="1:54" ht="12.75" customHeight="1">
      <c r="A42" s="52"/>
      <c r="B42" s="487" t="s">
        <v>263</v>
      </c>
      <c r="C42" s="394" t="str">
        <f t="shared" si="51"/>
        <v>Residential.Rural and Remote Rate Protection (RRRP)</v>
      </c>
      <c r="D42" s="395" t="s">
        <v>312</v>
      </c>
      <c r="E42" s="321"/>
      <c r="F42" s="413">
        <f>IFERROR(VLOOKUP($C42,'Proposed Rates'!$B:$J,F$11,FALSE),0)</f>
        <v>1.5E-3</v>
      </c>
      <c r="G42" s="418">
        <f t="shared" si="52"/>
        <v>661.63200000000006</v>
      </c>
      <c r="H42" s="399">
        <f t="shared" si="53"/>
        <v>0.99244800000000011</v>
      </c>
      <c r="I42" s="132"/>
      <c r="J42" s="413">
        <f>IFERROR(VLOOKUP($C42,'Proposed Rates'!$B:$J,J$11,FALSE),0)</f>
        <v>5.9999999999999995E-4</v>
      </c>
      <c r="K42" s="418">
        <f t="shared" si="54"/>
        <v>661.24799999999993</v>
      </c>
      <c r="L42" s="399">
        <f t="shared" si="55"/>
        <v>0.3967487999999999</v>
      </c>
      <c r="M42" s="132"/>
      <c r="N42" s="400">
        <f t="shared" si="36"/>
        <v>-0.59569920000000021</v>
      </c>
      <c r="O42" s="401">
        <f t="shared" si="37"/>
        <v>-0.60023215322112611</v>
      </c>
      <c r="P42" s="52"/>
      <c r="Q42" s="413">
        <f>IFERROR(VLOOKUP($C42,'Proposed Rates'!$B:$J,Q$11,FALSE),0)</f>
        <v>5.9999999999999995E-4</v>
      </c>
      <c r="R42" s="418">
        <f t="shared" si="56"/>
        <v>661.24799999999993</v>
      </c>
      <c r="S42" s="399">
        <f t="shared" si="57"/>
        <v>0.3967487999999999</v>
      </c>
      <c r="T42" s="132"/>
      <c r="U42" s="400">
        <f t="shared" si="9"/>
        <v>0</v>
      </c>
      <c r="V42" s="401">
        <f t="shared" si="10"/>
        <v>0</v>
      </c>
      <c r="W42" s="52"/>
      <c r="X42" s="413">
        <f>IFERROR(VLOOKUP($C42,'Proposed Rates'!$B:$J,X$11,FALSE),0)</f>
        <v>5.9999999999999995E-4</v>
      </c>
      <c r="Y42" s="418">
        <f t="shared" si="58"/>
        <v>661.24799999999993</v>
      </c>
      <c r="Z42" s="399">
        <f t="shared" si="59"/>
        <v>0.3967487999999999</v>
      </c>
      <c r="AA42" s="132"/>
      <c r="AB42" s="400">
        <f t="shared" si="13"/>
        <v>0</v>
      </c>
      <c r="AC42" s="401">
        <f t="shared" si="14"/>
        <v>0</v>
      </c>
      <c r="AD42" s="52"/>
      <c r="AE42" s="413">
        <f>IFERROR(VLOOKUP($C42,'Proposed Rates'!$B:$J,AE$11,FALSE),0)</f>
        <v>5.9999999999999995E-4</v>
      </c>
      <c r="AF42" s="418">
        <f t="shared" si="60"/>
        <v>661.24799999999993</v>
      </c>
      <c r="AG42" s="399">
        <f t="shared" si="61"/>
        <v>0.3967487999999999</v>
      </c>
      <c r="AH42" s="132"/>
      <c r="AI42" s="400">
        <f t="shared" si="17"/>
        <v>0</v>
      </c>
      <c r="AJ42" s="401">
        <f t="shared" si="18"/>
        <v>0</v>
      </c>
      <c r="AK42" s="52"/>
      <c r="AL42" s="413">
        <f>IFERROR(VLOOKUP($C42,'Proposed Rates'!$B:$J,AL$11,FALSE),0)</f>
        <v>5.9999999999999995E-4</v>
      </c>
      <c r="AM42" s="418">
        <f t="shared" si="62"/>
        <v>661.24799999999993</v>
      </c>
      <c r="AN42" s="399">
        <f t="shared" si="63"/>
        <v>0.3967487999999999</v>
      </c>
      <c r="AO42" s="132"/>
      <c r="AP42" s="400">
        <f t="shared" si="21"/>
        <v>0</v>
      </c>
      <c r="AQ42" s="401">
        <f t="shared" si="22"/>
        <v>0</v>
      </c>
      <c r="AR42" s="402"/>
      <c r="AS42" s="402"/>
      <c r="AT42" s="402"/>
      <c r="AU42" s="3"/>
      <c r="AV42" s="3"/>
      <c r="AW42" s="3"/>
      <c r="AX42" s="3"/>
      <c r="AY42" s="3"/>
      <c r="AZ42" s="3"/>
      <c r="BA42" s="3"/>
      <c r="BB42" s="3"/>
    </row>
    <row r="43" spans="1:54" ht="12.75" customHeight="1">
      <c r="A43" s="52"/>
      <c r="B43" s="321" t="s">
        <v>264</v>
      </c>
      <c r="C43" s="394" t="str">
        <f t="shared" si="51"/>
        <v>Residential.Standard Supply Service Charge</v>
      </c>
      <c r="D43" s="395" t="s">
        <v>310</v>
      </c>
      <c r="E43" s="321"/>
      <c r="F43" s="413">
        <f>IFERROR(VLOOKUP($C43,'Proposed Rates'!$B:$J,F$11,FALSE),0)</f>
        <v>0.25</v>
      </c>
      <c r="G43" s="414">
        <f>IF($D43="Monthly",1,IF($D43="per KWH",$F$10,0))</f>
        <v>1</v>
      </c>
      <c r="H43" s="399">
        <f t="shared" si="53"/>
        <v>0.25</v>
      </c>
      <c r="I43" s="132"/>
      <c r="J43" s="413">
        <f>IFERROR(VLOOKUP($C43,'Proposed Rates'!$B:$J,J$11,FALSE),0)</f>
        <v>0.25</v>
      </c>
      <c r="K43" s="414">
        <f>IF($D43="Monthly",1,IF($D43="per KWH",$F$10,0))</f>
        <v>1</v>
      </c>
      <c r="L43" s="399">
        <f t="shared" si="55"/>
        <v>0.25</v>
      </c>
      <c r="M43" s="132"/>
      <c r="N43" s="400">
        <f t="shared" si="36"/>
        <v>0</v>
      </c>
      <c r="O43" s="401">
        <f t="shared" si="37"/>
        <v>0</v>
      </c>
      <c r="P43" s="52"/>
      <c r="Q43" s="413">
        <f>IFERROR(VLOOKUP($C43,'Proposed Rates'!$B:$J,Q$11,FALSE),0)</f>
        <v>0.25</v>
      </c>
      <c r="R43" s="414">
        <f>IF($D43="Monthly",1,IF($D43="per KWH",$F$10,0))</f>
        <v>1</v>
      </c>
      <c r="S43" s="399">
        <f t="shared" si="57"/>
        <v>0.25</v>
      </c>
      <c r="T43" s="132"/>
      <c r="U43" s="400">
        <f t="shared" si="9"/>
        <v>0</v>
      </c>
      <c r="V43" s="401">
        <f t="shared" si="10"/>
        <v>0</v>
      </c>
      <c r="W43" s="52"/>
      <c r="X43" s="413">
        <f>IFERROR(VLOOKUP($C43,'Proposed Rates'!$B:$J,X$11,FALSE),0)</f>
        <v>0.25</v>
      </c>
      <c r="Y43" s="414">
        <f>IF($D43="Monthly",1,IF($D43="per KWH",$F$10,0))</f>
        <v>1</v>
      </c>
      <c r="Z43" s="399">
        <f t="shared" si="59"/>
        <v>0.25</v>
      </c>
      <c r="AA43" s="132"/>
      <c r="AB43" s="400">
        <f t="shared" si="13"/>
        <v>0</v>
      </c>
      <c r="AC43" s="401">
        <f t="shared" si="14"/>
        <v>0</v>
      </c>
      <c r="AD43" s="52"/>
      <c r="AE43" s="413">
        <f>IFERROR(VLOOKUP($C43,'Proposed Rates'!$B:$J,AE$11,FALSE),0)</f>
        <v>0.25</v>
      </c>
      <c r="AF43" s="414">
        <f>IF($D43="Monthly",1,IF($D43="per KWH",$F$10,0))</f>
        <v>1</v>
      </c>
      <c r="AG43" s="399">
        <f t="shared" si="61"/>
        <v>0.25</v>
      </c>
      <c r="AH43" s="132"/>
      <c r="AI43" s="400">
        <f t="shared" si="17"/>
        <v>0</v>
      </c>
      <c r="AJ43" s="401">
        <f t="shared" si="18"/>
        <v>0</v>
      </c>
      <c r="AK43" s="52"/>
      <c r="AL43" s="413">
        <f>IFERROR(VLOOKUP($C43,'Proposed Rates'!$B:$J,AL$11,FALSE),0)</f>
        <v>0.25</v>
      </c>
      <c r="AM43" s="414">
        <f>IF($D43="Monthly",1,IF($D43="per KWH",$F$10,0))</f>
        <v>1</v>
      </c>
      <c r="AN43" s="399">
        <f t="shared" si="63"/>
        <v>0.25</v>
      </c>
      <c r="AO43" s="132"/>
      <c r="AP43" s="400">
        <f t="shared" si="21"/>
        <v>0</v>
      </c>
      <c r="AQ43" s="401">
        <f t="shared" si="22"/>
        <v>0</v>
      </c>
      <c r="AR43" s="402"/>
      <c r="AS43" s="402"/>
      <c r="AT43" s="402"/>
      <c r="AU43" s="3"/>
      <c r="AV43" s="3"/>
      <c r="AW43" s="3"/>
      <c r="AX43" s="3"/>
      <c r="AY43" s="3"/>
      <c r="AZ43" s="3"/>
      <c r="BA43" s="3"/>
      <c r="BB43" s="3"/>
    </row>
    <row r="44" spans="1:54" ht="12.75" customHeight="1">
      <c r="A44" s="52"/>
      <c r="B44" s="321" t="s">
        <v>266</v>
      </c>
      <c r="C44" s="394" t="str">
        <f t="shared" si="51"/>
        <v>Residential.TOU - Off Peak</v>
      </c>
      <c r="D44" s="395" t="s">
        <v>312</v>
      </c>
      <c r="E44" s="321"/>
      <c r="F44" s="429">
        <f>VLOOKUP($B44,'Proposed Rates'!$D$252:$J$258,+F$11-2,FALSE)</f>
        <v>9.8000000000000004E-2</v>
      </c>
      <c r="G44" s="420">
        <f>$F$10*'Proposed Rates'!$K$253</f>
        <v>409.6</v>
      </c>
      <c r="H44" s="399">
        <f t="shared" si="53"/>
        <v>40.140800000000006</v>
      </c>
      <c r="I44" s="132"/>
      <c r="J44" s="429">
        <f>VLOOKUP($B44,'Proposed Rates'!$D$252:$J$258,+J$11-2,FALSE)</f>
        <v>9.8000000000000004E-2</v>
      </c>
      <c r="K44" s="420">
        <f>$F$10*'Proposed Rates'!$K$253</f>
        <v>409.6</v>
      </c>
      <c r="L44" s="399">
        <f t="shared" si="55"/>
        <v>40.140800000000006</v>
      </c>
      <c r="M44" s="132"/>
      <c r="N44" s="400">
        <f t="shared" si="36"/>
        <v>0</v>
      </c>
      <c r="O44" s="401">
        <f t="shared" si="37"/>
        <v>0</v>
      </c>
      <c r="P44" s="52"/>
      <c r="Q44" s="429">
        <f>VLOOKUP($B44,'Proposed Rates'!$D$252:$J$258,+Q$11-2,FALSE)</f>
        <v>9.8000000000000004E-2</v>
      </c>
      <c r="R44" s="420">
        <f>$F$10*'Proposed Rates'!$K$253</f>
        <v>409.6</v>
      </c>
      <c r="S44" s="399">
        <f t="shared" si="57"/>
        <v>40.140800000000006</v>
      </c>
      <c r="T44" s="132"/>
      <c r="U44" s="400">
        <f t="shared" si="9"/>
        <v>0</v>
      </c>
      <c r="V44" s="401">
        <f t="shared" si="10"/>
        <v>0</v>
      </c>
      <c r="W44" s="52"/>
      <c r="X44" s="429">
        <f>VLOOKUP($B44,'Proposed Rates'!$D$252:$J$258,+X$11-2,FALSE)</f>
        <v>9.8000000000000004E-2</v>
      </c>
      <c r="Y44" s="420">
        <f>$F$10*'Proposed Rates'!$K$253</f>
        <v>409.6</v>
      </c>
      <c r="Z44" s="399">
        <f t="shared" si="59"/>
        <v>40.140800000000006</v>
      </c>
      <c r="AA44" s="132"/>
      <c r="AB44" s="400">
        <f t="shared" si="13"/>
        <v>0</v>
      </c>
      <c r="AC44" s="401">
        <f t="shared" si="14"/>
        <v>0</v>
      </c>
      <c r="AD44" s="52"/>
      <c r="AE44" s="429">
        <f>VLOOKUP($B44,'Proposed Rates'!$D$252:$J$258,+AE$11-2,FALSE)</f>
        <v>9.8000000000000004E-2</v>
      </c>
      <c r="AF44" s="420">
        <f>$F$10*'Proposed Rates'!$K$253</f>
        <v>409.6</v>
      </c>
      <c r="AG44" s="399">
        <f t="shared" si="61"/>
        <v>40.140800000000006</v>
      </c>
      <c r="AH44" s="132"/>
      <c r="AI44" s="400">
        <f t="shared" si="17"/>
        <v>0</v>
      </c>
      <c r="AJ44" s="401">
        <f t="shared" si="18"/>
        <v>0</v>
      </c>
      <c r="AK44" s="52"/>
      <c r="AL44" s="429">
        <f>VLOOKUP($B44,'Proposed Rates'!$D$252:$J$258,+AL$11-2,FALSE)</f>
        <v>9.8000000000000004E-2</v>
      </c>
      <c r="AM44" s="420">
        <f>$F$10*'Proposed Rates'!$K$253</f>
        <v>409.6</v>
      </c>
      <c r="AN44" s="399">
        <f t="shared" si="63"/>
        <v>40.140800000000006</v>
      </c>
      <c r="AO44" s="132"/>
      <c r="AP44" s="400">
        <f t="shared" si="21"/>
        <v>0</v>
      </c>
      <c r="AQ44" s="401">
        <f t="shared" si="22"/>
        <v>0</v>
      </c>
      <c r="AR44" s="402"/>
      <c r="AS44" s="402"/>
      <c r="AT44" s="402"/>
      <c r="AU44" s="3"/>
      <c r="AV44" s="3"/>
      <c r="AW44" s="3"/>
      <c r="AX44" s="3"/>
      <c r="AY44" s="3"/>
      <c r="AZ44" s="3"/>
      <c r="BA44" s="3"/>
      <c r="BB44" s="3"/>
    </row>
    <row r="45" spans="1:54" ht="12.75" customHeight="1">
      <c r="A45" s="52"/>
      <c r="B45" s="321" t="s">
        <v>267</v>
      </c>
      <c r="C45" s="394" t="str">
        <f t="shared" si="51"/>
        <v>Residential.TOU - Mid Peak</v>
      </c>
      <c r="D45" s="395" t="s">
        <v>312</v>
      </c>
      <c r="E45" s="321"/>
      <c r="F45" s="429">
        <f>VLOOKUP($B45,'Proposed Rates'!$D$252:$J$258,+F$11-2,FALSE)</f>
        <v>0.157</v>
      </c>
      <c r="G45" s="420">
        <f>$F$10*'Proposed Rates'!$K$254</f>
        <v>115.19999999999999</v>
      </c>
      <c r="H45" s="399">
        <f t="shared" si="53"/>
        <v>18.086399999999998</v>
      </c>
      <c r="I45" s="132"/>
      <c r="J45" s="429">
        <f>VLOOKUP($B45,'Proposed Rates'!$D$252:$J$258,+J$11-2,FALSE)</f>
        <v>0.157</v>
      </c>
      <c r="K45" s="420">
        <f>$F$10*'Proposed Rates'!$K$254</f>
        <v>115.19999999999999</v>
      </c>
      <c r="L45" s="399">
        <f t="shared" si="55"/>
        <v>18.086399999999998</v>
      </c>
      <c r="M45" s="132"/>
      <c r="N45" s="400">
        <f t="shared" si="36"/>
        <v>0</v>
      </c>
      <c r="O45" s="401">
        <f t="shared" si="37"/>
        <v>0</v>
      </c>
      <c r="P45" s="52"/>
      <c r="Q45" s="429">
        <f>VLOOKUP($B45,'Proposed Rates'!$D$252:$J$258,+Q$11-2,FALSE)</f>
        <v>0.157</v>
      </c>
      <c r="R45" s="420">
        <f>$F$10*'Proposed Rates'!$K$254</f>
        <v>115.19999999999999</v>
      </c>
      <c r="S45" s="399">
        <f t="shared" si="57"/>
        <v>18.086399999999998</v>
      </c>
      <c r="T45" s="132"/>
      <c r="U45" s="400">
        <f t="shared" si="9"/>
        <v>0</v>
      </c>
      <c r="V45" s="401">
        <f t="shared" si="10"/>
        <v>0</v>
      </c>
      <c r="W45" s="52"/>
      <c r="X45" s="429">
        <f>VLOOKUP($B45,'Proposed Rates'!$D$252:$J$258,+X$11-2,FALSE)</f>
        <v>0.157</v>
      </c>
      <c r="Y45" s="420">
        <f>$F$10*'Proposed Rates'!$K$254</f>
        <v>115.19999999999999</v>
      </c>
      <c r="Z45" s="399">
        <f t="shared" si="59"/>
        <v>18.086399999999998</v>
      </c>
      <c r="AA45" s="132"/>
      <c r="AB45" s="400">
        <f t="shared" si="13"/>
        <v>0</v>
      </c>
      <c r="AC45" s="401">
        <f t="shared" si="14"/>
        <v>0</v>
      </c>
      <c r="AD45" s="52"/>
      <c r="AE45" s="429">
        <f>VLOOKUP($B45,'Proposed Rates'!$D$252:$J$258,+AE$11-2,FALSE)</f>
        <v>0.157</v>
      </c>
      <c r="AF45" s="420">
        <f>$F$10*'Proposed Rates'!$K$254</f>
        <v>115.19999999999999</v>
      </c>
      <c r="AG45" s="399">
        <f t="shared" si="61"/>
        <v>18.086399999999998</v>
      </c>
      <c r="AH45" s="132"/>
      <c r="AI45" s="400">
        <f t="shared" si="17"/>
        <v>0</v>
      </c>
      <c r="AJ45" s="401">
        <f t="shared" si="18"/>
        <v>0</v>
      </c>
      <c r="AK45" s="52"/>
      <c r="AL45" s="429">
        <f>VLOOKUP($B45,'Proposed Rates'!$D$252:$J$258,+AL$11-2,FALSE)</f>
        <v>0.157</v>
      </c>
      <c r="AM45" s="420">
        <f>$F$10*'Proposed Rates'!$K$254</f>
        <v>115.19999999999999</v>
      </c>
      <c r="AN45" s="399">
        <f t="shared" si="63"/>
        <v>18.086399999999998</v>
      </c>
      <c r="AO45" s="132"/>
      <c r="AP45" s="400">
        <f t="shared" si="21"/>
        <v>0</v>
      </c>
      <c r="AQ45" s="401">
        <f t="shared" si="22"/>
        <v>0</v>
      </c>
      <c r="AR45" s="402"/>
      <c r="AS45" s="402"/>
      <c r="AT45" s="402"/>
      <c r="AU45" s="3"/>
      <c r="AV45" s="3"/>
      <c r="AW45" s="3"/>
      <c r="AX45" s="3"/>
      <c r="AY45" s="3"/>
      <c r="AZ45" s="3"/>
      <c r="BA45" s="3"/>
      <c r="BB45" s="3"/>
    </row>
    <row r="46" spans="1:54" ht="12.75" customHeight="1">
      <c r="A46" s="52"/>
      <c r="B46" s="52" t="s">
        <v>268</v>
      </c>
      <c r="C46" s="394" t="str">
        <f t="shared" si="51"/>
        <v>Residential.TOU - On Peak</v>
      </c>
      <c r="D46" s="395" t="s">
        <v>312</v>
      </c>
      <c r="E46" s="321"/>
      <c r="F46" s="429">
        <f>VLOOKUP($B46,'Proposed Rates'!$D$252:$J$258,+F$11-2,FALSE)</f>
        <v>0.20300000000000001</v>
      </c>
      <c r="G46" s="420">
        <f>$F$10*'Proposed Rates'!$K$255</f>
        <v>115.19999999999999</v>
      </c>
      <c r="H46" s="399">
        <f t="shared" si="53"/>
        <v>23.3856</v>
      </c>
      <c r="I46" s="132"/>
      <c r="J46" s="429">
        <f>VLOOKUP($B46,'Proposed Rates'!$D$252:$J$258,+J$11-2,FALSE)</f>
        <v>0.20300000000000001</v>
      </c>
      <c r="K46" s="420">
        <f>$F$10*'Proposed Rates'!$K$255</f>
        <v>115.19999999999999</v>
      </c>
      <c r="L46" s="399">
        <f t="shared" si="55"/>
        <v>23.3856</v>
      </c>
      <c r="M46" s="132"/>
      <c r="N46" s="400">
        <f t="shared" si="36"/>
        <v>0</v>
      </c>
      <c r="O46" s="401">
        <f t="shared" si="37"/>
        <v>0</v>
      </c>
      <c r="P46" s="52"/>
      <c r="Q46" s="429">
        <f>VLOOKUP($B46,'Proposed Rates'!$D$252:$J$258,+Q$11-2,FALSE)</f>
        <v>0.20300000000000001</v>
      </c>
      <c r="R46" s="420">
        <f>$F$10*'Proposed Rates'!$K$255</f>
        <v>115.19999999999999</v>
      </c>
      <c r="S46" s="399">
        <f t="shared" si="57"/>
        <v>23.3856</v>
      </c>
      <c r="T46" s="132"/>
      <c r="U46" s="400">
        <f t="shared" si="9"/>
        <v>0</v>
      </c>
      <c r="V46" s="401">
        <f t="shared" si="10"/>
        <v>0</v>
      </c>
      <c r="W46" s="52"/>
      <c r="X46" s="429">
        <f>VLOOKUP($B46,'Proposed Rates'!$D$252:$J$258,+X$11-2,FALSE)</f>
        <v>0.20300000000000001</v>
      </c>
      <c r="Y46" s="420">
        <f>$F$10*'Proposed Rates'!$K$255</f>
        <v>115.19999999999999</v>
      </c>
      <c r="Z46" s="399">
        <f t="shared" si="59"/>
        <v>23.3856</v>
      </c>
      <c r="AA46" s="132"/>
      <c r="AB46" s="400">
        <f t="shared" si="13"/>
        <v>0</v>
      </c>
      <c r="AC46" s="401">
        <f t="shared" si="14"/>
        <v>0</v>
      </c>
      <c r="AD46" s="52"/>
      <c r="AE46" s="429">
        <f>VLOOKUP($B46,'Proposed Rates'!$D$252:$J$258,+AE$11-2,FALSE)</f>
        <v>0.20300000000000001</v>
      </c>
      <c r="AF46" s="420">
        <f>$F$10*'Proposed Rates'!$K$255</f>
        <v>115.19999999999999</v>
      </c>
      <c r="AG46" s="399">
        <f t="shared" si="61"/>
        <v>23.3856</v>
      </c>
      <c r="AH46" s="132"/>
      <c r="AI46" s="400">
        <f t="shared" si="17"/>
        <v>0</v>
      </c>
      <c r="AJ46" s="401">
        <f t="shared" si="18"/>
        <v>0</v>
      </c>
      <c r="AK46" s="52"/>
      <c r="AL46" s="429">
        <f>VLOOKUP($B46,'Proposed Rates'!$D$252:$J$258,+AL$11-2,FALSE)</f>
        <v>0.20300000000000001</v>
      </c>
      <c r="AM46" s="420">
        <f>$F$10*'Proposed Rates'!$K$255</f>
        <v>115.19999999999999</v>
      </c>
      <c r="AN46" s="399">
        <f t="shared" si="63"/>
        <v>23.3856</v>
      </c>
      <c r="AO46" s="132"/>
      <c r="AP46" s="400">
        <f t="shared" si="21"/>
        <v>0</v>
      </c>
      <c r="AQ46" s="401">
        <f t="shared" si="22"/>
        <v>0</v>
      </c>
      <c r="AR46" s="402"/>
      <c r="AS46" s="402"/>
      <c r="AT46" s="402"/>
      <c r="AU46" s="3"/>
      <c r="AV46" s="3"/>
      <c r="AW46" s="3"/>
      <c r="AX46" s="3"/>
      <c r="AY46" s="3"/>
      <c r="AZ46" s="3"/>
      <c r="BA46" s="3"/>
      <c r="BB46" s="3"/>
    </row>
    <row r="47" spans="1:54" ht="12.75" customHeight="1">
      <c r="A47" s="52"/>
      <c r="B47" s="321" t="s">
        <v>269</v>
      </c>
      <c r="C47" s="394" t="str">
        <f t="shared" si="51"/>
        <v>Residential.Energy - RPP - Tier 1</v>
      </c>
      <c r="D47" s="395" t="s">
        <v>312</v>
      </c>
      <c r="E47" s="321"/>
      <c r="F47" s="429">
        <f>VLOOKUP($B47,'Proposed Rates'!$D$252:$J$258,+F$11-2,FALSE)</f>
        <v>0.12</v>
      </c>
      <c r="G47" s="430">
        <f>IF(AND($S$2=1, $F$10&gt;=600), 600, IF(AND($S$2=1, AND($F$10&lt;600, $F$10&gt;=0)), $F$10, IF(AND($S$2=2, $F$10&gt;=1000), 1000, IF(AND($S$2=2, AND($F$10&lt;1000, $F$10&gt;=0)), $F$10))))</f>
        <v>600</v>
      </c>
      <c r="H47" s="399">
        <f t="shared" si="53"/>
        <v>72</v>
      </c>
      <c r="I47" s="132"/>
      <c r="J47" s="429">
        <f>VLOOKUP($B47,'Proposed Rates'!$D$252:$J$258,+J$11-2,FALSE)</f>
        <v>0.12</v>
      </c>
      <c r="K47" s="430">
        <f>IF(AND($S$2=1, $F$10&gt;=600), 600, IF(AND($S$2=1, AND($F$10&lt;600, $F$10&gt;=0)), $F$10, IF(AND($S$2=2, $F$10&gt;=1000), 1000, IF(AND($S$2=2, AND($F$10&lt;1000, $F$10&gt;=0)), $F$10))))</f>
        <v>600</v>
      </c>
      <c r="L47" s="399">
        <f t="shared" si="55"/>
        <v>72</v>
      </c>
      <c r="M47" s="132"/>
      <c r="N47" s="400">
        <f t="shared" si="36"/>
        <v>0</v>
      </c>
      <c r="O47" s="401">
        <f t="shared" si="37"/>
        <v>0</v>
      </c>
      <c r="P47" s="52"/>
      <c r="Q47" s="429">
        <f>VLOOKUP($B47,'Proposed Rates'!$D$252:$J$258,+Q$11-2,FALSE)</f>
        <v>0.12</v>
      </c>
      <c r="R47" s="430">
        <f>IF(AND($S$2=1, $F$10&gt;=600), 600, IF(AND($S$2=1, AND($F$10&lt;600, $F$10&gt;=0)), $F$10, IF(AND($S$2=2, $F$10&gt;=1000), 1000, IF(AND($S$2=2, AND($F$10&lt;1000, $F$10&gt;=0)), $F$10))))</f>
        <v>600</v>
      </c>
      <c r="S47" s="399">
        <f t="shared" si="57"/>
        <v>72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600</v>
      </c>
      <c r="Z47" s="399">
        <f t="shared" si="59"/>
        <v>72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600</v>
      </c>
      <c r="AG47" s="399">
        <f t="shared" si="61"/>
        <v>72</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600</v>
      </c>
      <c r="AN47" s="399">
        <f t="shared" si="63"/>
        <v>72</v>
      </c>
      <c r="AO47" s="132"/>
      <c r="AP47" s="400">
        <f t="shared" si="21"/>
        <v>0</v>
      </c>
      <c r="AQ47" s="401">
        <f t="shared" si="22"/>
        <v>0</v>
      </c>
      <c r="AR47" s="402"/>
      <c r="AS47" s="402"/>
      <c r="AT47" s="402"/>
      <c r="AU47" s="3"/>
      <c r="AV47" s="3"/>
      <c r="AW47" s="3"/>
      <c r="AX47" s="3"/>
      <c r="AY47" s="3"/>
      <c r="AZ47" s="3"/>
      <c r="BA47" s="3"/>
      <c r="BB47" s="3"/>
    </row>
    <row r="48" spans="1:54" ht="12.75" customHeight="1">
      <c r="A48" s="52"/>
      <c r="B48" s="321" t="s">
        <v>270</v>
      </c>
      <c r="C48" s="394" t="str">
        <f t="shared" si="51"/>
        <v>Residential.Energy - RPP - Tier 2</v>
      </c>
      <c r="D48" s="395" t="s">
        <v>312</v>
      </c>
      <c r="E48" s="321"/>
      <c r="F48" s="429">
        <f>VLOOKUP($B48,'Proposed Rates'!$D$252:$J$258,+F$11-2,FALSE)</f>
        <v>0.14199999999999999</v>
      </c>
      <c r="G48" s="432">
        <f>IF(AND($S$2=1, $F$10&gt;=600), $F$10-600, IF(AND($S$2=1, AND($F$10&lt;600, $F$10&gt;=0)), 0, IF(AND($S$2=2, $F$10&gt;=1000), $F$10-1000, IF(AND($S$2=2, AND($F$10&lt;1000, $F$10&gt;=0)), 0))))</f>
        <v>40</v>
      </c>
      <c r="H48" s="399">
        <f t="shared" si="53"/>
        <v>5.68</v>
      </c>
      <c r="I48" s="132"/>
      <c r="J48" s="429">
        <f>VLOOKUP($B48,'Proposed Rates'!$D$252:$J$258,+J$11-2,FALSE)</f>
        <v>0.14199999999999999</v>
      </c>
      <c r="K48" s="432">
        <f>IF(AND($S$2=1, $F$10&gt;=600), $F$10-600, IF(AND($S$2=1, AND($F$10&lt;600, $F$10&gt;=0)), 0, IF(AND($S$2=2, $F$10&gt;=1000), $F$10-1000, IF(AND($S$2=2, AND($F$10&lt;1000, $F$10&gt;=0)), 0))))</f>
        <v>40</v>
      </c>
      <c r="L48" s="399">
        <f t="shared" si="55"/>
        <v>5.68</v>
      </c>
      <c r="M48" s="132"/>
      <c r="N48" s="400">
        <f t="shared" si="36"/>
        <v>0</v>
      </c>
      <c r="O48" s="401">
        <f t="shared" si="37"/>
        <v>0</v>
      </c>
      <c r="P48" s="52"/>
      <c r="Q48" s="429">
        <f>VLOOKUP($B48,'Proposed Rates'!$D$252:$J$258,+Q$11-2,FALSE)</f>
        <v>0.14199999999999999</v>
      </c>
      <c r="R48" s="432">
        <f>IF(AND($S$2=1, $F$10&gt;=600), $F$10-600, IF(AND($S$2=1, AND($F$10&lt;600, $F$10&gt;=0)), 0, IF(AND($S$2=2, $F$10&gt;=1000), $F$10-1000, IF(AND($S$2=2, AND($F$10&lt;1000, $F$10&gt;=0)), 0))))</f>
        <v>40</v>
      </c>
      <c r="S48" s="399">
        <f t="shared" si="57"/>
        <v>5.68</v>
      </c>
      <c r="T48" s="132"/>
      <c r="U48" s="400">
        <f t="shared" si="9"/>
        <v>0</v>
      </c>
      <c r="V48" s="401">
        <f t="shared" si="10"/>
        <v>0</v>
      </c>
      <c r="W48" s="52"/>
      <c r="X48" s="429">
        <f>VLOOKUP($B48,'Proposed Rates'!$D$252:$J$258,+X$11-2,FALSE)</f>
        <v>0.14199999999999999</v>
      </c>
      <c r="Y48" s="432">
        <f>IF(AND($S$2=1, $F$10&gt;=600), $F$10-600, IF(AND($S$2=1, AND($F$10&lt;600, $F$10&gt;=0)), 0, IF(AND($S$2=2, $F$10&gt;=1000), $F$10-1000, IF(AND($S$2=2, AND($F$10&lt;1000, $F$10&gt;=0)), 0))))</f>
        <v>40</v>
      </c>
      <c r="Z48" s="399">
        <f t="shared" si="59"/>
        <v>5.68</v>
      </c>
      <c r="AA48" s="132"/>
      <c r="AB48" s="400">
        <f t="shared" si="13"/>
        <v>0</v>
      </c>
      <c r="AC48" s="401">
        <f t="shared" si="14"/>
        <v>0</v>
      </c>
      <c r="AD48" s="52"/>
      <c r="AE48" s="429">
        <f>VLOOKUP($B48,'Proposed Rates'!$D$252:$J$258,+AE$11-2,FALSE)</f>
        <v>0.14199999999999999</v>
      </c>
      <c r="AF48" s="432">
        <f>IF(AND($S$2=1, $F$10&gt;=600), $F$10-600, IF(AND($S$2=1, AND($F$10&lt;600, $F$10&gt;=0)), 0, IF(AND($S$2=2, $F$10&gt;=1000), $F$10-1000, IF(AND($S$2=2, AND($F$10&lt;1000, $F$10&gt;=0)), 0))))</f>
        <v>40</v>
      </c>
      <c r="AG48" s="399">
        <f t="shared" si="61"/>
        <v>5.68</v>
      </c>
      <c r="AH48" s="132"/>
      <c r="AI48" s="400">
        <f t="shared" si="17"/>
        <v>0</v>
      </c>
      <c r="AJ48" s="401">
        <f t="shared" si="18"/>
        <v>0</v>
      </c>
      <c r="AK48" s="52"/>
      <c r="AL48" s="429">
        <f>VLOOKUP($B48,'Proposed Rates'!$D$252:$J$258,+AL$11-2,FALSE)</f>
        <v>0.14199999999999999</v>
      </c>
      <c r="AM48" s="432">
        <f>IF(AND($S$2=1, $F$10&gt;=600), $F$10-600, IF(AND($S$2=1, AND($F$10&lt;600, $F$10&gt;=0)), 0, IF(AND($S$2=2, $F$10&gt;=1000), $F$10-1000, IF(AND($S$2=2, AND($F$10&lt;1000, $F$10&gt;=0)), 0))))</f>
        <v>40</v>
      </c>
      <c r="AN48" s="399">
        <f t="shared" si="63"/>
        <v>5.68</v>
      </c>
      <c r="AO48" s="132"/>
      <c r="AP48" s="400">
        <f t="shared" si="21"/>
        <v>0</v>
      </c>
      <c r="AQ48" s="401">
        <f t="shared" si="22"/>
        <v>0</v>
      </c>
      <c r="AR48" s="402"/>
      <c r="AS48" s="402"/>
      <c r="AT48" s="402"/>
      <c r="AU48" s="3"/>
      <c r="AV48" s="3"/>
      <c r="AW48" s="3"/>
      <c r="AX48" s="3"/>
      <c r="AY48" s="3"/>
      <c r="AZ48" s="3"/>
      <c r="BA48" s="3"/>
      <c r="BB48" s="3"/>
    </row>
    <row r="49" spans="1:54" ht="8.25"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02"/>
      <c r="AS49" s="402"/>
      <c r="AT49" s="402"/>
      <c r="AU49" s="3"/>
      <c r="AV49" s="3"/>
      <c r="AW49" s="3"/>
      <c r="AX49" s="3"/>
      <c r="AY49" s="3"/>
      <c r="AZ49" s="3"/>
      <c r="BA49" s="3"/>
      <c r="BB49" s="3"/>
    </row>
    <row r="50" spans="1:54" ht="12.75" customHeight="1">
      <c r="A50" s="52"/>
      <c r="B50" s="443" t="s">
        <v>319</v>
      </c>
      <c r="C50" s="321"/>
      <c r="D50" s="321"/>
      <c r="E50" s="321"/>
      <c r="F50" s="444"/>
      <c r="G50" s="488"/>
      <c r="H50" s="446">
        <f>SUM(H41:H46,H40)</f>
        <v>136.65449984000003</v>
      </c>
      <c r="I50" s="481"/>
      <c r="J50" s="444"/>
      <c r="K50" s="445"/>
      <c r="L50" s="446">
        <f>SUM(L41:L46,L40)</f>
        <v>142.73820351999998</v>
      </c>
      <c r="M50" s="448"/>
      <c r="N50" s="447">
        <f t="shared" ref="N50:N54" si="64">L50-H50</f>
        <v>6.0837036799999566</v>
      </c>
      <c r="O50" s="449">
        <f t="shared" ref="O50:O54" si="65">IF((H50)=0,"",(N50/H50))</f>
        <v>4.4518868292833198E-2</v>
      </c>
      <c r="P50" s="52"/>
      <c r="Q50" s="445"/>
      <c r="R50" s="445"/>
      <c r="S50" s="447">
        <f>SUM(S41:S46,S40)</f>
        <v>145.46620351999999</v>
      </c>
      <c r="T50" s="448"/>
      <c r="U50" s="447">
        <f t="shared" ref="U50:U54" si="66">S50-L50</f>
        <v>2.7280000000000086</v>
      </c>
      <c r="V50" s="449">
        <f t="shared" ref="V50:V54" si="67">IF((L50)=0,"",(U50/L50))</f>
        <v>1.9111912107102922E-2</v>
      </c>
      <c r="W50" s="52"/>
      <c r="X50" s="445"/>
      <c r="Y50" s="445"/>
      <c r="Z50" s="447">
        <f>SUM(Z41:Z46,Z40)</f>
        <v>148.312816</v>
      </c>
      <c r="AA50" s="448"/>
      <c r="AB50" s="447">
        <f t="shared" ref="AB50:AB54" si="68">Z50-S50</f>
        <v>2.8466124800000046</v>
      </c>
      <c r="AC50" s="449">
        <f t="shared" ref="AC50:AC54" si="69">IF((S50)=0,"",(AB50/S50))</f>
        <v>1.9568892368931775E-2</v>
      </c>
      <c r="AD50" s="52"/>
      <c r="AE50" s="445"/>
      <c r="AF50" s="445"/>
      <c r="AG50" s="447">
        <f>SUM(AG41:AG46,AG40)</f>
        <v>149.83281599999998</v>
      </c>
      <c r="AH50" s="448"/>
      <c r="AI50" s="447">
        <f t="shared" ref="AI50:AI54" si="70">AG50-Z50</f>
        <v>1.5199999999999818</v>
      </c>
      <c r="AJ50" s="449">
        <f t="shared" ref="AJ50:AJ54" si="71">IF((Z50)=0,"",(AI50/Z50))</f>
        <v>1.0248608589563708E-2</v>
      </c>
      <c r="AK50" s="52"/>
      <c r="AL50" s="445"/>
      <c r="AM50" s="445"/>
      <c r="AN50" s="447">
        <f>SUM(AN41:AN46,AN40)</f>
        <v>151.22281599999999</v>
      </c>
      <c r="AO50" s="448"/>
      <c r="AP50" s="447">
        <f t="shared" ref="AP50:AP54" si="72">AN50-AG50</f>
        <v>1.3900000000000148</v>
      </c>
      <c r="AQ50" s="449">
        <f t="shared" ref="AQ50:AQ54" si="73">IF((AG50)=0,"",(AP50/AG50))</f>
        <v>9.2770064469723038E-3</v>
      </c>
      <c r="AR50" s="450"/>
      <c r="AS50" s="450"/>
      <c r="AT50" s="450"/>
      <c r="AU50" s="3"/>
      <c r="AV50" s="3"/>
      <c r="AW50" s="3"/>
      <c r="AX50" s="3"/>
      <c r="AY50" s="3"/>
      <c r="AZ50" s="3"/>
      <c r="BA50" s="3"/>
      <c r="BB50" s="3"/>
    </row>
    <row r="51" spans="1:54" ht="12.75" customHeight="1">
      <c r="A51" s="52"/>
      <c r="B51" s="451" t="s">
        <v>320</v>
      </c>
      <c r="C51" s="321"/>
      <c r="D51" s="321"/>
      <c r="E51" s="321"/>
      <c r="F51" s="444">
        <v>0.13</v>
      </c>
      <c r="G51" s="132"/>
      <c r="H51" s="489">
        <f>H50*F51</f>
        <v>17.765084979200005</v>
      </c>
      <c r="I51" s="416"/>
      <c r="J51" s="444">
        <v>0.13</v>
      </c>
      <c r="K51" s="416"/>
      <c r="L51" s="399">
        <f>L50*J51</f>
        <v>18.5559664576</v>
      </c>
      <c r="M51" s="132"/>
      <c r="N51" s="400">
        <f t="shared" si="64"/>
        <v>0.79088147839999579</v>
      </c>
      <c r="O51" s="401">
        <f t="shared" si="65"/>
        <v>4.4518868292833275E-2</v>
      </c>
      <c r="P51" s="52"/>
      <c r="Q51" s="452">
        <v>0.13</v>
      </c>
      <c r="R51" s="416"/>
      <c r="S51" s="399">
        <f>S50*Q51</f>
        <v>18.9106064576</v>
      </c>
      <c r="T51" s="132"/>
      <c r="U51" s="400">
        <f t="shared" si="66"/>
        <v>0.35463999999999984</v>
      </c>
      <c r="V51" s="401">
        <f t="shared" si="67"/>
        <v>1.9111912107102849E-2</v>
      </c>
      <c r="W51" s="52"/>
      <c r="X51" s="452">
        <v>0.13</v>
      </c>
      <c r="Y51" s="416"/>
      <c r="Z51" s="399">
        <f>Z50*X51</f>
        <v>19.28066608</v>
      </c>
      <c r="AA51" s="132"/>
      <c r="AB51" s="400">
        <f t="shared" si="68"/>
        <v>0.37005962239999945</v>
      </c>
      <c r="AC51" s="401">
        <f t="shared" si="69"/>
        <v>1.9568892368931716E-2</v>
      </c>
      <c r="AD51" s="52"/>
      <c r="AE51" s="452">
        <v>0.13</v>
      </c>
      <c r="AF51" s="416"/>
      <c r="AG51" s="399">
        <f>AG50*AE51</f>
        <v>19.478266079999997</v>
      </c>
      <c r="AH51" s="132"/>
      <c r="AI51" s="400">
        <f t="shared" si="70"/>
        <v>0.19759999999999778</v>
      </c>
      <c r="AJ51" s="401">
        <f t="shared" si="71"/>
        <v>1.0248608589563717E-2</v>
      </c>
      <c r="AK51" s="52"/>
      <c r="AL51" s="452">
        <v>0.13</v>
      </c>
      <c r="AM51" s="416"/>
      <c r="AN51" s="399">
        <f>AN50*AL51</f>
        <v>19.658966079999999</v>
      </c>
      <c r="AO51" s="132"/>
      <c r="AP51" s="400">
        <f t="shared" si="72"/>
        <v>0.18070000000000164</v>
      </c>
      <c r="AQ51" s="401">
        <f t="shared" si="73"/>
        <v>9.2770064469722899E-3</v>
      </c>
      <c r="AR51" s="402"/>
      <c r="AS51" s="402"/>
      <c r="AT51" s="402"/>
      <c r="AU51" s="3"/>
      <c r="AV51" s="3"/>
      <c r="AW51" s="3"/>
      <c r="AX51" s="3"/>
      <c r="AY51" s="3"/>
      <c r="AZ51" s="3"/>
      <c r="BA51" s="3"/>
      <c r="BB51" s="3"/>
    </row>
    <row r="52" spans="1:54" ht="12.75" customHeight="1">
      <c r="A52" s="52"/>
      <c r="B52" s="490" t="s">
        <v>352</v>
      </c>
      <c r="C52" s="321"/>
      <c r="D52" s="321"/>
      <c r="E52" s="321"/>
      <c r="F52" s="454"/>
      <c r="G52" s="132"/>
      <c r="H52" s="489">
        <f>H50+H51</f>
        <v>154.41958481920003</v>
      </c>
      <c r="I52" s="416"/>
      <c r="J52" s="454"/>
      <c r="K52" s="416"/>
      <c r="L52" s="399">
        <f>L50+L51</f>
        <v>161.29416997759998</v>
      </c>
      <c r="M52" s="132"/>
      <c r="N52" s="400">
        <f t="shared" si="64"/>
        <v>6.8745851583999524</v>
      </c>
      <c r="O52" s="401">
        <f t="shared" si="65"/>
        <v>4.4518868292833212E-2</v>
      </c>
      <c r="P52" s="52"/>
      <c r="Q52" s="416"/>
      <c r="R52" s="416"/>
      <c r="S52" s="399">
        <f>S50+S51</f>
        <v>164.3768099776</v>
      </c>
      <c r="T52" s="132"/>
      <c r="U52" s="400">
        <f t="shared" si="66"/>
        <v>3.0826400000000262</v>
      </c>
      <c r="V52" s="401">
        <f t="shared" si="67"/>
        <v>1.9111912107103026E-2</v>
      </c>
      <c r="W52" s="52"/>
      <c r="X52" s="416"/>
      <c r="Y52" s="416"/>
      <c r="Z52" s="399">
        <f>Z50+Z51</f>
        <v>167.59348208</v>
      </c>
      <c r="AA52" s="132"/>
      <c r="AB52" s="400">
        <f t="shared" si="68"/>
        <v>3.2166721023999969</v>
      </c>
      <c r="AC52" s="401">
        <f t="shared" si="69"/>
        <v>1.9568892368931726E-2</v>
      </c>
      <c r="AD52" s="52"/>
      <c r="AE52" s="416"/>
      <c r="AF52" s="416"/>
      <c r="AG52" s="399">
        <f>AG50+AG51</f>
        <v>169.31108207999998</v>
      </c>
      <c r="AH52" s="132"/>
      <c r="AI52" s="400">
        <f t="shared" si="70"/>
        <v>1.717599999999976</v>
      </c>
      <c r="AJ52" s="401">
        <f t="shared" si="71"/>
        <v>1.0248608589563689E-2</v>
      </c>
      <c r="AK52" s="52"/>
      <c r="AL52" s="416"/>
      <c r="AM52" s="416"/>
      <c r="AN52" s="399">
        <f>AN50+AN51</f>
        <v>170.88178207999999</v>
      </c>
      <c r="AO52" s="132"/>
      <c r="AP52" s="400">
        <f t="shared" si="72"/>
        <v>1.5707000000000164</v>
      </c>
      <c r="AQ52" s="401">
        <f t="shared" si="73"/>
        <v>9.277006446972302E-3</v>
      </c>
      <c r="AR52" s="402"/>
      <c r="AS52" s="402"/>
      <c r="AT52" s="402"/>
      <c r="AU52" s="3"/>
      <c r="AV52" s="3"/>
      <c r="AW52" s="3"/>
      <c r="AX52" s="3"/>
      <c r="AY52" s="3"/>
      <c r="AZ52" s="3"/>
      <c r="BA52" s="3"/>
      <c r="BB52" s="3"/>
    </row>
    <row r="53" spans="1:54" ht="15.75" customHeight="1">
      <c r="A53" s="52"/>
      <c r="B53" s="632" t="s">
        <v>277</v>
      </c>
      <c r="C53" s="623"/>
      <c r="D53" s="623"/>
      <c r="E53" s="321"/>
      <c r="F53" s="455">
        <f>'Proposed Rates'!E290</f>
        <v>0.23499999999999999</v>
      </c>
      <c r="G53" s="132"/>
      <c r="H53" s="491">
        <f>F53*H50</f>
        <v>32.113807462400004</v>
      </c>
      <c r="I53" s="416"/>
      <c r="J53" s="455">
        <f>'Proposed Rates'!F290</f>
        <v>0.23499999999999999</v>
      </c>
      <c r="K53" s="416"/>
      <c r="L53" s="456">
        <f>J53*L50</f>
        <v>33.543477827199993</v>
      </c>
      <c r="M53" s="132"/>
      <c r="N53" s="456">
        <f t="shared" si="64"/>
        <v>1.4296703647999891</v>
      </c>
      <c r="O53" s="458">
        <f t="shared" si="65"/>
        <v>4.4518868292833177E-2</v>
      </c>
      <c r="P53" s="52"/>
      <c r="Q53" s="457">
        <f>'Proposed Rates'!G290</f>
        <v>0.23499999999999999</v>
      </c>
      <c r="R53" s="416"/>
      <c r="S53" s="456">
        <f>Q53*S50</f>
        <v>34.184557827199995</v>
      </c>
      <c r="T53" s="132"/>
      <c r="U53" s="456">
        <f t="shared" si="66"/>
        <v>0.64108000000000231</v>
      </c>
      <c r="V53" s="458">
        <f t="shared" si="67"/>
        <v>1.9111912107102932E-2</v>
      </c>
      <c r="W53" s="52"/>
      <c r="X53" s="457">
        <f>'Proposed Rates'!H290</f>
        <v>0.23499999999999999</v>
      </c>
      <c r="Y53" s="416"/>
      <c r="Z53" s="456">
        <f>X53*Z50</f>
        <v>34.853511759999996</v>
      </c>
      <c r="AA53" s="132"/>
      <c r="AB53" s="456">
        <f t="shared" si="68"/>
        <v>0.66895393280000093</v>
      </c>
      <c r="AC53" s="458">
        <f t="shared" si="69"/>
        <v>1.9568892368931775E-2</v>
      </c>
      <c r="AD53" s="52"/>
      <c r="AE53" s="457">
        <f>'Proposed Rates'!I290</f>
        <v>0.23499999999999999</v>
      </c>
      <c r="AF53" s="416"/>
      <c r="AG53" s="456">
        <f>AE53*AG50</f>
        <v>35.210711759999995</v>
      </c>
      <c r="AH53" s="132"/>
      <c r="AI53" s="456">
        <f t="shared" si="70"/>
        <v>0.35719999999999885</v>
      </c>
      <c r="AJ53" s="458">
        <f t="shared" si="71"/>
        <v>1.02486085895638E-2</v>
      </c>
      <c r="AK53" s="52"/>
      <c r="AL53" s="457">
        <f>'Proposed Rates'!J290</f>
        <v>0.23499999999999999</v>
      </c>
      <c r="AM53" s="416"/>
      <c r="AN53" s="456">
        <f>AL53*AN50</f>
        <v>35.537361759999996</v>
      </c>
      <c r="AO53" s="132"/>
      <c r="AP53" s="456">
        <f t="shared" si="72"/>
        <v>0.32665000000000077</v>
      </c>
      <c r="AQ53" s="458">
        <f t="shared" si="73"/>
        <v>9.2770064469722274E-3</v>
      </c>
      <c r="AR53" s="459"/>
      <c r="AS53" s="459"/>
      <c r="AT53" s="459"/>
      <c r="AU53" s="3"/>
      <c r="AV53" s="3"/>
      <c r="AW53" s="3"/>
      <c r="AX53" s="3"/>
      <c r="AY53" s="3"/>
      <c r="AZ53" s="3"/>
      <c r="BA53" s="3"/>
      <c r="BB53" s="3"/>
    </row>
    <row r="54" spans="1:54" ht="12.75" customHeight="1">
      <c r="A54" s="52"/>
      <c r="B54" s="634" t="s">
        <v>322</v>
      </c>
      <c r="C54" s="615"/>
      <c r="D54" s="615"/>
      <c r="E54" s="460"/>
      <c r="F54" s="461"/>
      <c r="G54" s="492"/>
      <c r="H54" s="493">
        <f>H52-H53</f>
        <v>122.30577735680002</v>
      </c>
      <c r="I54" s="462"/>
      <c r="J54" s="461"/>
      <c r="K54" s="462"/>
      <c r="L54" s="463">
        <f>L52-L53</f>
        <v>127.75069215039998</v>
      </c>
      <c r="M54" s="464"/>
      <c r="N54" s="465">
        <f t="shared" si="64"/>
        <v>5.4449147935999633</v>
      </c>
      <c r="O54" s="466">
        <f t="shared" si="65"/>
        <v>4.4518868292833219E-2</v>
      </c>
      <c r="P54" s="52"/>
      <c r="Q54" s="462"/>
      <c r="R54" s="462"/>
      <c r="S54" s="463">
        <f>S52-S53</f>
        <v>130.19225215040001</v>
      </c>
      <c r="T54" s="464"/>
      <c r="U54" s="465">
        <f t="shared" si="66"/>
        <v>2.4415600000000239</v>
      </c>
      <c r="V54" s="466">
        <f t="shared" si="67"/>
        <v>1.911191210710305E-2</v>
      </c>
      <c r="W54" s="52"/>
      <c r="X54" s="462"/>
      <c r="Y54" s="462"/>
      <c r="Z54" s="463">
        <f>Z52-Z53</f>
        <v>132.73997032</v>
      </c>
      <c r="AA54" s="464"/>
      <c r="AB54" s="465">
        <f t="shared" si="68"/>
        <v>2.5477181695999889</v>
      </c>
      <c r="AC54" s="466">
        <f t="shared" si="69"/>
        <v>1.9568892368931657E-2</v>
      </c>
      <c r="AD54" s="52"/>
      <c r="AE54" s="462"/>
      <c r="AF54" s="462"/>
      <c r="AG54" s="463">
        <f>AG52-AG53</f>
        <v>134.10037031999997</v>
      </c>
      <c r="AH54" s="464"/>
      <c r="AI54" s="465">
        <f t="shared" si="70"/>
        <v>1.3603999999999701</v>
      </c>
      <c r="AJ54" s="466">
        <f t="shared" si="71"/>
        <v>1.0248608589563606E-2</v>
      </c>
      <c r="AK54" s="52"/>
      <c r="AL54" s="462"/>
      <c r="AM54" s="462"/>
      <c r="AN54" s="463">
        <f>AN52-AN53</f>
        <v>135.34442031999998</v>
      </c>
      <c r="AO54" s="464"/>
      <c r="AP54" s="465">
        <f t="shared" si="72"/>
        <v>1.2440500000000156</v>
      </c>
      <c r="AQ54" s="466">
        <f t="shared" si="73"/>
        <v>9.2770064469723228E-3</v>
      </c>
      <c r="AR54" s="450"/>
      <c r="AS54" s="450"/>
      <c r="AT54" s="450"/>
      <c r="AU54" s="3"/>
      <c r="AV54" s="3"/>
      <c r="AW54" s="3"/>
      <c r="AX54" s="3"/>
      <c r="AY54" s="3"/>
      <c r="AZ54" s="3"/>
      <c r="BA54" s="3"/>
      <c r="BB54" s="3"/>
    </row>
    <row r="55" spans="1:54" ht="8.25"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02"/>
      <c r="AS55" s="402"/>
      <c r="AT55" s="402"/>
      <c r="AU55" s="3"/>
      <c r="AV55" s="3"/>
      <c r="AW55" s="3"/>
      <c r="AX55" s="3"/>
      <c r="AY55" s="3"/>
      <c r="AZ55" s="3"/>
      <c r="BA55" s="3"/>
      <c r="BB55" s="3"/>
    </row>
    <row r="56" spans="1:54" ht="12.75" customHeight="1">
      <c r="A56" s="52"/>
      <c r="B56" s="443" t="s">
        <v>323</v>
      </c>
      <c r="C56" s="321"/>
      <c r="D56" s="321"/>
      <c r="E56" s="321"/>
      <c r="F56" s="444"/>
      <c r="G56" s="488"/>
      <c r="H56" s="446">
        <f>SUM(H47:H48,H40,H41:H43)</f>
        <v>132.72169983999999</v>
      </c>
      <c r="I56" s="481"/>
      <c r="J56" s="444"/>
      <c r="K56" s="445"/>
      <c r="L56" s="446">
        <f>SUM(L47:L48,L40,L41:L43)</f>
        <v>138.80540352</v>
      </c>
      <c r="M56" s="448"/>
      <c r="N56" s="447">
        <f t="shared" ref="N56:N60" si="74">L56-H56</f>
        <v>6.0837036800000135</v>
      </c>
      <c r="O56" s="449">
        <f t="shared" ref="O56:O60" si="75">IF((H56)=0,"",(N56/H56))</f>
        <v>4.5838048241802973E-2</v>
      </c>
      <c r="P56" s="52"/>
      <c r="Q56" s="445"/>
      <c r="R56" s="445"/>
      <c r="S56" s="447">
        <f>SUM(S47:S48,S40,S41:S43)</f>
        <v>141.53340352000001</v>
      </c>
      <c r="T56" s="448"/>
      <c r="U56" s="447">
        <f t="shared" ref="U56:U60" si="76">S56-L56</f>
        <v>2.7280000000000086</v>
      </c>
      <c r="V56" s="449">
        <f t="shared" ref="V56:V60" si="77">IF((L56)=0,"",(U56/L56))</f>
        <v>1.9653413561864258E-2</v>
      </c>
      <c r="W56" s="52"/>
      <c r="X56" s="445"/>
      <c r="Y56" s="445"/>
      <c r="Z56" s="447">
        <f>SUM(Z47:Z48,Z40,Z41:Z43)</f>
        <v>144.38001599999998</v>
      </c>
      <c r="AA56" s="448"/>
      <c r="AB56" s="447">
        <f t="shared" ref="AB56:AB60" si="78">Z56-S56</f>
        <v>2.8466124799999761</v>
      </c>
      <c r="AC56" s="449">
        <f t="shared" ref="AC56:AC60" si="79">IF((S56)=0,"",(AB56/S56))</f>
        <v>2.0112654745829826E-2</v>
      </c>
      <c r="AD56" s="52"/>
      <c r="AE56" s="445"/>
      <c r="AF56" s="445"/>
      <c r="AG56" s="447">
        <f>SUM(AG47:AG48,AG40,AG41:AG43)</f>
        <v>145.90001599999999</v>
      </c>
      <c r="AH56" s="448"/>
      <c r="AI56" s="447">
        <f t="shared" ref="AI56:AI60" si="80">AG56-Z56</f>
        <v>1.5200000000000102</v>
      </c>
      <c r="AJ56" s="449">
        <f t="shared" ref="AJ56:AJ60" si="81">IF((Z56)=0,"",(AI56/Z56))</f>
        <v>1.0527772763233455E-2</v>
      </c>
      <c r="AK56" s="52"/>
      <c r="AL56" s="445"/>
      <c r="AM56" s="445"/>
      <c r="AN56" s="447">
        <f>SUM(AN47:AN48,AN40,AN41:AN43)</f>
        <v>147.29001600000001</v>
      </c>
      <c r="AO56" s="448"/>
      <c r="AP56" s="447">
        <f t="shared" ref="AP56:AP60" si="82">AN56-AG56</f>
        <v>1.3900000000000148</v>
      </c>
      <c r="AQ56" s="449">
        <f t="shared" ref="AQ56:AQ60" si="83">IF((AG56)=0,"",(AP56/AG56))</f>
        <v>9.5270722931244563E-3</v>
      </c>
      <c r="AR56" s="450"/>
      <c r="AS56" s="450"/>
      <c r="AT56" s="450"/>
      <c r="AU56" s="3"/>
      <c r="AV56" s="3"/>
      <c r="AW56" s="3"/>
      <c r="AX56" s="3"/>
      <c r="AY56" s="3"/>
      <c r="AZ56" s="3"/>
      <c r="BA56" s="3"/>
      <c r="BB56" s="3"/>
    </row>
    <row r="57" spans="1:54" ht="12.75" customHeight="1">
      <c r="A57" s="52"/>
      <c r="B57" s="451" t="s">
        <v>320</v>
      </c>
      <c r="C57" s="321"/>
      <c r="D57" s="321"/>
      <c r="E57" s="321"/>
      <c r="F57" s="444">
        <v>0.13</v>
      </c>
      <c r="G57" s="488"/>
      <c r="H57" s="489">
        <f>H56*F57</f>
        <v>17.2538209792</v>
      </c>
      <c r="I57" s="416"/>
      <c r="J57" s="444">
        <v>0.13</v>
      </c>
      <c r="K57" s="452"/>
      <c r="L57" s="399">
        <f>L56*J57</f>
        <v>18.0447024576</v>
      </c>
      <c r="M57" s="132"/>
      <c r="N57" s="400">
        <f t="shared" si="74"/>
        <v>0.79088147839999934</v>
      </c>
      <c r="O57" s="401">
        <f t="shared" si="75"/>
        <v>4.5838048241802827E-2</v>
      </c>
      <c r="P57" s="52"/>
      <c r="Q57" s="444">
        <v>0.13</v>
      </c>
      <c r="R57" s="452"/>
      <c r="S57" s="399">
        <f>S56*Q57</f>
        <v>18.399342457600003</v>
      </c>
      <c r="T57" s="132"/>
      <c r="U57" s="400">
        <f t="shared" si="76"/>
        <v>0.3546400000000034</v>
      </c>
      <c r="V57" s="401">
        <f t="shared" si="77"/>
        <v>1.9653413561864383E-2</v>
      </c>
      <c r="W57" s="52"/>
      <c r="X57" s="444">
        <v>0.13</v>
      </c>
      <c r="Y57" s="452"/>
      <c r="Z57" s="399">
        <f>Z56*X57</f>
        <v>18.769402079999999</v>
      </c>
      <c r="AA57" s="132"/>
      <c r="AB57" s="400">
        <f t="shared" si="78"/>
        <v>0.3700596223999959</v>
      </c>
      <c r="AC57" s="401">
        <f t="shared" si="79"/>
        <v>2.011265474582977E-2</v>
      </c>
      <c r="AD57" s="52"/>
      <c r="AE57" s="444">
        <v>0.13</v>
      </c>
      <c r="AF57" s="452"/>
      <c r="AG57" s="399">
        <f>AG56*AE57</f>
        <v>18.96700208</v>
      </c>
      <c r="AH57" s="132"/>
      <c r="AI57" s="400">
        <f t="shared" si="80"/>
        <v>0.19760000000000133</v>
      </c>
      <c r="AJ57" s="401">
        <f t="shared" si="81"/>
        <v>1.0527772763233453E-2</v>
      </c>
      <c r="AK57" s="52"/>
      <c r="AL57" s="444">
        <v>0.13</v>
      </c>
      <c r="AM57" s="452"/>
      <c r="AN57" s="399">
        <f>AN56*AL57</f>
        <v>19.147702080000002</v>
      </c>
      <c r="AO57" s="132"/>
      <c r="AP57" s="400">
        <f t="shared" si="82"/>
        <v>0.18070000000000164</v>
      </c>
      <c r="AQ57" s="401">
        <f t="shared" si="83"/>
        <v>9.5270722931244407E-3</v>
      </c>
      <c r="AR57" s="402"/>
      <c r="AS57" s="402"/>
      <c r="AT57" s="402"/>
      <c r="AU57" s="3"/>
      <c r="AV57" s="3"/>
      <c r="AW57" s="3"/>
      <c r="AX57" s="3"/>
      <c r="AY57" s="3"/>
      <c r="AZ57" s="3"/>
      <c r="BA57" s="3"/>
      <c r="BB57" s="3"/>
    </row>
    <row r="58" spans="1:54" ht="12.75" customHeight="1">
      <c r="A58" s="52"/>
      <c r="B58" s="490" t="s">
        <v>353</v>
      </c>
      <c r="C58" s="321"/>
      <c r="D58" s="321"/>
      <c r="E58" s="321"/>
      <c r="F58" s="454"/>
      <c r="G58" s="132"/>
      <c r="H58" s="489">
        <f>H56+H57</f>
        <v>149.97552081919997</v>
      </c>
      <c r="I58" s="416"/>
      <c r="J58" s="454"/>
      <c r="K58" s="416"/>
      <c r="L58" s="399">
        <f>L56+L57</f>
        <v>156.85010597760001</v>
      </c>
      <c r="M58" s="132"/>
      <c r="N58" s="400">
        <f t="shared" si="74"/>
        <v>6.8745851584000377</v>
      </c>
      <c r="O58" s="401">
        <f t="shared" si="75"/>
        <v>4.5838048241803125E-2</v>
      </c>
      <c r="P58" s="52"/>
      <c r="Q58" s="416"/>
      <c r="R58" s="416"/>
      <c r="S58" s="399">
        <f>S56+S57</f>
        <v>159.93274597760001</v>
      </c>
      <c r="T58" s="132"/>
      <c r="U58" s="400">
        <f t="shared" si="76"/>
        <v>3.0826399999999978</v>
      </c>
      <c r="V58" s="401">
        <f t="shared" si="77"/>
        <v>1.9653413561864178E-2</v>
      </c>
      <c r="W58" s="52"/>
      <c r="X58" s="416"/>
      <c r="Y58" s="416"/>
      <c r="Z58" s="399">
        <f>Z56+Z57</f>
        <v>163.14941807999998</v>
      </c>
      <c r="AA58" s="132"/>
      <c r="AB58" s="400">
        <f t="shared" si="78"/>
        <v>3.2166721023999685</v>
      </c>
      <c r="AC58" s="401">
        <f t="shared" si="79"/>
        <v>2.0112654745829798E-2</v>
      </c>
      <c r="AD58" s="52"/>
      <c r="AE58" s="416"/>
      <c r="AF58" s="416"/>
      <c r="AG58" s="399">
        <f>AG56+AG57</f>
        <v>164.86701807999998</v>
      </c>
      <c r="AH58" s="132"/>
      <c r="AI58" s="400">
        <f t="shared" si="80"/>
        <v>1.7176000000000045</v>
      </c>
      <c r="AJ58" s="401">
        <f t="shared" si="81"/>
        <v>1.0527772763233412E-2</v>
      </c>
      <c r="AK58" s="52"/>
      <c r="AL58" s="416"/>
      <c r="AM58" s="416"/>
      <c r="AN58" s="399">
        <f>AN56+AN57</f>
        <v>166.43771808000002</v>
      </c>
      <c r="AO58" s="132"/>
      <c r="AP58" s="400">
        <f t="shared" si="82"/>
        <v>1.5707000000000448</v>
      </c>
      <c r="AQ58" s="401">
        <f t="shared" si="83"/>
        <v>9.527072293124628E-3</v>
      </c>
      <c r="AR58" s="402"/>
      <c r="AS58" s="402"/>
      <c r="AT58" s="402"/>
      <c r="AU58" s="3"/>
      <c r="AV58" s="3"/>
      <c r="AW58" s="3"/>
      <c r="AX58" s="3"/>
      <c r="AY58" s="3"/>
      <c r="AZ58" s="3"/>
      <c r="BA58" s="3"/>
      <c r="BB58" s="3"/>
    </row>
    <row r="59" spans="1:54" ht="15.75" customHeight="1">
      <c r="A59" s="52"/>
      <c r="B59" s="632" t="s">
        <v>277</v>
      </c>
      <c r="C59" s="623"/>
      <c r="D59" s="623"/>
      <c r="E59" s="321"/>
      <c r="F59" s="455">
        <f>F53</f>
        <v>0.23499999999999999</v>
      </c>
      <c r="G59" s="132"/>
      <c r="H59" s="491">
        <f>F59*H56</f>
        <v>31.189599462399993</v>
      </c>
      <c r="I59" s="416"/>
      <c r="J59" s="455">
        <f>J53</f>
        <v>0.23499999999999999</v>
      </c>
      <c r="K59" s="416"/>
      <c r="L59" s="456">
        <f>J59*L56</f>
        <v>32.6192698272</v>
      </c>
      <c r="M59" s="132"/>
      <c r="N59" s="456">
        <f t="shared" si="74"/>
        <v>1.4296703648000069</v>
      </c>
      <c r="O59" s="458">
        <f t="shared" si="75"/>
        <v>4.5838048241803098E-2</v>
      </c>
      <c r="P59" s="52"/>
      <c r="Q59" s="457">
        <f>Q53</f>
        <v>0.23499999999999999</v>
      </c>
      <c r="R59" s="416"/>
      <c r="S59" s="456">
        <f>Q59*S56</f>
        <v>33.260349827200002</v>
      </c>
      <c r="T59" s="132"/>
      <c r="U59" s="456">
        <f t="shared" si="76"/>
        <v>0.64108000000000231</v>
      </c>
      <c r="V59" s="458">
        <f t="shared" si="77"/>
        <v>1.9653413561864265E-2</v>
      </c>
      <c r="W59" s="52"/>
      <c r="X59" s="457">
        <f>X53</f>
        <v>0.23499999999999999</v>
      </c>
      <c r="Y59" s="416"/>
      <c r="Z59" s="456">
        <f>X59*Z56</f>
        <v>33.929303759999996</v>
      </c>
      <c r="AA59" s="132"/>
      <c r="AB59" s="456">
        <f t="shared" si="78"/>
        <v>0.66895393279999382</v>
      </c>
      <c r="AC59" s="458">
        <f t="shared" si="79"/>
        <v>2.0112654745829808E-2</v>
      </c>
      <c r="AD59" s="52"/>
      <c r="AE59" s="457">
        <f>AE53</f>
        <v>0.23499999999999999</v>
      </c>
      <c r="AF59" s="416"/>
      <c r="AG59" s="456">
        <f>AE59*AG56</f>
        <v>34.286503759999995</v>
      </c>
      <c r="AH59" s="132"/>
      <c r="AI59" s="456">
        <f t="shared" si="80"/>
        <v>0.35719999999999885</v>
      </c>
      <c r="AJ59" s="458">
        <f t="shared" si="81"/>
        <v>1.0527772763233349E-2</v>
      </c>
      <c r="AK59" s="52"/>
      <c r="AL59" s="457">
        <f>AL53</f>
        <v>0.23499999999999999</v>
      </c>
      <c r="AM59" s="416"/>
      <c r="AN59" s="456">
        <f>AL59*AN56</f>
        <v>34.613153760000003</v>
      </c>
      <c r="AO59" s="132"/>
      <c r="AP59" s="456">
        <f t="shared" si="82"/>
        <v>0.32665000000000788</v>
      </c>
      <c r="AQ59" s="458">
        <f t="shared" si="83"/>
        <v>9.5270722931245864E-3</v>
      </c>
      <c r="AR59" s="459"/>
      <c r="AS59" s="459"/>
      <c r="AT59" s="459"/>
      <c r="AU59" s="3"/>
      <c r="AV59" s="3"/>
      <c r="AW59" s="3"/>
      <c r="AX59" s="3"/>
      <c r="AY59" s="3"/>
      <c r="AZ59" s="3"/>
      <c r="BA59" s="3"/>
      <c r="BB59" s="3"/>
    </row>
    <row r="60" spans="1:54" ht="12.75" customHeight="1">
      <c r="A60" s="52"/>
      <c r="B60" s="634" t="s">
        <v>325</v>
      </c>
      <c r="C60" s="615"/>
      <c r="D60" s="615"/>
      <c r="E60" s="460"/>
      <c r="F60" s="468"/>
      <c r="G60" s="494"/>
      <c r="H60" s="495">
        <f>H58-H59</f>
        <v>118.78592135679997</v>
      </c>
      <c r="I60" s="469"/>
      <c r="J60" s="468"/>
      <c r="K60" s="469"/>
      <c r="L60" s="470">
        <f>L58-L59</f>
        <v>124.23083615040001</v>
      </c>
      <c r="M60" s="471"/>
      <c r="N60" s="472">
        <f t="shared" si="74"/>
        <v>5.4449147936000344</v>
      </c>
      <c r="O60" s="473">
        <f t="shared" si="75"/>
        <v>4.5838048241803167E-2</v>
      </c>
      <c r="P60" s="52"/>
      <c r="Q60" s="469"/>
      <c r="R60" s="469"/>
      <c r="S60" s="470">
        <f>S58-S59</f>
        <v>126.6723961504</v>
      </c>
      <c r="T60" s="471"/>
      <c r="U60" s="472">
        <f t="shared" si="76"/>
        <v>2.4415599999999955</v>
      </c>
      <c r="V60" s="473">
        <f t="shared" si="77"/>
        <v>1.9653413561864157E-2</v>
      </c>
      <c r="W60" s="52"/>
      <c r="X60" s="469"/>
      <c r="Y60" s="469"/>
      <c r="Z60" s="470">
        <f>Z58-Z59</f>
        <v>129.22011431999999</v>
      </c>
      <c r="AA60" s="471"/>
      <c r="AB60" s="472">
        <f t="shared" si="78"/>
        <v>2.5477181695999889</v>
      </c>
      <c r="AC60" s="473">
        <f t="shared" si="79"/>
        <v>2.0112654745829909E-2</v>
      </c>
      <c r="AD60" s="52"/>
      <c r="AE60" s="469"/>
      <c r="AF60" s="469"/>
      <c r="AG60" s="470">
        <f>AG58-AG59</f>
        <v>130.58051431999999</v>
      </c>
      <c r="AH60" s="471"/>
      <c r="AI60" s="472">
        <f t="shared" si="80"/>
        <v>1.3603999999999985</v>
      </c>
      <c r="AJ60" s="473">
        <f t="shared" si="81"/>
        <v>1.0527772763233372E-2</v>
      </c>
      <c r="AK60" s="52"/>
      <c r="AL60" s="469"/>
      <c r="AM60" s="469"/>
      <c r="AN60" s="470">
        <f>AN58-AN59</f>
        <v>131.82456432000004</v>
      </c>
      <c r="AO60" s="471"/>
      <c r="AP60" s="472">
        <f t="shared" si="82"/>
        <v>1.2440500000000441</v>
      </c>
      <c r="AQ60" s="473">
        <f t="shared" si="83"/>
        <v>9.5270722931246922E-3</v>
      </c>
      <c r="AR60" s="450"/>
      <c r="AS60" s="450"/>
      <c r="AT60" s="450"/>
      <c r="AU60" s="3"/>
      <c r="AV60" s="3"/>
      <c r="AW60" s="3"/>
      <c r="AX60" s="3"/>
      <c r="AY60" s="3"/>
      <c r="AZ60" s="3"/>
      <c r="BA60" s="3"/>
      <c r="BB60" s="3"/>
    </row>
    <row r="61" spans="1:54" ht="8.25"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02"/>
      <c r="AS61" s="402"/>
      <c r="AT61" s="402"/>
      <c r="AU61" s="3"/>
      <c r="AV61" s="3"/>
      <c r="AW61" s="3"/>
      <c r="AX61" s="3"/>
      <c r="AY61" s="3"/>
      <c r="AZ61" s="3"/>
      <c r="BA61" s="3"/>
      <c r="BB61" s="3"/>
    </row>
    <row r="62" spans="1:54" ht="12.75"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c r="AS62" s="52"/>
      <c r="AT62" s="52"/>
      <c r="AU62" s="3"/>
      <c r="AV62" s="3"/>
      <c r="AW62" s="3"/>
      <c r="AX62" s="3"/>
      <c r="AY62" s="3"/>
      <c r="AZ62" s="3"/>
      <c r="BA62" s="3"/>
      <c r="BB62" s="3"/>
    </row>
    <row r="63" spans="1:54" ht="12.75"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c r="AS63" s="52"/>
      <c r="AT63" s="52"/>
      <c r="AU63" s="3"/>
      <c r="AV63" s="3"/>
      <c r="AW63" s="3"/>
      <c r="AX63" s="3"/>
      <c r="AY63" s="3"/>
      <c r="AZ63" s="3"/>
      <c r="BA63" s="3"/>
      <c r="BB63" s="3"/>
    </row>
    <row r="64" spans="1:5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3"/>
      <c r="AV64" s="3"/>
      <c r="AW64" s="3"/>
      <c r="AX64" s="3"/>
      <c r="AY64" s="3"/>
      <c r="AZ64" s="3"/>
      <c r="BA64" s="3"/>
      <c r="BB64" s="3"/>
    </row>
    <row r="65" spans="1:54" ht="15.75" customHeight="1">
      <c r="A65" s="478" t="s">
        <v>354</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3"/>
      <c r="AV65" s="3"/>
      <c r="AW65" s="3"/>
      <c r="AX65" s="3"/>
      <c r="AY65" s="3"/>
      <c r="AZ65" s="3"/>
      <c r="BA65" s="3"/>
      <c r="BB65" s="3"/>
    </row>
    <row r="66" spans="1:5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3"/>
      <c r="AV66" s="3"/>
      <c r="AW66" s="3"/>
      <c r="AX66" s="3"/>
      <c r="AY66" s="3"/>
      <c r="AZ66" s="3"/>
      <c r="BA66" s="3"/>
      <c r="BB66" s="3"/>
    </row>
    <row r="67" spans="1:54" ht="8.25"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3"/>
      <c r="AV67" s="3"/>
      <c r="AW67" s="3"/>
      <c r="AX67" s="3"/>
      <c r="AY67" s="3"/>
      <c r="AZ67" s="3"/>
      <c r="BA67" s="3"/>
      <c r="BB67" s="3"/>
    </row>
    <row r="68" spans="1:54" ht="12.75"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3"/>
      <c r="AV68" s="3"/>
      <c r="AW68" s="3"/>
      <c r="AX68" s="3"/>
      <c r="AY68" s="3"/>
      <c r="AZ68" s="3"/>
      <c r="BA68" s="3"/>
      <c r="BB68" s="3"/>
    </row>
    <row r="69" spans="1:5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3"/>
      <c r="AV69" s="3"/>
      <c r="AW69" s="3"/>
      <c r="AX69" s="3"/>
      <c r="AY69" s="3"/>
      <c r="AZ69" s="3"/>
      <c r="BA69" s="3"/>
      <c r="BB69" s="3"/>
    </row>
    <row r="70" spans="1:54" ht="12.75"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3"/>
      <c r="AV70" s="3"/>
      <c r="AW70" s="3"/>
      <c r="AX70" s="3"/>
      <c r="AY70" s="3"/>
      <c r="AZ70" s="3"/>
      <c r="BA70" s="3"/>
      <c r="BB70" s="3"/>
    </row>
    <row r="71" spans="1:54" ht="12.75"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3"/>
      <c r="AV71" s="3"/>
      <c r="AW71" s="3"/>
      <c r="AX71" s="3"/>
      <c r="AY71" s="3"/>
      <c r="AZ71" s="3"/>
      <c r="BA71" s="3"/>
      <c r="BB71" s="3"/>
    </row>
    <row r="72" spans="1:5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3"/>
      <c r="AV72" s="3"/>
      <c r="AW72" s="3"/>
      <c r="AX72" s="3"/>
      <c r="AY72" s="3"/>
      <c r="AZ72" s="3"/>
      <c r="BA72" s="3"/>
      <c r="BB72" s="3"/>
    </row>
    <row r="73" spans="1:54" ht="12.75"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3"/>
      <c r="AV73" s="3"/>
      <c r="AW73" s="3"/>
      <c r="AX73" s="3"/>
      <c r="AY73" s="3"/>
      <c r="AZ73" s="3"/>
      <c r="BA73" s="3"/>
      <c r="BB73" s="3"/>
    </row>
    <row r="74" spans="1:54" ht="12.75"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3"/>
      <c r="AV74" s="3"/>
      <c r="AW74" s="3"/>
      <c r="AX74" s="3"/>
      <c r="AY74" s="3"/>
      <c r="AZ74" s="3"/>
      <c r="BA74" s="3"/>
      <c r="BB74" s="3"/>
    </row>
    <row r="75" spans="1:54" ht="12.75"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3"/>
      <c r="AV75" s="3"/>
      <c r="AW75" s="3"/>
      <c r="AX75" s="3"/>
      <c r="AY75" s="3"/>
      <c r="AZ75" s="3"/>
      <c r="BA75" s="3"/>
      <c r="BB75" s="3"/>
    </row>
    <row r="76" spans="1:54" ht="12.75"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3"/>
      <c r="AV76" s="3"/>
      <c r="AW76" s="3"/>
      <c r="AX76" s="3"/>
      <c r="AY76" s="3"/>
      <c r="AZ76" s="3"/>
      <c r="BA76" s="3"/>
      <c r="BB76" s="3"/>
    </row>
    <row r="77" spans="1:54" ht="12.75"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3"/>
      <c r="AV77" s="3"/>
      <c r="AW77" s="3"/>
      <c r="AX77" s="3"/>
      <c r="AY77" s="3"/>
      <c r="AZ77" s="3"/>
      <c r="BA77" s="3"/>
      <c r="BB77" s="3"/>
    </row>
    <row r="78" spans="1:5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3"/>
      <c r="AV78" s="3"/>
      <c r="AW78" s="3"/>
      <c r="AX78" s="3"/>
      <c r="AY78" s="3"/>
      <c r="AZ78" s="3"/>
      <c r="BA78" s="3"/>
      <c r="BB78" s="3"/>
    </row>
    <row r="79" spans="1:54" ht="12.75"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3"/>
      <c r="AV79" s="3"/>
      <c r="AW79" s="3"/>
      <c r="AX79" s="3"/>
      <c r="AY79" s="3"/>
      <c r="AZ79" s="3"/>
      <c r="BA79" s="3"/>
      <c r="BB79" s="3"/>
    </row>
    <row r="80" spans="1:5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3"/>
      <c r="AV80" s="3"/>
      <c r="AW80" s="3"/>
      <c r="AX80" s="3"/>
      <c r="AY80" s="3"/>
      <c r="AZ80" s="3"/>
      <c r="BA80" s="3"/>
      <c r="BB80" s="3"/>
    </row>
    <row r="81" spans="1:54" ht="12.75"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3"/>
      <c r="AV81" s="3"/>
      <c r="AW81" s="3"/>
      <c r="AX81" s="3"/>
      <c r="AY81" s="3"/>
      <c r="AZ81" s="3"/>
      <c r="BA81" s="3"/>
      <c r="BB81" s="3"/>
    </row>
    <row r="82" spans="1:5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3"/>
      <c r="AV82" s="3"/>
      <c r="AW82" s="3"/>
      <c r="AX82" s="3"/>
      <c r="AY82" s="3"/>
      <c r="AZ82" s="3"/>
      <c r="BA82" s="3"/>
      <c r="BB82" s="3"/>
    </row>
    <row r="83" spans="1:5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3"/>
      <c r="AV83" s="3"/>
      <c r="AW83" s="3"/>
      <c r="AX83" s="3"/>
      <c r="AY83" s="3"/>
      <c r="AZ83" s="3"/>
      <c r="BA83" s="3"/>
      <c r="BB83" s="3"/>
    </row>
    <row r="84" spans="1:5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3"/>
      <c r="AV84" s="3"/>
      <c r="AW84" s="3"/>
      <c r="AX84" s="3"/>
      <c r="AY84" s="3"/>
      <c r="AZ84" s="3"/>
      <c r="BA84" s="3"/>
      <c r="BB84" s="3"/>
    </row>
    <row r="85" spans="1:5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3"/>
      <c r="AV85" s="3"/>
      <c r="AW85" s="3"/>
      <c r="AX85" s="3"/>
      <c r="AY85" s="3"/>
      <c r="AZ85" s="3"/>
      <c r="BA85" s="3"/>
      <c r="BB85" s="3"/>
    </row>
    <row r="86" spans="1:5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3"/>
      <c r="AV86" s="3"/>
      <c r="AW86" s="3"/>
      <c r="AX86" s="3"/>
      <c r="AY86" s="3"/>
      <c r="AZ86" s="3"/>
      <c r="BA86" s="3"/>
      <c r="BB86" s="3"/>
    </row>
    <row r="87" spans="1:5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3"/>
      <c r="AV87" s="3"/>
      <c r="AW87" s="3"/>
      <c r="AX87" s="3"/>
      <c r="AY87" s="3"/>
      <c r="AZ87" s="3"/>
      <c r="BA87" s="3"/>
      <c r="BB87" s="3"/>
    </row>
    <row r="88" spans="1:5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3"/>
      <c r="AV88" s="3"/>
      <c r="AW88" s="3"/>
      <c r="AX88" s="3"/>
      <c r="AY88" s="3"/>
      <c r="AZ88" s="3"/>
      <c r="BA88" s="3"/>
      <c r="BB88" s="3"/>
    </row>
    <row r="89" spans="1:5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3"/>
      <c r="AV89" s="3"/>
      <c r="AW89" s="3"/>
      <c r="AX89" s="3"/>
      <c r="AY89" s="3"/>
      <c r="AZ89" s="3"/>
      <c r="BA89" s="3"/>
      <c r="BB89" s="3"/>
    </row>
    <row r="90" spans="1:5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3"/>
      <c r="AV90" s="3"/>
      <c r="AW90" s="3"/>
      <c r="AX90" s="3"/>
      <c r="AY90" s="3"/>
      <c r="AZ90" s="3"/>
      <c r="BA90" s="3"/>
      <c r="BB90" s="3"/>
    </row>
    <row r="91" spans="1:5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3"/>
      <c r="AV91" s="3"/>
      <c r="AW91" s="3"/>
      <c r="AX91" s="3"/>
      <c r="AY91" s="3"/>
      <c r="AZ91" s="3"/>
      <c r="BA91" s="3"/>
      <c r="BB91" s="3"/>
    </row>
    <row r="92" spans="1:5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3"/>
      <c r="AV92" s="3"/>
      <c r="AW92" s="3"/>
      <c r="AX92" s="3"/>
      <c r="AY92" s="3"/>
      <c r="AZ92" s="3"/>
      <c r="BA92" s="3"/>
      <c r="BB92" s="3"/>
    </row>
    <row r="93" spans="1:5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3"/>
      <c r="AV93" s="3"/>
      <c r="AW93" s="3"/>
      <c r="AX93" s="3"/>
      <c r="AY93" s="3"/>
      <c r="AZ93" s="3"/>
      <c r="BA93" s="3"/>
      <c r="BB93" s="3"/>
    </row>
    <row r="94" spans="1:5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3"/>
      <c r="AV94" s="3"/>
      <c r="AW94" s="3"/>
      <c r="AX94" s="3"/>
      <c r="AY94" s="3"/>
      <c r="AZ94" s="3"/>
      <c r="BA94" s="3"/>
      <c r="BB94" s="3"/>
    </row>
    <row r="95" spans="1:5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3"/>
      <c r="AV95" s="3"/>
      <c r="AW95" s="3"/>
      <c r="AX95" s="3"/>
      <c r="AY95" s="3"/>
      <c r="AZ95" s="3"/>
      <c r="BA95" s="3"/>
      <c r="BB95" s="3"/>
    </row>
    <row r="96" spans="1:5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3"/>
      <c r="AV96" s="3"/>
      <c r="AW96" s="3"/>
      <c r="AX96" s="3"/>
      <c r="AY96" s="3"/>
      <c r="AZ96" s="3"/>
      <c r="BA96" s="3"/>
      <c r="BB96" s="3"/>
    </row>
    <row r="97" spans="1:5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3"/>
      <c r="AV97" s="3"/>
      <c r="AW97" s="3"/>
      <c r="AX97" s="3"/>
      <c r="AY97" s="3"/>
      <c r="AZ97" s="3"/>
      <c r="BA97" s="3"/>
      <c r="BB97" s="3"/>
    </row>
    <row r="98" spans="1:5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3"/>
      <c r="AV98" s="3"/>
      <c r="AW98" s="3"/>
      <c r="AX98" s="3"/>
      <c r="AY98" s="3"/>
      <c r="AZ98" s="3"/>
      <c r="BA98" s="3"/>
      <c r="BB98" s="3"/>
    </row>
    <row r="99" spans="1:5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3"/>
      <c r="AV99" s="3"/>
      <c r="AW99" s="3"/>
      <c r="AX99" s="3"/>
      <c r="AY99" s="3"/>
      <c r="AZ99" s="3"/>
      <c r="BA99" s="3"/>
      <c r="BB99" s="3"/>
    </row>
    <row r="100" spans="1:5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3"/>
      <c r="AV100" s="3"/>
      <c r="AW100" s="3"/>
      <c r="AX100" s="3"/>
      <c r="AY100" s="3"/>
      <c r="AZ100" s="3"/>
      <c r="BA100" s="3"/>
      <c r="BB100" s="3"/>
    </row>
    <row r="101" spans="1:5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3"/>
      <c r="AV101" s="3"/>
      <c r="AW101" s="3"/>
      <c r="AX101" s="3"/>
      <c r="AY101" s="3"/>
      <c r="AZ101" s="3"/>
      <c r="BA101" s="3"/>
      <c r="BB101" s="3"/>
    </row>
    <row r="102" spans="1:5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3"/>
      <c r="AV102" s="3"/>
      <c r="AW102" s="3"/>
      <c r="AX102" s="3"/>
      <c r="AY102" s="3"/>
      <c r="AZ102" s="3"/>
      <c r="BA102" s="3"/>
      <c r="BB102" s="3"/>
    </row>
    <row r="103" spans="1:5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3"/>
      <c r="AV103" s="3"/>
      <c r="AW103" s="3"/>
      <c r="AX103" s="3"/>
      <c r="AY103" s="3"/>
      <c r="AZ103" s="3"/>
      <c r="BA103" s="3"/>
      <c r="BB103" s="3"/>
    </row>
    <row r="104" spans="1:5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3"/>
      <c r="AV104" s="3"/>
      <c r="AW104" s="3"/>
      <c r="AX104" s="3"/>
      <c r="AY104" s="3"/>
      <c r="AZ104" s="3"/>
      <c r="BA104" s="3"/>
      <c r="BB104" s="3"/>
    </row>
    <row r="105" spans="1:5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3"/>
      <c r="AV105" s="3"/>
      <c r="AW105" s="3"/>
      <c r="AX105" s="3"/>
      <c r="AY105" s="3"/>
      <c r="AZ105" s="3"/>
      <c r="BA105" s="3"/>
      <c r="BB105" s="3"/>
    </row>
    <row r="106" spans="1:5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3"/>
      <c r="AV106" s="3"/>
      <c r="AW106" s="3"/>
      <c r="AX106" s="3"/>
      <c r="AY106" s="3"/>
      <c r="AZ106" s="3"/>
      <c r="BA106" s="3"/>
      <c r="BB106" s="3"/>
    </row>
    <row r="107" spans="1:5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3"/>
      <c r="AV107" s="3"/>
      <c r="AW107" s="3"/>
      <c r="AX107" s="3"/>
      <c r="AY107" s="3"/>
      <c r="AZ107" s="3"/>
      <c r="BA107" s="3"/>
      <c r="BB107" s="3"/>
    </row>
    <row r="108" spans="1:5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3"/>
      <c r="AV108" s="3"/>
      <c r="AW108" s="3"/>
      <c r="AX108" s="3"/>
      <c r="AY108" s="3"/>
      <c r="AZ108" s="3"/>
      <c r="BA108" s="3"/>
      <c r="BB108" s="3"/>
    </row>
    <row r="109" spans="1:5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3"/>
      <c r="AV109" s="3"/>
      <c r="AW109" s="3"/>
      <c r="AX109" s="3"/>
      <c r="AY109" s="3"/>
      <c r="AZ109" s="3"/>
      <c r="BA109" s="3"/>
      <c r="BB109" s="3"/>
    </row>
    <row r="110" spans="1:5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3"/>
      <c r="AV110" s="3"/>
      <c r="AW110" s="3"/>
      <c r="AX110" s="3"/>
      <c r="AY110" s="3"/>
      <c r="AZ110" s="3"/>
      <c r="BA110" s="3"/>
      <c r="BB110" s="3"/>
    </row>
    <row r="111" spans="1:5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3"/>
      <c r="AV111" s="3"/>
      <c r="AW111" s="3"/>
      <c r="AX111" s="3"/>
      <c r="AY111" s="3"/>
      <c r="AZ111" s="3"/>
      <c r="BA111" s="3"/>
      <c r="BB111" s="3"/>
    </row>
    <row r="112" spans="1:5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3"/>
      <c r="AV112" s="3"/>
      <c r="AW112" s="3"/>
      <c r="AX112" s="3"/>
      <c r="AY112" s="3"/>
      <c r="AZ112" s="3"/>
      <c r="BA112" s="3"/>
      <c r="BB112" s="3"/>
    </row>
    <row r="113" spans="1:5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3"/>
      <c r="AV113" s="3"/>
      <c r="AW113" s="3"/>
      <c r="AX113" s="3"/>
      <c r="AY113" s="3"/>
      <c r="AZ113" s="3"/>
      <c r="BA113" s="3"/>
      <c r="BB113" s="3"/>
    </row>
    <row r="114" spans="1:5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3"/>
      <c r="AV114" s="3"/>
      <c r="AW114" s="3"/>
      <c r="AX114" s="3"/>
      <c r="AY114" s="3"/>
      <c r="AZ114" s="3"/>
      <c r="BA114" s="3"/>
      <c r="BB114" s="3"/>
    </row>
    <row r="115" spans="1:5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3"/>
      <c r="AV115" s="3"/>
      <c r="AW115" s="3"/>
      <c r="AX115" s="3"/>
      <c r="AY115" s="3"/>
      <c r="AZ115" s="3"/>
      <c r="BA115" s="3"/>
      <c r="BB115" s="3"/>
    </row>
    <row r="116" spans="1:5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3"/>
      <c r="AV116" s="3"/>
      <c r="AW116" s="3"/>
      <c r="AX116" s="3"/>
      <c r="AY116" s="3"/>
      <c r="AZ116" s="3"/>
      <c r="BA116" s="3"/>
      <c r="BB116" s="3"/>
    </row>
    <row r="117" spans="1:5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3"/>
      <c r="AV117" s="3"/>
      <c r="AW117" s="3"/>
      <c r="AX117" s="3"/>
      <c r="AY117" s="3"/>
      <c r="AZ117" s="3"/>
      <c r="BA117" s="3"/>
      <c r="BB117" s="3"/>
    </row>
    <row r="118" spans="1:5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3"/>
      <c r="AV118" s="3"/>
      <c r="AW118" s="3"/>
      <c r="AX118" s="3"/>
      <c r="AY118" s="3"/>
      <c r="AZ118" s="3"/>
      <c r="BA118" s="3"/>
      <c r="BB118" s="3"/>
    </row>
    <row r="119" spans="1:5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3"/>
      <c r="AV119" s="3"/>
      <c r="AW119" s="3"/>
      <c r="AX119" s="3"/>
      <c r="AY119" s="3"/>
      <c r="AZ119" s="3"/>
      <c r="BA119" s="3"/>
      <c r="BB119" s="3"/>
    </row>
    <row r="120" spans="1:5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3"/>
      <c r="AV120" s="3"/>
      <c r="AW120" s="3"/>
      <c r="AX120" s="3"/>
      <c r="AY120" s="3"/>
      <c r="AZ120" s="3"/>
      <c r="BA120" s="3"/>
      <c r="BB120" s="3"/>
    </row>
    <row r="121" spans="1:5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3"/>
      <c r="AV121" s="3"/>
      <c r="AW121" s="3"/>
      <c r="AX121" s="3"/>
      <c r="AY121" s="3"/>
      <c r="AZ121" s="3"/>
      <c r="BA121" s="3"/>
      <c r="BB121" s="3"/>
    </row>
    <row r="122" spans="1:5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3"/>
      <c r="AV122" s="3"/>
      <c r="AW122" s="3"/>
      <c r="AX122" s="3"/>
      <c r="AY122" s="3"/>
      <c r="AZ122" s="3"/>
      <c r="BA122" s="3"/>
      <c r="BB122" s="3"/>
    </row>
    <row r="123" spans="1:5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3"/>
      <c r="AV123" s="3"/>
      <c r="AW123" s="3"/>
      <c r="AX123" s="3"/>
      <c r="AY123" s="3"/>
      <c r="AZ123" s="3"/>
      <c r="BA123" s="3"/>
      <c r="BB123" s="3"/>
    </row>
    <row r="124" spans="1:5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3"/>
      <c r="AV124" s="3"/>
      <c r="AW124" s="3"/>
      <c r="AX124" s="3"/>
      <c r="AY124" s="3"/>
      <c r="AZ124" s="3"/>
      <c r="BA124" s="3"/>
      <c r="BB124" s="3"/>
    </row>
    <row r="125" spans="1:5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3"/>
      <c r="AV125" s="3"/>
      <c r="AW125" s="3"/>
      <c r="AX125" s="3"/>
      <c r="AY125" s="3"/>
      <c r="AZ125" s="3"/>
      <c r="BA125" s="3"/>
      <c r="BB125" s="3"/>
    </row>
    <row r="126" spans="1:5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3"/>
      <c r="AV126" s="3"/>
      <c r="AW126" s="3"/>
      <c r="AX126" s="3"/>
      <c r="AY126" s="3"/>
      <c r="AZ126" s="3"/>
      <c r="BA126" s="3"/>
      <c r="BB126" s="3"/>
    </row>
    <row r="127" spans="1:5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3"/>
      <c r="AV127" s="3"/>
      <c r="AW127" s="3"/>
      <c r="AX127" s="3"/>
      <c r="AY127" s="3"/>
      <c r="AZ127" s="3"/>
      <c r="BA127" s="3"/>
      <c r="BB127" s="3"/>
    </row>
    <row r="128" spans="1:5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3"/>
      <c r="AV128" s="3"/>
      <c r="AW128" s="3"/>
      <c r="AX128" s="3"/>
      <c r="AY128" s="3"/>
      <c r="AZ128" s="3"/>
      <c r="BA128" s="3"/>
      <c r="BB128" s="3"/>
    </row>
    <row r="129" spans="1:5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3"/>
      <c r="AV129" s="3"/>
      <c r="AW129" s="3"/>
      <c r="AX129" s="3"/>
      <c r="AY129" s="3"/>
      <c r="AZ129" s="3"/>
      <c r="BA129" s="3"/>
      <c r="BB129" s="3"/>
    </row>
    <row r="130" spans="1:5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3"/>
      <c r="AV130" s="3"/>
      <c r="AW130" s="3"/>
      <c r="AX130" s="3"/>
      <c r="AY130" s="3"/>
      <c r="AZ130" s="3"/>
      <c r="BA130" s="3"/>
      <c r="BB130" s="3"/>
    </row>
    <row r="131" spans="1:5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3"/>
      <c r="AV131" s="3"/>
      <c r="AW131" s="3"/>
      <c r="AX131" s="3"/>
      <c r="AY131" s="3"/>
      <c r="AZ131" s="3"/>
      <c r="BA131" s="3"/>
      <c r="BB131" s="3"/>
    </row>
    <row r="132" spans="1:5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3"/>
      <c r="AV132" s="3"/>
      <c r="AW132" s="3"/>
      <c r="AX132" s="3"/>
      <c r="AY132" s="3"/>
      <c r="AZ132" s="3"/>
      <c r="BA132" s="3"/>
      <c r="BB132" s="3"/>
    </row>
    <row r="133" spans="1:5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3"/>
      <c r="AV133" s="3"/>
      <c r="AW133" s="3"/>
      <c r="AX133" s="3"/>
      <c r="AY133" s="3"/>
      <c r="AZ133" s="3"/>
      <c r="BA133" s="3"/>
      <c r="BB133" s="3"/>
    </row>
    <row r="134" spans="1:5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3"/>
      <c r="AV134" s="3"/>
      <c r="AW134" s="3"/>
      <c r="AX134" s="3"/>
      <c r="AY134" s="3"/>
      <c r="AZ134" s="3"/>
      <c r="BA134" s="3"/>
      <c r="BB134" s="3"/>
    </row>
    <row r="135" spans="1:5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3"/>
      <c r="AV135" s="3"/>
      <c r="AW135" s="3"/>
      <c r="AX135" s="3"/>
      <c r="AY135" s="3"/>
      <c r="AZ135" s="3"/>
      <c r="BA135" s="3"/>
      <c r="BB135" s="3"/>
    </row>
    <row r="136" spans="1:5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3"/>
      <c r="AV136" s="3"/>
      <c r="AW136" s="3"/>
      <c r="AX136" s="3"/>
      <c r="AY136" s="3"/>
      <c r="AZ136" s="3"/>
      <c r="BA136" s="3"/>
      <c r="BB136" s="3"/>
    </row>
    <row r="137" spans="1:5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3"/>
      <c r="AV137" s="3"/>
      <c r="AW137" s="3"/>
      <c r="AX137" s="3"/>
      <c r="AY137" s="3"/>
      <c r="AZ137" s="3"/>
      <c r="BA137" s="3"/>
      <c r="BB137" s="3"/>
    </row>
    <row r="138" spans="1:5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3"/>
      <c r="AV138" s="3"/>
      <c r="AW138" s="3"/>
      <c r="AX138" s="3"/>
      <c r="AY138" s="3"/>
      <c r="AZ138" s="3"/>
      <c r="BA138" s="3"/>
      <c r="BB138" s="3"/>
    </row>
    <row r="139" spans="1:5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3"/>
      <c r="AV139" s="3"/>
      <c r="AW139" s="3"/>
      <c r="AX139" s="3"/>
      <c r="AY139" s="3"/>
      <c r="AZ139" s="3"/>
      <c r="BA139" s="3"/>
      <c r="BB139" s="3"/>
    </row>
    <row r="140" spans="1:5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3"/>
      <c r="AV140" s="3"/>
      <c r="AW140" s="3"/>
      <c r="AX140" s="3"/>
      <c r="AY140" s="3"/>
      <c r="AZ140" s="3"/>
      <c r="BA140" s="3"/>
      <c r="BB140" s="3"/>
    </row>
    <row r="141" spans="1:5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3"/>
      <c r="AV141" s="3"/>
      <c r="AW141" s="3"/>
      <c r="AX141" s="3"/>
      <c r="AY141" s="3"/>
      <c r="AZ141" s="3"/>
      <c r="BA141" s="3"/>
      <c r="BB141" s="3"/>
    </row>
    <row r="142" spans="1:5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3"/>
      <c r="AV142" s="3"/>
      <c r="AW142" s="3"/>
      <c r="AX142" s="3"/>
      <c r="AY142" s="3"/>
      <c r="AZ142" s="3"/>
      <c r="BA142" s="3"/>
      <c r="BB142" s="3"/>
    </row>
    <row r="143" spans="1:5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3"/>
      <c r="AV143" s="3"/>
      <c r="AW143" s="3"/>
      <c r="AX143" s="3"/>
      <c r="AY143" s="3"/>
      <c r="AZ143" s="3"/>
      <c r="BA143" s="3"/>
      <c r="BB143" s="3"/>
    </row>
    <row r="144" spans="1:5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3"/>
      <c r="AV144" s="3"/>
      <c r="AW144" s="3"/>
      <c r="AX144" s="3"/>
      <c r="AY144" s="3"/>
      <c r="AZ144" s="3"/>
      <c r="BA144" s="3"/>
      <c r="BB144" s="3"/>
    </row>
    <row r="145" spans="1:5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3"/>
      <c r="AV145" s="3"/>
      <c r="AW145" s="3"/>
      <c r="AX145" s="3"/>
      <c r="AY145" s="3"/>
      <c r="AZ145" s="3"/>
      <c r="BA145" s="3"/>
      <c r="BB145" s="3"/>
    </row>
    <row r="146" spans="1:5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3"/>
      <c r="AV146" s="3"/>
      <c r="AW146" s="3"/>
      <c r="AX146" s="3"/>
      <c r="AY146" s="3"/>
      <c r="AZ146" s="3"/>
      <c r="BA146" s="3"/>
      <c r="BB146" s="3"/>
    </row>
    <row r="147" spans="1:5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3"/>
      <c r="AV147" s="3"/>
      <c r="AW147" s="3"/>
      <c r="AX147" s="3"/>
      <c r="AY147" s="3"/>
      <c r="AZ147" s="3"/>
      <c r="BA147" s="3"/>
      <c r="BB147" s="3"/>
    </row>
    <row r="148" spans="1:5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3"/>
      <c r="AV148" s="3"/>
      <c r="AW148" s="3"/>
      <c r="AX148" s="3"/>
      <c r="AY148" s="3"/>
      <c r="AZ148" s="3"/>
      <c r="BA148" s="3"/>
      <c r="BB148" s="3"/>
    </row>
    <row r="149" spans="1:5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3"/>
      <c r="AV149" s="3"/>
      <c r="AW149" s="3"/>
      <c r="AX149" s="3"/>
      <c r="AY149" s="3"/>
      <c r="AZ149" s="3"/>
      <c r="BA149" s="3"/>
      <c r="BB149" s="3"/>
    </row>
    <row r="150" spans="1:5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3"/>
      <c r="AV150" s="3"/>
      <c r="AW150" s="3"/>
      <c r="AX150" s="3"/>
      <c r="AY150" s="3"/>
      <c r="AZ150" s="3"/>
      <c r="BA150" s="3"/>
      <c r="BB150" s="3"/>
    </row>
    <row r="151" spans="1:5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3"/>
      <c r="AV151" s="3"/>
      <c r="AW151" s="3"/>
      <c r="AX151" s="3"/>
      <c r="AY151" s="3"/>
      <c r="AZ151" s="3"/>
      <c r="BA151" s="3"/>
      <c r="BB151" s="3"/>
    </row>
    <row r="152" spans="1:5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3"/>
      <c r="AV152" s="3"/>
      <c r="AW152" s="3"/>
      <c r="AX152" s="3"/>
      <c r="AY152" s="3"/>
      <c r="AZ152" s="3"/>
      <c r="BA152" s="3"/>
      <c r="BB152" s="3"/>
    </row>
    <row r="153" spans="1:5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3"/>
      <c r="AV153" s="3"/>
      <c r="AW153" s="3"/>
      <c r="AX153" s="3"/>
      <c r="AY153" s="3"/>
      <c r="AZ153" s="3"/>
      <c r="BA153" s="3"/>
      <c r="BB153" s="3"/>
    </row>
    <row r="154" spans="1:5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3"/>
      <c r="AV154" s="3"/>
      <c r="AW154" s="3"/>
      <c r="AX154" s="3"/>
      <c r="AY154" s="3"/>
      <c r="AZ154" s="3"/>
      <c r="BA154" s="3"/>
      <c r="BB154" s="3"/>
    </row>
    <row r="155" spans="1:5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3"/>
      <c r="AV155" s="3"/>
      <c r="AW155" s="3"/>
      <c r="AX155" s="3"/>
      <c r="AY155" s="3"/>
      <c r="AZ155" s="3"/>
      <c r="BA155" s="3"/>
      <c r="BB155" s="3"/>
    </row>
    <row r="156" spans="1:5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3"/>
      <c r="AV156" s="3"/>
      <c r="AW156" s="3"/>
      <c r="AX156" s="3"/>
      <c r="AY156" s="3"/>
      <c r="AZ156" s="3"/>
      <c r="BA156" s="3"/>
      <c r="BB156" s="3"/>
    </row>
    <row r="157" spans="1:5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3"/>
      <c r="AV157" s="3"/>
      <c r="AW157" s="3"/>
      <c r="AX157" s="3"/>
      <c r="AY157" s="3"/>
      <c r="AZ157" s="3"/>
      <c r="BA157" s="3"/>
      <c r="BB157" s="3"/>
    </row>
    <row r="158" spans="1:5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3"/>
      <c r="AV158" s="3"/>
      <c r="AW158" s="3"/>
      <c r="AX158" s="3"/>
      <c r="AY158" s="3"/>
      <c r="AZ158" s="3"/>
      <c r="BA158" s="3"/>
      <c r="BB158" s="3"/>
    </row>
    <row r="159" spans="1:5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3"/>
      <c r="AV159" s="3"/>
      <c r="AW159" s="3"/>
      <c r="AX159" s="3"/>
      <c r="AY159" s="3"/>
      <c r="AZ159" s="3"/>
      <c r="BA159" s="3"/>
      <c r="BB159" s="3"/>
    </row>
    <row r="160" spans="1:5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3"/>
      <c r="AV160" s="3"/>
      <c r="AW160" s="3"/>
      <c r="AX160" s="3"/>
      <c r="AY160" s="3"/>
      <c r="AZ160" s="3"/>
      <c r="BA160" s="3"/>
      <c r="BB160" s="3"/>
    </row>
    <row r="161" spans="1:5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3"/>
      <c r="AV161" s="3"/>
      <c r="AW161" s="3"/>
      <c r="AX161" s="3"/>
      <c r="AY161" s="3"/>
      <c r="AZ161" s="3"/>
      <c r="BA161" s="3"/>
      <c r="BB161" s="3"/>
    </row>
    <row r="162" spans="1:5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3"/>
      <c r="AV162" s="3"/>
      <c r="AW162" s="3"/>
      <c r="AX162" s="3"/>
      <c r="AY162" s="3"/>
      <c r="AZ162" s="3"/>
      <c r="BA162" s="3"/>
      <c r="BB162" s="3"/>
    </row>
    <row r="163" spans="1:5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3"/>
      <c r="AV163" s="3"/>
      <c r="AW163" s="3"/>
      <c r="AX163" s="3"/>
      <c r="AY163" s="3"/>
      <c r="AZ163" s="3"/>
      <c r="BA163" s="3"/>
      <c r="BB163" s="3"/>
    </row>
    <row r="164" spans="1:5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3"/>
      <c r="AV164" s="3"/>
      <c r="AW164" s="3"/>
      <c r="AX164" s="3"/>
      <c r="AY164" s="3"/>
      <c r="AZ164" s="3"/>
      <c r="BA164" s="3"/>
      <c r="BB164" s="3"/>
    </row>
    <row r="165" spans="1:5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3"/>
      <c r="AV165" s="3"/>
      <c r="AW165" s="3"/>
      <c r="AX165" s="3"/>
      <c r="AY165" s="3"/>
      <c r="AZ165" s="3"/>
      <c r="BA165" s="3"/>
      <c r="BB165" s="3"/>
    </row>
    <row r="166" spans="1:5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3"/>
      <c r="AV166" s="3"/>
      <c r="AW166" s="3"/>
      <c r="AX166" s="3"/>
      <c r="AY166" s="3"/>
      <c r="AZ166" s="3"/>
      <c r="BA166" s="3"/>
      <c r="BB166" s="3"/>
    </row>
    <row r="167" spans="1:5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3"/>
      <c r="AV167" s="3"/>
      <c r="AW167" s="3"/>
      <c r="AX167" s="3"/>
      <c r="AY167" s="3"/>
      <c r="AZ167" s="3"/>
      <c r="BA167" s="3"/>
      <c r="BB167" s="3"/>
    </row>
    <row r="168" spans="1:5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3"/>
      <c r="AV168" s="3"/>
      <c r="AW168" s="3"/>
      <c r="AX168" s="3"/>
      <c r="AY168" s="3"/>
      <c r="AZ168" s="3"/>
      <c r="BA168" s="3"/>
      <c r="BB168" s="3"/>
    </row>
    <row r="169" spans="1:5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3"/>
      <c r="AV169" s="3"/>
      <c r="AW169" s="3"/>
      <c r="AX169" s="3"/>
      <c r="AY169" s="3"/>
      <c r="AZ169" s="3"/>
      <c r="BA169" s="3"/>
      <c r="BB169" s="3"/>
    </row>
    <row r="170" spans="1:5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3"/>
      <c r="AV170" s="3"/>
      <c r="AW170" s="3"/>
      <c r="AX170" s="3"/>
      <c r="AY170" s="3"/>
      <c r="AZ170" s="3"/>
      <c r="BA170" s="3"/>
      <c r="BB170" s="3"/>
    </row>
    <row r="171" spans="1:5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3"/>
      <c r="AV171" s="3"/>
      <c r="AW171" s="3"/>
      <c r="AX171" s="3"/>
      <c r="AY171" s="3"/>
      <c r="AZ171" s="3"/>
      <c r="BA171" s="3"/>
      <c r="BB171" s="3"/>
    </row>
    <row r="172" spans="1:5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3"/>
      <c r="AV172" s="3"/>
      <c r="AW172" s="3"/>
      <c r="AX172" s="3"/>
      <c r="AY172" s="3"/>
      <c r="AZ172" s="3"/>
      <c r="BA172" s="3"/>
      <c r="BB172" s="3"/>
    </row>
    <row r="173" spans="1:5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3"/>
      <c r="AV173" s="3"/>
      <c r="AW173" s="3"/>
      <c r="AX173" s="3"/>
      <c r="AY173" s="3"/>
      <c r="AZ173" s="3"/>
      <c r="BA173" s="3"/>
      <c r="BB173" s="3"/>
    </row>
    <row r="174" spans="1:5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3"/>
      <c r="AV174" s="3"/>
      <c r="AW174" s="3"/>
      <c r="AX174" s="3"/>
      <c r="AY174" s="3"/>
      <c r="AZ174" s="3"/>
      <c r="BA174" s="3"/>
      <c r="BB174" s="3"/>
    </row>
    <row r="175" spans="1:5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3"/>
      <c r="AV175" s="3"/>
      <c r="AW175" s="3"/>
      <c r="AX175" s="3"/>
      <c r="AY175" s="3"/>
      <c r="AZ175" s="3"/>
      <c r="BA175" s="3"/>
      <c r="BB175" s="3"/>
    </row>
    <row r="176" spans="1:5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3"/>
      <c r="AV176" s="3"/>
      <c r="AW176" s="3"/>
      <c r="AX176" s="3"/>
      <c r="AY176" s="3"/>
      <c r="AZ176" s="3"/>
      <c r="BA176" s="3"/>
      <c r="BB176" s="3"/>
    </row>
    <row r="177" spans="1:5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3"/>
      <c r="AV177" s="3"/>
      <c r="AW177" s="3"/>
      <c r="AX177" s="3"/>
      <c r="AY177" s="3"/>
      <c r="AZ177" s="3"/>
      <c r="BA177" s="3"/>
      <c r="BB177" s="3"/>
    </row>
    <row r="178" spans="1:5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3"/>
      <c r="AV178" s="3"/>
      <c r="AW178" s="3"/>
      <c r="AX178" s="3"/>
      <c r="AY178" s="3"/>
      <c r="AZ178" s="3"/>
      <c r="BA178" s="3"/>
      <c r="BB178" s="3"/>
    </row>
    <row r="179" spans="1:5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3"/>
      <c r="AV179" s="3"/>
      <c r="AW179" s="3"/>
      <c r="AX179" s="3"/>
      <c r="AY179" s="3"/>
      <c r="AZ179" s="3"/>
      <c r="BA179" s="3"/>
      <c r="BB179" s="3"/>
    </row>
    <row r="180" spans="1:5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3"/>
      <c r="AV180" s="3"/>
      <c r="AW180" s="3"/>
      <c r="AX180" s="3"/>
      <c r="AY180" s="3"/>
      <c r="AZ180" s="3"/>
      <c r="BA180" s="3"/>
      <c r="BB180" s="3"/>
    </row>
    <row r="181" spans="1:5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3"/>
      <c r="AV181" s="3"/>
      <c r="AW181" s="3"/>
      <c r="AX181" s="3"/>
      <c r="AY181" s="3"/>
      <c r="AZ181" s="3"/>
      <c r="BA181" s="3"/>
      <c r="BB181" s="3"/>
    </row>
    <row r="182" spans="1:5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3"/>
      <c r="AV182" s="3"/>
      <c r="AW182" s="3"/>
      <c r="AX182" s="3"/>
      <c r="AY182" s="3"/>
      <c r="AZ182" s="3"/>
      <c r="BA182" s="3"/>
      <c r="BB182" s="3"/>
    </row>
    <row r="183" spans="1:5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3"/>
      <c r="AV183" s="3"/>
      <c r="AW183" s="3"/>
      <c r="AX183" s="3"/>
      <c r="AY183" s="3"/>
      <c r="AZ183" s="3"/>
      <c r="BA183" s="3"/>
      <c r="BB183" s="3"/>
    </row>
    <row r="184" spans="1:5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3"/>
      <c r="AV184" s="3"/>
      <c r="AW184" s="3"/>
      <c r="AX184" s="3"/>
      <c r="AY184" s="3"/>
      <c r="AZ184" s="3"/>
      <c r="BA184" s="3"/>
      <c r="BB184" s="3"/>
    </row>
    <row r="185" spans="1:5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3"/>
      <c r="AV185" s="3"/>
      <c r="AW185" s="3"/>
      <c r="AX185" s="3"/>
      <c r="AY185" s="3"/>
      <c r="AZ185" s="3"/>
      <c r="BA185" s="3"/>
      <c r="BB185" s="3"/>
    </row>
    <row r="186" spans="1:5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3"/>
      <c r="AV186" s="3"/>
      <c r="AW186" s="3"/>
      <c r="AX186" s="3"/>
      <c r="AY186" s="3"/>
      <c r="AZ186" s="3"/>
      <c r="BA186" s="3"/>
      <c r="BB186" s="3"/>
    </row>
    <row r="187" spans="1:5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3"/>
      <c r="AV187" s="3"/>
      <c r="AW187" s="3"/>
      <c r="AX187" s="3"/>
      <c r="AY187" s="3"/>
      <c r="AZ187" s="3"/>
      <c r="BA187" s="3"/>
      <c r="BB187" s="3"/>
    </row>
    <row r="188" spans="1:5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3"/>
      <c r="AV188" s="3"/>
      <c r="AW188" s="3"/>
      <c r="AX188" s="3"/>
      <c r="AY188" s="3"/>
      <c r="AZ188" s="3"/>
      <c r="BA188" s="3"/>
      <c r="BB188" s="3"/>
    </row>
    <row r="189" spans="1:5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3"/>
      <c r="AV189" s="3"/>
      <c r="AW189" s="3"/>
      <c r="AX189" s="3"/>
      <c r="AY189" s="3"/>
      <c r="AZ189" s="3"/>
      <c r="BA189" s="3"/>
      <c r="BB189" s="3"/>
    </row>
    <row r="190" spans="1:5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3"/>
      <c r="AV190" s="3"/>
      <c r="AW190" s="3"/>
      <c r="AX190" s="3"/>
      <c r="AY190" s="3"/>
      <c r="AZ190" s="3"/>
      <c r="BA190" s="3"/>
      <c r="BB190" s="3"/>
    </row>
    <row r="191" spans="1:5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3"/>
      <c r="AV191" s="3"/>
      <c r="AW191" s="3"/>
      <c r="AX191" s="3"/>
      <c r="AY191" s="3"/>
      <c r="AZ191" s="3"/>
      <c r="BA191" s="3"/>
      <c r="BB191" s="3"/>
    </row>
    <row r="192" spans="1:5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3"/>
      <c r="AV192" s="3"/>
      <c r="AW192" s="3"/>
      <c r="AX192" s="3"/>
      <c r="AY192" s="3"/>
      <c r="AZ192" s="3"/>
      <c r="BA192" s="3"/>
      <c r="BB192" s="3"/>
    </row>
    <row r="193" spans="1:5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3"/>
      <c r="AV193" s="3"/>
      <c r="AW193" s="3"/>
      <c r="AX193" s="3"/>
      <c r="AY193" s="3"/>
      <c r="AZ193" s="3"/>
      <c r="BA193" s="3"/>
      <c r="BB193" s="3"/>
    </row>
    <row r="194" spans="1:5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3"/>
      <c r="AV194" s="3"/>
      <c r="AW194" s="3"/>
      <c r="AX194" s="3"/>
      <c r="AY194" s="3"/>
      <c r="AZ194" s="3"/>
      <c r="BA194" s="3"/>
      <c r="BB194" s="3"/>
    </row>
    <row r="195" spans="1:5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3"/>
      <c r="AV195" s="3"/>
      <c r="AW195" s="3"/>
      <c r="AX195" s="3"/>
      <c r="AY195" s="3"/>
      <c r="AZ195" s="3"/>
      <c r="BA195" s="3"/>
      <c r="BB195" s="3"/>
    </row>
    <row r="196" spans="1:5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3"/>
      <c r="AV196" s="3"/>
      <c r="AW196" s="3"/>
      <c r="AX196" s="3"/>
      <c r="AY196" s="3"/>
      <c r="AZ196" s="3"/>
      <c r="BA196" s="3"/>
      <c r="BB196" s="3"/>
    </row>
    <row r="197" spans="1:5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3"/>
      <c r="AV197" s="3"/>
      <c r="AW197" s="3"/>
      <c r="AX197" s="3"/>
      <c r="AY197" s="3"/>
      <c r="AZ197" s="3"/>
      <c r="BA197" s="3"/>
      <c r="BB197" s="3"/>
    </row>
    <row r="198" spans="1:5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3"/>
      <c r="AV198" s="3"/>
      <c r="AW198" s="3"/>
      <c r="AX198" s="3"/>
      <c r="AY198" s="3"/>
      <c r="AZ198" s="3"/>
      <c r="BA198" s="3"/>
      <c r="BB198" s="3"/>
    </row>
    <row r="199" spans="1:5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3"/>
      <c r="AV199" s="3"/>
      <c r="AW199" s="3"/>
      <c r="AX199" s="3"/>
      <c r="AY199" s="3"/>
      <c r="AZ199" s="3"/>
      <c r="BA199" s="3"/>
      <c r="BB199" s="3"/>
    </row>
    <row r="200" spans="1:5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3"/>
      <c r="AV200" s="3"/>
      <c r="AW200" s="3"/>
      <c r="AX200" s="3"/>
      <c r="AY200" s="3"/>
      <c r="AZ200" s="3"/>
      <c r="BA200" s="3"/>
      <c r="BB200" s="3"/>
    </row>
    <row r="201" spans="1:5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3"/>
      <c r="AV201" s="3"/>
      <c r="AW201" s="3"/>
      <c r="AX201" s="3"/>
      <c r="AY201" s="3"/>
      <c r="AZ201" s="3"/>
      <c r="BA201" s="3"/>
      <c r="BB201" s="3"/>
    </row>
    <row r="202" spans="1:5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3"/>
      <c r="AV202" s="3"/>
      <c r="AW202" s="3"/>
      <c r="AX202" s="3"/>
      <c r="AY202" s="3"/>
      <c r="AZ202" s="3"/>
      <c r="BA202" s="3"/>
      <c r="BB202" s="3"/>
    </row>
    <row r="203" spans="1:5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3"/>
      <c r="AV203" s="3"/>
      <c r="AW203" s="3"/>
      <c r="AX203" s="3"/>
      <c r="AY203" s="3"/>
      <c r="AZ203" s="3"/>
      <c r="BA203" s="3"/>
      <c r="BB203" s="3"/>
    </row>
    <row r="204" spans="1:5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3"/>
      <c r="AV204" s="3"/>
      <c r="AW204" s="3"/>
      <c r="AX204" s="3"/>
      <c r="AY204" s="3"/>
      <c r="AZ204" s="3"/>
      <c r="BA204" s="3"/>
      <c r="BB204" s="3"/>
    </row>
    <row r="205" spans="1:5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3"/>
      <c r="AV205" s="3"/>
      <c r="AW205" s="3"/>
      <c r="AX205" s="3"/>
      <c r="AY205" s="3"/>
      <c r="AZ205" s="3"/>
      <c r="BA205" s="3"/>
      <c r="BB205" s="3"/>
    </row>
    <row r="206" spans="1:5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3"/>
      <c r="AV206" s="3"/>
      <c r="AW206" s="3"/>
      <c r="AX206" s="3"/>
      <c r="AY206" s="3"/>
      <c r="AZ206" s="3"/>
      <c r="BA206" s="3"/>
      <c r="BB206" s="3"/>
    </row>
    <row r="207" spans="1:5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3"/>
      <c r="AV207" s="3"/>
      <c r="AW207" s="3"/>
      <c r="AX207" s="3"/>
      <c r="AY207" s="3"/>
      <c r="AZ207" s="3"/>
      <c r="BA207" s="3"/>
      <c r="BB207" s="3"/>
    </row>
    <row r="208" spans="1:5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3"/>
      <c r="AV208" s="3"/>
      <c r="AW208" s="3"/>
      <c r="AX208" s="3"/>
      <c r="AY208" s="3"/>
      <c r="AZ208" s="3"/>
      <c r="BA208" s="3"/>
      <c r="BB208" s="3"/>
    </row>
    <row r="209" spans="1:5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3"/>
      <c r="AV209" s="3"/>
      <c r="AW209" s="3"/>
      <c r="AX209" s="3"/>
      <c r="AY209" s="3"/>
      <c r="AZ209" s="3"/>
      <c r="BA209" s="3"/>
      <c r="BB209" s="3"/>
    </row>
    <row r="210" spans="1:5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3"/>
      <c r="AV210" s="3"/>
      <c r="AW210" s="3"/>
      <c r="AX210" s="3"/>
      <c r="AY210" s="3"/>
      <c r="AZ210" s="3"/>
      <c r="BA210" s="3"/>
      <c r="BB210" s="3"/>
    </row>
    <row r="211" spans="1:5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3"/>
      <c r="AV211" s="3"/>
      <c r="AW211" s="3"/>
      <c r="AX211" s="3"/>
      <c r="AY211" s="3"/>
      <c r="AZ211" s="3"/>
      <c r="BA211" s="3"/>
      <c r="BB211" s="3"/>
    </row>
    <row r="212" spans="1:5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3"/>
      <c r="AV212" s="3"/>
      <c r="AW212" s="3"/>
      <c r="AX212" s="3"/>
      <c r="AY212" s="3"/>
      <c r="AZ212" s="3"/>
      <c r="BA212" s="3"/>
      <c r="BB212" s="3"/>
    </row>
    <row r="213" spans="1:5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3"/>
      <c r="AV213" s="3"/>
      <c r="AW213" s="3"/>
      <c r="AX213" s="3"/>
      <c r="AY213" s="3"/>
      <c r="AZ213" s="3"/>
      <c r="BA213" s="3"/>
      <c r="BB213" s="3"/>
    </row>
    <row r="214" spans="1:5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3"/>
      <c r="AV214" s="3"/>
      <c r="AW214" s="3"/>
      <c r="AX214" s="3"/>
      <c r="AY214" s="3"/>
      <c r="AZ214" s="3"/>
      <c r="BA214" s="3"/>
      <c r="BB214" s="3"/>
    </row>
    <row r="215" spans="1:5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3"/>
      <c r="AV215" s="3"/>
      <c r="AW215" s="3"/>
      <c r="AX215" s="3"/>
      <c r="AY215" s="3"/>
      <c r="AZ215" s="3"/>
      <c r="BA215" s="3"/>
      <c r="BB215" s="3"/>
    </row>
    <row r="216" spans="1:5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3"/>
      <c r="AV216" s="3"/>
      <c r="AW216" s="3"/>
      <c r="AX216" s="3"/>
      <c r="AY216" s="3"/>
      <c r="AZ216" s="3"/>
      <c r="BA216" s="3"/>
      <c r="BB216" s="3"/>
    </row>
    <row r="217" spans="1:5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3"/>
      <c r="AV217" s="3"/>
      <c r="AW217" s="3"/>
      <c r="AX217" s="3"/>
      <c r="AY217" s="3"/>
      <c r="AZ217" s="3"/>
      <c r="BA217" s="3"/>
      <c r="BB217" s="3"/>
    </row>
    <row r="218" spans="1:5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3"/>
      <c r="AV218" s="3"/>
      <c r="AW218" s="3"/>
      <c r="AX218" s="3"/>
      <c r="AY218" s="3"/>
      <c r="AZ218" s="3"/>
      <c r="BA218" s="3"/>
      <c r="BB218" s="3"/>
    </row>
    <row r="219" spans="1:5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3"/>
      <c r="AV219" s="3"/>
      <c r="AW219" s="3"/>
      <c r="AX219" s="3"/>
      <c r="AY219" s="3"/>
      <c r="AZ219" s="3"/>
      <c r="BA219" s="3"/>
      <c r="BB219" s="3"/>
    </row>
    <row r="220" spans="1:5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3"/>
      <c r="AV220" s="3"/>
      <c r="AW220" s="3"/>
      <c r="AX220" s="3"/>
      <c r="AY220" s="3"/>
      <c r="AZ220" s="3"/>
      <c r="BA220" s="3"/>
      <c r="BB220" s="3"/>
    </row>
    <row r="221" spans="1:5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3"/>
      <c r="AV221" s="3"/>
      <c r="AW221" s="3"/>
      <c r="AX221" s="3"/>
      <c r="AY221" s="3"/>
      <c r="AZ221" s="3"/>
      <c r="BA221" s="3"/>
      <c r="BB221" s="3"/>
    </row>
    <row r="222" spans="1:5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3"/>
      <c r="AV222" s="3"/>
      <c r="AW222" s="3"/>
      <c r="AX222" s="3"/>
      <c r="AY222" s="3"/>
      <c r="AZ222" s="3"/>
      <c r="BA222" s="3"/>
      <c r="BB222" s="3"/>
    </row>
    <row r="223" spans="1:5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3"/>
      <c r="AV223" s="3"/>
      <c r="AW223" s="3"/>
      <c r="AX223" s="3"/>
      <c r="AY223" s="3"/>
      <c r="AZ223" s="3"/>
      <c r="BA223" s="3"/>
      <c r="BB223" s="3"/>
    </row>
    <row r="224" spans="1:5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3"/>
      <c r="AV224" s="3"/>
      <c r="AW224" s="3"/>
      <c r="AX224" s="3"/>
      <c r="AY224" s="3"/>
      <c r="AZ224" s="3"/>
      <c r="BA224" s="3"/>
      <c r="BB224" s="3"/>
    </row>
    <row r="225" spans="1:5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3"/>
      <c r="AV225" s="3"/>
      <c r="AW225" s="3"/>
      <c r="AX225" s="3"/>
      <c r="AY225" s="3"/>
      <c r="AZ225" s="3"/>
      <c r="BA225" s="3"/>
      <c r="BB225" s="3"/>
    </row>
    <row r="226" spans="1:5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3"/>
      <c r="AV226" s="3"/>
      <c r="AW226" s="3"/>
      <c r="AX226" s="3"/>
      <c r="AY226" s="3"/>
      <c r="AZ226" s="3"/>
      <c r="BA226" s="3"/>
      <c r="BB226" s="3"/>
    </row>
    <row r="227" spans="1:5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3"/>
      <c r="AV227" s="3"/>
      <c r="AW227" s="3"/>
      <c r="AX227" s="3"/>
      <c r="AY227" s="3"/>
      <c r="AZ227" s="3"/>
      <c r="BA227" s="3"/>
      <c r="BB227" s="3"/>
    </row>
    <row r="228" spans="1:5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3"/>
      <c r="AV228" s="3"/>
      <c r="AW228" s="3"/>
      <c r="AX228" s="3"/>
      <c r="AY228" s="3"/>
      <c r="AZ228" s="3"/>
      <c r="BA228" s="3"/>
      <c r="BB228" s="3"/>
    </row>
    <row r="229" spans="1:5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3"/>
      <c r="AV229" s="3"/>
      <c r="AW229" s="3"/>
      <c r="AX229" s="3"/>
      <c r="AY229" s="3"/>
      <c r="AZ229" s="3"/>
      <c r="BA229" s="3"/>
      <c r="BB229" s="3"/>
    </row>
    <row r="230" spans="1:5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3"/>
      <c r="AV230" s="3"/>
      <c r="AW230" s="3"/>
      <c r="AX230" s="3"/>
      <c r="AY230" s="3"/>
      <c r="AZ230" s="3"/>
      <c r="BA230" s="3"/>
      <c r="BB230" s="3"/>
    </row>
    <row r="231" spans="1:5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3"/>
      <c r="AV231" s="3"/>
      <c r="AW231" s="3"/>
      <c r="AX231" s="3"/>
      <c r="AY231" s="3"/>
      <c r="AZ231" s="3"/>
      <c r="BA231" s="3"/>
      <c r="BB231" s="3"/>
    </row>
    <row r="232" spans="1:5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3"/>
      <c r="AV232" s="3"/>
      <c r="AW232" s="3"/>
      <c r="AX232" s="3"/>
      <c r="AY232" s="3"/>
      <c r="AZ232" s="3"/>
      <c r="BA232" s="3"/>
      <c r="BB232" s="3"/>
    </row>
    <row r="233" spans="1:5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3"/>
      <c r="AV233" s="3"/>
      <c r="AW233" s="3"/>
      <c r="AX233" s="3"/>
      <c r="AY233" s="3"/>
      <c r="AZ233" s="3"/>
      <c r="BA233" s="3"/>
      <c r="BB233" s="3"/>
    </row>
    <row r="234" spans="1:5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3"/>
      <c r="AV234" s="3"/>
      <c r="AW234" s="3"/>
      <c r="AX234" s="3"/>
      <c r="AY234" s="3"/>
      <c r="AZ234" s="3"/>
      <c r="BA234" s="3"/>
      <c r="BB234" s="3"/>
    </row>
    <row r="235" spans="1:5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3"/>
      <c r="AV235" s="3"/>
      <c r="AW235" s="3"/>
      <c r="AX235" s="3"/>
      <c r="AY235" s="3"/>
      <c r="AZ235" s="3"/>
      <c r="BA235" s="3"/>
      <c r="BB235" s="3"/>
    </row>
    <row r="236" spans="1:5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3"/>
      <c r="AV236" s="3"/>
      <c r="AW236" s="3"/>
      <c r="AX236" s="3"/>
      <c r="AY236" s="3"/>
      <c r="AZ236" s="3"/>
      <c r="BA236" s="3"/>
      <c r="BB236" s="3"/>
    </row>
    <row r="237" spans="1:5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3"/>
      <c r="AV237" s="3"/>
      <c r="AW237" s="3"/>
      <c r="AX237" s="3"/>
      <c r="AY237" s="3"/>
      <c r="AZ237" s="3"/>
      <c r="BA237" s="3"/>
      <c r="BB237" s="3"/>
    </row>
    <row r="238" spans="1:5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3"/>
      <c r="AV238" s="3"/>
      <c r="AW238" s="3"/>
      <c r="AX238" s="3"/>
      <c r="AY238" s="3"/>
      <c r="AZ238" s="3"/>
      <c r="BA238" s="3"/>
      <c r="BB238" s="3"/>
    </row>
    <row r="239" spans="1:5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3"/>
      <c r="AV239" s="3"/>
      <c r="AW239" s="3"/>
      <c r="AX239" s="3"/>
      <c r="AY239" s="3"/>
      <c r="AZ239" s="3"/>
      <c r="BA239" s="3"/>
      <c r="BB239" s="3"/>
    </row>
    <row r="240" spans="1:5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3"/>
      <c r="AV240" s="3"/>
      <c r="AW240" s="3"/>
      <c r="AX240" s="3"/>
      <c r="AY240" s="3"/>
      <c r="AZ240" s="3"/>
      <c r="BA240" s="3"/>
      <c r="BB240" s="3"/>
    </row>
    <row r="241" spans="1:5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3"/>
      <c r="AV241" s="3"/>
      <c r="AW241" s="3"/>
      <c r="AX241" s="3"/>
      <c r="AY241" s="3"/>
      <c r="AZ241" s="3"/>
      <c r="BA241" s="3"/>
      <c r="BB241" s="3"/>
    </row>
    <row r="242" spans="1:5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3"/>
      <c r="AV242" s="3"/>
      <c r="AW242" s="3"/>
      <c r="AX242" s="3"/>
      <c r="AY242" s="3"/>
      <c r="AZ242" s="3"/>
      <c r="BA242" s="3"/>
      <c r="BB242" s="3"/>
    </row>
    <row r="243" spans="1:5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3"/>
      <c r="AV243" s="3"/>
      <c r="AW243" s="3"/>
      <c r="AX243" s="3"/>
      <c r="AY243" s="3"/>
      <c r="AZ243" s="3"/>
      <c r="BA243" s="3"/>
      <c r="BB243" s="3"/>
    </row>
    <row r="244" spans="1:5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3"/>
      <c r="AV244" s="3"/>
      <c r="AW244" s="3"/>
      <c r="AX244" s="3"/>
      <c r="AY244" s="3"/>
      <c r="AZ244" s="3"/>
      <c r="BA244" s="3"/>
      <c r="BB244" s="3"/>
    </row>
    <row r="245" spans="1:5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3"/>
      <c r="AV245" s="3"/>
      <c r="AW245" s="3"/>
      <c r="AX245" s="3"/>
      <c r="AY245" s="3"/>
      <c r="AZ245" s="3"/>
      <c r="BA245" s="3"/>
      <c r="BB245" s="3"/>
    </row>
    <row r="246" spans="1:5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3"/>
      <c r="AV246" s="3"/>
      <c r="AW246" s="3"/>
      <c r="AX246" s="3"/>
      <c r="AY246" s="3"/>
      <c r="AZ246" s="3"/>
      <c r="BA246" s="3"/>
      <c r="BB246" s="3"/>
    </row>
    <row r="247" spans="1:5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3"/>
      <c r="AV247" s="3"/>
      <c r="AW247" s="3"/>
      <c r="AX247" s="3"/>
      <c r="AY247" s="3"/>
      <c r="AZ247" s="3"/>
      <c r="BA247" s="3"/>
      <c r="BB247" s="3"/>
    </row>
    <row r="248" spans="1:5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3"/>
      <c r="AV248" s="3"/>
      <c r="AW248" s="3"/>
      <c r="AX248" s="3"/>
      <c r="AY248" s="3"/>
      <c r="AZ248" s="3"/>
      <c r="BA248" s="3"/>
      <c r="BB248" s="3"/>
    </row>
    <row r="249" spans="1:5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3"/>
      <c r="AV249" s="3"/>
      <c r="AW249" s="3"/>
      <c r="AX249" s="3"/>
      <c r="AY249" s="3"/>
      <c r="AZ249" s="3"/>
      <c r="BA249" s="3"/>
      <c r="BB249" s="3"/>
    </row>
    <row r="250" spans="1:5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3"/>
      <c r="AV250" s="3"/>
      <c r="AW250" s="3"/>
      <c r="AX250" s="3"/>
      <c r="AY250" s="3"/>
      <c r="AZ250" s="3"/>
      <c r="BA250" s="3"/>
      <c r="BB250" s="3"/>
    </row>
    <row r="251" spans="1:5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3"/>
      <c r="AV251" s="3"/>
      <c r="AW251" s="3"/>
      <c r="AX251" s="3"/>
      <c r="AY251" s="3"/>
      <c r="AZ251" s="3"/>
      <c r="BA251" s="3"/>
      <c r="BB251" s="3"/>
    </row>
    <row r="252" spans="1:5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3"/>
      <c r="AV252" s="3"/>
      <c r="AW252" s="3"/>
      <c r="AX252" s="3"/>
      <c r="AY252" s="3"/>
      <c r="AZ252" s="3"/>
      <c r="BA252" s="3"/>
      <c r="BB252" s="3"/>
    </row>
    <row r="253" spans="1:5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3"/>
      <c r="AV253" s="3"/>
      <c r="AW253" s="3"/>
      <c r="AX253" s="3"/>
      <c r="AY253" s="3"/>
      <c r="AZ253" s="3"/>
      <c r="BA253" s="3"/>
      <c r="BB253" s="3"/>
    </row>
    <row r="254" spans="1:5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3"/>
      <c r="AV254" s="3"/>
      <c r="AW254" s="3"/>
      <c r="AX254" s="3"/>
      <c r="AY254" s="3"/>
      <c r="AZ254" s="3"/>
      <c r="BA254" s="3"/>
      <c r="BB254" s="3"/>
    </row>
    <row r="255" spans="1:5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3"/>
      <c r="AV255" s="3"/>
      <c r="AW255" s="3"/>
      <c r="AX255" s="3"/>
      <c r="AY255" s="3"/>
      <c r="AZ255" s="3"/>
      <c r="BA255" s="3"/>
      <c r="BB255" s="3"/>
    </row>
    <row r="256" spans="1:5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3"/>
      <c r="AV256" s="3"/>
      <c r="AW256" s="3"/>
      <c r="AX256" s="3"/>
      <c r="AY256" s="3"/>
      <c r="AZ256" s="3"/>
      <c r="BA256" s="3"/>
      <c r="BB256" s="3"/>
    </row>
    <row r="257" spans="1:5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3"/>
      <c r="AV257" s="3"/>
      <c r="AW257" s="3"/>
      <c r="AX257" s="3"/>
      <c r="AY257" s="3"/>
      <c r="AZ257" s="3"/>
      <c r="BA257" s="3"/>
      <c r="BB257" s="3"/>
    </row>
    <row r="258" spans="1:5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3"/>
      <c r="AV258" s="3"/>
      <c r="AW258" s="3"/>
      <c r="AX258" s="3"/>
      <c r="AY258" s="3"/>
      <c r="AZ258" s="3"/>
      <c r="BA258" s="3"/>
      <c r="BB258" s="3"/>
    </row>
    <row r="259" spans="1:5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3"/>
      <c r="AV259" s="3"/>
      <c r="AW259" s="3"/>
      <c r="AX259" s="3"/>
      <c r="AY259" s="3"/>
      <c r="AZ259" s="3"/>
      <c r="BA259" s="3"/>
      <c r="BB259" s="3"/>
    </row>
    <row r="260" spans="1:5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3"/>
      <c r="AV260" s="3"/>
      <c r="AW260" s="3"/>
      <c r="AX260" s="3"/>
      <c r="AY260" s="3"/>
      <c r="AZ260" s="3"/>
      <c r="BA260" s="3"/>
      <c r="BB260" s="3"/>
    </row>
    <row r="261" spans="1:5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3"/>
      <c r="AV261" s="3"/>
      <c r="AW261" s="3"/>
      <c r="AX261" s="3"/>
      <c r="AY261" s="3"/>
      <c r="AZ261" s="3"/>
      <c r="BA261" s="3"/>
      <c r="BB261" s="3"/>
    </row>
    <row r="262" spans="1:5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3"/>
      <c r="AV262" s="3"/>
      <c r="AW262" s="3"/>
      <c r="AX262" s="3"/>
      <c r="AY262" s="3"/>
      <c r="AZ262" s="3"/>
      <c r="BA262" s="3"/>
      <c r="BB262" s="3"/>
    </row>
    <row r="263" spans="1:5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3"/>
      <c r="AV263" s="3"/>
      <c r="AW263" s="3"/>
      <c r="AX263" s="3"/>
      <c r="AY263" s="3"/>
      <c r="AZ263" s="3"/>
      <c r="BA263" s="3"/>
      <c r="BB263" s="3"/>
    </row>
    <row r="264" spans="1:5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3"/>
      <c r="AV264" s="3"/>
      <c r="AW264" s="3"/>
      <c r="AX264" s="3"/>
      <c r="AY264" s="3"/>
      <c r="AZ264" s="3"/>
      <c r="BA264" s="3"/>
      <c r="BB264" s="3"/>
    </row>
    <row r="265" spans="1:5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3"/>
      <c r="AV265" s="3"/>
      <c r="AW265" s="3"/>
      <c r="AX265" s="3"/>
      <c r="AY265" s="3"/>
      <c r="AZ265" s="3"/>
      <c r="BA265" s="3"/>
      <c r="BB265" s="3"/>
    </row>
    <row r="266" spans="1:5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3"/>
      <c r="AV266" s="3"/>
      <c r="AW266" s="3"/>
      <c r="AX266" s="3"/>
      <c r="AY266" s="3"/>
      <c r="AZ266" s="3"/>
      <c r="BA266" s="3"/>
      <c r="BB266" s="3"/>
    </row>
    <row r="267" spans="1:5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3"/>
      <c r="AV267" s="3"/>
      <c r="AW267" s="3"/>
      <c r="AX267" s="3"/>
      <c r="AY267" s="3"/>
      <c r="AZ267" s="3"/>
      <c r="BA267" s="3"/>
      <c r="BB267" s="3"/>
    </row>
    <row r="268" spans="1:5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3"/>
      <c r="AV268" s="3"/>
      <c r="AW268" s="3"/>
      <c r="AX268" s="3"/>
      <c r="AY268" s="3"/>
      <c r="AZ268" s="3"/>
      <c r="BA268" s="3"/>
      <c r="BB268" s="3"/>
    </row>
    <row r="269" spans="1:5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3"/>
      <c r="AV269" s="3"/>
      <c r="AW269" s="3"/>
      <c r="AX269" s="3"/>
      <c r="AY269" s="3"/>
      <c r="AZ269" s="3"/>
      <c r="BA269" s="3"/>
      <c r="BB269" s="3"/>
    </row>
    <row r="270" spans="1:5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3"/>
      <c r="AV270" s="3"/>
      <c r="AW270" s="3"/>
      <c r="AX270" s="3"/>
      <c r="AY270" s="3"/>
      <c r="AZ270" s="3"/>
      <c r="BA270" s="3"/>
      <c r="BB270" s="3"/>
    </row>
    <row r="271" spans="1:5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3"/>
      <c r="AV271" s="3"/>
      <c r="AW271" s="3"/>
      <c r="AX271" s="3"/>
      <c r="AY271" s="3"/>
      <c r="AZ271" s="3"/>
      <c r="BA271" s="3"/>
      <c r="BB271" s="3"/>
    </row>
    <row r="272" spans="1:5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3"/>
      <c r="AV272" s="3"/>
      <c r="AW272" s="3"/>
      <c r="AX272" s="3"/>
      <c r="AY272" s="3"/>
      <c r="AZ272" s="3"/>
      <c r="BA272" s="3"/>
      <c r="BB272" s="3"/>
    </row>
    <row r="273" spans="1:5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3"/>
      <c r="AV273" s="3"/>
      <c r="AW273" s="3"/>
      <c r="AX273" s="3"/>
      <c r="AY273" s="3"/>
      <c r="AZ273" s="3"/>
      <c r="BA273" s="3"/>
      <c r="BB273" s="3"/>
    </row>
    <row r="274" spans="1:5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3"/>
      <c r="AV274" s="3"/>
      <c r="AW274" s="3"/>
      <c r="AX274" s="3"/>
      <c r="AY274" s="3"/>
      <c r="AZ274" s="3"/>
      <c r="BA274" s="3"/>
      <c r="BB274" s="3"/>
    </row>
    <row r="275" spans="1:5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3"/>
      <c r="AV275" s="3"/>
      <c r="AW275" s="3"/>
      <c r="AX275" s="3"/>
      <c r="AY275" s="3"/>
      <c r="AZ275" s="3"/>
      <c r="BA275" s="3"/>
      <c r="BB275" s="3"/>
    </row>
    <row r="276" spans="1:5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3"/>
      <c r="AV276" s="3"/>
      <c r="AW276" s="3"/>
      <c r="AX276" s="3"/>
      <c r="AY276" s="3"/>
      <c r="AZ276" s="3"/>
      <c r="BA276" s="3"/>
      <c r="BB276" s="3"/>
    </row>
    <row r="277" spans="1:5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3"/>
      <c r="AV277" s="3"/>
      <c r="AW277" s="3"/>
      <c r="AX277" s="3"/>
      <c r="AY277" s="3"/>
      <c r="AZ277" s="3"/>
      <c r="BA277" s="3"/>
      <c r="BB277" s="3"/>
    </row>
    <row r="278" spans="1:5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3"/>
      <c r="AV278" s="3"/>
      <c r="AW278" s="3"/>
      <c r="AX278" s="3"/>
      <c r="AY278" s="3"/>
      <c r="AZ278" s="3"/>
      <c r="BA278" s="3"/>
      <c r="BB278" s="3"/>
    </row>
    <row r="279" spans="1:5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3"/>
      <c r="AV279" s="3"/>
      <c r="AW279" s="3"/>
      <c r="AX279" s="3"/>
      <c r="AY279" s="3"/>
      <c r="AZ279" s="3"/>
      <c r="BA279" s="3"/>
      <c r="BB279" s="3"/>
    </row>
    <row r="280" spans="1:5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3"/>
      <c r="AV280" s="3"/>
      <c r="AW280" s="3"/>
      <c r="AX280" s="3"/>
      <c r="AY280" s="3"/>
      <c r="AZ280" s="3"/>
      <c r="BA280" s="3"/>
      <c r="BB280" s="3"/>
    </row>
    <row r="281" spans="1:5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3"/>
      <c r="AV281" s="3"/>
      <c r="AW281" s="3"/>
      <c r="AX281" s="3"/>
      <c r="AY281" s="3"/>
      <c r="AZ281" s="3"/>
      <c r="BA281" s="3"/>
      <c r="BB281" s="3"/>
    </row>
    <row r="282" spans="1:54" ht="15.75" customHeight="1"/>
    <row r="283" spans="1:54" ht="15.75" customHeight="1"/>
    <row r="284" spans="1:54" ht="15.75" customHeight="1"/>
    <row r="285" spans="1:54" ht="15.75" customHeight="1"/>
    <row r="286" spans="1:54" ht="15.75" customHeight="1"/>
    <row r="287" spans="1:54" ht="15.75" customHeight="1"/>
    <row r="288" spans="1:5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D00-000000000000}">
      <formula1>"TOU,non-TOU"</formula1>
    </dataValidation>
    <dataValidation type="list" allowBlank="1" showErrorMessage="1" sqref="E15:E28 E30:E36 E38:E39 E41:E49 E55 E61" xr:uid="{00000000-0002-0000-0D00-000001000000}">
      <formula1>#REF!</formula1>
    </dataValidation>
    <dataValidation type="list" allowBlank="1" showInputMessage="1" showErrorMessage="1" prompt="Select Charge Unit - monthly, per kWh, per kW" sqref="D15:D28 D30:D36 D38:D39 D41:D49 D55 D61" xr:uid="{00000000-0002-0000-0D00-000002000000}">
      <formula1>"Monthly,per kWh,per kW"</formula1>
    </dataValidation>
  </dataValidations>
  <pageMargins left="0.74803149606299213" right="0.74803149606299213" top="0.98425196850393704" bottom="0.98425196850393704"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000"/>
  <sheetViews>
    <sheetView showGridLines="0" workbookViewId="0">
      <pane xSplit="2" ySplit="14" topLeftCell="C24" activePane="bottomRight" state="frozen"/>
      <selection pane="topRight" activeCell="C1" sqref="C1"/>
      <selection pane="bottomLeft" activeCell="A15" sqref="A15"/>
      <selection pane="bottomRight" activeCell="C15" sqref="C15"/>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42578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0.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2"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row>
    <row r="2" spans="1:44"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4"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 customHeight="1">
      <c r="A6" s="52"/>
      <c r="B6" s="320" t="s">
        <v>298</v>
      </c>
      <c r="C6" s="52"/>
      <c r="D6" s="380"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 customHeight="1">
      <c r="A10" s="52"/>
      <c r="B10" s="52"/>
      <c r="C10" s="52"/>
      <c r="D10" s="307" t="s">
        <v>301</v>
      </c>
      <c r="E10" s="307"/>
      <c r="F10" s="385">
        <v>750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4"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4"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4"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4" ht="12"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row>
    <row r="16" spans="1:44" ht="12"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750</v>
      </c>
      <c r="H17" s="399">
        <f t="shared" si="2"/>
        <v>0</v>
      </c>
      <c r="I17" s="132"/>
      <c r="J17" s="396">
        <f>IFERROR(VLOOKUP($C17,'Proposed Rates'!$B:$J,J$11,FALSE),0)</f>
        <v>0</v>
      </c>
      <c r="K17" s="397">
        <f t="shared" si="3"/>
        <v>750</v>
      </c>
      <c r="L17" s="399">
        <f t="shared" si="4"/>
        <v>0</v>
      </c>
      <c r="M17" s="132"/>
      <c r="N17" s="400">
        <f t="shared" si="5"/>
        <v>0</v>
      </c>
      <c r="O17" s="401" t="str">
        <f t="shared" si="6"/>
        <v/>
      </c>
      <c r="P17" s="52"/>
      <c r="Q17" s="396">
        <f>IFERROR(VLOOKUP($C17,'Proposed Rates'!$B:$J,Q$11,FALSE),0)</f>
        <v>0</v>
      </c>
      <c r="R17" s="397">
        <f t="shared" si="7"/>
        <v>750</v>
      </c>
      <c r="S17" s="399">
        <f t="shared" si="8"/>
        <v>0</v>
      </c>
      <c r="T17" s="132"/>
      <c r="U17" s="400">
        <f t="shared" si="9"/>
        <v>0</v>
      </c>
      <c r="V17" s="401" t="str">
        <f t="shared" si="10"/>
        <v/>
      </c>
      <c r="W17" s="52"/>
      <c r="X17" s="396">
        <f>IFERROR(VLOOKUP($C17,'Proposed Rates'!$B:$J,X$11,FALSE),0)</f>
        <v>0</v>
      </c>
      <c r="Y17" s="397">
        <f t="shared" si="11"/>
        <v>750</v>
      </c>
      <c r="Z17" s="399">
        <f t="shared" si="12"/>
        <v>0</v>
      </c>
      <c r="AA17" s="132"/>
      <c r="AB17" s="400">
        <f t="shared" si="13"/>
        <v>0</v>
      </c>
      <c r="AC17" s="401" t="str">
        <f t="shared" si="14"/>
        <v/>
      </c>
      <c r="AD17" s="52"/>
      <c r="AE17" s="396">
        <f>IFERROR(VLOOKUP($C17,'Proposed Rates'!$B:$J,AE$11,FALSE),0)</f>
        <v>0</v>
      </c>
      <c r="AF17" s="397">
        <f t="shared" si="15"/>
        <v>750</v>
      </c>
      <c r="AG17" s="399">
        <f t="shared" si="16"/>
        <v>0</v>
      </c>
      <c r="AH17" s="132"/>
      <c r="AI17" s="400">
        <f t="shared" si="17"/>
        <v>0</v>
      </c>
      <c r="AJ17" s="401" t="str">
        <f t="shared" si="18"/>
        <v/>
      </c>
      <c r="AK17" s="52"/>
      <c r="AL17" s="396">
        <f>IFERROR(VLOOKUP($C17,'Proposed Rates'!$B:$J,AL$11,FALSE),0)</f>
        <v>0</v>
      </c>
      <c r="AM17" s="397">
        <f t="shared" si="19"/>
        <v>750</v>
      </c>
      <c r="AN17" s="399">
        <f t="shared" si="20"/>
        <v>0</v>
      </c>
      <c r="AO17" s="132"/>
      <c r="AP17" s="400">
        <f t="shared" si="21"/>
        <v>0</v>
      </c>
      <c r="AQ17" s="401" t="str">
        <f t="shared" si="22"/>
        <v/>
      </c>
      <c r="AR17" s="402"/>
    </row>
    <row r="18" spans="1:44" ht="12"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row>
    <row r="19" spans="1:44" ht="12" customHeight="1">
      <c r="A19" s="52"/>
      <c r="B19" s="321" t="s">
        <v>59</v>
      </c>
      <c r="C19" s="394" t="str">
        <f t="shared" si="0"/>
        <v>Residential.Distribution Volumetric Rate</v>
      </c>
      <c r="D19" s="395" t="s">
        <v>312</v>
      </c>
      <c r="E19" s="321"/>
      <c r="F19" s="396">
        <f>IFERROR(VLOOKUP($C19,'Proposed Rates'!$B:$J,F$11,FALSE),0)</f>
        <v>0</v>
      </c>
      <c r="G19" s="397">
        <f t="shared" si="1"/>
        <v>750</v>
      </c>
      <c r="H19" s="399">
        <f t="shared" si="2"/>
        <v>0</v>
      </c>
      <c r="I19" s="132"/>
      <c r="J19" s="396">
        <f>IFERROR(VLOOKUP($C19,'Proposed Rates'!$B:$J,J$11,FALSE),0)</f>
        <v>0</v>
      </c>
      <c r="K19" s="397">
        <f t="shared" si="3"/>
        <v>750</v>
      </c>
      <c r="L19" s="399">
        <f t="shared" si="4"/>
        <v>0</v>
      </c>
      <c r="M19" s="132"/>
      <c r="N19" s="400">
        <f t="shared" si="5"/>
        <v>0</v>
      </c>
      <c r="O19" s="401" t="str">
        <f t="shared" si="6"/>
        <v/>
      </c>
      <c r="P19" s="52"/>
      <c r="Q19" s="396">
        <f>IFERROR(VLOOKUP($C19,'Proposed Rates'!$B:$J,Q$11,FALSE),0)</f>
        <v>0</v>
      </c>
      <c r="R19" s="397">
        <f t="shared" si="7"/>
        <v>750</v>
      </c>
      <c r="S19" s="399">
        <f t="shared" si="8"/>
        <v>0</v>
      </c>
      <c r="T19" s="132"/>
      <c r="U19" s="400">
        <f t="shared" si="9"/>
        <v>0</v>
      </c>
      <c r="V19" s="401" t="str">
        <f t="shared" si="10"/>
        <v/>
      </c>
      <c r="W19" s="52"/>
      <c r="X19" s="396">
        <f>IFERROR(VLOOKUP($C19,'Proposed Rates'!$B:$J,X$11,FALSE),0)</f>
        <v>0</v>
      </c>
      <c r="Y19" s="397">
        <f t="shared" si="11"/>
        <v>750</v>
      </c>
      <c r="Z19" s="399">
        <f t="shared" si="12"/>
        <v>0</v>
      </c>
      <c r="AA19" s="132"/>
      <c r="AB19" s="400">
        <f t="shared" si="13"/>
        <v>0</v>
      </c>
      <c r="AC19" s="401" t="str">
        <f t="shared" si="14"/>
        <v/>
      </c>
      <c r="AD19" s="52"/>
      <c r="AE19" s="396">
        <f>IFERROR(VLOOKUP($C19,'Proposed Rates'!$B:$J,AE$11,FALSE),0)</f>
        <v>0</v>
      </c>
      <c r="AF19" s="397">
        <f t="shared" si="15"/>
        <v>750</v>
      </c>
      <c r="AG19" s="399">
        <f t="shared" si="16"/>
        <v>0</v>
      </c>
      <c r="AH19" s="132"/>
      <c r="AI19" s="400">
        <f t="shared" si="17"/>
        <v>0</v>
      </c>
      <c r="AJ19" s="401" t="str">
        <f t="shared" si="18"/>
        <v/>
      </c>
      <c r="AK19" s="52"/>
      <c r="AL19" s="396">
        <f>IFERROR(VLOOKUP($C19,'Proposed Rates'!$B:$J,AL$11,FALSE),0)</f>
        <v>0</v>
      </c>
      <c r="AM19" s="397">
        <f t="shared" si="19"/>
        <v>750</v>
      </c>
      <c r="AN19" s="399">
        <f t="shared" si="20"/>
        <v>0</v>
      </c>
      <c r="AO19" s="132"/>
      <c r="AP19" s="400">
        <f t="shared" si="21"/>
        <v>0</v>
      </c>
      <c r="AQ19" s="401" t="str">
        <f t="shared" si="22"/>
        <v/>
      </c>
      <c r="AR19" s="402"/>
    </row>
    <row r="20" spans="1:44" ht="12" customHeight="1">
      <c r="A20" s="52"/>
      <c r="B20" s="321" t="s">
        <v>313</v>
      </c>
      <c r="C20" s="394" t="str">
        <f t="shared" si="0"/>
        <v>Residential.Smart Meter Disposition Rider</v>
      </c>
      <c r="D20" s="395" t="s">
        <v>312</v>
      </c>
      <c r="E20" s="321"/>
      <c r="F20" s="396">
        <f>IFERROR(VLOOKUP($C20,'Proposed Rates'!$B:$J,F$11,FALSE),0)</f>
        <v>0</v>
      </c>
      <c r="G20" s="397">
        <f t="shared" si="1"/>
        <v>750</v>
      </c>
      <c r="H20" s="399">
        <f t="shared" si="2"/>
        <v>0</v>
      </c>
      <c r="I20" s="132"/>
      <c r="J20" s="396">
        <f>IFERROR(VLOOKUP($C20,'Proposed Rates'!$B:$J,J$11,FALSE),0)</f>
        <v>0</v>
      </c>
      <c r="K20" s="397">
        <f t="shared" si="3"/>
        <v>750</v>
      </c>
      <c r="L20" s="399">
        <f t="shared" si="4"/>
        <v>0</v>
      </c>
      <c r="M20" s="132"/>
      <c r="N20" s="400">
        <f t="shared" si="5"/>
        <v>0</v>
      </c>
      <c r="O20" s="401" t="str">
        <f t="shared" si="6"/>
        <v/>
      </c>
      <c r="P20" s="52"/>
      <c r="Q20" s="396">
        <f>IFERROR(VLOOKUP($C20,'Proposed Rates'!$B:$J,Q$11,FALSE),0)</f>
        <v>0</v>
      </c>
      <c r="R20" s="397">
        <f t="shared" si="7"/>
        <v>750</v>
      </c>
      <c r="S20" s="399">
        <f t="shared" si="8"/>
        <v>0</v>
      </c>
      <c r="T20" s="132"/>
      <c r="U20" s="400">
        <f t="shared" si="9"/>
        <v>0</v>
      </c>
      <c r="V20" s="401" t="str">
        <f t="shared" si="10"/>
        <v/>
      </c>
      <c r="W20" s="52"/>
      <c r="X20" s="396">
        <f>IFERROR(VLOOKUP($C20,'Proposed Rates'!$B:$J,X$11,FALSE),0)</f>
        <v>0</v>
      </c>
      <c r="Y20" s="397">
        <f t="shared" si="11"/>
        <v>750</v>
      </c>
      <c r="Z20" s="399">
        <f t="shared" si="12"/>
        <v>0</v>
      </c>
      <c r="AA20" s="132"/>
      <c r="AB20" s="400">
        <f t="shared" si="13"/>
        <v>0</v>
      </c>
      <c r="AC20" s="401" t="str">
        <f t="shared" si="14"/>
        <v/>
      </c>
      <c r="AD20" s="52"/>
      <c r="AE20" s="396">
        <f>IFERROR(VLOOKUP($C20,'Proposed Rates'!$B:$J,AE$11,FALSE),0)</f>
        <v>0</v>
      </c>
      <c r="AF20" s="397">
        <f t="shared" si="15"/>
        <v>750</v>
      </c>
      <c r="AG20" s="399">
        <f t="shared" si="16"/>
        <v>0</v>
      </c>
      <c r="AH20" s="132"/>
      <c r="AI20" s="400">
        <f t="shared" si="17"/>
        <v>0</v>
      </c>
      <c r="AJ20" s="401" t="str">
        <f t="shared" si="18"/>
        <v/>
      </c>
      <c r="AK20" s="52"/>
      <c r="AL20" s="396">
        <f>IFERROR(VLOOKUP($C20,'Proposed Rates'!$B:$J,AL$11,FALSE),0)</f>
        <v>0</v>
      </c>
      <c r="AM20" s="397">
        <f t="shared" si="19"/>
        <v>750</v>
      </c>
      <c r="AN20" s="399">
        <f t="shared" si="20"/>
        <v>0</v>
      </c>
      <c r="AO20" s="132"/>
      <c r="AP20" s="400">
        <f t="shared" si="21"/>
        <v>0</v>
      </c>
      <c r="AQ20" s="401" t="str">
        <f t="shared" si="22"/>
        <v/>
      </c>
      <c r="AR20" s="402"/>
    </row>
    <row r="21" spans="1:44" ht="12"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row>
    <row r="22" spans="1:44" ht="12" customHeight="1">
      <c r="A22" s="52"/>
      <c r="B22" s="40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row>
    <row r="23" spans="1:44" ht="12"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row>
    <row r="24" spans="1:44" ht="12"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row>
    <row r="25" spans="1:44" ht="12"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row>
    <row r="26" spans="1:44" ht="12" customHeight="1">
      <c r="A26" s="52"/>
      <c r="B26" s="40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row>
    <row r="27" spans="1:44" ht="12"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row>
    <row r="28" spans="1:44" ht="12"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row>
    <row r="29" spans="1:44" ht="12" customHeight="1">
      <c r="A29" s="307"/>
      <c r="B29" s="404" t="s">
        <v>314</v>
      </c>
      <c r="C29" s="405"/>
      <c r="D29" s="405"/>
      <c r="E29" s="405"/>
      <c r="F29" s="406"/>
      <c r="G29" s="407"/>
      <c r="H29" s="408">
        <f>SUM(H15:H28)</f>
        <v>34.51</v>
      </c>
      <c r="I29" s="409"/>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307"/>
      <c r="AL29" s="406"/>
      <c r="AM29" s="407"/>
      <c r="AN29" s="408">
        <f>SUM(AN15:AN28)</f>
        <v>48.36</v>
      </c>
      <c r="AO29" s="409"/>
      <c r="AP29" s="410">
        <f t="shared" si="21"/>
        <v>1.3800000000000026</v>
      </c>
      <c r="AQ29" s="411">
        <f t="shared" si="22"/>
        <v>2.9374201787994946E-2</v>
      </c>
      <c r="AR29" s="412"/>
    </row>
    <row r="30" spans="1:44" ht="12"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750</v>
      </c>
      <c r="H30" s="399">
        <f t="shared" ref="H30:H36" si="25">G30*F30</f>
        <v>-0.15</v>
      </c>
      <c r="I30" s="132"/>
      <c r="J30" s="413">
        <f>IFERROR(VLOOKUP($C30,'Proposed Rates'!$B:$J,J$11,FALSE),0)</f>
        <v>-5.9999999999999995E-4</v>
      </c>
      <c r="K30" s="414">
        <f t="shared" ref="K30:K33" si="26">IF($D30="Monthly",1,IF($D30="per KWH",$F$10,0))</f>
        <v>750</v>
      </c>
      <c r="L30" s="399">
        <f t="shared" ref="L30:L36" si="27">K30*J30</f>
        <v>-0.44999999999999996</v>
      </c>
      <c r="M30" s="132"/>
      <c r="N30" s="400">
        <f t="shared" si="5"/>
        <v>-0.29999999999999993</v>
      </c>
      <c r="O30" s="401">
        <f t="shared" si="6"/>
        <v>1.9999999999999996</v>
      </c>
      <c r="P30" s="52"/>
      <c r="Q30" s="413">
        <f>IFERROR(VLOOKUP($C30,'Proposed Rates'!$B:$J,Q$11,FALSE),0)</f>
        <v>0</v>
      </c>
      <c r="R30" s="414">
        <f t="shared" ref="R30:R33" si="28">IF($D30="Monthly",1,IF($D30="per KWH",$F$10,0))</f>
        <v>750</v>
      </c>
      <c r="S30" s="399">
        <f t="shared" ref="S30:S36" si="29">R30*Q30</f>
        <v>0</v>
      </c>
      <c r="T30" s="132"/>
      <c r="U30" s="400">
        <f t="shared" si="9"/>
        <v>0.44999999999999996</v>
      </c>
      <c r="V30" s="401">
        <f t="shared" si="10"/>
        <v>-1</v>
      </c>
      <c r="W30" s="52"/>
      <c r="X30" s="413">
        <f>IFERROR(VLOOKUP($C30,'Proposed Rates'!$B:$J,X$11,FALSE),0)</f>
        <v>0</v>
      </c>
      <c r="Y30" s="414">
        <f t="shared" ref="Y30:Y33" si="30">IF($D30="Monthly",1,IF($D30="per KWH",$F$10,0))</f>
        <v>750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750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750</v>
      </c>
      <c r="AN30" s="399">
        <f t="shared" ref="AN30:AN36" si="35">AM30*AL30</f>
        <v>0</v>
      </c>
      <c r="AO30" s="132"/>
      <c r="AP30" s="400">
        <f t="shared" si="21"/>
        <v>0</v>
      </c>
      <c r="AQ30" s="401" t="str">
        <f t="shared" si="22"/>
        <v/>
      </c>
      <c r="AR30" s="402"/>
    </row>
    <row r="31" spans="1:44" ht="12" customHeight="1">
      <c r="A31" s="52"/>
      <c r="B31" s="403" t="s">
        <v>239</v>
      </c>
      <c r="C31" s="394" t="str">
        <f t="shared" si="23"/>
        <v>Residential.DVA Disposition Rate Rider Group 1 - 2024</v>
      </c>
      <c r="D31" s="395" t="s">
        <v>312</v>
      </c>
      <c r="E31" s="321"/>
      <c r="F31" s="413">
        <f>IFERROR(VLOOKUP($C31,'Proposed Rates'!$B:$J,F$11,FALSE),0)</f>
        <v>0</v>
      </c>
      <c r="G31" s="414">
        <f t="shared" si="24"/>
        <v>750</v>
      </c>
      <c r="H31" s="399">
        <f t="shared" si="25"/>
        <v>0</v>
      </c>
      <c r="I31" s="484"/>
      <c r="J31" s="413">
        <f>IFERROR(VLOOKUP($C31,'Proposed Rates'!$B:$J,J$11,FALSE),0)</f>
        <v>0</v>
      </c>
      <c r="K31" s="414">
        <f t="shared" si="26"/>
        <v>750</v>
      </c>
      <c r="L31" s="399">
        <f t="shared" si="27"/>
        <v>0</v>
      </c>
      <c r="M31" s="416"/>
      <c r="N31" s="400">
        <f t="shared" si="5"/>
        <v>0</v>
      </c>
      <c r="O31" s="401" t="str">
        <f t="shared" si="6"/>
        <v/>
      </c>
      <c r="P31" s="52"/>
      <c r="Q31" s="413">
        <f>IFERROR(VLOOKUP($C31,'Proposed Rates'!$B:$J,Q$11,FALSE),0)</f>
        <v>0</v>
      </c>
      <c r="R31" s="414">
        <f t="shared" si="28"/>
        <v>750</v>
      </c>
      <c r="S31" s="399">
        <f t="shared" si="29"/>
        <v>0</v>
      </c>
      <c r="T31" s="416"/>
      <c r="U31" s="400">
        <f t="shared" si="9"/>
        <v>0</v>
      </c>
      <c r="V31" s="401" t="str">
        <f t="shared" si="10"/>
        <v/>
      </c>
      <c r="W31" s="52"/>
      <c r="X31" s="413">
        <f>IFERROR(VLOOKUP($C31,'Proposed Rates'!$B:$J,X$11,FALSE),0)</f>
        <v>0</v>
      </c>
      <c r="Y31" s="414">
        <f t="shared" si="30"/>
        <v>750</v>
      </c>
      <c r="Z31" s="399">
        <f t="shared" si="31"/>
        <v>0</v>
      </c>
      <c r="AA31" s="416"/>
      <c r="AB31" s="400">
        <f t="shared" si="13"/>
        <v>0</v>
      </c>
      <c r="AC31" s="401" t="str">
        <f t="shared" si="14"/>
        <v/>
      </c>
      <c r="AD31" s="52"/>
      <c r="AE31" s="413">
        <f>IFERROR(VLOOKUP($C31,'Proposed Rates'!$B:$J,AE$11,FALSE),0)</f>
        <v>0</v>
      </c>
      <c r="AF31" s="414">
        <f t="shared" si="32"/>
        <v>750</v>
      </c>
      <c r="AG31" s="399">
        <f t="shared" si="33"/>
        <v>0</v>
      </c>
      <c r="AH31" s="416"/>
      <c r="AI31" s="400">
        <f t="shared" si="17"/>
        <v>0</v>
      </c>
      <c r="AJ31" s="401" t="str">
        <f t="shared" si="18"/>
        <v/>
      </c>
      <c r="AK31" s="52"/>
      <c r="AL31" s="413">
        <f>IFERROR(VLOOKUP($C31,'Proposed Rates'!$B:$J,AL$11,FALSE),0)</f>
        <v>0</v>
      </c>
      <c r="AM31" s="414">
        <f t="shared" si="34"/>
        <v>750</v>
      </c>
      <c r="AN31" s="399">
        <f t="shared" si="35"/>
        <v>0</v>
      </c>
      <c r="AO31" s="416"/>
      <c r="AP31" s="400">
        <f t="shared" si="21"/>
        <v>0</v>
      </c>
      <c r="AQ31" s="401" t="str">
        <f t="shared" si="22"/>
        <v/>
      </c>
      <c r="AR31" s="402"/>
    </row>
    <row r="32" spans="1:44" ht="12" customHeight="1">
      <c r="A32" s="52"/>
      <c r="B32" s="403" t="s">
        <v>247</v>
      </c>
      <c r="C32" s="394" t="str">
        <f t="shared" si="23"/>
        <v>Residential.CBR Class B Rate Riders</v>
      </c>
      <c r="D32" s="395" t="s">
        <v>312</v>
      </c>
      <c r="E32" s="321"/>
      <c r="F32" s="413">
        <f>IFERROR(VLOOKUP($C32,'Proposed Rates'!$B:$J,F$11,FALSE),0)</f>
        <v>2.0000000000000001E-4</v>
      </c>
      <c r="G32" s="414">
        <f t="shared" si="24"/>
        <v>750</v>
      </c>
      <c r="H32" s="399">
        <f t="shared" si="25"/>
        <v>0.15</v>
      </c>
      <c r="I32" s="484"/>
      <c r="J32" s="413">
        <f>IFERROR(VLOOKUP($C32,'Proposed Rates'!$B:$J,J$11,FALSE),0)</f>
        <v>4.0000000000000002E-4</v>
      </c>
      <c r="K32" s="414">
        <f t="shared" si="26"/>
        <v>750</v>
      </c>
      <c r="L32" s="399">
        <f t="shared" si="27"/>
        <v>0.3</v>
      </c>
      <c r="M32" s="416"/>
      <c r="N32" s="400">
        <f t="shared" si="5"/>
        <v>0.15</v>
      </c>
      <c r="O32" s="401">
        <f t="shared" si="6"/>
        <v>1</v>
      </c>
      <c r="P32" s="52"/>
      <c r="Q32" s="413">
        <f>IFERROR(VLOOKUP($C32,'Proposed Rates'!$B:$J,Q$11,FALSE),0)</f>
        <v>0</v>
      </c>
      <c r="R32" s="414">
        <f t="shared" si="28"/>
        <v>750</v>
      </c>
      <c r="S32" s="399">
        <f t="shared" si="29"/>
        <v>0</v>
      </c>
      <c r="T32" s="416"/>
      <c r="U32" s="400">
        <f t="shared" si="9"/>
        <v>-0.3</v>
      </c>
      <c r="V32" s="401">
        <f t="shared" si="10"/>
        <v>-1</v>
      </c>
      <c r="W32" s="52"/>
      <c r="X32" s="413">
        <f>IFERROR(VLOOKUP($C32,'Proposed Rates'!$B:$J,X$11,FALSE),0)</f>
        <v>0</v>
      </c>
      <c r="Y32" s="414">
        <f t="shared" si="30"/>
        <v>750</v>
      </c>
      <c r="Z32" s="399">
        <f t="shared" si="31"/>
        <v>0</v>
      </c>
      <c r="AA32" s="416"/>
      <c r="AB32" s="400">
        <f t="shared" si="13"/>
        <v>0</v>
      </c>
      <c r="AC32" s="401" t="str">
        <f t="shared" si="14"/>
        <v/>
      </c>
      <c r="AD32" s="52"/>
      <c r="AE32" s="413">
        <f>IFERROR(VLOOKUP($C32,'Proposed Rates'!$B:$J,AE$11,FALSE),0)</f>
        <v>0</v>
      </c>
      <c r="AF32" s="414">
        <f t="shared" si="32"/>
        <v>750</v>
      </c>
      <c r="AG32" s="399">
        <f t="shared" si="33"/>
        <v>0</v>
      </c>
      <c r="AH32" s="416"/>
      <c r="AI32" s="400">
        <f t="shared" si="17"/>
        <v>0</v>
      </c>
      <c r="AJ32" s="401" t="str">
        <f t="shared" si="18"/>
        <v/>
      </c>
      <c r="AK32" s="52"/>
      <c r="AL32" s="413">
        <f>IFERROR(VLOOKUP($C32,'Proposed Rates'!$B:$J,AL$11,FALSE),0)</f>
        <v>0</v>
      </c>
      <c r="AM32" s="414">
        <f t="shared" si="34"/>
        <v>750</v>
      </c>
      <c r="AN32" s="399">
        <f t="shared" si="35"/>
        <v>0</v>
      </c>
      <c r="AO32" s="416"/>
      <c r="AP32" s="400">
        <f t="shared" si="21"/>
        <v>0</v>
      </c>
      <c r="AQ32" s="401" t="str">
        <f t="shared" si="22"/>
        <v/>
      </c>
      <c r="AR32" s="402"/>
    </row>
    <row r="33" spans="1:44" ht="12" customHeight="1">
      <c r="A33" s="52"/>
      <c r="B33" s="403" t="s">
        <v>315</v>
      </c>
      <c r="C33" s="394" t="str">
        <f t="shared" si="23"/>
        <v>Residential.GA Disposition Rate Rider-NonRPP</v>
      </c>
      <c r="D33" s="395" t="s">
        <v>312</v>
      </c>
      <c r="E33" s="321"/>
      <c r="F33" s="413">
        <f>IFERROR(VLOOKUP($C33,'Proposed Rates'!$B:$J,F$11,FALSE),0)</f>
        <v>0</v>
      </c>
      <c r="G33" s="414">
        <f t="shared" si="24"/>
        <v>750</v>
      </c>
      <c r="H33" s="399">
        <f t="shared" si="25"/>
        <v>0</v>
      </c>
      <c r="I33" s="484"/>
      <c r="J33" s="413">
        <f>IFERROR(VLOOKUP($C33,'Proposed Rates'!$B:$J,J$11,FALSE),0)</f>
        <v>0</v>
      </c>
      <c r="K33" s="414">
        <f t="shared" si="26"/>
        <v>750</v>
      </c>
      <c r="L33" s="399">
        <f t="shared" si="27"/>
        <v>0</v>
      </c>
      <c r="M33" s="416"/>
      <c r="N33" s="400">
        <f t="shared" si="5"/>
        <v>0</v>
      </c>
      <c r="O33" s="401" t="str">
        <f t="shared" si="6"/>
        <v/>
      </c>
      <c r="P33" s="52"/>
      <c r="Q33" s="413">
        <f>IFERROR(VLOOKUP($C33,'Proposed Rates'!$B:$J,Q$11,FALSE),0)</f>
        <v>0</v>
      </c>
      <c r="R33" s="414">
        <f t="shared" si="28"/>
        <v>750</v>
      </c>
      <c r="S33" s="399">
        <f t="shared" si="29"/>
        <v>0</v>
      </c>
      <c r="T33" s="416"/>
      <c r="U33" s="400">
        <f t="shared" si="9"/>
        <v>0</v>
      </c>
      <c r="V33" s="401" t="str">
        <f t="shared" si="10"/>
        <v/>
      </c>
      <c r="W33" s="52"/>
      <c r="X33" s="413">
        <f>IFERROR(VLOOKUP($C33,'Proposed Rates'!$B:$J,X$11,FALSE),0)</f>
        <v>0</v>
      </c>
      <c r="Y33" s="414">
        <f t="shared" si="30"/>
        <v>750</v>
      </c>
      <c r="Z33" s="399">
        <f t="shared" si="31"/>
        <v>0</v>
      </c>
      <c r="AA33" s="416"/>
      <c r="AB33" s="400">
        <f t="shared" si="13"/>
        <v>0</v>
      </c>
      <c r="AC33" s="401" t="str">
        <f t="shared" si="14"/>
        <v/>
      </c>
      <c r="AD33" s="52"/>
      <c r="AE33" s="413">
        <f>IFERROR(VLOOKUP($C33,'Proposed Rates'!$B:$J,AE$11,FALSE),0)</f>
        <v>0</v>
      </c>
      <c r="AF33" s="414">
        <f t="shared" si="32"/>
        <v>750</v>
      </c>
      <c r="AG33" s="399">
        <f t="shared" si="33"/>
        <v>0</v>
      </c>
      <c r="AH33" s="416"/>
      <c r="AI33" s="400">
        <f t="shared" si="17"/>
        <v>0</v>
      </c>
      <c r="AJ33" s="401" t="str">
        <f t="shared" si="18"/>
        <v/>
      </c>
      <c r="AK33" s="52"/>
      <c r="AL33" s="413">
        <f>IFERROR(VLOOKUP($C33,'Proposed Rates'!$B:$J,AL$11,FALSE),0)</f>
        <v>0</v>
      </c>
      <c r="AM33" s="414">
        <f t="shared" si="34"/>
        <v>750</v>
      </c>
      <c r="AN33" s="399">
        <f t="shared" si="35"/>
        <v>0</v>
      </c>
      <c r="AO33" s="416"/>
      <c r="AP33" s="400">
        <f t="shared" si="21"/>
        <v>0</v>
      </c>
      <c r="AQ33" s="401" t="str">
        <f t="shared" si="22"/>
        <v/>
      </c>
      <c r="AR33" s="402"/>
    </row>
    <row r="34" spans="1:44" ht="12" customHeight="1">
      <c r="A34" s="52"/>
      <c r="B34" s="321" t="s">
        <v>273</v>
      </c>
      <c r="C34" s="394" t="str">
        <f t="shared" si="23"/>
        <v>Residential.Low Voltage Service Charge</v>
      </c>
      <c r="D34" s="395" t="s">
        <v>312</v>
      </c>
      <c r="E34" s="321"/>
      <c r="F34" s="417">
        <f>IFERROR(VLOOKUP($C34,'Proposed Rates'!$B:$J,F$11,FALSE),0)</f>
        <v>5.0000000000000002E-5</v>
      </c>
      <c r="G34" s="418">
        <f>$F$10*(1+F$63)</f>
        <v>775.35</v>
      </c>
      <c r="H34" s="399">
        <f t="shared" si="25"/>
        <v>3.8767500000000003E-2</v>
      </c>
      <c r="I34" s="132"/>
      <c r="J34" s="417">
        <f>IFERROR(VLOOKUP($C34,'Proposed Rates'!$B:$J,J$11,FALSE),0)</f>
        <v>6.9999999999999994E-5</v>
      </c>
      <c r="K34" s="418">
        <f>$F$10*(1+J$63)</f>
        <v>774.9</v>
      </c>
      <c r="L34" s="399">
        <f t="shared" si="27"/>
        <v>5.4242999999999993E-2</v>
      </c>
      <c r="M34" s="132"/>
      <c r="N34" s="400">
        <f t="shared" si="5"/>
        <v>1.5475499999999989E-2</v>
      </c>
      <c r="O34" s="401">
        <f t="shared" si="6"/>
        <v>0.3991874637260589</v>
      </c>
      <c r="P34" s="52"/>
      <c r="Q34" s="417">
        <f>IFERROR(VLOOKUP($C34,'Proposed Rates'!$B:$J,Q$11,FALSE),0)</f>
        <v>6.9999999999999994E-5</v>
      </c>
      <c r="R34" s="418">
        <f>$F$10*(1+Q$63)</f>
        <v>774.9</v>
      </c>
      <c r="S34" s="399">
        <f t="shared" si="29"/>
        <v>5.4242999999999993E-2</v>
      </c>
      <c r="T34" s="132"/>
      <c r="U34" s="400">
        <f t="shared" si="9"/>
        <v>0</v>
      </c>
      <c r="V34" s="401">
        <f t="shared" si="10"/>
        <v>0</v>
      </c>
      <c r="W34" s="52"/>
      <c r="X34" s="417">
        <f>IFERROR(VLOOKUP($C34,'Proposed Rates'!$B:$J,X$11,FALSE),0)</f>
        <v>8.0000000000000007E-5</v>
      </c>
      <c r="Y34" s="418">
        <f>$F$10*(1+X$63)</f>
        <v>774.9</v>
      </c>
      <c r="Z34" s="399">
        <f t="shared" si="31"/>
        <v>6.1992000000000005E-2</v>
      </c>
      <c r="AA34" s="132"/>
      <c r="AB34" s="400">
        <f t="shared" si="13"/>
        <v>7.7490000000000128E-3</v>
      </c>
      <c r="AC34" s="401">
        <f t="shared" si="14"/>
        <v>0.14285714285714313</v>
      </c>
      <c r="AD34" s="52"/>
      <c r="AE34" s="417">
        <f>IFERROR(VLOOKUP($C34,'Proposed Rates'!$B:$J,AE$11,FALSE),0)</f>
        <v>8.0000000000000007E-5</v>
      </c>
      <c r="AF34" s="418">
        <f>$F$10*(1+AE$63)</f>
        <v>774.9</v>
      </c>
      <c r="AG34" s="399">
        <f t="shared" si="33"/>
        <v>6.1992000000000005E-2</v>
      </c>
      <c r="AH34" s="132"/>
      <c r="AI34" s="400">
        <f t="shared" si="17"/>
        <v>0</v>
      </c>
      <c r="AJ34" s="401">
        <f t="shared" si="18"/>
        <v>0</v>
      </c>
      <c r="AK34" s="52"/>
      <c r="AL34" s="417">
        <f>IFERROR(VLOOKUP($C34,'Proposed Rates'!$B:$J,AL$11,FALSE),0)</f>
        <v>8.0000000000000007E-5</v>
      </c>
      <c r="AM34" s="418">
        <f>$F$10*(1+AL$63)</f>
        <v>774.9</v>
      </c>
      <c r="AN34" s="399">
        <f t="shared" si="35"/>
        <v>6.1992000000000005E-2</v>
      </c>
      <c r="AO34" s="132"/>
      <c r="AP34" s="400">
        <f t="shared" si="21"/>
        <v>0</v>
      </c>
      <c r="AQ34" s="401">
        <f t="shared" si="22"/>
        <v>0</v>
      </c>
      <c r="AR34" s="402"/>
    </row>
    <row r="35" spans="1:44" ht="12"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25.350000000000023</v>
      </c>
      <c r="H35" s="399">
        <f t="shared" si="25"/>
        <v>3.2326320000000033</v>
      </c>
      <c r="I35" s="132"/>
      <c r="J35" s="419">
        <f>'Proposed Rates'!$K$253*J$44+'Proposed Rates'!$K$254*J$45+'Proposed Rates'!$K$255*J$46</f>
        <v>0.12752000000000002</v>
      </c>
      <c r="K35" s="420">
        <f>$F$10*(1+J$63)-$F$10</f>
        <v>24.899999999999977</v>
      </c>
      <c r="L35" s="399">
        <f t="shared" si="27"/>
        <v>3.1752479999999976</v>
      </c>
      <c r="M35" s="132"/>
      <c r="N35" s="400">
        <f t="shared" si="5"/>
        <v>-5.7384000000005653E-2</v>
      </c>
      <c r="O35" s="401">
        <f t="shared" si="6"/>
        <v>-1.775147928994256E-2</v>
      </c>
      <c r="P35" s="52"/>
      <c r="Q35" s="419">
        <f>'Proposed Rates'!$K$253*Q$44+'Proposed Rates'!$K$254*Q$45+'Proposed Rates'!$K$255*Q$46</f>
        <v>0.12752000000000002</v>
      </c>
      <c r="R35" s="420">
        <f>$F$10*(1+Q$63)-$F$10</f>
        <v>24.899999999999977</v>
      </c>
      <c r="S35" s="399">
        <f t="shared" si="29"/>
        <v>3.1752479999999976</v>
      </c>
      <c r="T35" s="132"/>
      <c r="U35" s="400">
        <f t="shared" si="9"/>
        <v>0</v>
      </c>
      <c r="V35" s="401">
        <f t="shared" si="10"/>
        <v>0</v>
      </c>
      <c r="W35" s="52"/>
      <c r="X35" s="419">
        <f>'Proposed Rates'!$K$253*X$44+'Proposed Rates'!$K$254*X$45+'Proposed Rates'!$K$255*X$46</f>
        <v>0.12752000000000002</v>
      </c>
      <c r="Y35" s="420">
        <f>$F$10*(1+X$63)-$F$10</f>
        <v>24.899999999999977</v>
      </c>
      <c r="Z35" s="399">
        <f t="shared" si="31"/>
        <v>3.1752479999999976</v>
      </c>
      <c r="AA35" s="132"/>
      <c r="AB35" s="400">
        <f t="shared" si="13"/>
        <v>0</v>
      </c>
      <c r="AC35" s="401">
        <f t="shared" si="14"/>
        <v>0</v>
      </c>
      <c r="AD35" s="52"/>
      <c r="AE35" s="419">
        <f>'Proposed Rates'!$K$253*AE$44+'Proposed Rates'!$K$254*AE$45+'Proposed Rates'!$K$255*AE$46</f>
        <v>0.12752000000000002</v>
      </c>
      <c r="AF35" s="420">
        <f>$F$10*(1+AE$63)-$F$10</f>
        <v>24.899999999999977</v>
      </c>
      <c r="AG35" s="399">
        <f t="shared" si="33"/>
        <v>3.1752479999999976</v>
      </c>
      <c r="AH35" s="132"/>
      <c r="AI35" s="400">
        <f t="shared" si="17"/>
        <v>0</v>
      </c>
      <c r="AJ35" s="401">
        <f t="shared" si="18"/>
        <v>0</v>
      </c>
      <c r="AK35" s="52"/>
      <c r="AL35" s="419">
        <f>'Proposed Rates'!$K$253*AL$44+'Proposed Rates'!$K$254*AL$45+'Proposed Rates'!$K$255*AL$46</f>
        <v>0.12752000000000002</v>
      </c>
      <c r="AM35" s="420">
        <f>$F$10*(1+AL$63)-$F$10</f>
        <v>24.899999999999977</v>
      </c>
      <c r="AN35" s="399">
        <f t="shared" si="35"/>
        <v>3.1752479999999976</v>
      </c>
      <c r="AO35" s="132"/>
      <c r="AP35" s="400">
        <f t="shared" si="21"/>
        <v>0</v>
      </c>
      <c r="AQ35" s="401">
        <f t="shared" si="22"/>
        <v>0</v>
      </c>
      <c r="AR35" s="402"/>
    </row>
    <row r="36" spans="1:44" ht="12"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row>
    <row r="37" spans="1:44" ht="12" customHeight="1">
      <c r="A37" s="52"/>
      <c r="B37" s="404" t="s">
        <v>317</v>
      </c>
      <c r="C37" s="421"/>
      <c r="D37" s="421"/>
      <c r="E37" s="421"/>
      <c r="F37" s="422"/>
      <c r="G37" s="423"/>
      <c r="H37" s="408">
        <f>SUM(H30:H36)+H29</f>
        <v>38.201399500000001</v>
      </c>
      <c r="I37" s="424"/>
      <c r="J37" s="422"/>
      <c r="K37" s="423"/>
      <c r="L37" s="501">
        <f>SUM(L30:L36)+L29</f>
        <v>43.539490999999998</v>
      </c>
      <c r="M37" s="424"/>
      <c r="N37" s="410">
        <f t="shared" si="5"/>
        <v>5.3380914999999973</v>
      </c>
      <c r="O37" s="411">
        <f t="shared" si="6"/>
        <v>0.1397354958160629</v>
      </c>
      <c r="P37" s="52"/>
      <c r="Q37" s="422"/>
      <c r="R37" s="423"/>
      <c r="S37" s="408">
        <f>SUM(S30:S36)+S29</f>
        <v>46.289490999999998</v>
      </c>
      <c r="T37" s="424"/>
      <c r="U37" s="410">
        <f t="shared" si="9"/>
        <v>2.75</v>
      </c>
      <c r="V37" s="411">
        <f t="shared" si="10"/>
        <v>6.3161050734378138E-2</v>
      </c>
      <c r="W37" s="52"/>
      <c r="X37" s="422"/>
      <c r="Y37" s="423"/>
      <c r="Z37" s="408">
        <f>SUM(Z30:Z36)+Z29</f>
        <v>49.137239999999998</v>
      </c>
      <c r="AA37" s="424"/>
      <c r="AB37" s="410">
        <f t="shared" si="13"/>
        <v>2.8477490000000003</v>
      </c>
      <c r="AC37" s="411">
        <f t="shared" si="14"/>
        <v>6.1520421557454595E-2</v>
      </c>
      <c r="AD37" s="52"/>
      <c r="AE37" s="422"/>
      <c r="AF37" s="423"/>
      <c r="AG37" s="408">
        <f>SUM(AG30:AG36)+AG29</f>
        <v>50.657239999999994</v>
      </c>
      <c r="AH37" s="424"/>
      <c r="AI37" s="410">
        <f t="shared" si="17"/>
        <v>1.519999999999996</v>
      </c>
      <c r="AJ37" s="411">
        <f t="shared" si="18"/>
        <v>3.0933768359801977E-2</v>
      </c>
      <c r="AK37" s="52"/>
      <c r="AL37" s="422"/>
      <c r="AM37" s="423"/>
      <c r="AN37" s="408">
        <f>SUM(AN30:AN36)+AN29</f>
        <v>52.047239999999995</v>
      </c>
      <c r="AO37" s="424"/>
      <c r="AP37" s="410">
        <f t="shared" si="21"/>
        <v>1.3900000000000006</v>
      </c>
      <c r="AQ37" s="411">
        <f t="shared" si="22"/>
        <v>2.7439315683207389E-2</v>
      </c>
      <c r="AR37" s="412"/>
    </row>
    <row r="38" spans="1:44" ht="12" customHeight="1">
      <c r="A38" s="52"/>
      <c r="B38" s="132" t="s">
        <v>258</v>
      </c>
      <c r="C38" s="394" t="str">
        <f t="shared" ref="C38:C39" si="36">D$6&amp;"."&amp;B38</f>
        <v>Residential.RTSR - Network</v>
      </c>
      <c r="D38" s="425" t="s">
        <v>312</v>
      </c>
      <c r="E38" s="132"/>
      <c r="F38" s="413">
        <f>IFERROR(VLOOKUP($C38,'Proposed Rates'!$B:$J,F$11,FALSE),0)</f>
        <v>1.26E-2</v>
      </c>
      <c r="G38" s="418">
        <f t="shared" ref="G38:G39" si="37">$F$10*(1+F$63)</f>
        <v>775.35</v>
      </c>
      <c r="H38" s="399">
        <f t="shared" ref="H38:H39" si="38">G38*F38</f>
        <v>9.7694100000000006</v>
      </c>
      <c r="I38" s="132"/>
      <c r="J38" s="413">
        <f>IFERROR(VLOOKUP($C38,'Proposed Rates'!$B:$J,J$11,FALSE),0)</f>
        <v>1.38E-2</v>
      </c>
      <c r="K38" s="418">
        <f t="shared" ref="K38:K39" si="39">$F$10*(1+J$63)</f>
        <v>774.9</v>
      </c>
      <c r="L38" s="399">
        <f t="shared" ref="L38:L39" si="40">K38*J38</f>
        <v>10.693619999999999</v>
      </c>
      <c r="M38" s="132"/>
      <c r="N38" s="400">
        <f t="shared" si="5"/>
        <v>0.92420999999999864</v>
      </c>
      <c r="O38" s="401">
        <f t="shared" si="6"/>
        <v>9.4602437608821671E-2</v>
      </c>
      <c r="P38" s="52"/>
      <c r="Q38" s="413">
        <f>IFERROR(VLOOKUP($C38,'Proposed Rates'!$B:$J,Q$11,FALSE),0)</f>
        <v>1.38E-2</v>
      </c>
      <c r="R38" s="418">
        <f t="shared" ref="R38:R39" si="41">$F$10*(1+Q$63)</f>
        <v>774.9</v>
      </c>
      <c r="S38" s="399">
        <f t="shared" ref="S38:S39" si="42">R38*Q38</f>
        <v>10.693619999999999</v>
      </c>
      <c r="T38" s="132"/>
      <c r="U38" s="400">
        <f t="shared" si="9"/>
        <v>0</v>
      </c>
      <c r="V38" s="401">
        <f t="shared" si="10"/>
        <v>0</v>
      </c>
      <c r="W38" s="52"/>
      <c r="X38" s="413">
        <f>IFERROR(VLOOKUP($C38,'Proposed Rates'!$B:$J,X$11,FALSE),0)</f>
        <v>1.38E-2</v>
      </c>
      <c r="Y38" s="418">
        <f t="shared" ref="Y38:Y39" si="43">$F$10*(1+X$63)</f>
        <v>774.9</v>
      </c>
      <c r="Z38" s="399">
        <f t="shared" ref="Z38:Z39" si="44">Y38*X38</f>
        <v>10.693619999999999</v>
      </c>
      <c r="AA38" s="132"/>
      <c r="AB38" s="400">
        <f t="shared" si="13"/>
        <v>0</v>
      </c>
      <c r="AC38" s="401">
        <f t="shared" si="14"/>
        <v>0</v>
      </c>
      <c r="AD38" s="52"/>
      <c r="AE38" s="413">
        <f>IFERROR(VLOOKUP($C38,'Proposed Rates'!$B:$J,AE$11,FALSE),0)</f>
        <v>1.38E-2</v>
      </c>
      <c r="AF38" s="418">
        <f t="shared" ref="AF38:AF39" si="45">$F$10*(1+AE$63)</f>
        <v>774.9</v>
      </c>
      <c r="AG38" s="399">
        <f t="shared" ref="AG38:AG39" si="46">AF38*AE38</f>
        <v>10.693619999999999</v>
      </c>
      <c r="AH38" s="132"/>
      <c r="AI38" s="400">
        <f t="shared" si="17"/>
        <v>0</v>
      </c>
      <c r="AJ38" s="401">
        <f t="shared" si="18"/>
        <v>0</v>
      </c>
      <c r="AK38" s="52"/>
      <c r="AL38" s="413">
        <f>IFERROR(VLOOKUP($C38,'Proposed Rates'!$B:$J,AL$11,FALSE),0)</f>
        <v>1.38E-2</v>
      </c>
      <c r="AM38" s="418">
        <f t="shared" ref="AM38:AM39" si="47">$F$10*(1+AL$63)</f>
        <v>774.9</v>
      </c>
      <c r="AN38" s="399">
        <f t="shared" ref="AN38:AN39" si="48">AM38*AL38</f>
        <v>10.693619999999999</v>
      </c>
      <c r="AO38" s="132"/>
      <c r="AP38" s="400">
        <f t="shared" si="21"/>
        <v>0</v>
      </c>
      <c r="AQ38" s="401">
        <f t="shared" si="22"/>
        <v>0</v>
      </c>
      <c r="AR38" s="402"/>
    </row>
    <row r="39" spans="1:44" ht="12" customHeight="1">
      <c r="A39" s="52"/>
      <c r="B39" s="132" t="s">
        <v>261</v>
      </c>
      <c r="C39" s="394" t="str">
        <f t="shared" si="36"/>
        <v>Residential.RTSR - Line and Transformation Connection</v>
      </c>
      <c r="D39" s="425" t="s">
        <v>312</v>
      </c>
      <c r="E39" s="132"/>
      <c r="F39" s="413">
        <f>IFERROR(VLOOKUP($C39,'Proposed Rates'!$B:$J,F$11,FALSE),0)</f>
        <v>7.1999999999999998E-3</v>
      </c>
      <c r="G39" s="418">
        <f t="shared" si="37"/>
        <v>775.35</v>
      </c>
      <c r="H39" s="399">
        <f t="shared" si="38"/>
        <v>5.5825199999999997</v>
      </c>
      <c r="I39" s="132"/>
      <c r="J39" s="413">
        <f>IFERROR(VLOOKUP($C39,'Proposed Rates'!$B:$J,J$11,FALSE),0)</f>
        <v>7.7999999999999996E-3</v>
      </c>
      <c r="K39" s="418">
        <f t="shared" si="39"/>
        <v>774.9</v>
      </c>
      <c r="L39" s="399">
        <f t="shared" si="40"/>
        <v>6.0442199999999993</v>
      </c>
      <c r="M39" s="132"/>
      <c r="N39" s="400">
        <f t="shared" si="5"/>
        <v>0.46169999999999956</v>
      </c>
      <c r="O39" s="401">
        <f t="shared" si="6"/>
        <v>8.2704585026117161E-2</v>
      </c>
      <c r="P39" s="52"/>
      <c r="Q39" s="413">
        <f>IFERROR(VLOOKUP($C39,'Proposed Rates'!$B:$J,Q$11,FALSE),0)</f>
        <v>7.7999999999999996E-3</v>
      </c>
      <c r="R39" s="418">
        <f t="shared" si="41"/>
        <v>774.9</v>
      </c>
      <c r="S39" s="399">
        <f t="shared" si="42"/>
        <v>6.0442199999999993</v>
      </c>
      <c r="T39" s="132"/>
      <c r="U39" s="400">
        <f t="shared" si="9"/>
        <v>0</v>
      </c>
      <c r="V39" s="401">
        <f t="shared" si="10"/>
        <v>0</v>
      </c>
      <c r="W39" s="52"/>
      <c r="X39" s="413">
        <f>IFERROR(VLOOKUP($C39,'Proposed Rates'!$B:$J,X$11,FALSE),0)</f>
        <v>7.7999999999999996E-3</v>
      </c>
      <c r="Y39" s="418">
        <f t="shared" si="43"/>
        <v>774.9</v>
      </c>
      <c r="Z39" s="399">
        <f t="shared" si="44"/>
        <v>6.0442199999999993</v>
      </c>
      <c r="AA39" s="132"/>
      <c r="AB39" s="400">
        <f t="shared" si="13"/>
        <v>0</v>
      </c>
      <c r="AC39" s="401">
        <f t="shared" si="14"/>
        <v>0</v>
      </c>
      <c r="AD39" s="52"/>
      <c r="AE39" s="413">
        <f>IFERROR(VLOOKUP($C39,'Proposed Rates'!$B:$J,AE$11,FALSE),0)</f>
        <v>7.7999999999999996E-3</v>
      </c>
      <c r="AF39" s="418">
        <f t="shared" si="45"/>
        <v>774.9</v>
      </c>
      <c r="AG39" s="399">
        <f t="shared" si="46"/>
        <v>6.0442199999999993</v>
      </c>
      <c r="AH39" s="132"/>
      <c r="AI39" s="400">
        <f t="shared" si="17"/>
        <v>0</v>
      </c>
      <c r="AJ39" s="401">
        <f t="shared" si="18"/>
        <v>0</v>
      </c>
      <c r="AK39" s="52"/>
      <c r="AL39" s="413">
        <f>IFERROR(VLOOKUP($C39,'Proposed Rates'!$B:$J,AL$11,FALSE),0)</f>
        <v>7.7999999999999996E-3</v>
      </c>
      <c r="AM39" s="418">
        <f t="shared" si="47"/>
        <v>774.9</v>
      </c>
      <c r="AN39" s="399">
        <f t="shared" si="48"/>
        <v>6.0442199999999993</v>
      </c>
      <c r="AO39" s="132"/>
      <c r="AP39" s="400">
        <f t="shared" si="21"/>
        <v>0</v>
      </c>
      <c r="AQ39" s="401">
        <f t="shared" si="22"/>
        <v>0</v>
      </c>
      <c r="AR39" s="402"/>
    </row>
    <row r="40" spans="1:44" ht="12" customHeight="1">
      <c r="A40" s="52"/>
      <c r="B40" s="404" t="s">
        <v>318</v>
      </c>
      <c r="C40" s="426"/>
      <c r="D40" s="426"/>
      <c r="E40" s="426"/>
      <c r="F40" s="427"/>
      <c r="G40" s="428"/>
      <c r="H40" s="408">
        <f>SUM(H37:H39)</f>
        <v>53.553329500000004</v>
      </c>
      <c r="I40" s="409"/>
      <c r="J40" s="427"/>
      <c r="K40" s="428"/>
      <c r="L40" s="501">
        <f>SUM(L37:L39)</f>
        <v>60.27733099999999</v>
      </c>
      <c r="M40" s="409"/>
      <c r="N40" s="410">
        <f t="shared" si="5"/>
        <v>6.7240014999999858</v>
      </c>
      <c r="O40" s="411">
        <f t="shared" si="6"/>
        <v>0.12555711405394476</v>
      </c>
      <c r="P40" s="52"/>
      <c r="Q40" s="427"/>
      <c r="R40" s="428"/>
      <c r="S40" s="408">
        <f>SUM(S37:S39)</f>
        <v>63.02733099999999</v>
      </c>
      <c r="T40" s="409"/>
      <c r="U40" s="410">
        <f t="shared" si="9"/>
        <v>2.75</v>
      </c>
      <c r="V40" s="411">
        <f t="shared" si="10"/>
        <v>4.5622457968485707E-2</v>
      </c>
      <c r="W40" s="52"/>
      <c r="X40" s="427"/>
      <c r="Y40" s="428"/>
      <c r="Z40" s="408">
        <f>SUM(Z37:Z39)</f>
        <v>65.875079999999997</v>
      </c>
      <c r="AA40" s="409"/>
      <c r="AB40" s="410">
        <f t="shared" si="13"/>
        <v>2.8477490000000074</v>
      </c>
      <c r="AC40" s="411">
        <f t="shared" si="14"/>
        <v>4.5182763648995511E-2</v>
      </c>
      <c r="AD40" s="52"/>
      <c r="AE40" s="427"/>
      <c r="AF40" s="428"/>
      <c r="AG40" s="408">
        <f>SUM(AG37:AG39)</f>
        <v>67.395079999999993</v>
      </c>
      <c r="AH40" s="409"/>
      <c r="AI40" s="410">
        <f t="shared" si="17"/>
        <v>1.519999999999996</v>
      </c>
      <c r="AJ40" s="411">
        <f t="shared" si="18"/>
        <v>2.3073975773539798E-2</v>
      </c>
      <c r="AK40" s="52"/>
      <c r="AL40" s="427"/>
      <c r="AM40" s="428"/>
      <c r="AN40" s="408">
        <f>SUM(AN37:AN39)</f>
        <v>68.785079999999994</v>
      </c>
      <c r="AO40" s="409"/>
      <c r="AP40" s="410">
        <f t="shared" si="21"/>
        <v>1.3900000000000006</v>
      </c>
      <c r="AQ40" s="411">
        <f t="shared" si="22"/>
        <v>2.062465093891128E-2</v>
      </c>
      <c r="AR40" s="412"/>
    </row>
    <row r="41" spans="1:44" ht="12" customHeight="1">
      <c r="A41" s="52"/>
      <c r="B41" s="321" t="s">
        <v>262</v>
      </c>
      <c r="C41" s="394" t="str">
        <f t="shared" ref="C41:C48" si="49">D$6&amp;"."&amp;B41</f>
        <v>Residential.Wholesale Market Service Charge (WMSC)</v>
      </c>
      <c r="D41" s="395" t="s">
        <v>312</v>
      </c>
      <c r="E41" s="321"/>
      <c r="F41" s="413">
        <f>IFERROR(VLOOKUP($C41,'Proposed Rates'!$B:$J,F$11,FALSE),0)</f>
        <v>4.4999999999999997E-3</v>
      </c>
      <c r="G41" s="418">
        <f t="shared" ref="G41:G42" si="50">$F$10*(1+F$63)</f>
        <v>775.35</v>
      </c>
      <c r="H41" s="399">
        <f t="shared" ref="H41:H48" si="51">G41*F41</f>
        <v>3.4890749999999997</v>
      </c>
      <c r="I41" s="132"/>
      <c r="J41" s="413">
        <f>IFERROR(VLOOKUP($C41,'Proposed Rates'!$B:$J,J$11,FALSE),0)</f>
        <v>4.7000000000000002E-3</v>
      </c>
      <c r="K41" s="418">
        <f t="shared" ref="K41:K42" si="52">$F$10*(1+J$63)</f>
        <v>774.9</v>
      </c>
      <c r="L41" s="399">
        <f t="shared" ref="L41:L48" si="53">K41*J41</f>
        <v>3.6420300000000001</v>
      </c>
      <c r="M41" s="132"/>
      <c r="N41" s="400">
        <f t="shared" si="5"/>
        <v>0.1529550000000004</v>
      </c>
      <c r="O41" s="401">
        <f t="shared" si="6"/>
        <v>4.3838266589282374E-2</v>
      </c>
      <c r="P41" s="52"/>
      <c r="Q41" s="413">
        <f>IFERROR(VLOOKUP($C41,'Proposed Rates'!$B:$J,Q$11,FALSE),0)</f>
        <v>4.7000000000000002E-3</v>
      </c>
      <c r="R41" s="418">
        <f t="shared" ref="R41:R42" si="54">$F$10*(1+Q$63)</f>
        <v>774.9</v>
      </c>
      <c r="S41" s="399">
        <f t="shared" ref="S41:S48" si="55">R41*Q41</f>
        <v>3.6420300000000001</v>
      </c>
      <c r="T41" s="132"/>
      <c r="U41" s="400">
        <f t="shared" si="9"/>
        <v>0</v>
      </c>
      <c r="V41" s="401">
        <f t="shared" si="10"/>
        <v>0</v>
      </c>
      <c r="W41" s="52"/>
      <c r="X41" s="413">
        <f>IFERROR(VLOOKUP($C41,'Proposed Rates'!$B:$J,X$11,FALSE),0)</f>
        <v>4.7000000000000002E-3</v>
      </c>
      <c r="Y41" s="418">
        <f t="shared" ref="Y41:Y42" si="56">$F$10*(1+X$63)</f>
        <v>774.9</v>
      </c>
      <c r="Z41" s="399">
        <f t="shared" ref="Z41:Z48" si="57">Y41*X41</f>
        <v>3.6420300000000001</v>
      </c>
      <c r="AA41" s="132"/>
      <c r="AB41" s="400">
        <f t="shared" si="13"/>
        <v>0</v>
      </c>
      <c r="AC41" s="401">
        <f t="shared" si="14"/>
        <v>0</v>
      </c>
      <c r="AD41" s="52"/>
      <c r="AE41" s="413">
        <f>IFERROR(VLOOKUP($C41,'Proposed Rates'!$B:$J,AE$11,FALSE),0)</f>
        <v>4.7000000000000002E-3</v>
      </c>
      <c r="AF41" s="418">
        <f t="shared" ref="AF41:AF42" si="58">$F$10*(1+AE$63)</f>
        <v>774.9</v>
      </c>
      <c r="AG41" s="399">
        <f t="shared" ref="AG41:AG48" si="59">AF41*AE41</f>
        <v>3.6420300000000001</v>
      </c>
      <c r="AH41" s="132"/>
      <c r="AI41" s="400">
        <f t="shared" si="17"/>
        <v>0</v>
      </c>
      <c r="AJ41" s="401">
        <f t="shared" si="18"/>
        <v>0</v>
      </c>
      <c r="AK41" s="52"/>
      <c r="AL41" s="413">
        <f>IFERROR(VLOOKUP($C41,'Proposed Rates'!$B:$J,AL$11,FALSE),0)</f>
        <v>4.7000000000000002E-3</v>
      </c>
      <c r="AM41" s="418">
        <f t="shared" ref="AM41:AM42" si="60">$F$10*(1+AL$63)</f>
        <v>774.9</v>
      </c>
      <c r="AN41" s="399">
        <f t="shared" ref="AN41:AN48" si="61">AM41*AL41</f>
        <v>3.6420300000000001</v>
      </c>
      <c r="AO41" s="132"/>
      <c r="AP41" s="400">
        <f t="shared" si="21"/>
        <v>0</v>
      </c>
      <c r="AQ41" s="401">
        <f t="shared" si="22"/>
        <v>0</v>
      </c>
      <c r="AR41" s="402"/>
    </row>
    <row r="42" spans="1:44" ht="12" customHeight="1">
      <c r="A42" s="52"/>
      <c r="B42" s="321" t="s">
        <v>263</v>
      </c>
      <c r="C42" s="394" t="str">
        <f t="shared" si="49"/>
        <v>Residential.Rural and Remote Rate Protection (RRRP)</v>
      </c>
      <c r="D42" s="395" t="s">
        <v>312</v>
      </c>
      <c r="E42" s="321"/>
      <c r="F42" s="413">
        <f>IFERROR(VLOOKUP($C42,'Proposed Rates'!$B:$J,F$11,FALSE),0)</f>
        <v>1.5E-3</v>
      </c>
      <c r="G42" s="418">
        <f t="shared" si="50"/>
        <v>775.35</v>
      </c>
      <c r="H42" s="399">
        <f t="shared" si="51"/>
        <v>1.163025</v>
      </c>
      <c r="I42" s="132"/>
      <c r="J42" s="413">
        <f>IFERROR(VLOOKUP($C42,'Proposed Rates'!$B:$J,J$11,FALSE),0)</f>
        <v>5.9999999999999995E-4</v>
      </c>
      <c r="K42" s="418">
        <f t="shared" si="52"/>
        <v>774.9</v>
      </c>
      <c r="L42" s="399">
        <f t="shared" si="53"/>
        <v>0.46493999999999996</v>
      </c>
      <c r="M42" s="132"/>
      <c r="N42" s="400">
        <f t="shared" si="5"/>
        <v>-0.69808500000000007</v>
      </c>
      <c r="O42" s="401">
        <f t="shared" si="6"/>
        <v>-0.600232153221126</v>
      </c>
      <c r="P42" s="52"/>
      <c r="Q42" s="413">
        <f>IFERROR(VLOOKUP($C42,'Proposed Rates'!$B:$J,Q$11,FALSE),0)</f>
        <v>5.9999999999999995E-4</v>
      </c>
      <c r="R42" s="418">
        <f t="shared" si="54"/>
        <v>774.9</v>
      </c>
      <c r="S42" s="399">
        <f t="shared" si="55"/>
        <v>0.46493999999999996</v>
      </c>
      <c r="T42" s="132"/>
      <c r="U42" s="400">
        <f t="shared" si="9"/>
        <v>0</v>
      </c>
      <c r="V42" s="401">
        <f t="shared" si="10"/>
        <v>0</v>
      </c>
      <c r="W42" s="52"/>
      <c r="X42" s="413">
        <f>IFERROR(VLOOKUP($C42,'Proposed Rates'!$B:$J,X$11,FALSE),0)</f>
        <v>5.9999999999999995E-4</v>
      </c>
      <c r="Y42" s="418">
        <f t="shared" si="56"/>
        <v>774.9</v>
      </c>
      <c r="Z42" s="399">
        <f t="shared" si="57"/>
        <v>0.46493999999999996</v>
      </c>
      <c r="AA42" s="132"/>
      <c r="AB42" s="400">
        <f t="shared" si="13"/>
        <v>0</v>
      </c>
      <c r="AC42" s="401">
        <f t="shared" si="14"/>
        <v>0</v>
      </c>
      <c r="AD42" s="52"/>
      <c r="AE42" s="413">
        <f>IFERROR(VLOOKUP($C42,'Proposed Rates'!$B:$J,AE$11,FALSE),0)</f>
        <v>5.9999999999999995E-4</v>
      </c>
      <c r="AF42" s="418">
        <f t="shared" si="58"/>
        <v>774.9</v>
      </c>
      <c r="AG42" s="399">
        <f t="shared" si="59"/>
        <v>0.46493999999999996</v>
      </c>
      <c r="AH42" s="132"/>
      <c r="AI42" s="400">
        <f t="shared" si="17"/>
        <v>0</v>
      </c>
      <c r="AJ42" s="401">
        <f t="shared" si="18"/>
        <v>0</v>
      </c>
      <c r="AK42" s="52"/>
      <c r="AL42" s="413">
        <f>IFERROR(VLOOKUP($C42,'Proposed Rates'!$B:$J,AL$11,FALSE),0)</f>
        <v>5.9999999999999995E-4</v>
      </c>
      <c r="AM42" s="418">
        <f t="shared" si="60"/>
        <v>774.9</v>
      </c>
      <c r="AN42" s="399">
        <f t="shared" si="61"/>
        <v>0.46493999999999996</v>
      </c>
      <c r="AO42" s="132"/>
      <c r="AP42" s="400">
        <f t="shared" si="21"/>
        <v>0</v>
      </c>
      <c r="AQ42" s="401">
        <f t="shared" si="22"/>
        <v>0</v>
      </c>
      <c r="AR42" s="402"/>
    </row>
    <row r="43" spans="1:44" ht="12" customHeight="1">
      <c r="A43" s="52"/>
      <c r="B43" s="321" t="s">
        <v>264</v>
      </c>
      <c r="C43" s="394" t="str">
        <f t="shared" si="49"/>
        <v>Residential.Standard Supply Service Charge</v>
      </c>
      <c r="D43" s="395" t="s">
        <v>310</v>
      </c>
      <c r="E43" s="321"/>
      <c r="F43" s="413">
        <f>IFERROR(VLOOKUP($C43,'Proposed Rates'!$B:$J,F$11,FALSE),0)</f>
        <v>0.25</v>
      </c>
      <c r="G43" s="414">
        <f>IF($D43="Monthly",1,IF($D43="per KWH",$F$10,0))</f>
        <v>1</v>
      </c>
      <c r="H43" s="399">
        <f t="shared" si="51"/>
        <v>0.25</v>
      </c>
      <c r="I43" s="132"/>
      <c r="J43" s="413">
        <f>IFERROR(VLOOKUP($C43,'Proposed Rates'!$B:$J,J$11,FALSE),0)</f>
        <v>0.25</v>
      </c>
      <c r="K43" s="414">
        <f>IF($D43="Monthly",1,IF($D43="per KWH",$F$10,0))</f>
        <v>1</v>
      </c>
      <c r="L43" s="399">
        <f t="shared" si="53"/>
        <v>0.25</v>
      </c>
      <c r="M43" s="132"/>
      <c r="N43" s="400">
        <f t="shared" si="5"/>
        <v>0</v>
      </c>
      <c r="O43" s="401">
        <f t="shared" si="6"/>
        <v>0</v>
      </c>
      <c r="P43" s="52"/>
      <c r="Q43" s="413">
        <f>IFERROR(VLOOKUP($C43,'Proposed Rates'!$B:$J,Q$11,FALSE),0)</f>
        <v>0.25</v>
      </c>
      <c r="R43" s="414">
        <f>IF($D43="Monthly",1,IF($D43="per KWH",$F$10,0))</f>
        <v>1</v>
      </c>
      <c r="S43" s="399">
        <f t="shared" si="55"/>
        <v>0.25</v>
      </c>
      <c r="T43" s="132"/>
      <c r="U43" s="400">
        <f t="shared" si="9"/>
        <v>0</v>
      </c>
      <c r="V43" s="401">
        <f t="shared" si="10"/>
        <v>0</v>
      </c>
      <c r="W43" s="52"/>
      <c r="X43" s="413">
        <f>IFERROR(VLOOKUP($C43,'Proposed Rates'!$B:$J,X$11,FALSE),0)</f>
        <v>0.25</v>
      </c>
      <c r="Y43" s="414">
        <f>IF($D43="Monthly",1,IF($D43="per KWH",$F$10,0))</f>
        <v>1</v>
      </c>
      <c r="Z43" s="399">
        <f t="shared" si="57"/>
        <v>0.25</v>
      </c>
      <c r="AA43" s="132"/>
      <c r="AB43" s="400">
        <f t="shared" si="13"/>
        <v>0</v>
      </c>
      <c r="AC43" s="401">
        <f t="shared" si="14"/>
        <v>0</v>
      </c>
      <c r="AD43" s="52"/>
      <c r="AE43" s="413">
        <f>IFERROR(VLOOKUP($C43,'Proposed Rates'!$B:$J,AE$11,FALSE),0)</f>
        <v>0.25</v>
      </c>
      <c r="AF43" s="414">
        <f>IF($D43="Monthly",1,IF($D43="per KWH",$F$10,0))</f>
        <v>1</v>
      </c>
      <c r="AG43" s="399">
        <f t="shared" si="59"/>
        <v>0.25</v>
      </c>
      <c r="AH43" s="132"/>
      <c r="AI43" s="400">
        <f t="shared" si="17"/>
        <v>0</v>
      </c>
      <c r="AJ43" s="401">
        <f t="shared" si="18"/>
        <v>0</v>
      </c>
      <c r="AK43" s="52"/>
      <c r="AL43" s="413">
        <f>IFERROR(VLOOKUP($C43,'Proposed Rates'!$B:$J,AL$11,FALSE),0)</f>
        <v>0.25</v>
      </c>
      <c r="AM43" s="414">
        <f>IF($D43="Monthly",1,IF($D43="per KWH",$F$10,0))</f>
        <v>1</v>
      </c>
      <c r="AN43" s="399">
        <f t="shared" si="61"/>
        <v>0.25</v>
      </c>
      <c r="AO43" s="132"/>
      <c r="AP43" s="400">
        <f t="shared" si="21"/>
        <v>0</v>
      </c>
      <c r="AQ43" s="401">
        <f t="shared" si="22"/>
        <v>0</v>
      </c>
      <c r="AR43" s="402"/>
    </row>
    <row r="44" spans="1:44" ht="12" customHeight="1">
      <c r="A44" s="52"/>
      <c r="B44" s="321" t="s">
        <v>266</v>
      </c>
      <c r="C44" s="394" t="str">
        <f t="shared" si="49"/>
        <v>Residential.TOU - Off Peak</v>
      </c>
      <c r="D44" s="395" t="s">
        <v>312</v>
      </c>
      <c r="E44" s="321"/>
      <c r="F44" s="429">
        <f>VLOOKUP($B44,'Proposed Rates'!$D$252:$J$258,+F$11-2,FALSE)</f>
        <v>9.8000000000000004E-2</v>
      </c>
      <c r="G44" s="420">
        <f>$F$10*'Proposed Rates'!$K$253</f>
        <v>480</v>
      </c>
      <c r="H44" s="399">
        <f t="shared" si="51"/>
        <v>47.04</v>
      </c>
      <c r="I44" s="132"/>
      <c r="J44" s="429">
        <f>VLOOKUP($B44,'Proposed Rates'!$D$252:$J$258,+J$11-2,FALSE)</f>
        <v>9.8000000000000004E-2</v>
      </c>
      <c r="K44" s="420">
        <f>$F$10*'Proposed Rates'!$K$253</f>
        <v>480</v>
      </c>
      <c r="L44" s="399">
        <f t="shared" si="53"/>
        <v>47.04</v>
      </c>
      <c r="M44" s="132"/>
      <c r="N44" s="400">
        <f t="shared" si="5"/>
        <v>0</v>
      </c>
      <c r="O44" s="401">
        <f t="shared" si="6"/>
        <v>0</v>
      </c>
      <c r="P44" s="52"/>
      <c r="Q44" s="429">
        <f>VLOOKUP($B44,'Proposed Rates'!$D$252:$J$258,+Q$11-2,FALSE)</f>
        <v>9.8000000000000004E-2</v>
      </c>
      <c r="R44" s="420">
        <f>$F$10*'Proposed Rates'!$K$253</f>
        <v>480</v>
      </c>
      <c r="S44" s="399">
        <f t="shared" si="55"/>
        <v>47.04</v>
      </c>
      <c r="T44" s="132"/>
      <c r="U44" s="400">
        <f t="shared" si="9"/>
        <v>0</v>
      </c>
      <c r="V44" s="401">
        <f t="shared" si="10"/>
        <v>0</v>
      </c>
      <c r="W44" s="52"/>
      <c r="X44" s="429">
        <f>VLOOKUP($B44,'Proposed Rates'!$D$252:$J$258,+X$11-2,FALSE)</f>
        <v>9.8000000000000004E-2</v>
      </c>
      <c r="Y44" s="420">
        <f>$F$10*'Proposed Rates'!$K$253</f>
        <v>480</v>
      </c>
      <c r="Z44" s="399">
        <f t="shared" si="57"/>
        <v>47.04</v>
      </c>
      <c r="AA44" s="132"/>
      <c r="AB44" s="400">
        <f t="shared" si="13"/>
        <v>0</v>
      </c>
      <c r="AC44" s="401">
        <f t="shared" si="14"/>
        <v>0</v>
      </c>
      <c r="AD44" s="52"/>
      <c r="AE44" s="429">
        <f>VLOOKUP($B44,'Proposed Rates'!$D$252:$J$258,+AE$11-2,FALSE)</f>
        <v>9.8000000000000004E-2</v>
      </c>
      <c r="AF44" s="420">
        <f>$F$10*'Proposed Rates'!$K$253</f>
        <v>480</v>
      </c>
      <c r="AG44" s="399">
        <f t="shared" si="59"/>
        <v>47.04</v>
      </c>
      <c r="AH44" s="132"/>
      <c r="AI44" s="400">
        <f t="shared" si="17"/>
        <v>0</v>
      </c>
      <c r="AJ44" s="401">
        <f t="shared" si="18"/>
        <v>0</v>
      </c>
      <c r="AK44" s="52"/>
      <c r="AL44" s="429">
        <f>VLOOKUP($B44,'Proposed Rates'!$D$252:$J$258,+AL$11-2,FALSE)</f>
        <v>9.8000000000000004E-2</v>
      </c>
      <c r="AM44" s="420">
        <f>$F$10*'Proposed Rates'!$K$253</f>
        <v>480</v>
      </c>
      <c r="AN44" s="399">
        <f t="shared" si="61"/>
        <v>47.04</v>
      </c>
      <c r="AO44" s="132"/>
      <c r="AP44" s="400">
        <f t="shared" si="21"/>
        <v>0</v>
      </c>
      <c r="AQ44" s="401">
        <f t="shared" si="22"/>
        <v>0</v>
      </c>
      <c r="AR44" s="402"/>
    </row>
    <row r="45" spans="1:44" ht="12" customHeight="1">
      <c r="A45" s="52"/>
      <c r="B45" s="321" t="s">
        <v>267</v>
      </c>
      <c r="C45" s="394" t="str">
        <f t="shared" si="49"/>
        <v>Residential.TOU - Mid Peak</v>
      </c>
      <c r="D45" s="395" t="s">
        <v>312</v>
      </c>
      <c r="E45" s="321"/>
      <c r="F45" s="429">
        <f>VLOOKUP($B45,'Proposed Rates'!$D$252:$J$258,+F$11-2,FALSE)</f>
        <v>0.157</v>
      </c>
      <c r="G45" s="420">
        <f>$F$10*'Proposed Rates'!$K$254</f>
        <v>135</v>
      </c>
      <c r="H45" s="399">
        <f t="shared" si="51"/>
        <v>21.195</v>
      </c>
      <c r="I45" s="132"/>
      <c r="J45" s="429">
        <f>VLOOKUP($B45,'Proposed Rates'!$D$252:$J$258,+J$11-2,FALSE)</f>
        <v>0.157</v>
      </c>
      <c r="K45" s="420">
        <f>$F$10*'Proposed Rates'!$K$254</f>
        <v>135</v>
      </c>
      <c r="L45" s="399">
        <f t="shared" si="53"/>
        <v>21.195</v>
      </c>
      <c r="M45" s="132"/>
      <c r="N45" s="400">
        <f t="shared" si="5"/>
        <v>0</v>
      </c>
      <c r="O45" s="401">
        <f t="shared" si="6"/>
        <v>0</v>
      </c>
      <c r="P45" s="52"/>
      <c r="Q45" s="429">
        <f>VLOOKUP($B45,'Proposed Rates'!$D$252:$J$258,+Q$11-2,FALSE)</f>
        <v>0.157</v>
      </c>
      <c r="R45" s="420">
        <f>$F$10*'Proposed Rates'!$K$254</f>
        <v>135</v>
      </c>
      <c r="S45" s="399">
        <f t="shared" si="55"/>
        <v>21.195</v>
      </c>
      <c r="T45" s="132"/>
      <c r="U45" s="400">
        <f t="shared" si="9"/>
        <v>0</v>
      </c>
      <c r="V45" s="401">
        <f t="shared" si="10"/>
        <v>0</v>
      </c>
      <c r="W45" s="52"/>
      <c r="X45" s="429">
        <f>VLOOKUP($B45,'Proposed Rates'!$D$252:$J$258,+X$11-2,FALSE)</f>
        <v>0.157</v>
      </c>
      <c r="Y45" s="420">
        <f>$F$10*'Proposed Rates'!$K$254</f>
        <v>135</v>
      </c>
      <c r="Z45" s="399">
        <f t="shared" si="57"/>
        <v>21.195</v>
      </c>
      <c r="AA45" s="132"/>
      <c r="AB45" s="400">
        <f t="shared" si="13"/>
        <v>0</v>
      </c>
      <c r="AC45" s="401">
        <f t="shared" si="14"/>
        <v>0</v>
      </c>
      <c r="AD45" s="52"/>
      <c r="AE45" s="429">
        <f>VLOOKUP($B45,'Proposed Rates'!$D$252:$J$258,+AE$11-2,FALSE)</f>
        <v>0.157</v>
      </c>
      <c r="AF45" s="420">
        <f>$F$10*'Proposed Rates'!$K$254</f>
        <v>135</v>
      </c>
      <c r="AG45" s="399">
        <f t="shared" si="59"/>
        <v>21.195</v>
      </c>
      <c r="AH45" s="132"/>
      <c r="AI45" s="400">
        <f t="shared" si="17"/>
        <v>0</v>
      </c>
      <c r="AJ45" s="401">
        <f t="shared" si="18"/>
        <v>0</v>
      </c>
      <c r="AK45" s="52"/>
      <c r="AL45" s="429">
        <f>VLOOKUP($B45,'Proposed Rates'!$D$252:$J$258,+AL$11-2,FALSE)</f>
        <v>0.157</v>
      </c>
      <c r="AM45" s="420">
        <f>$F$10*'Proposed Rates'!$K$254</f>
        <v>135</v>
      </c>
      <c r="AN45" s="399">
        <f t="shared" si="61"/>
        <v>21.195</v>
      </c>
      <c r="AO45" s="132"/>
      <c r="AP45" s="400">
        <f t="shared" si="21"/>
        <v>0</v>
      </c>
      <c r="AQ45" s="401">
        <f t="shared" si="22"/>
        <v>0</v>
      </c>
      <c r="AR45" s="402"/>
    </row>
    <row r="46" spans="1:44" ht="12" customHeight="1">
      <c r="A46" s="52"/>
      <c r="B46" s="52" t="s">
        <v>268</v>
      </c>
      <c r="C46" s="394" t="str">
        <f t="shared" si="49"/>
        <v>Residential.TOU - On Peak</v>
      </c>
      <c r="D46" s="395" t="s">
        <v>312</v>
      </c>
      <c r="E46" s="321"/>
      <c r="F46" s="429">
        <f>VLOOKUP($B46,'Proposed Rates'!$D$252:$J$258,+F$11-2,FALSE)</f>
        <v>0.20300000000000001</v>
      </c>
      <c r="G46" s="420">
        <f>$F$10*'Proposed Rates'!$K$255</f>
        <v>135</v>
      </c>
      <c r="H46" s="399">
        <f t="shared" si="51"/>
        <v>27.405000000000001</v>
      </c>
      <c r="I46" s="132"/>
      <c r="J46" s="429">
        <f>VLOOKUP($B46,'Proposed Rates'!$D$252:$J$258,+J$11-2,FALSE)</f>
        <v>0.20300000000000001</v>
      </c>
      <c r="K46" s="420">
        <f>$F$10*'Proposed Rates'!$K$255</f>
        <v>135</v>
      </c>
      <c r="L46" s="399">
        <f t="shared" si="53"/>
        <v>27.405000000000001</v>
      </c>
      <c r="M46" s="132"/>
      <c r="N46" s="400">
        <f t="shared" si="5"/>
        <v>0</v>
      </c>
      <c r="O46" s="401">
        <f t="shared" si="6"/>
        <v>0</v>
      </c>
      <c r="P46" s="52"/>
      <c r="Q46" s="429">
        <f>VLOOKUP($B46,'Proposed Rates'!$D$252:$J$258,+Q$11-2,FALSE)</f>
        <v>0.20300000000000001</v>
      </c>
      <c r="R46" s="420">
        <f>$F$10*'Proposed Rates'!$K$255</f>
        <v>135</v>
      </c>
      <c r="S46" s="399">
        <f t="shared" si="55"/>
        <v>27.405000000000001</v>
      </c>
      <c r="T46" s="132"/>
      <c r="U46" s="400">
        <f t="shared" si="9"/>
        <v>0</v>
      </c>
      <c r="V46" s="401">
        <f t="shared" si="10"/>
        <v>0</v>
      </c>
      <c r="W46" s="52"/>
      <c r="X46" s="429">
        <f>VLOOKUP($B46,'Proposed Rates'!$D$252:$J$258,+X$11-2,FALSE)</f>
        <v>0.20300000000000001</v>
      </c>
      <c r="Y46" s="420">
        <f>$F$10*'Proposed Rates'!$K$255</f>
        <v>135</v>
      </c>
      <c r="Z46" s="399">
        <f t="shared" si="57"/>
        <v>27.405000000000001</v>
      </c>
      <c r="AA46" s="132"/>
      <c r="AB46" s="400">
        <f t="shared" si="13"/>
        <v>0</v>
      </c>
      <c r="AC46" s="401">
        <f t="shared" si="14"/>
        <v>0</v>
      </c>
      <c r="AD46" s="52"/>
      <c r="AE46" s="429">
        <f>VLOOKUP($B46,'Proposed Rates'!$D$252:$J$258,+AE$11-2,FALSE)</f>
        <v>0.20300000000000001</v>
      </c>
      <c r="AF46" s="420">
        <f>$F$10*'Proposed Rates'!$K$255</f>
        <v>135</v>
      </c>
      <c r="AG46" s="399">
        <f t="shared" si="59"/>
        <v>27.405000000000001</v>
      </c>
      <c r="AH46" s="132"/>
      <c r="AI46" s="400">
        <f t="shared" si="17"/>
        <v>0</v>
      </c>
      <c r="AJ46" s="401">
        <f t="shared" si="18"/>
        <v>0</v>
      </c>
      <c r="AK46" s="52"/>
      <c r="AL46" s="429">
        <f>VLOOKUP($B46,'Proposed Rates'!$D$252:$J$258,+AL$11-2,FALSE)</f>
        <v>0.20300000000000001</v>
      </c>
      <c r="AM46" s="420">
        <f>$F$10*'Proposed Rates'!$K$255</f>
        <v>135</v>
      </c>
      <c r="AN46" s="399">
        <f t="shared" si="61"/>
        <v>27.405000000000001</v>
      </c>
      <c r="AO46" s="132"/>
      <c r="AP46" s="400">
        <f t="shared" si="21"/>
        <v>0</v>
      </c>
      <c r="AQ46" s="401">
        <f t="shared" si="22"/>
        <v>0</v>
      </c>
      <c r="AR46" s="402"/>
    </row>
    <row r="47" spans="1:44" ht="12" customHeight="1">
      <c r="A47" s="52"/>
      <c r="B47" s="321" t="s">
        <v>269</v>
      </c>
      <c r="C47" s="394" t="str">
        <f t="shared" si="49"/>
        <v>Residential.Energy - RPP - Tier 1</v>
      </c>
      <c r="D47" s="395" t="s">
        <v>312</v>
      </c>
      <c r="E47" s="321"/>
      <c r="F47" s="429">
        <f>VLOOKUP($B47,'Proposed Rates'!$D$252:$J$258,+F$11-2,FALSE)</f>
        <v>0.12</v>
      </c>
      <c r="G47" s="430">
        <f>IF(AND($S$2=1, $F$10&gt;=600), 600, IF(AND($S$2=1, AND($F$10&lt;600, $F$10&gt;=0)), $F$10, IF(AND($S$2=2, $F$10&gt;=1000), 1000, IF(AND($S$2=2, AND($F$10&lt;1000, $F$10&gt;=0)), $F$10))))</f>
        <v>600</v>
      </c>
      <c r="H47" s="399">
        <f t="shared" si="51"/>
        <v>72</v>
      </c>
      <c r="I47" s="132"/>
      <c r="J47" s="429">
        <f>VLOOKUP($B47,'Proposed Rates'!$D$252:$J$258,+J$11-2,FALSE)</f>
        <v>0.12</v>
      </c>
      <c r="K47" s="430">
        <f>IF(AND($S$2=1, $F$10&gt;=600), 600, IF(AND($S$2=1, AND($F$10&lt;600, $F$10&gt;=0)), $F$10, IF(AND($S$2=2, $F$10&gt;=1000), 1000, IF(AND($S$2=2, AND($F$10&lt;1000, $F$10&gt;=0)), $F$10))))</f>
        <v>600</v>
      </c>
      <c r="L47" s="399">
        <f t="shared" si="53"/>
        <v>72</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600</v>
      </c>
      <c r="S47" s="399">
        <f t="shared" si="55"/>
        <v>72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600</v>
      </c>
      <c r="Z47" s="399">
        <f t="shared" si="57"/>
        <v>72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600</v>
      </c>
      <c r="AG47" s="399">
        <f t="shared" si="59"/>
        <v>72</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600</v>
      </c>
      <c r="AN47" s="399">
        <f t="shared" si="61"/>
        <v>72</v>
      </c>
      <c r="AO47" s="132"/>
      <c r="AP47" s="400">
        <f t="shared" si="21"/>
        <v>0</v>
      </c>
      <c r="AQ47" s="401">
        <f t="shared" si="22"/>
        <v>0</v>
      </c>
      <c r="AR47" s="402"/>
    </row>
    <row r="48" spans="1:44" ht="12" customHeight="1">
      <c r="A48" s="52"/>
      <c r="B48" s="321" t="s">
        <v>270</v>
      </c>
      <c r="C48" s="394" t="str">
        <f t="shared" si="49"/>
        <v>Residential.Energy - RPP - Tier 2</v>
      </c>
      <c r="D48" s="395" t="s">
        <v>312</v>
      </c>
      <c r="E48" s="321"/>
      <c r="F48" s="429">
        <f>VLOOKUP($B48,'Proposed Rates'!$D$252:$J$258,+F$11-2,FALSE)</f>
        <v>0.14199999999999999</v>
      </c>
      <c r="G48" s="432">
        <f>IF(AND($S$2=1, $F$10&gt;=600), $F$10-600, IF(AND($S$2=1, AND($F$10&lt;600, $F$10&gt;=0)), 0, IF(AND($S$2=2, $F$10&gt;=1000), $F$10-1000, IF(AND($S$2=2, AND($F$10&lt;1000, $F$10&gt;=0)), 0))))</f>
        <v>150</v>
      </c>
      <c r="H48" s="399">
        <f t="shared" si="51"/>
        <v>21.299999999999997</v>
      </c>
      <c r="I48" s="132"/>
      <c r="J48" s="429">
        <f>VLOOKUP($B48,'Proposed Rates'!$D$252:$J$258,+J$11-2,FALSE)</f>
        <v>0.14199999999999999</v>
      </c>
      <c r="K48" s="432">
        <f>IF(AND($S$2=1, $F$10&gt;=600), $F$10-600, IF(AND($S$2=1, AND($F$10&lt;600, $F$10&gt;=0)), 0, IF(AND($S$2=2, $F$10&gt;=1000), $F$10-1000, IF(AND($S$2=2, AND($F$10&lt;1000, $F$10&gt;=0)), 0))))</f>
        <v>150</v>
      </c>
      <c r="L48" s="399">
        <f t="shared" si="53"/>
        <v>21.299999999999997</v>
      </c>
      <c r="M48" s="132"/>
      <c r="N48" s="400">
        <f t="shared" si="5"/>
        <v>0</v>
      </c>
      <c r="O48" s="401">
        <f t="shared" si="6"/>
        <v>0</v>
      </c>
      <c r="P48" s="52"/>
      <c r="Q48" s="429">
        <f>VLOOKUP($B48,'Proposed Rates'!$D$252:$J$258,+Q$11-2,FALSE)</f>
        <v>0.14199999999999999</v>
      </c>
      <c r="R48" s="432">
        <f>IF(AND($S$2=1, $F$10&gt;=600), $F$10-600, IF(AND($S$2=1, AND($F$10&lt;600, $F$10&gt;=0)), 0, IF(AND($S$2=2, $F$10&gt;=1000), $F$10-1000, IF(AND($S$2=2, AND($F$10&lt;1000, $F$10&gt;=0)), 0))))</f>
        <v>150</v>
      </c>
      <c r="S48" s="399">
        <f t="shared" si="55"/>
        <v>21.299999999999997</v>
      </c>
      <c r="T48" s="132"/>
      <c r="U48" s="400">
        <f t="shared" si="9"/>
        <v>0</v>
      </c>
      <c r="V48" s="401">
        <f t="shared" si="10"/>
        <v>0</v>
      </c>
      <c r="W48" s="52"/>
      <c r="X48" s="429">
        <f>VLOOKUP($B48,'Proposed Rates'!$D$252:$J$258,+X$11-2,FALSE)</f>
        <v>0.14199999999999999</v>
      </c>
      <c r="Y48" s="432">
        <f>IF(AND($S$2=1, $F$10&gt;=600), $F$10-600, IF(AND($S$2=1, AND($F$10&lt;600, $F$10&gt;=0)), 0, IF(AND($S$2=2, $F$10&gt;=1000), $F$10-1000, IF(AND($S$2=2, AND($F$10&lt;1000, $F$10&gt;=0)), 0))))</f>
        <v>150</v>
      </c>
      <c r="Z48" s="399">
        <f t="shared" si="57"/>
        <v>21.299999999999997</v>
      </c>
      <c r="AA48" s="132"/>
      <c r="AB48" s="400">
        <f t="shared" si="13"/>
        <v>0</v>
      </c>
      <c r="AC48" s="401">
        <f t="shared" si="14"/>
        <v>0</v>
      </c>
      <c r="AD48" s="52"/>
      <c r="AE48" s="429">
        <f>VLOOKUP($B48,'Proposed Rates'!$D$252:$J$258,+AE$11-2,FALSE)</f>
        <v>0.14199999999999999</v>
      </c>
      <c r="AF48" s="432">
        <f>IF(AND($S$2=1, $F$10&gt;=600), $F$10-600, IF(AND($S$2=1, AND($F$10&lt;600, $F$10&gt;=0)), 0, IF(AND($S$2=2, $F$10&gt;=1000), $F$10-1000, IF(AND($S$2=2, AND($F$10&lt;1000, $F$10&gt;=0)), 0))))</f>
        <v>150</v>
      </c>
      <c r="AG48" s="399">
        <f t="shared" si="59"/>
        <v>21.299999999999997</v>
      </c>
      <c r="AH48" s="132"/>
      <c r="AI48" s="400">
        <f t="shared" si="17"/>
        <v>0</v>
      </c>
      <c r="AJ48" s="401">
        <f t="shared" si="18"/>
        <v>0</v>
      </c>
      <c r="AK48" s="52"/>
      <c r="AL48" s="429">
        <f>VLOOKUP($B48,'Proposed Rates'!$D$252:$J$258,+AL$11-2,FALSE)</f>
        <v>0.14199999999999999</v>
      </c>
      <c r="AM48" s="432">
        <f>IF(AND($S$2=1, $F$10&gt;=600), $F$10-600, IF(AND($S$2=1, AND($F$10&lt;600, $F$10&gt;=0)), 0, IF(AND($S$2=2, $F$10&gt;=1000), $F$10-1000, IF(AND($S$2=2, AND($F$10&lt;1000, $F$10&gt;=0)), 0))))</f>
        <v>150</v>
      </c>
      <c r="AN48" s="399">
        <f t="shared" si="61"/>
        <v>21.299999999999997</v>
      </c>
      <c r="AO48" s="132"/>
      <c r="AP48" s="400">
        <f t="shared" si="21"/>
        <v>0</v>
      </c>
      <c r="AQ48" s="401">
        <f t="shared" si="22"/>
        <v>0</v>
      </c>
      <c r="AR48" s="402"/>
    </row>
    <row r="49" spans="1:44" ht="12"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154.09542950000002</v>
      </c>
      <c r="I50" s="481"/>
      <c r="J50" s="444"/>
      <c r="K50" s="445"/>
      <c r="L50" s="446">
        <f>SUM(L41:L46,L40)</f>
        <v>160.27430099999998</v>
      </c>
      <c r="M50" s="448"/>
      <c r="N50" s="447">
        <f t="shared" ref="N50:N54" si="62">L50-H50</f>
        <v>6.178871499999957</v>
      </c>
      <c r="O50" s="449">
        <f t="shared" ref="O50:O54" si="63">IF((H50)=0,"",(N50/H50))</f>
        <v>4.0097694785944028E-2</v>
      </c>
      <c r="P50" s="52"/>
      <c r="Q50" s="445"/>
      <c r="R50" s="445"/>
      <c r="S50" s="447">
        <f>SUM(S41:S46,S40)</f>
        <v>163.02430099999998</v>
      </c>
      <c r="T50" s="448"/>
      <c r="U50" s="447">
        <f t="shared" ref="U50:U54" si="64">S50-L50</f>
        <v>2.75</v>
      </c>
      <c r="V50" s="449">
        <f t="shared" ref="V50:V54" si="65">IF((L50)=0,"",(U50/L50))</f>
        <v>1.7158084501644466E-2</v>
      </c>
      <c r="W50" s="52"/>
      <c r="X50" s="445"/>
      <c r="Y50" s="445"/>
      <c r="Z50" s="447">
        <f>SUM(Z41:Z46,Z40)</f>
        <v>165.87205</v>
      </c>
      <c r="AA50" s="448"/>
      <c r="AB50" s="447">
        <f t="shared" ref="AB50:AB54" si="66">Z50-S50</f>
        <v>2.8477490000000216</v>
      </c>
      <c r="AC50" s="449">
        <f t="shared" ref="AC50:AC54" si="67">IF((S50)=0,"",(AB50/S50))</f>
        <v>1.7468248491370755E-2</v>
      </c>
      <c r="AD50" s="52"/>
      <c r="AE50" s="445"/>
      <c r="AF50" s="445"/>
      <c r="AG50" s="447">
        <f>SUM(AG41:AG46,AG40)</f>
        <v>167.39204999999998</v>
      </c>
      <c r="AH50" s="448"/>
      <c r="AI50" s="447">
        <f t="shared" ref="AI50:AI54" si="68">AG50-Z50</f>
        <v>1.5199999999999818</v>
      </c>
      <c r="AJ50" s="449">
        <f t="shared" ref="AJ50:AJ54" si="69">IF((Z50)=0,"",(AI50/Z50))</f>
        <v>9.1636897234945967E-3</v>
      </c>
      <c r="AK50" s="52"/>
      <c r="AL50" s="445"/>
      <c r="AM50" s="445"/>
      <c r="AN50" s="447">
        <f>SUM(AN41:AN46,AN40)</f>
        <v>168.78205</v>
      </c>
      <c r="AO50" s="448"/>
      <c r="AP50" s="447">
        <f t="shared" ref="AP50:AP54" si="70">AN50-AG50</f>
        <v>1.3900000000000148</v>
      </c>
      <c r="AQ50" s="449">
        <f t="shared" ref="AQ50:AQ54" si="71">IF((AG50)=0,"",(AP50/AG50))</f>
        <v>8.3038591139783218E-3</v>
      </c>
      <c r="AR50" s="450"/>
    </row>
    <row r="51" spans="1:44" ht="12" customHeight="1">
      <c r="A51" s="52"/>
      <c r="B51" s="451" t="s">
        <v>320</v>
      </c>
      <c r="C51" s="321"/>
      <c r="D51" s="321"/>
      <c r="E51" s="321"/>
      <c r="F51" s="444">
        <v>0.13</v>
      </c>
      <c r="G51" s="132"/>
      <c r="H51" s="489">
        <f>H50*F51</f>
        <v>20.032405835000002</v>
      </c>
      <c r="I51" s="416"/>
      <c r="J51" s="444">
        <v>0.13</v>
      </c>
      <c r="K51" s="416"/>
      <c r="L51" s="399">
        <f>L50*J51</f>
        <v>20.83565913</v>
      </c>
      <c r="M51" s="132"/>
      <c r="N51" s="400">
        <f t="shared" si="62"/>
        <v>0.80325329499999754</v>
      </c>
      <c r="O51" s="401">
        <f t="shared" si="63"/>
        <v>4.0097694785944188E-2</v>
      </c>
      <c r="P51" s="52"/>
      <c r="Q51" s="452">
        <v>0.13</v>
      </c>
      <c r="R51" s="416"/>
      <c r="S51" s="399">
        <f>S50*Q51</f>
        <v>21.193159129999998</v>
      </c>
      <c r="T51" s="132"/>
      <c r="U51" s="400">
        <f t="shared" si="64"/>
        <v>0.35749999999999815</v>
      </c>
      <c r="V51" s="401">
        <f t="shared" si="65"/>
        <v>1.7158084501644376E-2</v>
      </c>
      <c r="W51" s="52"/>
      <c r="X51" s="452">
        <v>0.13</v>
      </c>
      <c r="Y51" s="416"/>
      <c r="Z51" s="399">
        <f>Z50*X51</f>
        <v>21.563366500000001</v>
      </c>
      <c r="AA51" s="132"/>
      <c r="AB51" s="400">
        <f t="shared" si="66"/>
        <v>0.37020737000000281</v>
      </c>
      <c r="AC51" s="401">
        <f t="shared" si="67"/>
        <v>1.7468248491370755E-2</v>
      </c>
      <c r="AD51" s="52"/>
      <c r="AE51" s="452">
        <v>0.13</v>
      </c>
      <c r="AF51" s="416"/>
      <c r="AG51" s="399">
        <f>AG50*AE51</f>
        <v>21.760966499999999</v>
      </c>
      <c r="AH51" s="132"/>
      <c r="AI51" s="400">
        <f t="shared" si="68"/>
        <v>0.19759999999999778</v>
      </c>
      <c r="AJ51" s="401">
        <f t="shared" si="69"/>
        <v>9.1636897234946019E-3</v>
      </c>
      <c r="AK51" s="52"/>
      <c r="AL51" s="452">
        <v>0.13</v>
      </c>
      <c r="AM51" s="416"/>
      <c r="AN51" s="399">
        <f>AN50*AL51</f>
        <v>21.9416665</v>
      </c>
      <c r="AO51" s="132"/>
      <c r="AP51" s="400">
        <f t="shared" si="70"/>
        <v>0.18070000000000164</v>
      </c>
      <c r="AQ51" s="401">
        <f t="shared" si="71"/>
        <v>8.3038591139783079E-3</v>
      </c>
      <c r="AR51" s="402"/>
    </row>
    <row r="52" spans="1:44" ht="12" customHeight="1">
      <c r="A52" s="52"/>
      <c r="B52" s="453" t="s">
        <v>355</v>
      </c>
      <c r="C52" s="321"/>
      <c r="D52" s="321"/>
      <c r="E52" s="321"/>
      <c r="F52" s="454"/>
      <c r="G52" s="132"/>
      <c r="H52" s="489">
        <f>H50+H51</f>
        <v>174.12783533500001</v>
      </c>
      <c r="I52" s="416"/>
      <c r="J52" s="454"/>
      <c r="K52" s="416"/>
      <c r="L52" s="399">
        <f>L50+L51</f>
        <v>181.10996012999999</v>
      </c>
      <c r="M52" s="132"/>
      <c r="N52" s="400">
        <f t="shared" si="62"/>
        <v>6.9821247949999758</v>
      </c>
      <c r="O52" s="401">
        <f t="shared" si="63"/>
        <v>4.0097694785944174E-2</v>
      </c>
      <c r="P52" s="52"/>
      <c r="Q52" s="416"/>
      <c r="R52" s="416"/>
      <c r="S52" s="399">
        <f>S50+S51</f>
        <v>184.21746012999998</v>
      </c>
      <c r="T52" s="132"/>
      <c r="U52" s="400">
        <f t="shared" si="64"/>
        <v>3.1074999999999875</v>
      </c>
      <c r="V52" s="401">
        <f t="shared" si="65"/>
        <v>1.7158084501644397E-2</v>
      </c>
      <c r="W52" s="52"/>
      <c r="X52" s="416"/>
      <c r="Y52" s="416"/>
      <c r="Z52" s="399">
        <f>Z50+Z51</f>
        <v>187.4354165</v>
      </c>
      <c r="AA52" s="132"/>
      <c r="AB52" s="400">
        <f t="shared" si="66"/>
        <v>3.2179563700000244</v>
      </c>
      <c r="AC52" s="401">
        <f t="shared" si="67"/>
        <v>1.7468248491370755E-2</v>
      </c>
      <c r="AD52" s="52"/>
      <c r="AE52" s="416"/>
      <c r="AF52" s="416"/>
      <c r="AG52" s="399">
        <f>AG50+AG51</f>
        <v>189.15301649999998</v>
      </c>
      <c r="AH52" s="132"/>
      <c r="AI52" s="400">
        <f t="shared" si="68"/>
        <v>1.717599999999976</v>
      </c>
      <c r="AJ52" s="401">
        <f t="shared" si="69"/>
        <v>9.1636897234945777E-3</v>
      </c>
      <c r="AK52" s="52"/>
      <c r="AL52" s="416"/>
      <c r="AM52" s="416"/>
      <c r="AN52" s="399">
        <f>AN50+AN51</f>
        <v>190.72371649999999</v>
      </c>
      <c r="AO52" s="132"/>
      <c r="AP52" s="400">
        <f t="shared" si="70"/>
        <v>1.5707000000000164</v>
      </c>
      <c r="AQ52" s="401">
        <f t="shared" si="71"/>
        <v>8.3038591139783201E-3</v>
      </c>
      <c r="AR52" s="402"/>
    </row>
    <row r="53" spans="1:44" ht="12" customHeight="1">
      <c r="A53" s="52"/>
      <c r="B53" s="632" t="s">
        <v>277</v>
      </c>
      <c r="C53" s="623"/>
      <c r="D53" s="623"/>
      <c r="E53" s="321"/>
      <c r="F53" s="455">
        <f>'Proposed Rates'!E290</f>
        <v>0.23499999999999999</v>
      </c>
      <c r="G53" s="132"/>
      <c r="H53" s="491">
        <f>F53*H50</f>
        <v>36.212425932500004</v>
      </c>
      <c r="I53" s="416"/>
      <c r="J53" s="455">
        <f>'Proposed Rates'!F290</f>
        <v>0.23499999999999999</v>
      </c>
      <c r="K53" s="416"/>
      <c r="L53" s="456">
        <f>J53*L50</f>
        <v>37.664460734999992</v>
      </c>
      <c r="M53" s="132"/>
      <c r="N53" s="456">
        <f t="shared" si="62"/>
        <v>1.4520348024999876</v>
      </c>
      <c r="O53" s="458">
        <f t="shared" si="63"/>
        <v>4.0097694785943973E-2</v>
      </c>
      <c r="P53" s="52"/>
      <c r="Q53" s="457">
        <f>'Proposed Rates'!G290</f>
        <v>0.23499999999999999</v>
      </c>
      <c r="R53" s="416"/>
      <c r="S53" s="456">
        <f>Q53*S50</f>
        <v>38.310710734999994</v>
      </c>
      <c r="T53" s="132"/>
      <c r="U53" s="456">
        <f t="shared" si="64"/>
        <v>0.64625000000000199</v>
      </c>
      <c r="V53" s="458">
        <f t="shared" si="65"/>
        <v>1.7158084501644522E-2</v>
      </c>
      <c r="W53" s="52"/>
      <c r="X53" s="457">
        <f>'Proposed Rates'!H290</f>
        <v>0.23499999999999999</v>
      </c>
      <c r="Y53" s="416"/>
      <c r="Z53" s="456">
        <f>X53*Z50</f>
        <v>38.979931749999999</v>
      </c>
      <c r="AA53" s="132"/>
      <c r="AB53" s="456">
        <f t="shared" si="66"/>
        <v>0.66922101500000508</v>
      </c>
      <c r="AC53" s="458">
        <f t="shared" si="67"/>
        <v>1.7468248491370755E-2</v>
      </c>
      <c r="AD53" s="52"/>
      <c r="AE53" s="457">
        <f>'Proposed Rates'!I290</f>
        <v>0.23499999999999999</v>
      </c>
      <c r="AF53" s="416"/>
      <c r="AG53" s="456">
        <f>AE53*AG50</f>
        <v>39.33713174999999</v>
      </c>
      <c r="AH53" s="132"/>
      <c r="AI53" s="456">
        <f t="shared" si="68"/>
        <v>0.35719999999999175</v>
      </c>
      <c r="AJ53" s="458">
        <f t="shared" si="69"/>
        <v>9.1636897234944944E-3</v>
      </c>
      <c r="AK53" s="52"/>
      <c r="AL53" s="457">
        <f>'Proposed Rates'!J290</f>
        <v>0.23499999999999999</v>
      </c>
      <c r="AM53" s="416"/>
      <c r="AN53" s="456">
        <f>AL53*AN50</f>
        <v>39.663781749999998</v>
      </c>
      <c r="AO53" s="132"/>
      <c r="AP53" s="456">
        <f t="shared" si="70"/>
        <v>0.32665000000000788</v>
      </c>
      <c r="AQ53" s="458">
        <f t="shared" si="71"/>
        <v>8.3038591139784346E-3</v>
      </c>
      <c r="AR53" s="459"/>
    </row>
    <row r="54" spans="1:44" ht="12" customHeight="1">
      <c r="A54" s="52"/>
      <c r="B54" s="634" t="s">
        <v>322</v>
      </c>
      <c r="C54" s="615"/>
      <c r="D54" s="615"/>
      <c r="E54" s="460"/>
      <c r="F54" s="461"/>
      <c r="G54" s="492"/>
      <c r="H54" s="493">
        <f>H52-H53</f>
        <v>137.91540940250002</v>
      </c>
      <c r="I54" s="462"/>
      <c r="J54" s="461"/>
      <c r="K54" s="462"/>
      <c r="L54" s="463">
        <f>L52-L53</f>
        <v>143.44549939500001</v>
      </c>
      <c r="M54" s="464"/>
      <c r="N54" s="465">
        <f t="shared" si="62"/>
        <v>5.5300899924999953</v>
      </c>
      <c r="O54" s="466">
        <f t="shared" si="63"/>
        <v>4.0097694785944278E-2</v>
      </c>
      <c r="P54" s="52"/>
      <c r="Q54" s="462"/>
      <c r="R54" s="462"/>
      <c r="S54" s="463">
        <f>S52-S53</f>
        <v>145.90674939499999</v>
      </c>
      <c r="T54" s="464"/>
      <c r="U54" s="465">
        <f t="shared" si="64"/>
        <v>2.4612499999999784</v>
      </c>
      <c r="V54" s="466">
        <f t="shared" si="65"/>
        <v>1.7158084501644313E-2</v>
      </c>
      <c r="W54" s="52"/>
      <c r="X54" s="462"/>
      <c r="Y54" s="462"/>
      <c r="Z54" s="463">
        <f>Z52-Z53</f>
        <v>148.45548475000001</v>
      </c>
      <c r="AA54" s="464"/>
      <c r="AB54" s="465">
        <f t="shared" si="66"/>
        <v>2.5487353550000194</v>
      </c>
      <c r="AC54" s="466">
        <f t="shared" si="67"/>
        <v>1.7468248491370755E-2</v>
      </c>
      <c r="AD54" s="52"/>
      <c r="AE54" s="462"/>
      <c r="AF54" s="462"/>
      <c r="AG54" s="463">
        <f>AG52-AG53</f>
        <v>149.81588474999998</v>
      </c>
      <c r="AH54" s="464"/>
      <c r="AI54" s="465">
        <f t="shared" si="68"/>
        <v>1.3603999999999701</v>
      </c>
      <c r="AJ54" s="466">
        <f t="shared" si="69"/>
        <v>9.1636897234945031E-3</v>
      </c>
      <c r="AK54" s="52"/>
      <c r="AL54" s="462"/>
      <c r="AM54" s="462"/>
      <c r="AN54" s="463">
        <f>AN52-AN53</f>
        <v>151.05993475</v>
      </c>
      <c r="AO54" s="464"/>
      <c r="AP54" s="465">
        <f t="shared" si="70"/>
        <v>1.2440500000000156</v>
      </c>
      <c r="AQ54" s="466">
        <f t="shared" si="71"/>
        <v>8.3038591139783374E-3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151.75542949999999</v>
      </c>
      <c r="I56" s="481"/>
      <c r="J56" s="444"/>
      <c r="K56" s="445"/>
      <c r="L56" s="446">
        <f>SUM(L47:L48,L40,L41:L43)</f>
        <v>157.934301</v>
      </c>
      <c r="M56" s="448"/>
      <c r="N56" s="447">
        <f t="shared" ref="N56:N60" si="72">L56-H56</f>
        <v>6.1788715000000138</v>
      </c>
      <c r="O56" s="449">
        <f t="shared" ref="O56:O60" si="73">IF((H56)=0,"",(N56/H56))</f>
        <v>4.071598308118534E-2</v>
      </c>
      <c r="P56" s="52"/>
      <c r="Q56" s="445"/>
      <c r="R56" s="445"/>
      <c r="S56" s="447">
        <f>SUM(S47:S48,S40,S41:S43)</f>
        <v>160.684301</v>
      </c>
      <c r="T56" s="448"/>
      <c r="U56" s="447">
        <f t="shared" ref="U56:U60" si="74">S56-L56</f>
        <v>2.75</v>
      </c>
      <c r="V56" s="449">
        <f t="shared" ref="V56:V60" si="75">IF((L56)=0,"",(U56/L56))</f>
        <v>1.7412303613513317E-2</v>
      </c>
      <c r="W56" s="52"/>
      <c r="X56" s="445"/>
      <c r="Y56" s="445"/>
      <c r="Z56" s="447">
        <f>SUM(Z47:Z48,Z40,Z41:Z43)</f>
        <v>163.53205</v>
      </c>
      <c r="AA56" s="448"/>
      <c r="AB56" s="447">
        <f t="shared" ref="AB56:AB60" si="76">Z56-S56</f>
        <v>2.8477489999999932</v>
      </c>
      <c r="AC56" s="449">
        <f t="shared" ref="AC56:AC60" si="77">IF((S56)=0,"",(AB56/S56))</f>
        <v>1.7722633650439773E-2</v>
      </c>
      <c r="AD56" s="52"/>
      <c r="AE56" s="445"/>
      <c r="AF56" s="445"/>
      <c r="AG56" s="447">
        <f>SUM(AG47:AG48,AG40,AG41:AG43)</f>
        <v>165.05205000000001</v>
      </c>
      <c r="AH56" s="448"/>
      <c r="AI56" s="447">
        <f t="shared" ref="AI56:AI60" si="78">AG56-Z56</f>
        <v>1.5200000000000102</v>
      </c>
      <c r="AJ56" s="449">
        <f t="shared" ref="AJ56:AJ60" si="79">IF((Z56)=0,"",(AI56/Z56))</f>
        <v>9.2948140746722755E-3</v>
      </c>
      <c r="AK56" s="52"/>
      <c r="AL56" s="445"/>
      <c r="AM56" s="445"/>
      <c r="AN56" s="447">
        <f>SUM(AN47:AN48,AN40,AN41:AN43)</f>
        <v>166.44205000000002</v>
      </c>
      <c r="AO56" s="448"/>
      <c r="AP56" s="447">
        <f t="shared" ref="AP56:AP60" si="80">AN56-AG56</f>
        <v>1.3900000000000148</v>
      </c>
      <c r="AQ56" s="449">
        <f t="shared" ref="AQ56:AQ60" si="81">IF((AG56)=0,"",(AP56/AG56))</f>
        <v>8.4215857967230023E-3</v>
      </c>
      <c r="AR56" s="450"/>
    </row>
    <row r="57" spans="1:44" ht="12" customHeight="1">
      <c r="A57" s="52"/>
      <c r="B57" s="451" t="s">
        <v>320</v>
      </c>
      <c r="C57" s="321"/>
      <c r="D57" s="321"/>
      <c r="E57" s="321"/>
      <c r="F57" s="444">
        <v>0.13</v>
      </c>
      <c r="G57" s="488"/>
      <c r="H57" s="489">
        <f>H56*F57</f>
        <v>19.728205835000001</v>
      </c>
      <c r="I57" s="416"/>
      <c r="J57" s="444">
        <v>0.13</v>
      </c>
      <c r="K57" s="452"/>
      <c r="L57" s="399">
        <f>L56*J57</f>
        <v>20.531459130000002</v>
      </c>
      <c r="M57" s="132"/>
      <c r="N57" s="400">
        <f t="shared" si="72"/>
        <v>0.80325329500000109</v>
      </c>
      <c r="O57" s="401">
        <f t="shared" si="73"/>
        <v>4.0715983081185299E-2</v>
      </c>
      <c r="P57" s="52"/>
      <c r="Q57" s="444">
        <v>0.13</v>
      </c>
      <c r="R57" s="452"/>
      <c r="S57" s="399">
        <f>S56*Q57</f>
        <v>20.88895913</v>
      </c>
      <c r="T57" s="132"/>
      <c r="U57" s="400">
        <f t="shared" si="74"/>
        <v>0.35749999999999815</v>
      </c>
      <c r="V57" s="401">
        <f t="shared" si="75"/>
        <v>1.7412303613513227E-2</v>
      </c>
      <c r="W57" s="52"/>
      <c r="X57" s="444">
        <v>0.13</v>
      </c>
      <c r="Y57" s="452"/>
      <c r="Z57" s="399">
        <f>Z56*X57</f>
        <v>21.259166499999999</v>
      </c>
      <c r="AA57" s="132"/>
      <c r="AB57" s="400">
        <f t="shared" si="76"/>
        <v>0.37020736999999926</v>
      </c>
      <c r="AC57" s="401">
        <f t="shared" si="77"/>
        <v>1.772263365043978E-2</v>
      </c>
      <c r="AD57" s="52"/>
      <c r="AE57" s="444">
        <v>0.13</v>
      </c>
      <c r="AF57" s="452"/>
      <c r="AG57" s="399">
        <f>AG56*AE57</f>
        <v>21.456766500000001</v>
      </c>
      <c r="AH57" s="132"/>
      <c r="AI57" s="400">
        <f t="shared" si="78"/>
        <v>0.19760000000000133</v>
      </c>
      <c r="AJ57" s="401">
        <f t="shared" si="79"/>
        <v>9.2948140746722755E-3</v>
      </c>
      <c r="AK57" s="52"/>
      <c r="AL57" s="444">
        <v>0.13</v>
      </c>
      <c r="AM57" s="452"/>
      <c r="AN57" s="399">
        <f>AN56*AL57</f>
        <v>21.637466500000002</v>
      </c>
      <c r="AO57" s="132"/>
      <c r="AP57" s="400">
        <f t="shared" si="80"/>
        <v>0.18070000000000164</v>
      </c>
      <c r="AQ57" s="401">
        <f t="shared" si="81"/>
        <v>8.4215857967229885E-3</v>
      </c>
      <c r="AR57" s="402"/>
    </row>
    <row r="58" spans="1:44" ht="12" customHeight="1">
      <c r="A58" s="52"/>
      <c r="B58" s="453" t="s">
        <v>356</v>
      </c>
      <c r="C58" s="321"/>
      <c r="D58" s="321"/>
      <c r="E58" s="321"/>
      <c r="F58" s="454"/>
      <c r="G58" s="132"/>
      <c r="H58" s="489">
        <f>H56+H57</f>
        <v>171.483635335</v>
      </c>
      <c r="I58" s="416"/>
      <c r="J58" s="454"/>
      <c r="K58" s="416"/>
      <c r="L58" s="399">
        <f>L56+L57</f>
        <v>178.46576013000001</v>
      </c>
      <c r="M58" s="132"/>
      <c r="N58" s="400">
        <f t="shared" si="72"/>
        <v>6.9821247950000043</v>
      </c>
      <c r="O58" s="401">
        <f t="shared" si="73"/>
        <v>4.0715983081185271E-2</v>
      </c>
      <c r="P58" s="52"/>
      <c r="Q58" s="416"/>
      <c r="R58" s="416"/>
      <c r="S58" s="399">
        <f>S56+S57</f>
        <v>181.57326012999999</v>
      </c>
      <c r="T58" s="132"/>
      <c r="U58" s="400">
        <f t="shared" si="74"/>
        <v>3.1074999999999875</v>
      </c>
      <c r="V58" s="401">
        <f t="shared" si="75"/>
        <v>1.7412303613513248E-2</v>
      </c>
      <c r="W58" s="52"/>
      <c r="X58" s="416"/>
      <c r="Y58" s="416"/>
      <c r="Z58" s="399">
        <f>Z56+Z57</f>
        <v>184.79121649999999</v>
      </c>
      <c r="AA58" s="132"/>
      <c r="AB58" s="400">
        <f t="shared" si="76"/>
        <v>3.217956369999996</v>
      </c>
      <c r="AC58" s="401">
        <f t="shared" si="77"/>
        <v>1.7722633650439794E-2</v>
      </c>
      <c r="AD58" s="52"/>
      <c r="AE58" s="416"/>
      <c r="AF58" s="416"/>
      <c r="AG58" s="399">
        <f>AG56+AG57</f>
        <v>186.50881650000002</v>
      </c>
      <c r="AH58" s="132"/>
      <c r="AI58" s="400">
        <f t="shared" si="78"/>
        <v>1.7176000000000329</v>
      </c>
      <c r="AJ58" s="401">
        <f t="shared" si="79"/>
        <v>9.2948140746723917E-3</v>
      </c>
      <c r="AK58" s="52"/>
      <c r="AL58" s="416"/>
      <c r="AM58" s="416"/>
      <c r="AN58" s="399">
        <f>AN56+AN57</f>
        <v>188.07951650000001</v>
      </c>
      <c r="AO58" s="132"/>
      <c r="AP58" s="400">
        <f t="shared" si="80"/>
        <v>1.570699999999988</v>
      </c>
      <c r="AQ58" s="401">
        <f t="shared" si="81"/>
        <v>8.4215857967228479E-3</v>
      </c>
      <c r="AR58" s="402"/>
    </row>
    <row r="59" spans="1:44" ht="12" customHeight="1">
      <c r="A59" s="52"/>
      <c r="B59" s="632" t="s">
        <v>277</v>
      </c>
      <c r="C59" s="623"/>
      <c r="D59" s="623"/>
      <c r="E59" s="321"/>
      <c r="F59" s="455">
        <f>F53</f>
        <v>0.23499999999999999</v>
      </c>
      <c r="G59" s="132"/>
      <c r="H59" s="491">
        <f>F59*H56</f>
        <v>35.662525932499996</v>
      </c>
      <c r="I59" s="416"/>
      <c r="J59" s="455">
        <f>J53</f>
        <v>0.23499999999999999</v>
      </c>
      <c r="K59" s="416"/>
      <c r="L59" s="456">
        <f>J59*L56</f>
        <v>37.114560734999998</v>
      </c>
      <c r="M59" s="132"/>
      <c r="N59" s="456">
        <f t="shared" si="72"/>
        <v>1.4520348025000018</v>
      </c>
      <c r="O59" s="458">
        <f t="shared" si="73"/>
        <v>4.0715983081185299E-2</v>
      </c>
      <c r="P59" s="52"/>
      <c r="Q59" s="457">
        <f>Q53</f>
        <v>0.23499999999999999</v>
      </c>
      <c r="R59" s="416"/>
      <c r="S59" s="456">
        <f>Q59*S56</f>
        <v>37.760810735</v>
      </c>
      <c r="T59" s="132"/>
      <c r="U59" s="456">
        <f t="shared" si="74"/>
        <v>0.64625000000000199</v>
      </c>
      <c r="V59" s="458">
        <f t="shared" si="75"/>
        <v>1.7412303613513373E-2</v>
      </c>
      <c r="W59" s="52"/>
      <c r="X59" s="457">
        <f>X53</f>
        <v>0.23499999999999999</v>
      </c>
      <c r="Y59" s="416"/>
      <c r="Z59" s="456">
        <f>X59*Z56</f>
        <v>38.430031749999998</v>
      </c>
      <c r="AA59" s="132"/>
      <c r="AB59" s="456">
        <f t="shared" si="76"/>
        <v>0.66922101499999798</v>
      </c>
      <c r="AC59" s="458">
        <f t="shared" si="77"/>
        <v>1.7722633650439763E-2</v>
      </c>
      <c r="AD59" s="52"/>
      <c r="AE59" s="457">
        <f>AE53</f>
        <v>0.23499999999999999</v>
      </c>
      <c r="AF59" s="416"/>
      <c r="AG59" s="456">
        <f>AE59*AG56</f>
        <v>38.787231749999997</v>
      </c>
      <c r="AH59" s="132"/>
      <c r="AI59" s="456">
        <f t="shared" si="78"/>
        <v>0.35719999999999885</v>
      </c>
      <c r="AJ59" s="458">
        <f t="shared" si="79"/>
        <v>9.2948140746721836E-3</v>
      </c>
      <c r="AK59" s="52"/>
      <c r="AL59" s="457">
        <f>AL53</f>
        <v>0.23499999999999999</v>
      </c>
      <c r="AM59" s="416"/>
      <c r="AN59" s="456">
        <f>AL59*AN56</f>
        <v>39.113881750000004</v>
      </c>
      <c r="AO59" s="132"/>
      <c r="AP59" s="456">
        <f t="shared" si="80"/>
        <v>0.32665000000000788</v>
      </c>
      <c r="AQ59" s="458">
        <f t="shared" si="81"/>
        <v>8.4215857967231168E-3</v>
      </c>
      <c r="AR59" s="459"/>
    </row>
    <row r="60" spans="1:44" ht="12" customHeight="1">
      <c r="A60" s="52"/>
      <c r="B60" s="634" t="s">
        <v>325</v>
      </c>
      <c r="C60" s="615"/>
      <c r="D60" s="615"/>
      <c r="E60" s="460"/>
      <c r="F60" s="468"/>
      <c r="G60" s="494"/>
      <c r="H60" s="495">
        <f>H58-H59</f>
        <v>135.82110940250001</v>
      </c>
      <c r="I60" s="469"/>
      <c r="J60" s="468"/>
      <c r="K60" s="469"/>
      <c r="L60" s="470">
        <f>L58-L59</f>
        <v>141.35119939500001</v>
      </c>
      <c r="M60" s="471"/>
      <c r="N60" s="472">
        <f t="shared" si="72"/>
        <v>5.5300899924999953</v>
      </c>
      <c r="O60" s="473">
        <f t="shared" si="73"/>
        <v>4.0715983081185202E-2</v>
      </c>
      <c r="P60" s="52"/>
      <c r="Q60" s="469"/>
      <c r="R60" s="469"/>
      <c r="S60" s="470">
        <f>S58-S59</f>
        <v>143.81244939499999</v>
      </c>
      <c r="T60" s="471"/>
      <c r="U60" s="472">
        <f t="shared" si="74"/>
        <v>2.4612499999999784</v>
      </c>
      <c r="V60" s="473">
        <f t="shared" si="75"/>
        <v>1.7412303613513164E-2</v>
      </c>
      <c r="W60" s="52"/>
      <c r="X60" s="469"/>
      <c r="Y60" s="469"/>
      <c r="Z60" s="470">
        <f>Z58-Z59</f>
        <v>146.36118475000001</v>
      </c>
      <c r="AA60" s="471"/>
      <c r="AB60" s="472">
        <f t="shared" si="76"/>
        <v>2.5487353550000194</v>
      </c>
      <c r="AC60" s="473">
        <f t="shared" si="77"/>
        <v>1.772263365043995E-2</v>
      </c>
      <c r="AD60" s="52"/>
      <c r="AE60" s="469"/>
      <c r="AF60" s="469"/>
      <c r="AG60" s="470">
        <f>AG58-AG59</f>
        <v>147.72158475000003</v>
      </c>
      <c r="AH60" s="471"/>
      <c r="AI60" s="472">
        <f t="shared" si="78"/>
        <v>1.3604000000000269</v>
      </c>
      <c r="AJ60" s="473">
        <f t="shared" si="79"/>
        <v>9.2948140746723969E-3</v>
      </c>
      <c r="AK60" s="52"/>
      <c r="AL60" s="469"/>
      <c r="AM60" s="469"/>
      <c r="AN60" s="470">
        <f>AN58-AN59</f>
        <v>148.96563474999999</v>
      </c>
      <c r="AO60" s="471"/>
      <c r="AP60" s="472">
        <f t="shared" si="80"/>
        <v>1.2440499999999588</v>
      </c>
      <c r="AQ60" s="473">
        <f t="shared" si="81"/>
        <v>8.4215857967226311E-3</v>
      </c>
      <c r="AR60" s="467"/>
    </row>
    <row r="61" spans="1:44" ht="12" customHeight="1">
      <c r="A61" s="52"/>
      <c r="B61" s="502"/>
      <c r="C61" s="503"/>
      <c r="D61" s="503"/>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478" t="s">
        <v>357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E00-000000000000}">
      <formula1>"TOU,non-TOU"</formula1>
    </dataValidation>
    <dataValidation type="list" allowBlank="1" showErrorMessage="1" sqref="E15:E28 E30:E36 E38:E39 E41:E49 E55 E61" xr:uid="{00000000-0002-0000-0E00-000001000000}">
      <formula1>#REF!</formula1>
    </dataValidation>
    <dataValidation type="list" allowBlank="1" showInputMessage="1" showErrorMessage="1" prompt="Select Charge Unit - monthly, per kWh, per kW" sqref="D15:D28 D30:D36 D38:D39 D41:D49 D55 D61" xr:uid="{00000000-0002-0000-0E00-000002000000}">
      <formula1>"Monthly,per kWh,per kW"</formula1>
    </dataValidation>
  </dataValidations>
  <pageMargins left="0.74803149606299213" right="0.74803149606299213" top="0.98425196850393704" bottom="0.98425196850393704"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c r="AS1" s="3"/>
    </row>
    <row r="2" spans="1:45" ht="18.75"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5" ht="18.75"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75" customHeight="1">
      <c r="A6" s="52"/>
      <c r="B6" s="320" t="s">
        <v>298</v>
      </c>
      <c r="C6" s="52"/>
      <c r="D6" s="380"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75"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75"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75" customHeight="1">
      <c r="A10" s="52"/>
      <c r="B10" s="52"/>
      <c r="C10" s="52"/>
      <c r="D10" s="307" t="s">
        <v>301</v>
      </c>
      <c r="E10" s="307"/>
      <c r="F10" s="385">
        <v>1000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75"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5"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5"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5"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5" ht="12.75"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row>
    <row r="16" spans="1:45" ht="12.75"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1000</v>
      </c>
      <c r="H17" s="399">
        <f t="shared" si="2"/>
        <v>0</v>
      </c>
      <c r="I17" s="132"/>
      <c r="J17" s="396">
        <f>IFERROR(VLOOKUP($C17,'Proposed Rates'!$B:$J,J$11,FALSE),0)</f>
        <v>0</v>
      </c>
      <c r="K17" s="397">
        <f t="shared" si="3"/>
        <v>1000</v>
      </c>
      <c r="L17" s="399">
        <f t="shared" si="4"/>
        <v>0</v>
      </c>
      <c r="M17" s="132"/>
      <c r="N17" s="400">
        <f t="shared" si="5"/>
        <v>0</v>
      </c>
      <c r="O17" s="401" t="str">
        <f t="shared" si="6"/>
        <v/>
      </c>
      <c r="P17" s="52"/>
      <c r="Q17" s="396">
        <f>IFERROR(VLOOKUP($C17,'Proposed Rates'!$B:$J,Q$11,FALSE),0)</f>
        <v>0</v>
      </c>
      <c r="R17" s="397">
        <f t="shared" si="7"/>
        <v>1000</v>
      </c>
      <c r="S17" s="399">
        <f t="shared" si="8"/>
        <v>0</v>
      </c>
      <c r="T17" s="132"/>
      <c r="U17" s="400">
        <f t="shared" si="9"/>
        <v>0</v>
      </c>
      <c r="V17" s="401" t="str">
        <f t="shared" si="10"/>
        <v/>
      </c>
      <c r="W17" s="52"/>
      <c r="X17" s="396">
        <f>IFERROR(VLOOKUP($C17,'Proposed Rates'!$B:$J,X$11,FALSE),0)</f>
        <v>0</v>
      </c>
      <c r="Y17" s="397">
        <f t="shared" si="11"/>
        <v>1000</v>
      </c>
      <c r="Z17" s="399">
        <f t="shared" si="12"/>
        <v>0</v>
      </c>
      <c r="AA17" s="132"/>
      <c r="AB17" s="400">
        <f t="shared" si="13"/>
        <v>0</v>
      </c>
      <c r="AC17" s="401" t="str">
        <f t="shared" si="14"/>
        <v/>
      </c>
      <c r="AD17" s="52"/>
      <c r="AE17" s="396">
        <f>IFERROR(VLOOKUP($C17,'Proposed Rates'!$B:$J,AE$11,FALSE),0)</f>
        <v>0</v>
      </c>
      <c r="AF17" s="397">
        <f t="shared" si="15"/>
        <v>1000</v>
      </c>
      <c r="AG17" s="399">
        <f t="shared" si="16"/>
        <v>0</v>
      </c>
      <c r="AH17" s="132"/>
      <c r="AI17" s="400">
        <f t="shared" si="17"/>
        <v>0</v>
      </c>
      <c r="AJ17" s="401" t="str">
        <f t="shared" si="18"/>
        <v/>
      </c>
      <c r="AK17" s="52"/>
      <c r="AL17" s="396">
        <f>IFERROR(VLOOKUP($C17,'Proposed Rates'!$B:$J,AL$11,FALSE),0)</f>
        <v>0</v>
      </c>
      <c r="AM17" s="397">
        <f t="shared" si="19"/>
        <v>1000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row>
    <row r="19" spans="1:44" ht="12.75" customHeight="1">
      <c r="A19" s="52"/>
      <c r="B19" s="321" t="s">
        <v>59</v>
      </c>
      <c r="C19" s="394" t="str">
        <f t="shared" si="0"/>
        <v>Residential.Distribution Volumetric Rate</v>
      </c>
      <c r="D19" s="395" t="s">
        <v>312</v>
      </c>
      <c r="E19" s="321"/>
      <c r="F19" s="396">
        <f>IFERROR(VLOOKUP($C19,'Proposed Rates'!$B:$J,F$11,FALSE),0)</f>
        <v>0</v>
      </c>
      <c r="G19" s="397">
        <f t="shared" si="1"/>
        <v>1000</v>
      </c>
      <c r="H19" s="399">
        <f t="shared" si="2"/>
        <v>0</v>
      </c>
      <c r="I19" s="132"/>
      <c r="J19" s="396">
        <f>IFERROR(VLOOKUP($C19,'Proposed Rates'!$B:$J,J$11,FALSE),0)</f>
        <v>0</v>
      </c>
      <c r="K19" s="397">
        <f t="shared" si="3"/>
        <v>1000</v>
      </c>
      <c r="L19" s="399">
        <f t="shared" si="4"/>
        <v>0</v>
      </c>
      <c r="M19" s="132"/>
      <c r="N19" s="400">
        <f t="shared" si="5"/>
        <v>0</v>
      </c>
      <c r="O19" s="401" t="str">
        <f t="shared" si="6"/>
        <v/>
      </c>
      <c r="P19" s="52"/>
      <c r="Q19" s="396">
        <f>IFERROR(VLOOKUP($C19,'Proposed Rates'!$B:$J,Q$11,FALSE),0)</f>
        <v>0</v>
      </c>
      <c r="R19" s="397">
        <f t="shared" si="7"/>
        <v>1000</v>
      </c>
      <c r="S19" s="399">
        <f t="shared" si="8"/>
        <v>0</v>
      </c>
      <c r="T19" s="132"/>
      <c r="U19" s="400">
        <f t="shared" si="9"/>
        <v>0</v>
      </c>
      <c r="V19" s="401" t="str">
        <f t="shared" si="10"/>
        <v/>
      </c>
      <c r="W19" s="52"/>
      <c r="X19" s="396">
        <f>IFERROR(VLOOKUP($C19,'Proposed Rates'!$B:$J,X$11,FALSE),0)</f>
        <v>0</v>
      </c>
      <c r="Y19" s="397">
        <f t="shared" si="11"/>
        <v>1000</v>
      </c>
      <c r="Z19" s="399">
        <f t="shared" si="12"/>
        <v>0</v>
      </c>
      <c r="AA19" s="132"/>
      <c r="AB19" s="400">
        <f t="shared" si="13"/>
        <v>0</v>
      </c>
      <c r="AC19" s="401" t="str">
        <f t="shared" si="14"/>
        <v/>
      </c>
      <c r="AD19" s="52"/>
      <c r="AE19" s="396">
        <f>IFERROR(VLOOKUP($C19,'Proposed Rates'!$B:$J,AE$11,FALSE),0)</f>
        <v>0</v>
      </c>
      <c r="AF19" s="397">
        <f t="shared" si="15"/>
        <v>1000</v>
      </c>
      <c r="AG19" s="399">
        <f t="shared" si="16"/>
        <v>0</v>
      </c>
      <c r="AH19" s="132"/>
      <c r="AI19" s="400">
        <f t="shared" si="17"/>
        <v>0</v>
      </c>
      <c r="AJ19" s="401" t="str">
        <f t="shared" si="18"/>
        <v/>
      </c>
      <c r="AK19" s="52"/>
      <c r="AL19" s="396">
        <f>IFERROR(VLOOKUP($C19,'Proposed Rates'!$B:$J,AL$11,FALSE),0)</f>
        <v>0</v>
      </c>
      <c r="AM19" s="397">
        <f t="shared" si="19"/>
        <v>1000</v>
      </c>
      <c r="AN19" s="399">
        <f t="shared" si="20"/>
        <v>0</v>
      </c>
      <c r="AO19" s="132"/>
      <c r="AP19" s="400">
        <f t="shared" si="21"/>
        <v>0</v>
      </c>
      <c r="AQ19" s="401" t="str">
        <f t="shared" si="22"/>
        <v/>
      </c>
      <c r="AR19" s="402"/>
    </row>
    <row r="20" spans="1:44" ht="12.75" customHeight="1">
      <c r="A20" s="52"/>
      <c r="B20" s="321" t="s">
        <v>313</v>
      </c>
      <c r="C20" s="394" t="str">
        <f t="shared" si="0"/>
        <v>Residential.Smart Meter Disposition Rider</v>
      </c>
      <c r="D20" s="395" t="s">
        <v>312</v>
      </c>
      <c r="E20" s="321"/>
      <c r="F20" s="396">
        <f>IFERROR(VLOOKUP($C20,'Proposed Rates'!$B:$J,F$11,FALSE),0)</f>
        <v>0</v>
      </c>
      <c r="G20" s="397">
        <f t="shared" si="1"/>
        <v>1000</v>
      </c>
      <c r="H20" s="399">
        <f t="shared" si="2"/>
        <v>0</v>
      </c>
      <c r="I20" s="132"/>
      <c r="J20" s="396">
        <f>IFERROR(VLOOKUP($C20,'Proposed Rates'!$B:$J,J$11,FALSE),0)</f>
        <v>0</v>
      </c>
      <c r="K20" s="397">
        <f t="shared" si="3"/>
        <v>1000</v>
      </c>
      <c r="L20" s="399">
        <f t="shared" si="4"/>
        <v>0</v>
      </c>
      <c r="M20" s="132"/>
      <c r="N20" s="400">
        <f t="shared" si="5"/>
        <v>0</v>
      </c>
      <c r="O20" s="401" t="str">
        <f t="shared" si="6"/>
        <v/>
      </c>
      <c r="P20" s="52"/>
      <c r="Q20" s="396">
        <f>IFERROR(VLOOKUP($C20,'Proposed Rates'!$B:$J,Q$11,FALSE),0)</f>
        <v>0</v>
      </c>
      <c r="R20" s="397">
        <f t="shared" si="7"/>
        <v>1000</v>
      </c>
      <c r="S20" s="399">
        <f t="shared" si="8"/>
        <v>0</v>
      </c>
      <c r="T20" s="132"/>
      <c r="U20" s="400">
        <f t="shared" si="9"/>
        <v>0</v>
      </c>
      <c r="V20" s="401" t="str">
        <f t="shared" si="10"/>
        <v/>
      </c>
      <c r="W20" s="52"/>
      <c r="X20" s="396">
        <f>IFERROR(VLOOKUP($C20,'Proposed Rates'!$B:$J,X$11,FALSE),0)</f>
        <v>0</v>
      </c>
      <c r="Y20" s="397">
        <f t="shared" si="11"/>
        <v>1000</v>
      </c>
      <c r="Z20" s="399">
        <f t="shared" si="12"/>
        <v>0</v>
      </c>
      <c r="AA20" s="132"/>
      <c r="AB20" s="400">
        <f t="shared" si="13"/>
        <v>0</v>
      </c>
      <c r="AC20" s="401" t="str">
        <f t="shared" si="14"/>
        <v/>
      </c>
      <c r="AD20" s="52"/>
      <c r="AE20" s="396">
        <f>IFERROR(VLOOKUP($C20,'Proposed Rates'!$B:$J,AE$11,FALSE),0)</f>
        <v>0</v>
      </c>
      <c r="AF20" s="397">
        <f t="shared" si="15"/>
        <v>1000</v>
      </c>
      <c r="AG20" s="399">
        <f t="shared" si="16"/>
        <v>0</v>
      </c>
      <c r="AH20" s="132"/>
      <c r="AI20" s="400">
        <f t="shared" si="17"/>
        <v>0</v>
      </c>
      <c r="AJ20" s="401" t="str">
        <f t="shared" si="18"/>
        <v/>
      </c>
      <c r="AK20" s="52"/>
      <c r="AL20" s="396">
        <f>IFERROR(VLOOKUP($C20,'Proposed Rates'!$B:$J,AL$11,FALSE),0)</f>
        <v>0</v>
      </c>
      <c r="AM20" s="397">
        <f t="shared" si="19"/>
        <v>1000</v>
      </c>
      <c r="AN20" s="399">
        <f t="shared" si="20"/>
        <v>0</v>
      </c>
      <c r="AO20" s="132"/>
      <c r="AP20" s="400">
        <f t="shared" si="21"/>
        <v>0</v>
      </c>
      <c r="AQ20" s="401" t="str">
        <f t="shared" si="22"/>
        <v/>
      </c>
      <c r="AR20" s="402"/>
    </row>
    <row r="21" spans="1:44" ht="12.75"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row>
    <row r="22" spans="1:44" ht="12.75" customHeight="1">
      <c r="A22" s="52"/>
      <c r="B22" s="40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row>
    <row r="23" spans="1:44" ht="12.75"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row>
    <row r="24" spans="1:44" ht="12.75"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row>
    <row r="25" spans="1:44" ht="12.75"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row>
    <row r="26" spans="1:44" ht="12.75" customHeight="1">
      <c r="A26" s="52"/>
      <c r="B26" s="40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row>
    <row r="27" spans="1:44" ht="12.75"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row>
    <row r="28" spans="1:44" ht="12.75"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row>
    <row r="29" spans="1:44" ht="12.75" customHeight="1">
      <c r="A29" s="307"/>
      <c r="B29" s="404" t="s">
        <v>314</v>
      </c>
      <c r="C29" s="405"/>
      <c r="D29" s="405"/>
      <c r="E29" s="405"/>
      <c r="F29" s="406"/>
      <c r="G29" s="407"/>
      <c r="H29" s="408">
        <f>SUM(H15:H28)</f>
        <v>34.51</v>
      </c>
      <c r="I29" s="409"/>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307"/>
      <c r="AL29" s="406"/>
      <c r="AM29" s="407"/>
      <c r="AN29" s="408">
        <f>SUM(AN15:AN28)</f>
        <v>48.36</v>
      </c>
      <c r="AO29" s="409"/>
      <c r="AP29" s="410">
        <f t="shared" si="21"/>
        <v>1.3800000000000026</v>
      </c>
      <c r="AQ29" s="411">
        <f t="shared" si="22"/>
        <v>2.9374201787994946E-2</v>
      </c>
      <c r="AR29" s="412"/>
    </row>
    <row r="30" spans="1:44" ht="12.75"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1000</v>
      </c>
      <c r="H30" s="399">
        <f t="shared" ref="H30:H36" si="25">G30*F30</f>
        <v>-0.2</v>
      </c>
      <c r="I30" s="132"/>
      <c r="J30" s="413">
        <f>IFERROR(VLOOKUP($C30,'Proposed Rates'!$B:$J,J$11,FALSE),0)</f>
        <v>-5.9999999999999995E-4</v>
      </c>
      <c r="K30" s="414">
        <f t="shared" ref="K30:K33" si="26">IF($D30="Monthly",1,IF($D30="per KWH",$F$10,0))</f>
        <v>1000</v>
      </c>
      <c r="L30" s="415">
        <f t="shared" ref="L30:L36" si="27">K30*J30</f>
        <v>-0.6</v>
      </c>
      <c r="M30" s="132"/>
      <c r="N30" s="400">
        <f t="shared" si="5"/>
        <v>-0.39999999999999997</v>
      </c>
      <c r="O30" s="401">
        <f t="shared" si="6"/>
        <v>1.9999999999999998</v>
      </c>
      <c r="P30" s="52"/>
      <c r="Q30" s="413">
        <f>IFERROR(VLOOKUP($C30,'Proposed Rates'!$B:$J,Q$11,FALSE),0)</f>
        <v>0</v>
      </c>
      <c r="R30" s="414">
        <f t="shared" ref="R30:R33" si="28">IF($D30="Monthly",1,IF($D30="per KWH",$F$10,0))</f>
        <v>1000</v>
      </c>
      <c r="S30" s="399">
        <f t="shared" ref="S30:S36" si="29">R30*Q30</f>
        <v>0</v>
      </c>
      <c r="T30" s="132"/>
      <c r="U30" s="400">
        <f t="shared" si="9"/>
        <v>0.6</v>
      </c>
      <c r="V30" s="401">
        <f t="shared" si="10"/>
        <v>-1</v>
      </c>
      <c r="W30" s="52"/>
      <c r="X30" s="413">
        <f>IFERROR(VLOOKUP($C30,'Proposed Rates'!$B:$J,X$11,FALSE),0)</f>
        <v>0</v>
      </c>
      <c r="Y30" s="414">
        <f t="shared" ref="Y30:Y33" si="30">IF($D30="Monthly",1,IF($D30="per KWH",$F$10,0))</f>
        <v>1000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1000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1000</v>
      </c>
      <c r="AN30" s="399">
        <f t="shared" ref="AN30:AN36" si="35">AM30*AL30</f>
        <v>0</v>
      </c>
      <c r="AO30" s="132"/>
      <c r="AP30" s="400">
        <f t="shared" si="21"/>
        <v>0</v>
      </c>
      <c r="AQ30" s="401" t="str">
        <f t="shared" si="22"/>
        <v/>
      </c>
      <c r="AR30" s="402"/>
    </row>
    <row r="31" spans="1:44" ht="12.75" customHeight="1">
      <c r="A31" s="52"/>
      <c r="B31" s="403" t="s">
        <v>239</v>
      </c>
      <c r="C31" s="394" t="str">
        <f t="shared" si="23"/>
        <v>Residential.DVA Disposition Rate Rider Group 1 - 2024</v>
      </c>
      <c r="D31" s="395" t="s">
        <v>312</v>
      </c>
      <c r="E31" s="321"/>
      <c r="F31" s="413">
        <f>IFERROR(VLOOKUP($C31,'Proposed Rates'!$B:$J,F$11,FALSE),0)</f>
        <v>0</v>
      </c>
      <c r="G31" s="414">
        <f t="shared" si="24"/>
        <v>1000</v>
      </c>
      <c r="H31" s="399">
        <f t="shared" si="25"/>
        <v>0</v>
      </c>
      <c r="I31" s="484"/>
      <c r="J31" s="413">
        <f>IFERROR(VLOOKUP($C31,'Proposed Rates'!$B:$J,J$11,FALSE),0)</f>
        <v>0</v>
      </c>
      <c r="K31" s="414">
        <f t="shared" si="26"/>
        <v>1000</v>
      </c>
      <c r="L31" s="415">
        <f t="shared" si="27"/>
        <v>0</v>
      </c>
      <c r="M31" s="416"/>
      <c r="N31" s="400">
        <f t="shared" si="5"/>
        <v>0</v>
      </c>
      <c r="O31" s="401" t="str">
        <f t="shared" si="6"/>
        <v/>
      </c>
      <c r="P31" s="52"/>
      <c r="Q31" s="413">
        <f>IFERROR(VLOOKUP($C31,'Proposed Rates'!$B:$J,Q$11,FALSE),0)</f>
        <v>0</v>
      </c>
      <c r="R31" s="414">
        <f t="shared" si="28"/>
        <v>1000</v>
      </c>
      <c r="S31" s="497">
        <f t="shared" si="29"/>
        <v>0</v>
      </c>
      <c r="T31" s="416"/>
      <c r="U31" s="400">
        <f t="shared" si="9"/>
        <v>0</v>
      </c>
      <c r="V31" s="401" t="str">
        <f t="shared" si="10"/>
        <v/>
      </c>
      <c r="W31" s="52"/>
      <c r="X31" s="413">
        <f>IFERROR(VLOOKUP($C31,'Proposed Rates'!$B:$J,X$11,FALSE),0)</f>
        <v>0</v>
      </c>
      <c r="Y31" s="414">
        <f t="shared" si="30"/>
        <v>1000</v>
      </c>
      <c r="Z31" s="497">
        <f t="shared" si="31"/>
        <v>0</v>
      </c>
      <c r="AA31" s="416"/>
      <c r="AB31" s="400">
        <f t="shared" si="13"/>
        <v>0</v>
      </c>
      <c r="AC31" s="401" t="str">
        <f t="shared" si="14"/>
        <v/>
      </c>
      <c r="AD31" s="52"/>
      <c r="AE31" s="413">
        <f>IFERROR(VLOOKUP($C31,'Proposed Rates'!$B:$J,AE$11,FALSE),0)</f>
        <v>0</v>
      </c>
      <c r="AF31" s="414">
        <f t="shared" si="32"/>
        <v>1000</v>
      </c>
      <c r="AG31" s="497">
        <f t="shared" si="33"/>
        <v>0</v>
      </c>
      <c r="AH31" s="416"/>
      <c r="AI31" s="400">
        <f t="shared" si="17"/>
        <v>0</v>
      </c>
      <c r="AJ31" s="401" t="str">
        <f t="shared" si="18"/>
        <v/>
      </c>
      <c r="AK31" s="52"/>
      <c r="AL31" s="413">
        <f>IFERROR(VLOOKUP($C31,'Proposed Rates'!$B:$J,AL$11,FALSE),0)</f>
        <v>0</v>
      </c>
      <c r="AM31" s="414">
        <f t="shared" si="34"/>
        <v>1000</v>
      </c>
      <c r="AN31" s="497">
        <f t="shared" si="35"/>
        <v>0</v>
      </c>
      <c r="AO31" s="416"/>
      <c r="AP31" s="400">
        <f t="shared" si="21"/>
        <v>0</v>
      </c>
      <c r="AQ31" s="401" t="str">
        <f t="shared" si="22"/>
        <v/>
      </c>
      <c r="AR31" s="402"/>
    </row>
    <row r="32" spans="1:44" ht="12.75" customHeight="1">
      <c r="A32" s="52"/>
      <c r="B32" s="403" t="s">
        <v>247</v>
      </c>
      <c r="C32" s="394" t="str">
        <f t="shared" si="23"/>
        <v>Residential.CBR Class B Rate Riders</v>
      </c>
      <c r="D32" s="395" t="s">
        <v>312</v>
      </c>
      <c r="E32" s="321"/>
      <c r="F32" s="413">
        <f>IFERROR(VLOOKUP($C32,'Proposed Rates'!$B:$J,F$11,FALSE),0)</f>
        <v>2.0000000000000001E-4</v>
      </c>
      <c r="G32" s="414">
        <f t="shared" si="24"/>
        <v>1000</v>
      </c>
      <c r="H32" s="399">
        <f t="shared" si="25"/>
        <v>0.2</v>
      </c>
      <c r="I32" s="484"/>
      <c r="J32" s="413">
        <f>IFERROR(VLOOKUP($C32,'Proposed Rates'!$B:$J,J$11,FALSE),0)</f>
        <v>4.0000000000000002E-4</v>
      </c>
      <c r="K32" s="414">
        <f t="shared" si="26"/>
        <v>1000</v>
      </c>
      <c r="L32" s="415">
        <f t="shared" si="27"/>
        <v>0.4</v>
      </c>
      <c r="M32" s="416"/>
      <c r="N32" s="400">
        <f t="shared" si="5"/>
        <v>0.2</v>
      </c>
      <c r="O32" s="401">
        <f t="shared" si="6"/>
        <v>1</v>
      </c>
      <c r="P32" s="52"/>
      <c r="Q32" s="413">
        <f>IFERROR(VLOOKUP($C32,'Proposed Rates'!$B:$J,Q$11,FALSE),0)</f>
        <v>0</v>
      </c>
      <c r="R32" s="414">
        <f t="shared" si="28"/>
        <v>1000</v>
      </c>
      <c r="S32" s="399">
        <f t="shared" si="29"/>
        <v>0</v>
      </c>
      <c r="T32" s="416"/>
      <c r="U32" s="400">
        <f t="shared" si="9"/>
        <v>-0.4</v>
      </c>
      <c r="V32" s="401">
        <f t="shared" si="10"/>
        <v>-1</v>
      </c>
      <c r="W32" s="52"/>
      <c r="X32" s="413">
        <f>IFERROR(VLOOKUP($C32,'Proposed Rates'!$B:$J,X$11,FALSE),0)</f>
        <v>0</v>
      </c>
      <c r="Y32" s="414">
        <f t="shared" si="30"/>
        <v>1000</v>
      </c>
      <c r="Z32" s="399">
        <f t="shared" si="31"/>
        <v>0</v>
      </c>
      <c r="AA32" s="416"/>
      <c r="AB32" s="400">
        <f t="shared" si="13"/>
        <v>0</v>
      </c>
      <c r="AC32" s="401" t="str">
        <f t="shared" si="14"/>
        <v/>
      </c>
      <c r="AD32" s="52"/>
      <c r="AE32" s="413">
        <f>IFERROR(VLOOKUP($C32,'Proposed Rates'!$B:$J,AE$11,FALSE),0)</f>
        <v>0</v>
      </c>
      <c r="AF32" s="414">
        <f t="shared" si="32"/>
        <v>1000</v>
      </c>
      <c r="AG32" s="399">
        <f t="shared" si="33"/>
        <v>0</v>
      </c>
      <c r="AH32" s="416"/>
      <c r="AI32" s="400">
        <f t="shared" si="17"/>
        <v>0</v>
      </c>
      <c r="AJ32" s="401" t="str">
        <f t="shared" si="18"/>
        <v/>
      </c>
      <c r="AK32" s="52"/>
      <c r="AL32" s="413">
        <f>IFERROR(VLOOKUP($C32,'Proposed Rates'!$B:$J,AL$11,FALSE),0)</f>
        <v>0</v>
      </c>
      <c r="AM32" s="414">
        <f t="shared" si="34"/>
        <v>1000</v>
      </c>
      <c r="AN32" s="399">
        <f t="shared" si="35"/>
        <v>0</v>
      </c>
      <c r="AO32" s="416"/>
      <c r="AP32" s="400">
        <f t="shared" si="21"/>
        <v>0</v>
      </c>
      <c r="AQ32" s="401" t="str">
        <f t="shared" si="22"/>
        <v/>
      </c>
      <c r="AR32" s="402"/>
    </row>
    <row r="33" spans="1:44" ht="12.75" customHeight="1">
      <c r="A33" s="52"/>
      <c r="B33" s="403" t="s">
        <v>315</v>
      </c>
      <c r="C33" s="394" t="str">
        <f t="shared" si="23"/>
        <v>Residential.GA Disposition Rate Rider-NonRPP</v>
      </c>
      <c r="D33" s="395" t="s">
        <v>312</v>
      </c>
      <c r="E33" s="321"/>
      <c r="F33" s="413">
        <f>IFERROR(VLOOKUP($C33,'Proposed Rates'!$B:$J,F$11,FALSE),0)</f>
        <v>0</v>
      </c>
      <c r="G33" s="414">
        <f t="shared" si="24"/>
        <v>1000</v>
      </c>
      <c r="H33" s="399">
        <f t="shared" si="25"/>
        <v>0</v>
      </c>
      <c r="I33" s="484"/>
      <c r="J33" s="413">
        <f>IFERROR(VLOOKUP($C33,'Proposed Rates'!$B:$J,J$11,FALSE),0)</f>
        <v>0</v>
      </c>
      <c r="K33" s="414">
        <f t="shared" si="26"/>
        <v>1000</v>
      </c>
      <c r="L33" s="415">
        <f t="shared" si="27"/>
        <v>0</v>
      </c>
      <c r="M33" s="416"/>
      <c r="N33" s="400">
        <f t="shared" si="5"/>
        <v>0</v>
      </c>
      <c r="O33" s="401" t="str">
        <f t="shared" si="6"/>
        <v/>
      </c>
      <c r="P33" s="52"/>
      <c r="Q33" s="413">
        <f>IFERROR(VLOOKUP($C33,'Proposed Rates'!$B:$J,Q$11,FALSE),0)</f>
        <v>0</v>
      </c>
      <c r="R33" s="414">
        <f t="shared" si="28"/>
        <v>1000</v>
      </c>
      <c r="S33" s="399">
        <f t="shared" si="29"/>
        <v>0</v>
      </c>
      <c r="T33" s="416"/>
      <c r="U33" s="400">
        <f t="shared" si="9"/>
        <v>0</v>
      </c>
      <c r="V33" s="401" t="str">
        <f t="shared" si="10"/>
        <v/>
      </c>
      <c r="W33" s="52"/>
      <c r="X33" s="413">
        <f>IFERROR(VLOOKUP($C33,'Proposed Rates'!$B:$J,X$11,FALSE),0)</f>
        <v>0</v>
      </c>
      <c r="Y33" s="414">
        <f t="shared" si="30"/>
        <v>1000</v>
      </c>
      <c r="Z33" s="399">
        <f t="shared" si="31"/>
        <v>0</v>
      </c>
      <c r="AA33" s="416"/>
      <c r="AB33" s="400">
        <f t="shared" si="13"/>
        <v>0</v>
      </c>
      <c r="AC33" s="401" t="str">
        <f t="shared" si="14"/>
        <v/>
      </c>
      <c r="AD33" s="52"/>
      <c r="AE33" s="413">
        <f>IFERROR(VLOOKUP($C33,'Proposed Rates'!$B:$J,AE$11,FALSE),0)</f>
        <v>0</v>
      </c>
      <c r="AF33" s="414">
        <f t="shared" si="32"/>
        <v>1000</v>
      </c>
      <c r="AG33" s="399">
        <f t="shared" si="33"/>
        <v>0</v>
      </c>
      <c r="AH33" s="416"/>
      <c r="AI33" s="400">
        <f t="shared" si="17"/>
        <v>0</v>
      </c>
      <c r="AJ33" s="401" t="str">
        <f t="shared" si="18"/>
        <v/>
      </c>
      <c r="AK33" s="52"/>
      <c r="AL33" s="413">
        <f>IFERROR(VLOOKUP($C33,'Proposed Rates'!$B:$J,AL$11,FALSE),0)</f>
        <v>0</v>
      </c>
      <c r="AM33" s="414">
        <f t="shared" si="34"/>
        <v>1000</v>
      </c>
      <c r="AN33" s="399">
        <f t="shared" si="35"/>
        <v>0</v>
      </c>
      <c r="AO33" s="416"/>
      <c r="AP33" s="400">
        <f t="shared" si="21"/>
        <v>0</v>
      </c>
      <c r="AQ33" s="401" t="str">
        <f t="shared" si="22"/>
        <v/>
      </c>
      <c r="AR33" s="402"/>
    </row>
    <row r="34" spans="1:44" ht="12.75" customHeight="1">
      <c r="A34" s="52"/>
      <c r="B34" s="321" t="s">
        <v>273</v>
      </c>
      <c r="C34" s="394" t="str">
        <f t="shared" si="23"/>
        <v>Residential.Low Voltage Service Charge</v>
      </c>
      <c r="D34" s="395" t="s">
        <v>312</v>
      </c>
      <c r="E34" s="321"/>
      <c r="F34" s="417">
        <f>IFERROR(VLOOKUP($C34,'Proposed Rates'!$B:$J,F$11,FALSE),0)</f>
        <v>5.0000000000000002E-5</v>
      </c>
      <c r="G34" s="418">
        <f>$F$10*(1+F$63)</f>
        <v>1033.8</v>
      </c>
      <c r="H34" s="399">
        <f t="shared" si="25"/>
        <v>5.169E-2</v>
      </c>
      <c r="I34" s="132"/>
      <c r="J34" s="417">
        <f>IFERROR(VLOOKUP($C34,'Proposed Rates'!$B:$J,J$11,FALSE),0)</f>
        <v>6.9999999999999994E-5</v>
      </c>
      <c r="K34" s="418">
        <f>$F$10*(1+J$63)</f>
        <v>1033.1999999999998</v>
      </c>
      <c r="L34" s="415">
        <f t="shared" si="27"/>
        <v>7.2323999999999986E-2</v>
      </c>
      <c r="M34" s="132"/>
      <c r="N34" s="400">
        <f t="shared" si="5"/>
        <v>2.0633999999999986E-2</v>
      </c>
      <c r="O34" s="401">
        <f t="shared" si="6"/>
        <v>0.3991874637260589</v>
      </c>
      <c r="P34" s="52"/>
      <c r="Q34" s="417">
        <f>IFERROR(VLOOKUP($C34,'Proposed Rates'!$B:$J,Q$11,FALSE),0)</f>
        <v>6.9999999999999994E-5</v>
      </c>
      <c r="R34" s="418">
        <f>$F$10*(1+Q$63)</f>
        <v>1033.1999999999998</v>
      </c>
      <c r="S34" s="399">
        <f t="shared" si="29"/>
        <v>7.2323999999999986E-2</v>
      </c>
      <c r="T34" s="132"/>
      <c r="U34" s="400">
        <f t="shared" si="9"/>
        <v>0</v>
      </c>
      <c r="V34" s="401">
        <f t="shared" si="10"/>
        <v>0</v>
      </c>
      <c r="W34" s="52"/>
      <c r="X34" s="417">
        <f>IFERROR(VLOOKUP($C34,'Proposed Rates'!$B:$J,X$11,FALSE),0)</f>
        <v>8.0000000000000007E-5</v>
      </c>
      <c r="Y34" s="418">
        <f>$F$10*(1+X$63)</f>
        <v>1033.1999999999998</v>
      </c>
      <c r="Z34" s="399">
        <f t="shared" si="31"/>
        <v>8.2655999999999993E-2</v>
      </c>
      <c r="AA34" s="132"/>
      <c r="AB34" s="400">
        <f t="shared" si="13"/>
        <v>1.0332000000000008E-2</v>
      </c>
      <c r="AC34" s="401">
        <f t="shared" si="14"/>
        <v>0.14285714285714299</v>
      </c>
      <c r="AD34" s="52"/>
      <c r="AE34" s="417">
        <f>IFERROR(VLOOKUP($C34,'Proposed Rates'!$B:$J,AE$11,FALSE),0)</f>
        <v>8.0000000000000007E-5</v>
      </c>
      <c r="AF34" s="418">
        <f>$F$10*(1+AE$63)</f>
        <v>1033.1999999999998</v>
      </c>
      <c r="AG34" s="399">
        <f t="shared" si="33"/>
        <v>8.2655999999999993E-2</v>
      </c>
      <c r="AH34" s="132"/>
      <c r="AI34" s="400">
        <f t="shared" si="17"/>
        <v>0</v>
      </c>
      <c r="AJ34" s="401">
        <f t="shared" si="18"/>
        <v>0</v>
      </c>
      <c r="AK34" s="52"/>
      <c r="AL34" s="417">
        <f>IFERROR(VLOOKUP($C34,'Proposed Rates'!$B:$J,AL$11,FALSE),0)</f>
        <v>8.0000000000000007E-5</v>
      </c>
      <c r="AM34" s="418">
        <f>$F$10*(1+AL$63)</f>
        <v>1033.1999999999998</v>
      </c>
      <c r="AN34" s="399">
        <f t="shared" si="35"/>
        <v>8.2655999999999993E-2</v>
      </c>
      <c r="AO34" s="132"/>
      <c r="AP34" s="400">
        <f t="shared" si="21"/>
        <v>0</v>
      </c>
      <c r="AQ34" s="401">
        <f t="shared" si="22"/>
        <v>0</v>
      </c>
      <c r="AR34" s="402"/>
    </row>
    <row r="35" spans="1:44" ht="12.75"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33.799999999999955</v>
      </c>
      <c r="H35" s="399">
        <f t="shared" si="25"/>
        <v>4.3101759999999949</v>
      </c>
      <c r="I35" s="132"/>
      <c r="J35" s="419">
        <f>'Proposed Rates'!$K$253*J$44+'Proposed Rates'!$K$254*J$45+'Proposed Rates'!$K$255*J$46</f>
        <v>0.12752000000000002</v>
      </c>
      <c r="K35" s="420">
        <f>$F$10*(1+J$63)-$F$10</f>
        <v>33.199999999999818</v>
      </c>
      <c r="L35" s="415">
        <f t="shared" si="27"/>
        <v>4.2336639999999779</v>
      </c>
      <c r="M35" s="132"/>
      <c r="N35" s="400">
        <f t="shared" si="5"/>
        <v>-7.6512000000017011E-2</v>
      </c>
      <c r="O35" s="401">
        <f t="shared" si="6"/>
        <v>-1.7751479289944794E-2</v>
      </c>
      <c r="P35" s="52"/>
      <c r="Q35" s="419">
        <f>'Proposed Rates'!$K$253*Q$44+'Proposed Rates'!$K$254*Q$45+'Proposed Rates'!$K$255*Q$46</f>
        <v>0.12752000000000002</v>
      </c>
      <c r="R35" s="420">
        <f>$F$10*(1+Q$63)-$F$10</f>
        <v>33.199999999999818</v>
      </c>
      <c r="S35" s="399">
        <f t="shared" si="29"/>
        <v>4.2336639999999779</v>
      </c>
      <c r="T35" s="132"/>
      <c r="U35" s="400">
        <f t="shared" si="9"/>
        <v>0</v>
      </c>
      <c r="V35" s="401">
        <f t="shared" si="10"/>
        <v>0</v>
      </c>
      <c r="W35" s="52"/>
      <c r="X35" s="419">
        <f>'Proposed Rates'!$K$253*X$44+'Proposed Rates'!$K$254*X$45+'Proposed Rates'!$K$255*X$46</f>
        <v>0.12752000000000002</v>
      </c>
      <c r="Y35" s="420">
        <f>$F$10*(1+X$63)-$F$10</f>
        <v>33.199999999999818</v>
      </c>
      <c r="Z35" s="399">
        <f t="shared" si="31"/>
        <v>4.2336639999999779</v>
      </c>
      <c r="AA35" s="132"/>
      <c r="AB35" s="400">
        <f t="shared" si="13"/>
        <v>0</v>
      </c>
      <c r="AC35" s="401">
        <f t="shared" si="14"/>
        <v>0</v>
      </c>
      <c r="AD35" s="52"/>
      <c r="AE35" s="419">
        <f>'Proposed Rates'!$K$253*AE$44+'Proposed Rates'!$K$254*AE$45+'Proposed Rates'!$K$255*AE$46</f>
        <v>0.12752000000000002</v>
      </c>
      <c r="AF35" s="420">
        <f>$F$10*(1+AE$63)-$F$10</f>
        <v>33.199999999999818</v>
      </c>
      <c r="AG35" s="399">
        <f t="shared" si="33"/>
        <v>4.2336639999999779</v>
      </c>
      <c r="AH35" s="132"/>
      <c r="AI35" s="400">
        <f t="shared" si="17"/>
        <v>0</v>
      </c>
      <c r="AJ35" s="401">
        <f t="shared" si="18"/>
        <v>0</v>
      </c>
      <c r="AK35" s="52"/>
      <c r="AL35" s="419">
        <f>'Proposed Rates'!$K$253*AL$44+'Proposed Rates'!$K$254*AL$45+'Proposed Rates'!$K$255*AL$46</f>
        <v>0.12752000000000002</v>
      </c>
      <c r="AM35" s="420">
        <f>$F$10*(1+AL$63)-$F$10</f>
        <v>33.199999999999818</v>
      </c>
      <c r="AN35" s="399">
        <f t="shared" si="35"/>
        <v>4.2336639999999779</v>
      </c>
      <c r="AO35" s="132"/>
      <c r="AP35" s="400">
        <f t="shared" si="21"/>
        <v>0</v>
      </c>
      <c r="AQ35" s="401">
        <f t="shared" si="22"/>
        <v>0</v>
      </c>
      <c r="AR35" s="402"/>
    </row>
    <row r="36" spans="1:44" ht="12.75"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415">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row>
    <row r="37" spans="1:44" ht="12.75" customHeight="1">
      <c r="A37" s="52"/>
      <c r="B37" s="404" t="s">
        <v>317</v>
      </c>
      <c r="C37" s="421"/>
      <c r="D37" s="421"/>
      <c r="E37" s="421"/>
      <c r="F37" s="422"/>
      <c r="G37" s="423"/>
      <c r="H37" s="408">
        <f>SUM(H30:H36)+H29</f>
        <v>39.291865999999992</v>
      </c>
      <c r="I37" s="424"/>
      <c r="J37" s="422"/>
      <c r="K37" s="423"/>
      <c r="L37" s="408">
        <f>SUM(L30:L36)+L29</f>
        <v>44.565987999999976</v>
      </c>
      <c r="M37" s="424"/>
      <c r="N37" s="410">
        <f t="shared" si="5"/>
        <v>5.2741219999999842</v>
      </c>
      <c r="O37" s="411">
        <f t="shared" si="6"/>
        <v>0.13422935932846725</v>
      </c>
      <c r="P37" s="52"/>
      <c r="Q37" s="422"/>
      <c r="R37" s="423"/>
      <c r="S37" s="408">
        <f>SUM(S30:S36)+S29</f>
        <v>47.36598799999998</v>
      </c>
      <c r="T37" s="424"/>
      <c r="U37" s="410">
        <f t="shared" si="9"/>
        <v>2.8000000000000043</v>
      </c>
      <c r="V37" s="411">
        <f t="shared" si="10"/>
        <v>6.2828181886150622E-2</v>
      </c>
      <c r="W37" s="52"/>
      <c r="X37" s="422"/>
      <c r="Y37" s="423"/>
      <c r="Z37" s="408">
        <f>SUM(Z30:Z36)+Z29</f>
        <v>50.216319999999975</v>
      </c>
      <c r="AA37" s="424"/>
      <c r="AB37" s="410">
        <f t="shared" si="13"/>
        <v>2.8503319999999945</v>
      </c>
      <c r="AC37" s="411">
        <f t="shared" si="14"/>
        <v>6.0176766501735292E-2</v>
      </c>
      <c r="AD37" s="52"/>
      <c r="AE37" s="422"/>
      <c r="AF37" s="423"/>
      <c r="AG37" s="408">
        <f>SUM(AG30:AG36)+AG29</f>
        <v>51.736319999999978</v>
      </c>
      <c r="AH37" s="424"/>
      <c r="AI37" s="410">
        <f t="shared" si="17"/>
        <v>1.5200000000000031</v>
      </c>
      <c r="AJ37" s="411">
        <f t="shared" si="18"/>
        <v>3.0269044008003849E-2</v>
      </c>
      <c r="AK37" s="52"/>
      <c r="AL37" s="422"/>
      <c r="AM37" s="423"/>
      <c r="AN37" s="408">
        <f>SUM(AN30:AN36)+AN29</f>
        <v>53.126319999999978</v>
      </c>
      <c r="AO37" s="424"/>
      <c r="AP37" s="410">
        <f t="shared" si="21"/>
        <v>1.3900000000000006</v>
      </c>
      <c r="AQ37" s="411">
        <f t="shared" si="22"/>
        <v>2.6867005616170635E-2</v>
      </c>
      <c r="AR37" s="412"/>
    </row>
    <row r="38" spans="1:44" ht="12.75" customHeight="1">
      <c r="A38" s="52"/>
      <c r="B38" s="132" t="s">
        <v>258</v>
      </c>
      <c r="C38" s="394" t="str">
        <f t="shared" ref="C38:C39" si="36">D$6&amp;"."&amp;B38</f>
        <v>Residential.RTSR - Network</v>
      </c>
      <c r="D38" s="425" t="s">
        <v>312</v>
      </c>
      <c r="E38" s="132"/>
      <c r="F38" s="413">
        <f>IFERROR(VLOOKUP($C38,'Proposed Rates'!$B:$J,F$11,FALSE),0)</f>
        <v>1.26E-2</v>
      </c>
      <c r="G38" s="418">
        <f t="shared" ref="G38:G39" si="37">$F$10*(1+F$63)</f>
        <v>1033.8</v>
      </c>
      <c r="H38" s="399">
        <f t="shared" ref="H38:H39" si="38">G38*F38</f>
        <v>13.025879999999999</v>
      </c>
      <c r="I38" s="132"/>
      <c r="J38" s="413">
        <f>IFERROR(VLOOKUP($C38,'Proposed Rates'!$B:$J,J$11,FALSE),0)</f>
        <v>1.38E-2</v>
      </c>
      <c r="K38" s="418">
        <f t="shared" ref="K38:K39" si="39">$F$10*(1+J$63)</f>
        <v>1033.1999999999998</v>
      </c>
      <c r="L38" s="399">
        <f t="shared" ref="L38:L39" si="40">K38*J38</f>
        <v>14.258159999999997</v>
      </c>
      <c r="M38" s="132"/>
      <c r="N38" s="400">
        <f t="shared" si="5"/>
        <v>1.2322799999999976</v>
      </c>
      <c r="O38" s="401">
        <f t="shared" si="6"/>
        <v>9.4602437608821643E-2</v>
      </c>
      <c r="P38" s="52"/>
      <c r="Q38" s="413">
        <f>IFERROR(VLOOKUP($C38,'Proposed Rates'!$B:$J,Q$11,FALSE),0)</f>
        <v>1.38E-2</v>
      </c>
      <c r="R38" s="418">
        <f t="shared" ref="R38:R39" si="41">$F$10*(1+Q$63)</f>
        <v>1033.1999999999998</v>
      </c>
      <c r="S38" s="399">
        <f t="shared" ref="S38:S39" si="42">R38*Q38</f>
        <v>14.258159999999997</v>
      </c>
      <c r="T38" s="132"/>
      <c r="U38" s="400">
        <f t="shared" si="9"/>
        <v>0</v>
      </c>
      <c r="V38" s="401">
        <f t="shared" si="10"/>
        <v>0</v>
      </c>
      <c r="W38" s="52"/>
      <c r="X38" s="413">
        <f>IFERROR(VLOOKUP($C38,'Proposed Rates'!$B:$J,X$11,FALSE),0)</f>
        <v>1.38E-2</v>
      </c>
      <c r="Y38" s="418">
        <f t="shared" ref="Y38:Y39" si="43">$F$10*(1+X$63)</f>
        <v>1033.1999999999998</v>
      </c>
      <c r="Z38" s="399">
        <f t="shared" ref="Z38:Z39" si="44">Y38*X38</f>
        <v>14.258159999999997</v>
      </c>
      <c r="AA38" s="132"/>
      <c r="AB38" s="400">
        <f t="shared" si="13"/>
        <v>0</v>
      </c>
      <c r="AC38" s="401">
        <f t="shared" si="14"/>
        <v>0</v>
      </c>
      <c r="AD38" s="52"/>
      <c r="AE38" s="413">
        <f>IFERROR(VLOOKUP($C38,'Proposed Rates'!$B:$J,AE$11,FALSE),0)</f>
        <v>1.38E-2</v>
      </c>
      <c r="AF38" s="418">
        <f t="shared" ref="AF38:AF39" si="45">$F$10*(1+AE$63)</f>
        <v>1033.1999999999998</v>
      </c>
      <c r="AG38" s="399">
        <f t="shared" ref="AG38:AG39" si="46">AF38*AE38</f>
        <v>14.258159999999997</v>
      </c>
      <c r="AH38" s="132"/>
      <c r="AI38" s="400">
        <f t="shared" si="17"/>
        <v>0</v>
      </c>
      <c r="AJ38" s="401">
        <f t="shared" si="18"/>
        <v>0</v>
      </c>
      <c r="AK38" s="52"/>
      <c r="AL38" s="413">
        <f>IFERROR(VLOOKUP($C38,'Proposed Rates'!$B:$J,AL$11,FALSE),0)</f>
        <v>1.38E-2</v>
      </c>
      <c r="AM38" s="418">
        <f t="shared" ref="AM38:AM39" si="47">$F$10*(1+AL$63)</f>
        <v>1033.1999999999998</v>
      </c>
      <c r="AN38" s="399">
        <f t="shared" ref="AN38:AN39" si="48">AM38*AL38</f>
        <v>14.258159999999997</v>
      </c>
      <c r="AO38" s="132"/>
      <c r="AP38" s="400">
        <f t="shared" si="21"/>
        <v>0</v>
      </c>
      <c r="AQ38" s="401">
        <f t="shared" si="22"/>
        <v>0</v>
      </c>
      <c r="AR38" s="402"/>
    </row>
    <row r="39" spans="1:44" ht="12.75" customHeight="1">
      <c r="A39" s="52"/>
      <c r="B39" s="132" t="s">
        <v>261</v>
      </c>
      <c r="C39" s="394" t="str">
        <f t="shared" si="36"/>
        <v>Residential.RTSR - Line and Transformation Connection</v>
      </c>
      <c r="D39" s="425" t="s">
        <v>312</v>
      </c>
      <c r="E39" s="132"/>
      <c r="F39" s="413">
        <f>IFERROR(VLOOKUP($C39,'Proposed Rates'!$B:$J,F$11,FALSE),0)</f>
        <v>7.1999999999999998E-3</v>
      </c>
      <c r="G39" s="418">
        <f t="shared" si="37"/>
        <v>1033.8</v>
      </c>
      <c r="H39" s="399">
        <f t="shared" si="38"/>
        <v>7.4433599999999993</v>
      </c>
      <c r="I39" s="132"/>
      <c r="J39" s="413">
        <f>IFERROR(VLOOKUP($C39,'Proposed Rates'!$B:$J,J$11,FALSE),0)</f>
        <v>7.7999999999999996E-3</v>
      </c>
      <c r="K39" s="418">
        <f t="shared" si="39"/>
        <v>1033.1999999999998</v>
      </c>
      <c r="L39" s="399">
        <f t="shared" si="40"/>
        <v>8.058959999999999</v>
      </c>
      <c r="M39" s="132"/>
      <c r="N39" s="400">
        <f t="shared" si="5"/>
        <v>0.6155999999999997</v>
      </c>
      <c r="O39" s="401">
        <f t="shared" si="6"/>
        <v>8.2704585026117203E-2</v>
      </c>
      <c r="P39" s="52"/>
      <c r="Q39" s="413">
        <f>IFERROR(VLOOKUP($C39,'Proposed Rates'!$B:$J,Q$11,FALSE),0)</f>
        <v>7.7999999999999996E-3</v>
      </c>
      <c r="R39" s="418">
        <f t="shared" si="41"/>
        <v>1033.1999999999998</v>
      </c>
      <c r="S39" s="399">
        <f t="shared" si="42"/>
        <v>8.058959999999999</v>
      </c>
      <c r="T39" s="132"/>
      <c r="U39" s="400">
        <f t="shared" si="9"/>
        <v>0</v>
      </c>
      <c r="V39" s="401">
        <f t="shared" si="10"/>
        <v>0</v>
      </c>
      <c r="W39" s="52"/>
      <c r="X39" s="413">
        <f>IFERROR(VLOOKUP($C39,'Proposed Rates'!$B:$J,X$11,FALSE),0)</f>
        <v>7.7999999999999996E-3</v>
      </c>
      <c r="Y39" s="418">
        <f t="shared" si="43"/>
        <v>1033.1999999999998</v>
      </c>
      <c r="Z39" s="399">
        <f t="shared" si="44"/>
        <v>8.058959999999999</v>
      </c>
      <c r="AA39" s="132"/>
      <c r="AB39" s="400">
        <f t="shared" si="13"/>
        <v>0</v>
      </c>
      <c r="AC39" s="401">
        <f t="shared" si="14"/>
        <v>0</v>
      </c>
      <c r="AD39" s="52"/>
      <c r="AE39" s="413">
        <f>IFERROR(VLOOKUP($C39,'Proposed Rates'!$B:$J,AE$11,FALSE),0)</f>
        <v>7.7999999999999996E-3</v>
      </c>
      <c r="AF39" s="418">
        <f t="shared" si="45"/>
        <v>1033.1999999999998</v>
      </c>
      <c r="AG39" s="399">
        <f t="shared" si="46"/>
        <v>8.058959999999999</v>
      </c>
      <c r="AH39" s="132"/>
      <c r="AI39" s="400">
        <f t="shared" si="17"/>
        <v>0</v>
      </c>
      <c r="AJ39" s="401">
        <f t="shared" si="18"/>
        <v>0</v>
      </c>
      <c r="AK39" s="52"/>
      <c r="AL39" s="413">
        <f>IFERROR(VLOOKUP($C39,'Proposed Rates'!$B:$J,AL$11,FALSE),0)</f>
        <v>7.7999999999999996E-3</v>
      </c>
      <c r="AM39" s="418">
        <f t="shared" si="47"/>
        <v>1033.1999999999998</v>
      </c>
      <c r="AN39" s="399">
        <f t="shared" si="48"/>
        <v>8.058959999999999</v>
      </c>
      <c r="AO39" s="132"/>
      <c r="AP39" s="400">
        <f t="shared" si="21"/>
        <v>0</v>
      </c>
      <c r="AQ39" s="401">
        <f t="shared" si="22"/>
        <v>0</v>
      </c>
      <c r="AR39" s="402"/>
    </row>
    <row r="40" spans="1:44" ht="12.75" customHeight="1">
      <c r="A40" s="52"/>
      <c r="B40" s="404" t="s">
        <v>318</v>
      </c>
      <c r="C40" s="426"/>
      <c r="D40" s="426"/>
      <c r="E40" s="426"/>
      <c r="F40" s="427"/>
      <c r="G40" s="428"/>
      <c r="H40" s="408">
        <f>SUM(H37:H39)</f>
        <v>59.761105999999991</v>
      </c>
      <c r="I40" s="409"/>
      <c r="J40" s="427"/>
      <c r="K40" s="428"/>
      <c r="L40" s="408">
        <f>SUM(L37:L39)</f>
        <v>66.883107999999964</v>
      </c>
      <c r="M40" s="409"/>
      <c r="N40" s="410">
        <f t="shared" si="5"/>
        <v>7.1220019999999735</v>
      </c>
      <c r="O40" s="411">
        <f t="shared" si="6"/>
        <v>0.1191745346881628</v>
      </c>
      <c r="P40" s="52"/>
      <c r="Q40" s="427"/>
      <c r="R40" s="428"/>
      <c r="S40" s="408">
        <f>SUM(S37:S39)</f>
        <v>69.683107999999976</v>
      </c>
      <c r="T40" s="409"/>
      <c r="U40" s="410">
        <f t="shared" si="9"/>
        <v>2.8000000000000114</v>
      </c>
      <c r="V40" s="411">
        <f t="shared" si="10"/>
        <v>4.1864083230103676E-2</v>
      </c>
      <c r="W40" s="52"/>
      <c r="X40" s="427"/>
      <c r="Y40" s="428"/>
      <c r="Z40" s="408">
        <f>SUM(Z37:Z39)</f>
        <v>72.53343999999997</v>
      </c>
      <c r="AA40" s="409"/>
      <c r="AB40" s="410">
        <f t="shared" si="13"/>
        <v>2.8503319999999945</v>
      </c>
      <c r="AC40" s="411">
        <f t="shared" si="14"/>
        <v>4.0904203067406171E-2</v>
      </c>
      <c r="AD40" s="52"/>
      <c r="AE40" s="427"/>
      <c r="AF40" s="428"/>
      <c r="AG40" s="408">
        <f>SUM(AG37:AG39)</f>
        <v>74.053439999999981</v>
      </c>
      <c r="AH40" s="409"/>
      <c r="AI40" s="410">
        <f t="shared" si="17"/>
        <v>1.5200000000000102</v>
      </c>
      <c r="AJ40" s="411">
        <f t="shared" si="18"/>
        <v>2.0955851535512597E-2</v>
      </c>
      <c r="AK40" s="52"/>
      <c r="AL40" s="427"/>
      <c r="AM40" s="428"/>
      <c r="AN40" s="408">
        <f>SUM(AN37:AN39)</f>
        <v>75.443439999999967</v>
      </c>
      <c r="AO40" s="409"/>
      <c r="AP40" s="410">
        <f t="shared" si="21"/>
        <v>1.3899999999999864</v>
      </c>
      <c r="AQ40" s="411">
        <f t="shared" si="22"/>
        <v>1.8770228634888354E-2</v>
      </c>
      <c r="AR40" s="412"/>
    </row>
    <row r="41" spans="1:44" ht="12.75" customHeight="1">
      <c r="A41" s="52"/>
      <c r="B41" s="321" t="s">
        <v>262</v>
      </c>
      <c r="C41" s="394" t="str">
        <f t="shared" ref="C41:C48" si="49">D$6&amp;"."&amp;B41</f>
        <v>Residential.Wholesale Market Service Charge (WMSC)</v>
      </c>
      <c r="D41" s="395" t="s">
        <v>312</v>
      </c>
      <c r="E41" s="321"/>
      <c r="F41" s="413">
        <f>IFERROR(VLOOKUP($C41,'Proposed Rates'!$B:$J,F$11,FALSE),0)</f>
        <v>4.4999999999999997E-3</v>
      </c>
      <c r="G41" s="418">
        <f t="shared" ref="G41:G42" si="50">$F$10*(1+F$63)</f>
        <v>1033.8</v>
      </c>
      <c r="H41" s="399">
        <f t="shared" ref="H41:H48" si="51">G41*F41</f>
        <v>4.652099999999999</v>
      </c>
      <c r="I41" s="132"/>
      <c r="J41" s="413">
        <f>IFERROR(VLOOKUP($C41,'Proposed Rates'!$B:$J,J$11,FALSE),0)</f>
        <v>4.7000000000000002E-3</v>
      </c>
      <c r="K41" s="418">
        <f t="shared" ref="K41:K42" si="52">$F$10*(1+J$63)</f>
        <v>1033.1999999999998</v>
      </c>
      <c r="L41" s="399">
        <f t="shared" ref="L41:L48" si="53">K41*J41</f>
        <v>4.8560399999999992</v>
      </c>
      <c r="M41" s="132"/>
      <c r="N41" s="400">
        <f t="shared" si="5"/>
        <v>0.20394000000000023</v>
      </c>
      <c r="O41" s="401">
        <f t="shared" si="6"/>
        <v>4.3838266589282318E-2</v>
      </c>
      <c r="P41" s="52"/>
      <c r="Q41" s="413">
        <f>IFERROR(VLOOKUP($C41,'Proposed Rates'!$B:$J,Q$11,FALSE),0)</f>
        <v>4.7000000000000002E-3</v>
      </c>
      <c r="R41" s="418">
        <f t="shared" ref="R41:R42" si="54">$F$10*(1+Q$63)</f>
        <v>1033.1999999999998</v>
      </c>
      <c r="S41" s="399">
        <f t="shared" ref="S41:S48" si="55">R41*Q41</f>
        <v>4.8560399999999992</v>
      </c>
      <c r="T41" s="132"/>
      <c r="U41" s="400">
        <f t="shared" si="9"/>
        <v>0</v>
      </c>
      <c r="V41" s="401">
        <f t="shared" si="10"/>
        <v>0</v>
      </c>
      <c r="W41" s="52"/>
      <c r="X41" s="413">
        <f>IFERROR(VLOOKUP($C41,'Proposed Rates'!$B:$J,X$11,FALSE),0)</f>
        <v>4.7000000000000002E-3</v>
      </c>
      <c r="Y41" s="418">
        <f t="shared" ref="Y41:Y42" si="56">$F$10*(1+X$63)</f>
        <v>1033.1999999999998</v>
      </c>
      <c r="Z41" s="399">
        <f t="shared" ref="Z41:Z48" si="57">Y41*X41</f>
        <v>4.8560399999999992</v>
      </c>
      <c r="AA41" s="132"/>
      <c r="AB41" s="400">
        <f t="shared" si="13"/>
        <v>0</v>
      </c>
      <c r="AC41" s="401">
        <f t="shared" si="14"/>
        <v>0</v>
      </c>
      <c r="AD41" s="52"/>
      <c r="AE41" s="413">
        <f>IFERROR(VLOOKUP($C41,'Proposed Rates'!$B:$J,AE$11,FALSE),0)</f>
        <v>4.7000000000000002E-3</v>
      </c>
      <c r="AF41" s="418">
        <f t="shared" ref="AF41:AF42" si="58">$F$10*(1+AE$63)</f>
        <v>1033.1999999999998</v>
      </c>
      <c r="AG41" s="399">
        <f t="shared" ref="AG41:AG48" si="59">AF41*AE41</f>
        <v>4.8560399999999992</v>
      </c>
      <c r="AH41" s="132"/>
      <c r="AI41" s="400">
        <f t="shared" si="17"/>
        <v>0</v>
      </c>
      <c r="AJ41" s="401">
        <f t="shared" si="18"/>
        <v>0</v>
      </c>
      <c r="AK41" s="52"/>
      <c r="AL41" s="413">
        <f>IFERROR(VLOOKUP($C41,'Proposed Rates'!$B:$J,AL$11,FALSE),0)</f>
        <v>4.7000000000000002E-3</v>
      </c>
      <c r="AM41" s="418">
        <f t="shared" ref="AM41:AM42" si="60">$F$10*(1+AL$63)</f>
        <v>1033.1999999999998</v>
      </c>
      <c r="AN41" s="399">
        <f t="shared" ref="AN41:AN48" si="61">AM41*AL41</f>
        <v>4.8560399999999992</v>
      </c>
      <c r="AO41" s="132"/>
      <c r="AP41" s="400">
        <f t="shared" si="21"/>
        <v>0</v>
      </c>
      <c r="AQ41" s="401">
        <f t="shared" si="22"/>
        <v>0</v>
      </c>
      <c r="AR41" s="402"/>
    </row>
    <row r="42" spans="1:44" ht="12.75" customHeight="1">
      <c r="A42" s="52"/>
      <c r="B42" s="321" t="s">
        <v>263</v>
      </c>
      <c r="C42" s="394" t="str">
        <f t="shared" si="49"/>
        <v>Residential.Rural and Remote Rate Protection (RRRP)</v>
      </c>
      <c r="D42" s="395" t="s">
        <v>312</v>
      </c>
      <c r="E42" s="321"/>
      <c r="F42" s="413">
        <f>IFERROR(VLOOKUP($C42,'Proposed Rates'!$B:$J,F$11,FALSE),0)</f>
        <v>1.5E-3</v>
      </c>
      <c r="G42" s="418">
        <f t="shared" si="50"/>
        <v>1033.8</v>
      </c>
      <c r="H42" s="399">
        <f t="shared" si="51"/>
        <v>1.5507</v>
      </c>
      <c r="I42" s="132"/>
      <c r="J42" s="413">
        <f>IFERROR(VLOOKUP($C42,'Proposed Rates'!$B:$J,J$11,FALSE),0)</f>
        <v>5.9999999999999995E-4</v>
      </c>
      <c r="K42" s="418">
        <f t="shared" si="52"/>
        <v>1033.1999999999998</v>
      </c>
      <c r="L42" s="399">
        <f t="shared" si="53"/>
        <v>0.6199199999999998</v>
      </c>
      <c r="M42" s="132"/>
      <c r="N42" s="400">
        <f t="shared" si="5"/>
        <v>-0.93078000000000016</v>
      </c>
      <c r="O42" s="401">
        <f t="shared" si="6"/>
        <v>-0.60023215322112611</v>
      </c>
      <c r="P42" s="52"/>
      <c r="Q42" s="413">
        <f>IFERROR(VLOOKUP($C42,'Proposed Rates'!$B:$J,Q$11,FALSE),0)</f>
        <v>5.9999999999999995E-4</v>
      </c>
      <c r="R42" s="418">
        <f t="shared" si="54"/>
        <v>1033.1999999999998</v>
      </c>
      <c r="S42" s="399">
        <f t="shared" si="55"/>
        <v>0.6199199999999998</v>
      </c>
      <c r="T42" s="132"/>
      <c r="U42" s="400">
        <f t="shared" si="9"/>
        <v>0</v>
      </c>
      <c r="V42" s="401">
        <f t="shared" si="10"/>
        <v>0</v>
      </c>
      <c r="W42" s="52"/>
      <c r="X42" s="413">
        <f>IFERROR(VLOOKUP($C42,'Proposed Rates'!$B:$J,X$11,FALSE),0)</f>
        <v>5.9999999999999995E-4</v>
      </c>
      <c r="Y42" s="418">
        <f t="shared" si="56"/>
        <v>1033.1999999999998</v>
      </c>
      <c r="Z42" s="399">
        <f t="shared" si="57"/>
        <v>0.6199199999999998</v>
      </c>
      <c r="AA42" s="132"/>
      <c r="AB42" s="400">
        <f t="shared" si="13"/>
        <v>0</v>
      </c>
      <c r="AC42" s="401">
        <f t="shared" si="14"/>
        <v>0</v>
      </c>
      <c r="AD42" s="52"/>
      <c r="AE42" s="413">
        <f>IFERROR(VLOOKUP($C42,'Proposed Rates'!$B:$J,AE$11,FALSE),0)</f>
        <v>5.9999999999999995E-4</v>
      </c>
      <c r="AF42" s="418">
        <f t="shared" si="58"/>
        <v>1033.1999999999998</v>
      </c>
      <c r="AG42" s="399">
        <f t="shared" si="59"/>
        <v>0.6199199999999998</v>
      </c>
      <c r="AH42" s="132"/>
      <c r="AI42" s="400">
        <f t="shared" si="17"/>
        <v>0</v>
      </c>
      <c r="AJ42" s="401">
        <f t="shared" si="18"/>
        <v>0</v>
      </c>
      <c r="AK42" s="52"/>
      <c r="AL42" s="413">
        <f>IFERROR(VLOOKUP($C42,'Proposed Rates'!$B:$J,AL$11,FALSE),0)</f>
        <v>5.9999999999999995E-4</v>
      </c>
      <c r="AM42" s="418">
        <f t="shared" si="60"/>
        <v>1033.1999999999998</v>
      </c>
      <c r="AN42" s="399">
        <f t="shared" si="61"/>
        <v>0.6199199999999998</v>
      </c>
      <c r="AO42" s="132"/>
      <c r="AP42" s="400">
        <f t="shared" si="21"/>
        <v>0</v>
      </c>
      <c r="AQ42" s="401">
        <f t="shared" si="22"/>
        <v>0</v>
      </c>
      <c r="AR42" s="402"/>
    </row>
    <row r="43" spans="1:44" ht="12.75" customHeight="1">
      <c r="A43" s="52"/>
      <c r="B43" s="321" t="s">
        <v>264</v>
      </c>
      <c r="C43" s="394" t="str">
        <f t="shared" si="49"/>
        <v>Residential.Standard Supply Service Charge</v>
      </c>
      <c r="D43" s="395" t="s">
        <v>310</v>
      </c>
      <c r="E43" s="321"/>
      <c r="F43" s="413">
        <f>IFERROR(VLOOKUP($C43,'Proposed Rates'!$B:$J,F$11,FALSE),0)</f>
        <v>0.25</v>
      </c>
      <c r="G43" s="414">
        <f>IF($D43="Monthly",1,IF($D43="per KWH",$F$10,0))</f>
        <v>1</v>
      </c>
      <c r="H43" s="399">
        <f t="shared" si="51"/>
        <v>0.25</v>
      </c>
      <c r="I43" s="132"/>
      <c r="J43" s="413">
        <f>IFERROR(VLOOKUP($C43,'Proposed Rates'!$B:$J,J$11,FALSE),0)</f>
        <v>0.25</v>
      </c>
      <c r="K43" s="414">
        <f>IF($D43="Monthly",1,IF($D43="per KWH",$F$10,0))</f>
        <v>1</v>
      </c>
      <c r="L43" s="399">
        <f t="shared" si="53"/>
        <v>0.25</v>
      </c>
      <c r="M43" s="132"/>
      <c r="N43" s="400">
        <f t="shared" si="5"/>
        <v>0</v>
      </c>
      <c r="O43" s="401">
        <f t="shared" si="6"/>
        <v>0</v>
      </c>
      <c r="P43" s="52"/>
      <c r="Q43" s="413">
        <f>IFERROR(VLOOKUP($C43,'Proposed Rates'!$B:$J,Q$11,FALSE),0)</f>
        <v>0.25</v>
      </c>
      <c r="R43" s="414">
        <f>IF($D43="Monthly",1,IF($D43="per KWH",$F$10,0))</f>
        <v>1</v>
      </c>
      <c r="S43" s="399">
        <f t="shared" si="55"/>
        <v>0.25</v>
      </c>
      <c r="T43" s="132"/>
      <c r="U43" s="400">
        <f t="shared" si="9"/>
        <v>0</v>
      </c>
      <c r="V43" s="401">
        <f t="shared" si="10"/>
        <v>0</v>
      </c>
      <c r="W43" s="52"/>
      <c r="X43" s="413">
        <f>IFERROR(VLOOKUP($C43,'Proposed Rates'!$B:$J,X$11,FALSE),0)</f>
        <v>0.25</v>
      </c>
      <c r="Y43" s="414">
        <f>IF($D43="Monthly",1,IF($D43="per KWH",$F$10,0))</f>
        <v>1</v>
      </c>
      <c r="Z43" s="399">
        <f t="shared" si="57"/>
        <v>0.25</v>
      </c>
      <c r="AA43" s="132"/>
      <c r="AB43" s="400">
        <f t="shared" si="13"/>
        <v>0</v>
      </c>
      <c r="AC43" s="401">
        <f t="shared" si="14"/>
        <v>0</v>
      </c>
      <c r="AD43" s="52"/>
      <c r="AE43" s="413">
        <f>IFERROR(VLOOKUP($C43,'Proposed Rates'!$B:$J,AE$11,FALSE),0)</f>
        <v>0.25</v>
      </c>
      <c r="AF43" s="414">
        <f>IF($D43="Monthly",1,IF($D43="per KWH",$F$10,0))</f>
        <v>1</v>
      </c>
      <c r="AG43" s="399">
        <f t="shared" si="59"/>
        <v>0.25</v>
      </c>
      <c r="AH43" s="132"/>
      <c r="AI43" s="400">
        <f t="shared" si="17"/>
        <v>0</v>
      </c>
      <c r="AJ43" s="401">
        <f t="shared" si="18"/>
        <v>0</v>
      </c>
      <c r="AK43" s="52"/>
      <c r="AL43" s="413">
        <f>IFERROR(VLOOKUP($C43,'Proposed Rates'!$B:$J,AL$11,FALSE),0)</f>
        <v>0.25</v>
      </c>
      <c r="AM43" s="414">
        <f>IF($D43="Monthly",1,IF($D43="per KWH",$F$10,0))</f>
        <v>1</v>
      </c>
      <c r="AN43" s="399">
        <f t="shared" si="61"/>
        <v>0.25</v>
      </c>
      <c r="AO43" s="132"/>
      <c r="AP43" s="400">
        <f t="shared" si="21"/>
        <v>0</v>
      </c>
      <c r="AQ43" s="401">
        <f t="shared" si="22"/>
        <v>0</v>
      </c>
      <c r="AR43" s="402"/>
    </row>
    <row r="44" spans="1:44" ht="12.75" customHeight="1">
      <c r="A44" s="52"/>
      <c r="B44" s="321" t="s">
        <v>266</v>
      </c>
      <c r="C44" s="394" t="str">
        <f t="shared" si="49"/>
        <v>Residential.TOU - Off Peak</v>
      </c>
      <c r="D44" s="395" t="s">
        <v>312</v>
      </c>
      <c r="E44" s="321"/>
      <c r="F44" s="429">
        <f>VLOOKUP($B44,'Proposed Rates'!$D$252:$J$258,+F$11-2,FALSE)</f>
        <v>9.8000000000000004E-2</v>
      </c>
      <c r="G44" s="420">
        <f>$F$10*'Proposed Rates'!$K$253</f>
        <v>640</v>
      </c>
      <c r="H44" s="399">
        <f t="shared" si="51"/>
        <v>62.72</v>
      </c>
      <c r="I44" s="132"/>
      <c r="J44" s="429">
        <f>VLOOKUP($B44,'Proposed Rates'!$D$252:$J$258,+J$11-2,FALSE)</f>
        <v>9.8000000000000004E-2</v>
      </c>
      <c r="K44" s="420">
        <f>$F$10*'Proposed Rates'!$K$253</f>
        <v>640</v>
      </c>
      <c r="L44" s="399">
        <f t="shared" si="53"/>
        <v>62.72</v>
      </c>
      <c r="M44" s="132"/>
      <c r="N44" s="400">
        <f t="shared" si="5"/>
        <v>0</v>
      </c>
      <c r="O44" s="401">
        <f t="shared" si="6"/>
        <v>0</v>
      </c>
      <c r="P44" s="52"/>
      <c r="Q44" s="429">
        <f>VLOOKUP($B44,'Proposed Rates'!$D$252:$J$258,+Q$11-2,FALSE)</f>
        <v>9.8000000000000004E-2</v>
      </c>
      <c r="R44" s="420">
        <f>$F$10*'Proposed Rates'!$K$253</f>
        <v>640</v>
      </c>
      <c r="S44" s="399">
        <f t="shared" si="55"/>
        <v>62.72</v>
      </c>
      <c r="T44" s="132"/>
      <c r="U44" s="400">
        <f t="shared" si="9"/>
        <v>0</v>
      </c>
      <c r="V44" s="401">
        <f t="shared" si="10"/>
        <v>0</v>
      </c>
      <c r="W44" s="52"/>
      <c r="X44" s="429">
        <f>VLOOKUP($B44,'Proposed Rates'!$D$252:$J$258,+X$11-2,FALSE)</f>
        <v>9.8000000000000004E-2</v>
      </c>
      <c r="Y44" s="420">
        <f>$F$10*'Proposed Rates'!$K$253</f>
        <v>640</v>
      </c>
      <c r="Z44" s="399">
        <f t="shared" si="57"/>
        <v>62.72</v>
      </c>
      <c r="AA44" s="132"/>
      <c r="AB44" s="400">
        <f t="shared" si="13"/>
        <v>0</v>
      </c>
      <c r="AC44" s="401">
        <f t="shared" si="14"/>
        <v>0</v>
      </c>
      <c r="AD44" s="52"/>
      <c r="AE44" s="429">
        <f>VLOOKUP($B44,'Proposed Rates'!$D$252:$J$258,+AE$11-2,FALSE)</f>
        <v>9.8000000000000004E-2</v>
      </c>
      <c r="AF44" s="420">
        <f>$F$10*'Proposed Rates'!$K$253</f>
        <v>640</v>
      </c>
      <c r="AG44" s="399">
        <f t="shared" si="59"/>
        <v>62.72</v>
      </c>
      <c r="AH44" s="132"/>
      <c r="AI44" s="400">
        <f t="shared" si="17"/>
        <v>0</v>
      </c>
      <c r="AJ44" s="401">
        <f t="shared" si="18"/>
        <v>0</v>
      </c>
      <c r="AK44" s="52"/>
      <c r="AL44" s="429">
        <f>VLOOKUP($B44,'Proposed Rates'!$D$252:$J$258,+AL$11-2,FALSE)</f>
        <v>9.8000000000000004E-2</v>
      </c>
      <c r="AM44" s="420">
        <f>$F$10*'Proposed Rates'!$K$253</f>
        <v>640</v>
      </c>
      <c r="AN44" s="399">
        <f t="shared" si="61"/>
        <v>62.72</v>
      </c>
      <c r="AO44" s="132"/>
      <c r="AP44" s="400">
        <f t="shared" si="21"/>
        <v>0</v>
      </c>
      <c r="AQ44" s="401">
        <f t="shared" si="22"/>
        <v>0</v>
      </c>
      <c r="AR44" s="402"/>
    </row>
    <row r="45" spans="1:44" ht="12.75" customHeight="1">
      <c r="A45" s="52"/>
      <c r="B45" s="321" t="s">
        <v>267</v>
      </c>
      <c r="C45" s="394" t="str">
        <f t="shared" si="49"/>
        <v>Residential.TOU - Mid Peak</v>
      </c>
      <c r="D45" s="395" t="s">
        <v>312</v>
      </c>
      <c r="E45" s="321"/>
      <c r="F45" s="429">
        <f>VLOOKUP($B45,'Proposed Rates'!$D$252:$J$258,+F$11-2,FALSE)</f>
        <v>0.157</v>
      </c>
      <c r="G45" s="420">
        <f>$F$10*'Proposed Rates'!$K$254</f>
        <v>180</v>
      </c>
      <c r="H45" s="399">
        <f t="shared" si="51"/>
        <v>28.26</v>
      </c>
      <c r="I45" s="132"/>
      <c r="J45" s="429">
        <f>VLOOKUP($B45,'Proposed Rates'!$D$252:$J$258,+J$11-2,FALSE)</f>
        <v>0.157</v>
      </c>
      <c r="K45" s="420">
        <f>$F$10*'Proposed Rates'!$K$254</f>
        <v>180</v>
      </c>
      <c r="L45" s="399">
        <f t="shared" si="53"/>
        <v>28.26</v>
      </c>
      <c r="M45" s="132"/>
      <c r="N45" s="400">
        <f t="shared" si="5"/>
        <v>0</v>
      </c>
      <c r="O45" s="401">
        <f t="shared" si="6"/>
        <v>0</v>
      </c>
      <c r="P45" s="52"/>
      <c r="Q45" s="429">
        <f>VLOOKUP($B45,'Proposed Rates'!$D$252:$J$258,+Q$11-2,FALSE)</f>
        <v>0.157</v>
      </c>
      <c r="R45" s="420">
        <f>$F$10*'Proposed Rates'!$K$254</f>
        <v>180</v>
      </c>
      <c r="S45" s="399">
        <f t="shared" si="55"/>
        <v>28.26</v>
      </c>
      <c r="T45" s="132"/>
      <c r="U45" s="400">
        <f t="shared" si="9"/>
        <v>0</v>
      </c>
      <c r="V45" s="401">
        <f t="shared" si="10"/>
        <v>0</v>
      </c>
      <c r="W45" s="52"/>
      <c r="X45" s="429">
        <f>VLOOKUP($B45,'Proposed Rates'!$D$252:$J$258,+X$11-2,FALSE)</f>
        <v>0.157</v>
      </c>
      <c r="Y45" s="420">
        <f>$F$10*'Proposed Rates'!$K$254</f>
        <v>180</v>
      </c>
      <c r="Z45" s="399">
        <f t="shared" si="57"/>
        <v>28.26</v>
      </c>
      <c r="AA45" s="132"/>
      <c r="AB45" s="400">
        <f t="shared" si="13"/>
        <v>0</v>
      </c>
      <c r="AC45" s="401">
        <f t="shared" si="14"/>
        <v>0</v>
      </c>
      <c r="AD45" s="52"/>
      <c r="AE45" s="429">
        <f>VLOOKUP($B45,'Proposed Rates'!$D$252:$J$258,+AE$11-2,FALSE)</f>
        <v>0.157</v>
      </c>
      <c r="AF45" s="420">
        <f>$F$10*'Proposed Rates'!$K$254</f>
        <v>180</v>
      </c>
      <c r="AG45" s="399">
        <f t="shared" si="59"/>
        <v>28.26</v>
      </c>
      <c r="AH45" s="132"/>
      <c r="AI45" s="400">
        <f t="shared" si="17"/>
        <v>0</v>
      </c>
      <c r="AJ45" s="401">
        <f t="shared" si="18"/>
        <v>0</v>
      </c>
      <c r="AK45" s="52"/>
      <c r="AL45" s="429">
        <f>VLOOKUP($B45,'Proposed Rates'!$D$252:$J$258,+AL$11-2,FALSE)</f>
        <v>0.157</v>
      </c>
      <c r="AM45" s="420">
        <f>$F$10*'Proposed Rates'!$K$254</f>
        <v>180</v>
      </c>
      <c r="AN45" s="399">
        <f t="shared" si="61"/>
        <v>28.26</v>
      </c>
      <c r="AO45" s="132"/>
      <c r="AP45" s="400">
        <f t="shared" si="21"/>
        <v>0</v>
      </c>
      <c r="AQ45" s="401">
        <f t="shared" si="22"/>
        <v>0</v>
      </c>
      <c r="AR45" s="402"/>
    </row>
    <row r="46" spans="1:44" ht="12.75" customHeight="1">
      <c r="A46" s="52"/>
      <c r="B46" s="52" t="s">
        <v>268</v>
      </c>
      <c r="C46" s="394" t="str">
        <f t="shared" si="49"/>
        <v>Residential.TOU - On Peak</v>
      </c>
      <c r="D46" s="395" t="s">
        <v>312</v>
      </c>
      <c r="E46" s="321"/>
      <c r="F46" s="429">
        <f>VLOOKUP($B46,'Proposed Rates'!$D$252:$J$258,+F$11-2,FALSE)</f>
        <v>0.20300000000000001</v>
      </c>
      <c r="G46" s="420">
        <f>$F$10*'Proposed Rates'!$K$255</f>
        <v>180</v>
      </c>
      <c r="H46" s="399">
        <f t="shared" si="51"/>
        <v>36.54</v>
      </c>
      <c r="I46" s="132"/>
      <c r="J46" s="429">
        <f>VLOOKUP($B46,'Proposed Rates'!$D$252:$J$258,+J$11-2,FALSE)</f>
        <v>0.20300000000000001</v>
      </c>
      <c r="K46" s="420">
        <f>$F$10*'Proposed Rates'!$K$255</f>
        <v>180</v>
      </c>
      <c r="L46" s="399">
        <f t="shared" si="53"/>
        <v>36.54</v>
      </c>
      <c r="M46" s="132"/>
      <c r="N46" s="400">
        <f t="shared" si="5"/>
        <v>0</v>
      </c>
      <c r="O46" s="401">
        <f t="shared" si="6"/>
        <v>0</v>
      </c>
      <c r="P46" s="52"/>
      <c r="Q46" s="429">
        <f>VLOOKUP($B46,'Proposed Rates'!$D$252:$J$258,+Q$11-2,FALSE)</f>
        <v>0.20300000000000001</v>
      </c>
      <c r="R46" s="420">
        <f>$F$10*'Proposed Rates'!$K$255</f>
        <v>180</v>
      </c>
      <c r="S46" s="399">
        <f t="shared" si="55"/>
        <v>36.54</v>
      </c>
      <c r="T46" s="132"/>
      <c r="U46" s="400">
        <f t="shared" si="9"/>
        <v>0</v>
      </c>
      <c r="V46" s="401">
        <f t="shared" si="10"/>
        <v>0</v>
      </c>
      <c r="W46" s="52"/>
      <c r="X46" s="429">
        <f>VLOOKUP($B46,'Proposed Rates'!$D$252:$J$258,+X$11-2,FALSE)</f>
        <v>0.20300000000000001</v>
      </c>
      <c r="Y46" s="420">
        <f>$F$10*'Proposed Rates'!$K$255</f>
        <v>180</v>
      </c>
      <c r="Z46" s="399">
        <f t="shared" si="57"/>
        <v>36.54</v>
      </c>
      <c r="AA46" s="132"/>
      <c r="AB46" s="400">
        <f t="shared" si="13"/>
        <v>0</v>
      </c>
      <c r="AC46" s="401">
        <f t="shared" si="14"/>
        <v>0</v>
      </c>
      <c r="AD46" s="52"/>
      <c r="AE46" s="429">
        <f>VLOOKUP($B46,'Proposed Rates'!$D$252:$J$258,+AE$11-2,FALSE)</f>
        <v>0.20300000000000001</v>
      </c>
      <c r="AF46" s="420">
        <f>$F$10*'Proposed Rates'!$K$255</f>
        <v>180</v>
      </c>
      <c r="AG46" s="399">
        <f t="shared" si="59"/>
        <v>36.54</v>
      </c>
      <c r="AH46" s="132"/>
      <c r="AI46" s="400">
        <f t="shared" si="17"/>
        <v>0</v>
      </c>
      <c r="AJ46" s="401">
        <f t="shared" si="18"/>
        <v>0</v>
      </c>
      <c r="AK46" s="52"/>
      <c r="AL46" s="429">
        <f>VLOOKUP($B46,'Proposed Rates'!$D$252:$J$258,+AL$11-2,FALSE)</f>
        <v>0.20300000000000001</v>
      </c>
      <c r="AM46" s="420">
        <f>$F$10*'Proposed Rates'!$K$255</f>
        <v>180</v>
      </c>
      <c r="AN46" s="399">
        <f t="shared" si="61"/>
        <v>36.54</v>
      </c>
      <c r="AO46" s="132"/>
      <c r="AP46" s="400">
        <f t="shared" si="21"/>
        <v>0</v>
      </c>
      <c r="AQ46" s="401">
        <f t="shared" si="22"/>
        <v>0</v>
      </c>
      <c r="AR46" s="402"/>
    </row>
    <row r="47" spans="1:44" ht="12.75" customHeight="1">
      <c r="A47" s="52"/>
      <c r="B47" s="321" t="s">
        <v>269</v>
      </c>
      <c r="C47" s="394" t="str">
        <f t="shared" si="49"/>
        <v>Residential.Energy - RPP - Tier 1</v>
      </c>
      <c r="D47" s="395" t="s">
        <v>312</v>
      </c>
      <c r="E47" s="321"/>
      <c r="F47" s="429">
        <f>VLOOKUP($B47,'Proposed Rates'!$D$252:$J$258,+F$11-2,FALSE)</f>
        <v>0.12</v>
      </c>
      <c r="G47" s="430">
        <f>IF(AND($S$2=1, $F$10&gt;=600), 600, IF(AND($S$2=1, AND($F$10&lt;600, $F$10&gt;=0)), $F$10, IF(AND($S$2=2, $F$10&gt;=1000), 1000, IF(AND($S$2=2, AND($F$10&lt;1000, $F$10&gt;=0)), $F$10))))</f>
        <v>600</v>
      </c>
      <c r="H47" s="399">
        <f t="shared" si="51"/>
        <v>72</v>
      </c>
      <c r="I47" s="132"/>
      <c r="J47" s="429">
        <f>VLOOKUP($B47,'Proposed Rates'!$D$252:$J$258,+J$11-2,FALSE)</f>
        <v>0.12</v>
      </c>
      <c r="K47" s="430">
        <f>IF(AND($S$2=1, $F$10&gt;=600), 600, IF(AND($S$2=1, AND($F$10&lt;600, $F$10&gt;=0)), $F$10, IF(AND($S$2=2, $F$10&gt;=1000), 1000, IF(AND($S$2=2, AND($F$10&lt;1000, $F$10&gt;=0)), $F$10))))</f>
        <v>600</v>
      </c>
      <c r="L47" s="399">
        <f t="shared" si="53"/>
        <v>72</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600</v>
      </c>
      <c r="S47" s="399">
        <f t="shared" si="55"/>
        <v>72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600</v>
      </c>
      <c r="Z47" s="399">
        <f t="shared" si="57"/>
        <v>72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600</v>
      </c>
      <c r="AG47" s="399">
        <f t="shared" si="59"/>
        <v>72</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600</v>
      </c>
      <c r="AN47" s="399">
        <f t="shared" si="61"/>
        <v>72</v>
      </c>
      <c r="AO47" s="132"/>
      <c r="AP47" s="400">
        <f t="shared" si="21"/>
        <v>0</v>
      </c>
      <c r="AQ47" s="401">
        <f t="shared" si="22"/>
        <v>0</v>
      </c>
      <c r="AR47" s="402"/>
    </row>
    <row r="48" spans="1:44" ht="12.75" customHeight="1">
      <c r="A48" s="52"/>
      <c r="B48" s="321" t="s">
        <v>270</v>
      </c>
      <c r="C48" s="394" t="str">
        <f t="shared" si="49"/>
        <v>Residential.Energy - RPP - Tier 2</v>
      </c>
      <c r="D48" s="395" t="s">
        <v>312</v>
      </c>
      <c r="E48" s="321"/>
      <c r="F48" s="429">
        <f>VLOOKUP($B48,'Proposed Rates'!$D$252:$J$258,+F$11-2,FALSE)</f>
        <v>0.14199999999999999</v>
      </c>
      <c r="G48" s="432">
        <f>IF(AND($S$2=1, $F$10&gt;=600), $F$10-600, IF(AND($S$2=1, AND($F$10&lt;600, $F$10&gt;=0)), 0, IF(AND($S$2=2, $F$10&gt;=1000), $F$10-1000, IF(AND($S$2=2, AND($F$10&lt;1000, $F$10&gt;=0)), 0))))</f>
        <v>400</v>
      </c>
      <c r="H48" s="399">
        <f t="shared" si="51"/>
        <v>56.8</v>
      </c>
      <c r="I48" s="132"/>
      <c r="J48" s="429">
        <f>VLOOKUP($B48,'Proposed Rates'!$D$252:$J$258,+J$11-2,FALSE)</f>
        <v>0.14199999999999999</v>
      </c>
      <c r="K48" s="432">
        <f>IF(AND($S$2=1, $F$10&gt;=600), $F$10-600, IF(AND($S$2=1, AND($F$10&lt;600, $F$10&gt;=0)), 0, IF(AND($S$2=2, $F$10&gt;=1000), $F$10-1000, IF(AND($S$2=2, AND($F$10&lt;1000, $F$10&gt;=0)), 0))))</f>
        <v>400</v>
      </c>
      <c r="L48" s="399">
        <f t="shared" si="53"/>
        <v>56.8</v>
      </c>
      <c r="M48" s="132"/>
      <c r="N48" s="400">
        <f t="shared" si="5"/>
        <v>0</v>
      </c>
      <c r="O48" s="401">
        <f t="shared" si="6"/>
        <v>0</v>
      </c>
      <c r="P48" s="52"/>
      <c r="Q48" s="429">
        <f>VLOOKUP($B48,'Proposed Rates'!$D$252:$J$258,+Q$11-2,FALSE)</f>
        <v>0.14199999999999999</v>
      </c>
      <c r="R48" s="432">
        <f>IF(AND($S$2=1, $F$10&gt;=600), $F$10-600, IF(AND($S$2=1, AND($F$10&lt;600, $F$10&gt;=0)), 0, IF(AND($S$2=2, $F$10&gt;=1000), $F$10-1000, IF(AND($S$2=2, AND($F$10&lt;1000, $F$10&gt;=0)), 0))))</f>
        <v>400</v>
      </c>
      <c r="S48" s="399">
        <f t="shared" si="55"/>
        <v>56.8</v>
      </c>
      <c r="T48" s="132"/>
      <c r="U48" s="400">
        <f t="shared" si="9"/>
        <v>0</v>
      </c>
      <c r="V48" s="401">
        <f t="shared" si="10"/>
        <v>0</v>
      </c>
      <c r="W48" s="52"/>
      <c r="X48" s="429">
        <f>VLOOKUP($B48,'Proposed Rates'!$D$252:$J$258,+X$11-2,FALSE)</f>
        <v>0.14199999999999999</v>
      </c>
      <c r="Y48" s="432">
        <f>IF(AND($S$2=1, $F$10&gt;=600), $F$10-600, IF(AND($S$2=1, AND($F$10&lt;600, $F$10&gt;=0)), 0, IF(AND($S$2=2, $F$10&gt;=1000), $F$10-1000, IF(AND($S$2=2, AND($F$10&lt;1000, $F$10&gt;=0)), 0))))</f>
        <v>400</v>
      </c>
      <c r="Z48" s="399">
        <f t="shared" si="57"/>
        <v>56.8</v>
      </c>
      <c r="AA48" s="132"/>
      <c r="AB48" s="400">
        <f t="shared" si="13"/>
        <v>0</v>
      </c>
      <c r="AC48" s="401">
        <f t="shared" si="14"/>
        <v>0</v>
      </c>
      <c r="AD48" s="52"/>
      <c r="AE48" s="429">
        <f>VLOOKUP($B48,'Proposed Rates'!$D$252:$J$258,+AE$11-2,FALSE)</f>
        <v>0.14199999999999999</v>
      </c>
      <c r="AF48" s="432">
        <f>IF(AND($S$2=1, $F$10&gt;=600), $F$10-600, IF(AND($S$2=1, AND($F$10&lt;600, $F$10&gt;=0)), 0, IF(AND($S$2=2, $F$10&gt;=1000), $F$10-1000, IF(AND($S$2=2, AND($F$10&lt;1000, $F$10&gt;=0)), 0))))</f>
        <v>400</v>
      </c>
      <c r="AG48" s="399">
        <f t="shared" si="59"/>
        <v>56.8</v>
      </c>
      <c r="AH48" s="132"/>
      <c r="AI48" s="400">
        <f t="shared" si="17"/>
        <v>0</v>
      </c>
      <c r="AJ48" s="401">
        <f t="shared" si="18"/>
        <v>0</v>
      </c>
      <c r="AK48" s="52"/>
      <c r="AL48" s="429">
        <f>VLOOKUP($B48,'Proposed Rates'!$D$252:$J$258,+AL$11-2,FALSE)</f>
        <v>0.14199999999999999</v>
      </c>
      <c r="AM48" s="432">
        <f>IF(AND($S$2=1, $F$10&gt;=600), $F$10-600, IF(AND($S$2=1, AND($F$10&lt;600, $F$10&gt;=0)), 0, IF(AND($S$2=2, $F$10&gt;=1000), $F$10-1000, IF(AND($S$2=2, AND($F$10&lt;1000, $F$10&gt;=0)), 0))))</f>
        <v>400</v>
      </c>
      <c r="AN48" s="399">
        <f t="shared" si="61"/>
        <v>56.8</v>
      </c>
      <c r="AO48" s="132"/>
      <c r="AP48" s="400">
        <f t="shared" si="21"/>
        <v>0</v>
      </c>
      <c r="AQ48" s="401">
        <f t="shared" si="22"/>
        <v>0</v>
      </c>
      <c r="AR48" s="402"/>
    </row>
    <row r="49" spans="1:44" ht="8.25"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75" customHeight="1">
      <c r="A50" s="52"/>
      <c r="B50" s="443" t="s">
        <v>319</v>
      </c>
      <c r="C50" s="321"/>
      <c r="D50" s="321"/>
      <c r="E50" s="321"/>
      <c r="F50" s="444"/>
      <c r="G50" s="488"/>
      <c r="H50" s="446">
        <f>SUM(H41:H46,H40)</f>
        <v>193.73390599999999</v>
      </c>
      <c r="I50" s="481"/>
      <c r="J50" s="444"/>
      <c r="K50" s="445"/>
      <c r="L50" s="446">
        <f>SUM(L41:L46,L40)</f>
        <v>200.12906799999996</v>
      </c>
      <c r="M50" s="448"/>
      <c r="N50" s="447">
        <f t="shared" ref="N50:N54" si="62">L50-H50</f>
        <v>6.3951619999999707</v>
      </c>
      <c r="O50" s="449">
        <f t="shared" ref="O50:O54" si="63">IF((H50)=0,"",(N50/H50))</f>
        <v>3.3010029746677237E-2</v>
      </c>
      <c r="P50" s="52"/>
      <c r="Q50" s="445"/>
      <c r="R50" s="445"/>
      <c r="S50" s="447">
        <f>SUM(S41:S46,S40)</f>
        <v>202.92906799999997</v>
      </c>
      <c r="T50" s="448"/>
      <c r="U50" s="447">
        <f t="shared" ref="U50:U54" si="64">S50-L50</f>
        <v>2.8000000000000114</v>
      </c>
      <c r="V50" s="449">
        <f t="shared" ref="V50:V54" si="65">IF((L50)=0,"",(U50/L50))</f>
        <v>1.3990971066731854E-2</v>
      </c>
      <c r="W50" s="52"/>
      <c r="X50" s="445"/>
      <c r="Y50" s="445"/>
      <c r="Z50" s="447">
        <f>SUM(Z41:Z46,Z40)</f>
        <v>205.77939999999995</v>
      </c>
      <c r="AA50" s="448"/>
      <c r="AB50" s="447">
        <f t="shared" ref="AB50:AB54" si="66">Z50-S50</f>
        <v>2.8503319999999803</v>
      </c>
      <c r="AC50" s="449">
        <f t="shared" ref="AC50:AC54" si="67">IF((S50)=0,"",(AB50/S50))</f>
        <v>1.4045952253621846E-2</v>
      </c>
      <c r="AD50" s="52"/>
      <c r="AE50" s="445"/>
      <c r="AF50" s="445"/>
      <c r="AG50" s="447">
        <f>SUM(AG41:AG46,AG40)</f>
        <v>207.29939999999999</v>
      </c>
      <c r="AH50" s="448"/>
      <c r="AI50" s="447">
        <f t="shared" ref="AI50:AI54" si="68">AG50-Z50</f>
        <v>1.5200000000000387</v>
      </c>
      <c r="AJ50" s="449">
        <f t="shared" ref="AJ50:AJ54" si="69">IF((Z50)=0,"",(AI50/Z50))</f>
        <v>7.3865508403661347E-3</v>
      </c>
      <c r="AK50" s="52"/>
      <c r="AL50" s="445"/>
      <c r="AM50" s="445"/>
      <c r="AN50" s="447">
        <f>SUM(AN41:AN46,AN40)</f>
        <v>208.68939999999998</v>
      </c>
      <c r="AO50" s="448"/>
      <c r="AP50" s="447">
        <f t="shared" ref="AP50:AP54" si="70">AN50-AG50</f>
        <v>1.3899999999999864</v>
      </c>
      <c r="AQ50" s="449">
        <f t="shared" ref="AQ50:AQ54" si="71">IF((AG50)=0,"",(AP50/AG50))</f>
        <v>6.7052774875372839E-3</v>
      </c>
      <c r="AR50" s="450"/>
    </row>
    <row r="51" spans="1:44" ht="12.75" customHeight="1">
      <c r="A51" s="52"/>
      <c r="B51" s="451" t="s">
        <v>320</v>
      </c>
      <c r="C51" s="321"/>
      <c r="D51" s="321"/>
      <c r="E51" s="321"/>
      <c r="F51" s="444">
        <v>0.13</v>
      </c>
      <c r="G51" s="132"/>
      <c r="H51" s="489">
        <f>H50*F51</f>
        <v>25.185407779999998</v>
      </c>
      <c r="I51" s="416"/>
      <c r="J51" s="444">
        <v>0.13</v>
      </c>
      <c r="K51" s="416"/>
      <c r="L51" s="399">
        <f>L50*J51</f>
        <v>26.016778839999997</v>
      </c>
      <c r="M51" s="132"/>
      <c r="N51" s="400">
        <f t="shared" si="62"/>
        <v>0.83137105999999861</v>
      </c>
      <c r="O51" s="401">
        <f t="shared" si="63"/>
        <v>3.3010029746677327E-2</v>
      </c>
      <c r="P51" s="52"/>
      <c r="Q51" s="452">
        <v>0.13</v>
      </c>
      <c r="R51" s="416"/>
      <c r="S51" s="399">
        <f>S50*Q51</f>
        <v>26.380778839999998</v>
      </c>
      <c r="T51" s="132"/>
      <c r="U51" s="400">
        <f t="shared" si="64"/>
        <v>0.36400000000000077</v>
      </c>
      <c r="V51" s="401">
        <f t="shared" si="65"/>
        <v>1.3990971066731826E-2</v>
      </c>
      <c r="W51" s="52"/>
      <c r="X51" s="452">
        <v>0.13</v>
      </c>
      <c r="Y51" s="416"/>
      <c r="Z51" s="399">
        <f>Z50*X51</f>
        <v>26.751321999999995</v>
      </c>
      <c r="AA51" s="132"/>
      <c r="AB51" s="400">
        <f t="shared" si="66"/>
        <v>0.37054315999999687</v>
      </c>
      <c r="AC51" s="401">
        <f t="shared" si="67"/>
        <v>1.4045952253621824E-2</v>
      </c>
      <c r="AD51" s="52"/>
      <c r="AE51" s="452">
        <v>0.13</v>
      </c>
      <c r="AF51" s="416"/>
      <c r="AG51" s="399">
        <f>AG50*AE51</f>
        <v>26.948922</v>
      </c>
      <c r="AH51" s="132"/>
      <c r="AI51" s="400">
        <f t="shared" si="68"/>
        <v>0.19760000000000488</v>
      </c>
      <c r="AJ51" s="401">
        <f t="shared" si="69"/>
        <v>7.3865508403661295E-3</v>
      </c>
      <c r="AK51" s="52"/>
      <c r="AL51" s="452">
        <v>0.13</v>
      </c>
      <c r="AM51" s="416"/>
      <c r="AN51" s="399">
        <f>AN50*AL51</f>
        <v>27.129621999999998</v>
      </c>
      <c r="AO51" s="132"/>
      <c r="AP51" s="400">
        <f t="shared" si="70"/>
        <v>0.18069999999999808</v>
      </c>
      <c r="AQ51" s="401">
        <f t="shared" si="71"/>
        <v>6.7052774875372787E-3</v>
      </c>
      <c r="AR51" s="402"/>
    </row>
    <row r="52" spans="1:44" ht="12.75" customHeight="1">
      <c r="A52" s="52"/>
      <c r="B52" s="453" t="s">
        <v>358</v>
      </c>
      <c r="C52" s="321"/>
      <c r="D52" s="321"/>
      <c r="E52" s="321"/>
      <c r="F52" s="454"/>
      <c r="G52" s="132"/>
      <c r="H52" s="489">
        <f>H50+H51</f>
        <v>218.91931377999998</v>
      </c>
      <c r="I52" s="416"/>
      <c r="J52" s="454"/>
      <c r="K52" s="416"/>
      <c r="L52" s="399">
        <f>L50+L51</f>
        <v>226.14584683999996</v>
      </c>
      <c r="M52" s="132"/>
      <c r="N52" s="400">
        <f t="shared" si="62"/>
        <v>7.22653305999998</v>
      </c>
      <c r="O52" s="401">
        <f t="shared" si="63"/>
        <v>3.3010029746677293E-2</v>
      </c>
      <c r="P52" s="52"/>
      <c r="Q52" s="416"/>
      <c r="R52" s="416"/>
      <c r="S52" s="399">
        <f>S50+S51</f>
        <v>229.30984683999998</v>
      </c>
      <c r="T52" s="132"/>
      <c r="U52" s="400">
        <f t="shared" si="64"/>
        <v>3.1640000000000157</v>
      </c>
      <c r="V52" s="401">
        <f t="shared" si="65"/>
        <v>1.3990971066731868E-2</v>
      </c>
      <c r="W52" s="52"/>
      <c r="X52" s="416"/>
      <c r="Y52" s="416"/>
      <c r="Z52" s="399">
        <f>Z50+Z51</f>
        <v>232.53072199999994</v>
      </c>
      <c r="AA52" s="132"/>
      <c r="AB52" s="400">
        <f t="shared" si="66"/>
        <v>3.220875159999963</v>
      </c>
      <c r="AC52" s="401">
        <f t="shared" si="67"/>
        <v>1.404595225362178E-2</v>
      </c>
      <c r="AD52" s="52"/>
      <c r="AE52" s="416"/>
      <c r="AF52" s="416"/>
      <c r="AG52" s="399">
        <f>AG50+AG51</f>
        <v>234.248322</v>
      </c>
      <c r="AH52" s="132"/>
      <c r="AI52" s="400">
        <f t="shared" si="68"/>
        <v>1.7176000000000613</v>
      </c>
      <c r="AJ52" s="401">
        <f t="shared" si="69"/>
        <v>7.3865508403662111E-3</v>
      </c>
      <c r="AK52" s="52"/>
      <c r="AL52" s="416"/>
      <c r="AM52" s="416"/>
      <c r="AN52" s="399">
        <f>AN50+AN51</f>
        <v>235.81902199999996</v>
      </c>
      <c r="AO52" s="132"/>
      <c r="AP52" s="400">
        <f t="shared" si="70"/>
        <v>1.5706999999999596</v>
      </c>
      <c r="AQ52" s="401">
        <f t="shared" si="71"/>
        <v>6.7052774875371764E-3</v>
      </c>
      <c r="AR52" s="402"/>
    </row>
    <row r="53" spans="1:44" ht="15.75" customHeight="1">
      <c r="A53" s="52"/>
      <c r="B53" s="632" t="s">
        <v>277</v>
      </c>
      <c r="C53" s="623"/>
      <c r="D53" s="623"/>
      <c r="E53" s="321"/>
      <c r="F53" s="455">
        <f>'Proposed Rates'!E290</f>
        <v>0.23499999999999999</v>
      </c>
      <c r="G53" s="132"/>
      <c r="H53" s="491">
        <f>F53*H50</f>
        <v>45.527467909999999</v>
      </c>
      <c r="I53" s="416"/>
      <c r="J53" s="455">
        <f>'Proposed Rates'!F290</f>
        <v>0.23499999999999999</v>
      </c>
      <c r="K53" s="416"/>
      <c r="L53" s="456">
        <f>J53*L50</f>
        <v>47.030330979999988</v>
      </c>
      <c r="M53" s="132"/>
      <c r="N53" s="456">
        <f t="shared" si="62"/>
        <v>1.5028630699999894</v>
      </c>
      <c r="O53" s="458">
        <f t="shared" si="63"/>
        <v>3.3010029746677154E-2</v>
      </c>
      <c r="P53" s="52"/>
      <c r="Q53" s="457">
        <f>'Proposed Rates'!G290</f>
        <v>0.23499999999999999</v>
      </c>
      <c r="R53" s="416"/>
      <c r="S53" s="456">
        <f>Q53*S50</f>
        <v>47.688330979999989</v>
      </c>
      <c r="T53" s="132"/>
      <c r="U53" s="456">
        <f t="shared" si="64"/>
        <v>0.65800000000000125</v>
      </c>
      <c r="V53" s="458">
        <f t="shared" si="65"/>
        <v>1.3990971066731826E-2</v>
      </c>
      <c r="W53" s="52"/>
      <c r="X53" s="457">
        <f>'Proposed Rates'!H290</f>
        <v>0.23499999999999999</v>
      </c>
      <c r="Y53" s="416"/>
      <c r="Z53" s="456">
        <f>X53*Z50</f>
        <v>48.358158999999986</v>
      </c>
      <c r="AA53" s="132"/>
      <c r="AB53" s="456">
        <f t="shared" si="66"/>
        <v>0.66982801999999708</v>
      </c>
      <c r="AC53" s="458">
        <f t="shared" si="67"/>
        <v>1.4045952253621883E-2</v>
      </c>
      <c r="AD53" s="52"/>
      <c r="AE53" s="457">
        <f>'Proposed Rates'!I290</f>
        <v>0.23499999999999999</v>
      </c>
      <c r="AF53" s="416"/>
      <c r="AG53" s="456">
        <f>AE53*AG50</f>
        <v>48.715358999999992</v>
      </c>
      <c r="AH53" s="132"/>
      <c r="AI53" s="456">
        <f t="shared" si="68"/>
        <v>0.35720000000000596</v>
      </c>
      <c r="AJ53" s="458">
        <f t="shared" si="69"/>
        <v>7.3865508403660705E-3</v>
      </c>
      <c r="AK53" s="52"/>
      <c r="AL53" s="457">
        <f>'Proposed Rates'!J290</f>
        <v>0.23499999999999999</v>
      </c>
      <c r="AM53" s="416"/>
      <c r="AN53" s="456">
        <f>AL53*AN50</f>
        <v>49.042008999999993</v>
      </c>
      <c r="AO53" s="132"/>
      <c r="AP53" s="456">
        <f t="shared" si="70"/>
        <v>0.32665000000000077</v>
      </c>
      <c r="AQ53" s="458">
        <f t="shared" si="71"/>
        <v>6.7052774875373663E-3</v>
      </c>
      <c r="AR53" s="459"/>
    </row>
    <row r="54" spans="1:44" ht="12.75" customHeight="1">
      <c r="A54" s="52"/>
      <c r="B54" s="634" t="s">
        <v>322</v>
      </c>
      <c r="C54" s="615"/>
      <c r="D54" s="615"/>
      <c r="E54" s="460"/>
      <c r="F54" s="461"/>
      <c r="G54" s="492"/>
      <c r="H54" s="493">
        <f>H52-H53</f>
        <v>173.39184587</v>
      </c>
      <c r="I54" s="462"/>
      <c r="J54" s="461"/>
      <c r="K54" s="462"/>
      <c r="L54" s="463">
        <f>L52-L53</f>
        <v>179.11551585999996</v>
      </c>
      <c r="M54" s="464"/>
      <c r="N54" s="465">
        <f t="shared" si="62"/>
        <v>5.7236699899999621</v>
      </c>
      <c r="O54" s="466">
        <f t="shared" si="63"/>
        <v>3.3010029746677168E-2</v>
      </c>
      <c r="P54" s="52"/>
      <c r="Q54" s="462"/>
      <c r="R54" s="462"/>
      <c r="S54" s="463">
        <f>S52-S53</f>
        <v>181.62151585999999</v>
      </c>
      <c r="T54" s="464"/>
      <c r="U54" s="465">
        <f t="shared" si="64"/>
        <v>2.5060000000000286</v>
      </c>
      <c r="V54" s="466">
        <f t="shared" si="65"/>
        <v>1.3990971066731958E-2</v>
      </c>
      <c r="W54" s="52"/>
      <c r="X54" s="462"/>
      <c r="Y54" s="462"/>
      <c r="Z54" s="463">
        <f>Z52-Z53</f>
        <v>184.17256299999997</v>
      </c>
      <c r="AA54" s="464"/>
      <c r="AB54" s="465">
        <f t="shared" si="66"/>
        <v>2.5510471399999801</v>
      </c>
      <c r="AC54" s="466">
        <f t="shared" si="67"/>
        <v>1.4045952253621832E-2</v>
      </c>
      <c r="AD54" s="52"/>
      <c r="AE54" s="462"/>
      <c r="AF54" s="462"/>
      <c r="AG54" s="463">
        <f>AG52-AG53</f>
        <v>185.532963</v>
      </c>
      <c r="AH54" s="464"/>
      <c r="AI54" s="465">
        <f t="shared" si="68"/>
        <v>1.3604000000000269</v>
      </c>
      <c r="AJ54" s="466">
        <f t="shared" si="69"/>
        <v>7.3865508403660931E-3</v>
      </c>
      <c r="AK54" s="52"/>
      <c r="AL54" s="462"/>
      <c r="AM54" s="462"/>
      <c r="AN54" s="463">
        <f>AN52-AN53</f>
        <v>186.77701299999995</v>
      </c>
      <c r="AO54" s="464"/>
      <c r="AP54" s="465">
        <f t="shared" si="70"/>
        <v>1.2440499999999588</v>
      </c>
      <c r="AQ54" s="466">
        <f t="shared" si="71"/>
        <v>6.7052774875371278E-3</v>
      </c>
      <c r="AR54" s="467"/>
    </row>
    <row r="55" spans="1:44" ht="8.25"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75" customHeight="1">
      <c r="A56" s="52"/>
      <c r="B56" s="443" t="s">
        <v>323</v>
      </c>
      <c r="C56" s="321"/>
      <c r="D56" s="321"/>
      <c r="E56" s="321"/>
      <c r="F56" s="444"/>
      <c r="G56" s="488"/>
      <c r="H56" s="446">
        <f>SUM(H47:H48,H40,H41:H43)</f>
        <v>195.01390599999999</v>
      </c>
      <c r="I56" s="481"/>
      <c r="J56" s="444"/>
      <c r="K56" s="445"/>
      <c r="L56" s="446">
        <f>SUM(L47:L48,L40,L41:L43)</f>
        <v>201.40906799999999</v>
      </c>
      <c r="M56" s="448"/>
      <c r="N56" s="447">
        <f t="shared" ref="N56:N60" si="72">L56-H56</f>
        <v>6.3951619999999991</v>
      </c>
      <c r="O56" s="449">
        <f t="shared" ref="O56:O60" si="73">IF((H56)=0,"",(N56/H56))</f>
        <v>3.2793363976823267E-2</v>
      </c>
      <c r="P56" s="52"/>
      <c r="Q56" s="445"/>
      <c r="R56" s="445"/>
      <c r="S56" s="447">
        <f>SUM(S47:S48,S40,S41:S43)</f>
        <v>204.209068</v>
      </c>
      <c r="T56" s="448"/>
      <c r="U56" s="447">
        <f t="shared" ref="U56:U60" si="74">S56-L56</f>
        <v>2.8000000000000114</v>
      </c>
      <c r="V56" s="449">
        <f t="shared" ref="V56:V60" si="75">IF((L56)=0,"",(U56/L56))</f>
        <v>1.3902055293756741E-2</v>
      </c>
      <c r="W56" s="52"/>
      <c r="X56" s="445"/>
      <c r="Y56" s="445"/>
      <c r="Z56" s="447">
        <f>SUM(Z47:Z48,Z40,Z41:Z43)</f>
        <v>207.05940000000001</v>
      </c>
      <c r="AA56" s="448"/>
      <c r="AB56" s="447">
        <f t="shared" ref="AB56:AB60" si="76">Z56-S56</f>
        <v>2.8503320000000087</v>
      </c>
      <c r="AC56" s="449">
        <f t="shared" ref="AC56:AC60" si="77">IF((S56)=0,"",(AB56/S56))</f>
        <v>1.3957911016958409E-2</v>
      </c>
      <c r="AD56" s="52"/>
      <c r="AE56" s="445"/>
      <c r="AF56" s="445"/>
      <c r="AG56" s="447">
        <f>SUM(AG47:AG48,AG40,AG41:AG43)</f>
        <v>208.57939999999999</v>
      </c>
      <c r="AH56" s="448"/>
      <c r="AI56" s="447">
        <f t="shared" ref="AI56:AI60" si="78">AG56-Z56</f>
        <v>1.5199999999999818</v>
      </c>
      <c r="AJ56" s="449">
        <f t="shared" ref="AJ56:AJ60" si="79">IF((Z56)=0,"",(AI56/Z56))</f>
        <v>7.3408886532076384E-3</v>
      </c>
      <c r="AK56" s="52"/>
      <c r="AL56" s="445"/>
      <c r="AM56" s="445"/>
      <c r="AN56" s="447">
        <f>SUM(AN47:AN48,AN40,AN41:AN43)</f>
        <v>209.96939999999998</v>
      </c>
      <c r="AO56" s="448"/>
      <c r="AP56" s="447">
        <f t="shared" ref="AP56:AP60" si="80">AN56-AG56</f>
        <v>1.3899999999999864</v>
      </c>
      <c r="AQ56" s="449">
        <f t="shared" ref="AQ56:AQ60" si="81">IF((AG56)=0,"",(AP56/AG56))</f>
        <v>6.6641288641159499E-3</v>
      </c>
      <c r="AR56" s="450"/>
    </row>
    <row r="57" spans="1:44" ht="12.75" customHeight="1">
      <c r="A57" s="52"/>
      <c r="B57" s="451" t="s">
        <v>320</v>
      </c>
      <c r="C57" s="321"/>
      <c r="D57" s="321"/>
      <c r="E57" s="321"/>
      <c r="F57" s="444">
        <v>0.13</v>
      </c>
      <c r="G57" s="488"/>
      <c r="H57" s="489">
        <f>H56*F57</f>
        <v>25.351807780000001</v>
      </c>
      <c r="I57" s="416"/>
      <c r="J57" s="444">
        <v>0.13</v>
      </c>
      <c r="K57" s="452"/>
      <c r="L57" s="399">
        <f>L56*J57</f>
        <v>26.18317884</v>
      </c>
      <c r="M57" s="132"/>
      <c r="N57" s="400">
        <f t="shared" si="72"/>
        <v>0.83137105999999861</v>
      </c>
      <c r="O57" s="401">
        <f t="shared" si="73"/>
        <v>3.2793363976823219E-2</v>
      </c>
      <c r="P57" s="52"/>
      <c r="Q57" s="444">
        <v>0.13</v>
      </c>
      <c r="R57" s="452"/>
      <c r="S57" s="399">
        <f>S56*Q57</f>
        <v>26.547178840000001</v>
      </c>
      <c r="T57" s="132"/>
      <c r="U57" s="400">
        <f t="shared" si="74"/>
        <v>0.36400000000000077</v>
      </c>
      <c r="V57" s="401">
        <f t="shared" si="75"/>
        <v>1.3902055293756713E-2</v>
      </c>
      <c r="W57" s="52"/>
      <c r="X57" s="444">
        <v>0.13</v>
      </c>
      <c r="Y57" s="452"/>
      <c r="Z57" s="399">
        <f>Z56*X57</f>
        <v>26.917722000000001</v>
      </c>
      <c r="AA57" s="132"/>
      <c r="AB57" s="400">
        <f t="shared" si="76"/>
        <v>0.37054316000000043</v>
      </c>
      <c r="AC57" s="401">
        <f t="shared" si="77"/>
        <v>1.3957911016958381E-2</v>
      </c>
      <c r="AD57" s="52"/>
      <c r="AE57" s="444">
        <v>0.13</v>
      </c>
      <c r="AF57" s="452"/>
      <c r="AG57" s="399">
        <f>AG56*AE57</f>
        <v>27.115321999999999</v>
      </c>
      <c r="AH57" s="132"/>
      <c r="AI57" s="400">
        <f t="shared" si="78"/>
        <v>0.19759999999999778</v>
      </c>
      <c r="AJ57" s="401">
        <f t="shared" si="79"/>
        <v>7.3408886532076436E-3</v>
      </c>
      <c r="AK57" s="52"/>
      <c r="AL57" s="444">
        <v>0.13</v>
      </c>
      <c r="AM57" s="452"/>
      <c r="AN57" s="399">
        <f>AN56*AL57</f>
        <v>27.296021999999997</v>
      </c>
      <c r="AO57" s="132"/>
      <c r="AP57" s="400">
        <f t="shared" si="80"/>
        <v>0.18069999999999808</v>
      </c>
      <c r="AQ57" s="401">
        <f t="shared" si="81"/>
        <v>6.6641288641159447E-3</v>
      </c>
      <c r="AR57" s="402"/>
    </row>
    <row r="58" spans="1:44" ht="12.75" customHeight="1">
      <c r="A58" s="52"/>
      <c r="B58" s="453" t="s">
        <v>359</v>
      </c>
      <c r="C58" s="321"/>
      <c r="D58" s="321"/>
      <c r="E58" s="321"/>
      <c r="F58" s="454"/>
      <c r="G58" s="132"/>
      <c r="H58" s="489">
        <f>H56+H57</f>
        <v>220.36571377999999</v>
      </c>
      <c r="I58" s="416"/>
      <c r="J58" s="454"/>
      <c r="K58" s="416"/>
      <c r="L58" s="399">
        <f>L56+L57</f>
        <v>227.59224684</v>
      </c>
      <c r="M58" s="132"/>
      <c r="N58" s="400">
        <f t="shared" si="72"/>
        <v>7.2265330600000084</v>
      </c>
      <c r="O58" s="401">
        <f t="shared" si="73"/>
        <v>3.2793363976823316E-2</v>
      </c>
      <c r="P58" s="52"/>
      <c r="Q58" s="416"/>
      <c r="R58" s="416"/>
      <c r="S58" s="399">
        <f>S56+S57</f>
        <v>230.75624684000002</v>
      </c>
      <c r="T58" s="132"/>
      <c r="U58" s="400">
        <f t="shared" si="74"/>
        <v>3.1640000000000157</v>
      </c>
      <c r="V58" s="401">
        <f t="shared" si="75"/>
        <v>1.3902055293756753E-2</v>
      </c>
      <c r="W58" s="52"/>
      <c r="X58" s="416"/>
      <c r="Y58" s="416"/>
      <c r="Z58" s="399">
        <f>Z56+Z57</f>
        <v>233.97712200000001</v>
      </c>
      <c r="AA58" s="132"/>
      <c r="AB58" s="400">
        <f t="shared" si="76"/>
        <v>3.2208751599999914</v>
      </c>
      <c r="AC58" s="401">
        <f t="shared" si="77"/>
        <v>1.3957911016958327E-2</v>
      </c>
      <c r="AD58" s="52"/>
      <c r="AE58" s="416"/>
      <c r="AF58" s="416"/>
      <c r="AG58" s="399">
        <f>AG56+AG57</f>
        <v>235.69472199999998</v>
      </c>
      <c r="AH58" s="132"/>
      <c r="AI58" s="400">
        <f t="shared" si="78"/>
        <v>1.717599999999976</v>
      </c>
      <c r="AJ58" s="401">
        <f t="shared" si="79"/>
        <v>7.3408886532076245E-3</v>
      </c>
      <c r="AK58" s="52"/>
      <c r="AL58" s="416"/>
      <c r="AM58" s="416"/>
      <c r="AN58" s="399">
        <f>AN56+AN57</f>
        <v>237.26542199999997</v>
      </c>
      <c r="AO58" s="132"/>
      <c r="AP58" s="400">
        <f t="shared" si="80"/>
        <v>1.570699999999988</v>
      </c>
      <c r="AQ58" s="401">
        <f t="shared" si="81"/>
        <v>6.6641288641159646E-3</v>
      </c>
      <c r="AR58" s="402"/>
    </row>
    <row r="59" spans="1:44" ht="15.75" customHeight="1">
      <c r="A59" s="52"/>
      <c r="B59" s="632" t="s">
        <v>277</v>
      </c>
      <c r="C59" s="623"/>
      <c r="D59" s="623"/>
      <c r="E59" s="321"/>
      <c r="F59" s="455">
        <f>F53</f>
        <v>0.23499999999999999</v>
      </c>
      <c r="G59" s="132"/>
      <c r="H59" s="491">
        <f>F59*H56</f>
        <v>45.828267909999994</v>
      </c>
      <c r="I59" s="416"/>
      <c r="J59" s="455">
        <f>J53</f>
        <v>0.23499999999999999</v>
      </c>
      <c r="K59" s="416"/>
      <c r="L59" s="456">
        <f>J59*L56</f>
        <v>47.331130979999998</v>
      </c>
      <c r="M59" s="132"/>
      <c r="N59" s="456">
        <f t="shared" si="72"/>
        <v>1.5028630700000036</v>
      </c>
      <c r="O59" s="458">
        <f t="shared" si="73"/>
        <v>3.2793363976823357E-2</v>
      </c>
      <c r="P59" s="52"/>
      <c r="Q59" s="457">
        <f>Q53</f>
        <v>0.23499999999999999</v>
      </c>
      <c r="R59" s="416"/>
      <c r="S59" s="456">
        <f>Q59*S56</f>
        <v>47.989130979999999</v>
      </c>
      <c r="T59" s="132"/>
      <c r="U59" s="456">
        <f t="shared" si="74"/>
        <v>0.65800000000000125</v>
      </c>
      <c r="V59" s="458">
        <f t="shared" si="75"/>
        <v>1.3902055293756712E-2</v>
      </c>
      <c r="W59" s="52"/>
      <c r="X59" s="457">
        <f>X53</f>
        <v>0.23499999999999999</v>
      </c>
      <c r="Y59" s="416"/>
      <c r="Z59" s="456">
        <f>X59*Z56</f>
        <v>48.658959000000003</v>
      </c>
      <c r="AA59" s="132"/>
      <c r="AB59" s="456">
        <f t="shared" si="76"/>
        <v>0.66982802000000419</v>
      </c>
      <c r="AC59" s="458">
        <f t="shared" si="77"/>
        <v>1.3957911016958454E-2</v>
      </c>
      <c r="AD59" s="52"/>
      <c r="AE59" s="457">
        <f>AE53</f>
        <v>0.23499999999999999</v>
      </c>
      <c r="AF59" s="416"/>
      <c r="AG59" s="456">
        <f>AE59*AG56</f>
        <v>49.016158999999995</v>
      </c>
      <c r="AH59" s="132"/>
      <c r="AI59" s="456">
        <f t="shared" si="78"/>
        <v>0.35719999999999175</v>
      </c>
      <c r="AJ59" s="458">
        <f t="shared" si="79"/>
        <v>7.3408886532075569E-3</v>
      </c>
      <c r="AK59" s="52"/>
      <c r="AL59" s="457">
        <f>AL53</f>
        <v>0.23499999999999999</v>
      </c>
      <c r="AM59" s="416"/>
      <c r="AN59" s="456">
        <f>AL59*AN56</f>
        <v>49.342808999999995</v>
      </c>
      <c r="AO59" s="132"/>
      <c r="AP59" s="456">
        <f t="shared" si="80"/>
        <v>0.32665000000000077</v>
      </c>
      <c r="AQ59" s="458">
        <f t="shared" si="81"/>
        <v>6.6641288641160314E-3</v>
      </c>
      <c r="AR59" s="459"/>
    </row>
    <row r="60" spans="1:44" ht="12.75" customHeight="1">
      <c r="A60" s="52"/>
      <c r="B60" s="634" t="s">
        <v>325</v>
      </c>
      <c r="C60" s="615"/>
      <c r="D60" s="615"/>
      <c r="E60" s="460"/>
      <c r="F60" s="468"/>
      <c r="G60" s="494"/>
      <c r="H60" s="495">
        <f>H58-H59</f>
        <v>174.53744587</v>
      </c>
      <c r="I60" s="469"/>
      <c r="J60" s="468"/>
      <c r="K60" s="469"/>
      <c r="L60" s="470">
        <f>L58-L59</f>
        <v>180.26111586000002</v>
      </c>
      <c r="M60" s="471"/>
      <c r="N60" s="472">
        <f t="shared" si="72"/>
        <v>5.723669990000019</v>
      </c>
      <c r="O60" s="473">
        <f t="shared" si="73"/>
        <v>3.2793363976823385E-2</v>
      </c>
      <c r="P60" s="52"/>
      <c r="Q60" s="469"/>
      <c r="R60" s="469"/>
      <c r="S60" s="470">
        <f>S58-S59</f>
        <v>182.76711586000002</v>
      </c>
      <c r="T60" s="471"/>
      <c r="U60" s="472">
        <f t="shared" si="74"/>
        <v>2.5060000000000002</v>
      </c>
      <c r="V60" s="473">
        <f t="shared" si="75"/>
        <v>1.3902055293756684E-2</v>
      </c>
      <c r="W60" s="52"/>
      <c r="X60" s="469"/>
      <c r="Y60" s="469"/>
      <c r="Z60" s="470">
        <f>Z58-Z59</f>
        <v>185.318163</v>
      </c>
      <c r="AA60" s="471"/>
      <c r="AB60" s="472">
        <f t="shared" si="76"/>
        <v>2.5510471399999801</v>
      </c>
      <c r="AC60" s="473">
        <f t="shared" si="77"/>
        <v>1.3957911016958256E-2</v>
      </c>
      <c r="AD60" s="52"/>
      <c r="AE60" s="469"/>
      <c r="AF60" s="469"/>
      <c r="AG60" s="470">
        <f>AG58-AG59</f>
        <v>186.678563</v>
      </c>
      <c r="AH60" s="471"/>
      <c r="AI60" s="472">
        <f t="shared" si="78"/>
        <v>1.3603999999999985</v>
      </c>
      <c r="AJ60" s="473">
        <f t="shared" si="79"/>
        <v>7.3408886532077191E-3</v>
      </c>
      <c r="AK60" s="52"/>
      <c r="AL60" s="469"/>
      <c r="AM60" s="469"/>
      <c r="AN60" s="470">
        <f>AN58-AN59</f>
        <v>187.92261299999998</v>
      </c>
      <c r="AO60" s="471"/>
      <c r="AP60" s="472">
        <f t="shared" si="80"/>
        <v>1.2440499999999872</v>
      </c>
      <c r="AQ60" s="473">
        <f t="shared" si="81"/>
        <v>6.6641288641159473E-3</v>
      </c>
      <c r="AR60" s="467"/>
    </row>
    <row r="61" spans="1:44" ht="8.25"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75"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75"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8" t="s">
        <v>360</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F00-000000000000}">
      <formula1>"TOU,non-TOU"</formula1>
    </dataValidation>
    <dataValidation type="list" allowBlank="1" showErrorMessage="1" sqref="E15:E28 E30:E36 E38:E39 E41:E49 E55 E61" xr:uid="{00000000-0002-0000-0F00-000001000000}">
      <formula1>#REF!</formula1>
    </dataValidation>
    <dataValidation type="list" allowBlank="1" showInputMessage="1" showErrorMessage="1" prompt="Select Charge Unit - monthly, per kWh, per kW" sqref="D15:D28 D30:D36 D38:D39 D41:D49 D55 D61" xr:uid="{00000000-0002-0000-0F00-000002000000}">
      <formula1>"Monthly,per kWh,per kW"</formula1>
    </dataValidation>
  </dataValidations>
  <pageMargins left="0.74803149606299213" right="0.74803149606299213" top="0.98425196850393704" bottom="0.98425196850393704"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5703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row>
    <row r="2" spans="1:44" ht="18.75"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4" ht="18.75"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20" t="s">
        <v>298</v>
      </c>
      <c r="C6" s="52"/>
      <c r="D6" s="380"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2"/>
      <c r="D10" s="307" t="s">
        <v>301</v>
      </c>
      <c r="E10" s="307"/>
      <c r="F10" s="385">
        <v>1500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4"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4"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4"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4" ht="12.75"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30" si="5">L15-H15</f>
        <v>6.4600000000000009</v>
      </c>
      <c r="O15" s="401">
        <f t="shared" ref="O15:O30"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row>
    <row r="16" spans="1:44" ht="12.75"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1500</v>
      </c>
      <c r="H17" s="399">
        <f t="shared" si="2"/>
        <v>0</v>
      </c>
      <c r="I17" s="132"/>
      <c r="J17" s="396">
        <f>IFERROR(VLOOKUP($C17,'Proposed Rates'!$B:$J,J$11,FALSE),0)</f>
        <v>0</v>
      </c>
      <c r="K17" s="397">
        <f t="shared" si="3"/>
        <v>1500</v>
      </c>
      <c r="L17" s="399">
        <f t="shared" si="4"/>
        <v>0</v>
      </c>
      <c r="M17" s="132"/>
      <c r="N17" s="400">
        <f t="shared" si="5"/>
        <v>0</v>
      </c>
      <c r="O17" s="401" t="str">
        <f t="shared" si="6"/>
        <v/>
      </c>
      <c r="P17" s="52"/>
      <c r="Q17" s="396">
        <f>IFERROR(VLOOKUP($C17,'Proposed Rates'!$B:$J,Q$11,FALSE),0)</f>
        <v>0</v>
      </c>
      <c r="R17" s="397">
        <f t="shared" si="7"/>
        <v>1500</v>
      </c>
      <c r="S17" s="399">
        <f t="shared" si="8"/>
        <v>0</v>
      </c>
      <c r="T17" s="132"/>
      <c r="U17" s="400">
        <f t="shared" si="9"/>
        <v>0</v>
      </c>
      <c r="V17" s="401" t="str">
        <f t="shared" si="10"/>
        <v/>
      </c>
      <c r="W17" s="52"/>
      <c r="X17" s="396">
        <f>IFERROR(VLOOKUP($C17,'Proposed Rates'!$B:$J,X$11,FALSE),0)</f>
        <v>0</v>
      </c>
      <c r="Y17" s="397">
        <f t="shared" si="11"/>
        <v>1500</v>
      </c>
      <c r="Z17" s="399">
        <f t="shared" si="12"/>
        <v>0</v>
      </c>
      <c r="AA17" s="132"/>
      <c r="AB17" s="400">
        <f t="shared" si="13"/>
        <v>0</v>
      </c>
      <c r="AC17" s="401" t="str">
        <f t="shared" si="14"/>
        <v/>
      </c>
      <c r="AD17" s="52"/>
      <c r="AE17" s="396">
        <f>IFERROR(VLOOKUP($C17,'Proposed Rates'!$B:$J,AE$11,FALSE),0)</f>
        <v>0</v>
      </c>
      <c r="AF17" s="397">
        <f t="shared" si="15"/>
        <v>1500</v>
      </c>
      <c r="AG17" s="399">
        <f t="shared" si="16"/>
        <v>0</v>
      </c>
      <c r="AH17" s="132"/>
      <c r="AI17" s="400">
        <f t="shared" si="17"/>
        <v>0</v>
      </c>
      <c r="AJ17" s="401" t="str">
        <f t="shared" si="18"/>
        <v/>
      </c>
      <c r="AK17" s="52"/>
      <c r="AL17" s="396">
        <f>IFERROR(VLOOKUP($C17,'Proposed Rates'!$B:$J,AL$11,FALSE),0)</f>
        <v>0</v>
      </c>
      <c r="AM17" s="397">
        <f t="shared" si="19"/>
        <v>1500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row>
    <row r="19" spans="1:44" ht="12.75" customHeight="1">
      <c r="A19" s="52"/>
      <c r="B19" s="321" t="s">
        <v>59</v>
      </c>
      <c r="C19" s="394" t="str">
        <f t="shared" si="0"/>
        <v>Residential.Distribution Volumetric Rate</v>
      </c>
      <c r="D19" s="395" t="s">
        <v>312</v>
      </c>
      <c r="E19" s="321"/>
      <c r="F19" s="396">
        <f>IFERROR(VLOOKUP($C19,'Proposed Rates'!$B:$J,F$11,FALSE),0)</f>
        <v>0</v>
      </c>
      <c r="G19" s="397">
        <f t="shared" si="1"/>
        <v>1500</v>
      </c>
      <c r="H19" s="399">
        <f t="shared" si="2"/>
        <v>0</v>
      </c>
      <c r="I19" s="132"/>
      <c r="J19" s="396">
        <f>IFERROR(VLOOKUP($C19,'Proposed Rates'!$B:$J,J$11,FALSE),0)</f>
        <v>0</v>
      </c>
      <c r="K19" s="397">
        <f t="shared" si="3"/>
        <v>1500</v>
      </c>
      <c r="L19" s="399">
        <f t="shared" si="4"/>
        <v>0</v>
      </c>
      <c r="M19" s="132"/>
      <c r="N19" s="400">
        <f t="shared" si="5"/>
        <v>0</v>
      </c>
      <c r="O19" s="401" t="str">
        <f t="shared" si="6"/>
        <v/>
      </c>
      <c r="P19" s="52"/>
      <c r="Q19" s="396">
        <f>IFERROR(VLOOKUP($C19,'Proposed Rates'!$B:$J,Q$11,FALSE),0)</f>
        <v>0</v>
      </c>
      <c r="R19" s="397">
        <f t="shared" si="7"/>
        <v>1500</v>
      </c>
      <c r="S19" s="399">
        <f t="shared" si="8"/>
        <v>0</v>
      </c>
      <c r="T19" s="132"/>
      <c r="U19" s="400">
        <f t="shared" si="9"/>
        <v>0</v>
      </c>
      <c r="V19" s="401" t="str">
        <f t="shared" si="10"/>
        <v/>
      </c>
      <c r="W19" s="52"/>
      <c r="X19" s="396">
        <f>IFERROR(VLOOKUP($C19,'Proposed Rates'!$B:$J,X$11,FALSE),0)</f>
        <v>0</v>
      </c>
      <c r="Y19" s="397">
        <f t="shared" si="11"/>
        <v>1500</v>
      </c>
      <c r="Z19" s="399">
        <f t="shared" si="12"/>
        <v>0</v>
      </c>
      <c r="AA19" s="132"/>
      <c r="AB19" s="400">
        <f t="shared" si="13"/>
        <v>0</v>
      </c>
      <c r="AC19" s="401" t="str">
        <f t="shared" si="14"/>
        <v/>
      </c>
      <c r="AD19" s="52"/>
      <c r="AE19" s="396">
        <f>IFERROR(VLOOKUP($C19,'Proposed Rates'!$B:$J,AE$11,FALSE),0)</f>
        <v>0</v>
      </c>
      <c r="AF19" s="397">
        <f t="shared" si="15"/>
        <v>1500</v>
      </c>
      <c r="AG19" s="399">
        <f t="shared" si="16"/>
        <v>0</v>
      </c>
      <c r="AH19" s="132"/>
      <c r="AI19" s="400">
        <f t="shared" si="17"/>
        <v>0</v>
      </c>
      <c r="AJ19" s="401" t="str">
        <f t="shared" si="18"/>
        <v/>
      </c>
      <c r="AK19" s="52"/>
      <c r="AL19" s="396">
        <f>IFERROR(VLOOKUP($C19,'Proposed Rates'!$B:$J,AL$11,FALSE),0)</f>
        <v>0</v>
      </c>
      <c r="AM19" s="397">
        <f t="shared" si="19"/>
        <v>1500</v>
      </c>
      <c r="AN19" s="399">
        <f t="shared" si="20"/>
        <v>0</v>
      </c>
      <c r="AO19" s="132"/>
      <c r="AP19" s="400">
        <f t="shared" si="21"/>
        <v>0</v>
      </c>
      <c r="AQ19" s="401" t="str">
        <f t="shared" si="22"/>
        <v/>
      </c>
      <c r="AR19" s="402"/>
    </row>
    <row r="20" spans="1:44" ht="12.75" customHeight="1">
      <c r="A20" s="52"/>
      <c r="B20" s="321" t="s">
        <v>313</v>
      </c>
      <c r="C20" s="394" t="str">
        <f t="shared" si="0"/>
        <v>Residential.Smart Meter Disposition Rider</v>
      </c>
      <c r="D20" s="395" t="s">
        <v>312</v>
      </c>
      <c r="E20" s="321"/>
      <c r="F20" s="396">
        <f>IFERROR(VLOOKUP($C20,'Proposed Rates'!$B:$J,F$11,FALSE),0)</f>
        <v>0</v>
      </c>
      <c r="G20" s="397">
        <f t="shared" si="1"/>
        <v>1500</v>
      </c>
      <c r="H20" s="399">
        <f t="shared" si="2"/>
        <v>0</v>
      </c>
      <c r="I20" s="132"/>
      <c r="J20" s="396">
        <f>IFERROR(VLOOKUP($C20,'Proposed Rates'!$B:$J,J$11,FALSE),0)</f>
        <v>0</v>
      </c>
      <c r="K20" s="397">
        <f t="shared" si="3"/>
        <v>1500</v>
      </c>
      <c r="L20" s="399">
        <f t="shared" si="4"/>
        <v>0</v>
      </c>
      <c r="M20" s="132"/>
      <c r="N20" s="400">
        <f t="shared" si="5"/>
        <v>0</v>
      </c>
      <c r="O20" s="401" t="str">
        <f t="shared" si="6"/>
        <v/>
      </c>
      <c r="P20" s="52"/>
      <c r="Q20" s="396">
        <f>IFERROR(VLOOKUP($C20,'Proposed Rates'!$B:$J,Q$11,FALSE),0)</f>
        <v>0</v>
      </c>
      <c r="R20" s="397">
        <f t="shared" si="7"/>
        <v>1500</v>
      </c>
      <c r="S20" s="399">
        <f t="shared" si="8"/>
        <v>0</v>
      </c>
      <c r="T20" s="132"/>
      <c r="U20" s="400">
        <f t="shared" si="9"/>
        <v>0</v>
      </c>
      <c r="V20" s="401" t="str">
        <f t="shared" si="10"/>
        <v/>
      </c>
      <c r="W20" s="52"/>
      <c r="X20" s="396">
        <f>IFERROR(VLOOKUP($C20,'Proposed Rates'!$B:$J,X$11,FALSE),0)</f>
        <v>0</v>
      </c>
      <c r="Y20" s="397">
        <f t="shared" si="11"/>
        <v>1500</v>
      </c>
      <c r="Z20" s="399">
        <f t="shared" si="12"/>
        <v>0</v>
      </c>
      <c r="AA20" s="132"/>
      <c r="AB20" s="400">
        <f t="shared" si="13"/>
        <v>0</v>
      </c>
      <c r="AC20" s="401" t="str">
        <f t="shared" si="14"/>
        <v/>
      </c>
      <c r="AD20" s="52"/>
      <c r="AE20" s="396">
        <f>IFERROR(VLOOKUP($C20,'Proposed Rates'!$B:$J,AE$11,FALSE),0)</f>
        <v>0</v>
      </c>
      <c r="AF20" s="397">
        <f t="shared" si="15"/>
        <v>1500</v>
      </c>
      <c r="AG20" s="399">
        <f t="shared" si="16"/>
        <v>0</v>
      </c>
      <c r="AH20" s="132"/>
      <c r="AI20" s="400">
        <f t="shared" si="17"/>
        <v>0</v>
      </c>
      <c r="AJ20" s="401" t="str">
        <f t="shared" si="18"/>
        <v/>
      </c>
      <c r="AK20" s="52"/>
      <c r="AL20" s="396">
        <f>IFERROR(VLOOKUP($C20,'Proposed Rates'!$B:$J,AL$11,FALSE),0)</f>
        <v>0</v>
      </c>
      <c r="AM20" s="397">
        <f t="shared" si="19"/>
        <v>1500</v>
      </c>
      <c r="AN20" s="399">
        <f t="shared" si="20"/>
        <v>0</v>
      </c>
      <c r="AO20" s="132"/>
      <c r="AP20" s="400">
        <f t="shared" si="21"/>
        <v>0</v>
      </c>
      <c r="AQ20" s="401" t="str">
        <f t="shared" si="22"/>
        <v/>
      </c>
      <c r="AR20" s="402"/>
    </row>
    <row r="21" spans="1:44" ht="12.75"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row>
    <row r="22" spans="1:44" ht="12.75" customHeight="1">
      <c r="A22" s="52"/>
      <c r="B22" s="40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row>
    <row r="23" spans="1:44" ht="12.75"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row>
    <row r="24" spans="1:44" ht="12.75"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row>
    <row r="25" spans="1:44" ht="12.75"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row>
    <row r="26" spans="1:44" ht="12.75" customHeight="1">
      <c r="A26" s="52"/>
      <c r="B26" s="40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row>
    <row r="27" spans="1:44" ht="12.75"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row>
    <row r="28" spans="1:44" ht="12.75"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row>
    <row r="29" spans="1:44" ht="12.75" customHeight="1">
      <c r="A29" s="307"/>
      <c r="B29" s="404" t="s">
        <v>314</v>
      </c>
      <c r="C29" s="405"/>
      <c r="D29" s="405"/>
      <c r="E29" s="405"/>
      <c r="F29" s="406"/>
      <c r="G29" s="407"/>
      <c r="H29" s="408">
        <f>SUM(H15:H28)</f>
        <v>34.51</v>
      </c>
      <c r="I29" s="409"/>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307"/>
      <c r="AL29" s="406"/>
      <c r="AM29" s="407"/>
      <c r="AN29" s="408">
        <f>SUM(AN15:AN28)</f>
        <v>48.36</v>
      </c>
      <c r="AO29" s="409"/>
      <c r="AP29" s="410">
        <f t="shared" si="21"/>
        <v>1.3800000000000026</v>
      </c>
      <c r="AQ29" s="411">
        <f t="shared" si="22"/>
        <v>2.9374201787994946E-2</v>
      </c>
      <c r="AR29" s="412"/>
    </row>
    <row r="30" spans="1:44" ht="12.75"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1500</v>
      </c>
      <c r="H30" s="399">
        <f t="shared" ref="H30:H36" si="25">G30*F30</f>
        <v>-0.3</v>
      </c>
      <c r="I30" s="132"/>
      <c r="J30" s="413">
        <f>IFERROR(VLOOKUP($C30,'Proposed Rates'!$B:$J,J$11,FALSE),0)</f>
        <v>-5.9999999999999995E-4</v>
      </c>
      <c r="K30" s="414">
        <f t="shared" ref="K30:K33" si="26">IF($D30="Monthly",1,IF($D30="per KWH",$F$10,0))</f>
        <v>1500</v>
      </c>
      <c r="L30" s="415">
        <f t="shared" ref="L30:L36" si="27">K30*J30</f>
        <v>-0.89999999999999991</v>
      </c>
      <c r="M30" s="132"/>
      <c r="N30" s="400">
        <f t="shared" si="5"/>
        <v>-0.59999999999999987</v>
      </c>
      <c r="O30" s="401">
        <f t="shared" si="6"/>
        <v>1.9999999999999996</v>
      </c>
      <c r="P30" s="52"/>
      <c r="Q30" s="413">
        <f>IFERROR(VLOOKUP($C30,'Proposed Rates'!$B:$J,Q$11,FALSE),0)</f>
        <v>0</v>
      </c>
      <c r="R30" s="414">
        <f t="shared" ref="R30:R33" si="28">IF($D30="Monthly",1,IF($D30="per KWH",$F$10,0))</f>
        <v>1500</v>
      </c>
      <c r="S30" s="399">
        <f t="shared" ref="S30:S36" si="29">R30*Q30</f>
        <v>0</v>
      </c>
      <c r="T30" s="132"/>
      <c r="U30" s="400">
        <f t="shared" si="9"/>
        <v>0.89999999999999991</v>
      </c>
      <c r="V30" s="401">
        <f t="shared" si="10"/>
        <v>-1</v>
      </c>
      <c r="W30" s="52"/>
      <c r="X30" s="413">
        <f>IFERROR(VLOOKUP($C30,'Proposed Rates'!$B:$J,X$11,FALSE),0)</f>
        <v>0</v>
      </c>
      <c r="Y30" s="414">
        <f t="shared" ref="Y30:Y33" si="30">IF($D30="Monthly",1,IF($D30="per KWH",$F$10,0))</f>
        <v>1500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1500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1500</v>
      </c>
      <c r="AN30" s="399">
        <f t="shared" ref="AN30:AN36" si="35">AM30*AL30</f>
        <v>0</v>
      </c>
      <c r="AO30" s="132"/>
      <c r="AP30" s="400">
        <f t="shared" si="21"/>
        <v>0</v>
      </c>
      <c r="AQ30" s="401" t="str">
        <f t="shared" si="22"/>
        <v/>
      </c>
      <c r="AR30" s="402"/>
    </row>
    <row r="31" spans="1:44" ht="12.75" customHeight="1">
      <c r="A31" s="52"/>
      <c r="B31" s="403" t="s">
        <v>239</v>
      </c>
      <c r="C31" s="394" t="str">
        <f t="shared" si="23"/>
        <v>Residential.DVA Disposition Rate Rider Group 1 - 2024</v>
      </c>
      <c r="D31" s="395" t="s">
        <v>312</v>
      </c>
      <c r="E31" s="321"/>
      <c r="F31" s="413">
        <f>IFERROR(VLOOKUP($C31,'Proposed Rates'!$B:$J,F$11,FALSE),0)</f>
        <v>0</v>
      </c>
      <c r="G31" s="414">
        <f t="shared" si="24"/>
        <v>1500</v>
      </c>
      <c r="H31" s="497">
        <f t="shared" si="25"/>
        <v>0</v>
      </c>
      <c r="I31" s="484"/>
      <c r="J31" s="413">
        <f>IFERROR(VLOOKUP($C31,'Proposed Rates'!$B:$J,J$11,FALSE),0)</f>
        <v>0</v>
      </c>
      <c r="K31" s="414">
        <f t="shared" si="26"/>
        <v>1500</v>
      </c>
      <c r="L31" s="497">
        <f t="shared" si="27"/>
        <v>0</v>
      </c>
      <c r="M31" s="416"/>
      <c r="N31" s="400"/>
      <c r="O31" s="401"/>
      <c r="P31" s="52"/>
      <c r="Q31" s="413">
        <f>IFERROR(VLOOKUP($C31,'Proposed Rates'!$B:$J,Q$11,FALSE),0)</f>
        <v>0</v>
      </c>
      <c r="R31" s="414">
        <f t="shared" si="28"/>
        <v>1500</v>
      </c>
      <c r="S31" s="497">
        <f t="shared" si="29"/>
        <v>0</v>
      </c>
      <c r="T31" s="416"/>
      <c r="U31" s="400">
        <f t="shared" si="9"/>
        <v>0</v>
      </c>
      <c r="V31" s="401" t="str">
        <f t="shared" si="10"/>
        <v/>
      </c>
      <c r="W31" s="52"/>
      <c r="X31" s="413">
        <f>IFERROR(VLOOKUP($C31,'Proposed Rates'!$B:$J,X$11,FALSE),0)</f>
        <v>0</v>
      </c>
      <c r="Y31" s="414">
        <f t="shared" si="30"/>
        <v>1500</v>
      </c>
      <c r="Z31" s="497">
        <f t="shared" si="31"/>
        <v>0</v>
      </c>
      <c r="AA31" s="416"/>
      <c r="AB31" s="400">
        <f t="shared" si="13"/>
        <v>0</v>
      </c>
      <c r="AC31" s="401" t="str">
        <f t="shared" si="14"/>
        <v/>
      </c>
      <c r="AD31" s="52"/>
      <c r="AE31" s="413">
        <f>IFERROR(VLOOKUP($C31,'Proposed Rates'!$B:$J,AE$11,FALSE),0)</f>
        <v>0</v>
      </c>
      <c r="AF31" s="414">
        <f t="shared" si="32"/>
        <v>1500</v>
      </c>
      <c r="AG31" s="497">
        <f t="shared" si="33"/>
        <v>0</v>
      </c>
      <c r="AH31" s="416"/>
      <c r="AI31" s="400">
        <f t="shared" si="17"/>
        <v>0</v>
      </c>
      <c r="AJ31" s="401" t="str">
        <f t="shared" si="18"/>
        <v/>
      </c>
      <c r="AK31" s="52"/>
      <c r="AL31" s="413">
        <f>IFERROR(VLOOKUP($C31,'Proposed Rates'!$B:$J,AL$11,FALSE),0)</f>
        <v>0</v>
      </c>
      <c r="AM31" s="414">
        <f t="shared" si="34"/>
        <v>1500</v>
      </c>
      <c r="AN31" s="497">
        <f t="shared" si="35"/>
        <v>0</v>
      </c>
      <c r="AO31" s="416"/>
      <c r="AP31" s="400">
        <f t="shared" si="21"/>
        <v>0</v>
      </c>
      <c r="AQ31" s="401" t="str">
        <f t="shared" si="22"/>
        <v/>
      </c>
      <c r="AR31" s="402"/>
    </row>
    <row r="32" spans="1:44" ht="12.75" customHeight="1">
      <c r="A32" s="52"/>
      <c r="B32" s="403" t="s">
        <v>247</v>
      </c>
      <c r="C32" s="394" t="str">
        <f t="shared" si="23"/>
        <v>Residential.CBR Class B Rate Riders</v>
      </c>
      <c r="D32" s="395" t="s">
        <v>312</v>
      </c>
      <c r="E32" s="321"/>
      <c r="F32" s="413">
        <f>IFERROR(VLOOKUP($C32,'Proposed Rates'!$B:$J,F$11,FALSE),0)</f>
        <v>2.0000000000000001E-4</v>
      </c>
      <c r="G32" s="414">
        <f t="shared" si="24"/>
        <v>1500</v>
      </c>
      <c r="H32" s="399">
        <f t="shared" si="25"/>
        <v>0.3</v>
      </c>
      <c r="I32" s="484"/>
      <c r="J32" s="413">
        <f>IFERROR(VLOOKUP($C32,'Proposed Rates'!$B:$J,J$11,FALSE),0)</f>
        <v>4.0000000000000002E-4</v>
      </c>
      <c r="K32" s="414">
        <f t="shared" si="26"/>
        <v>1500</v>
      </c>
      <c r="L32" s="399">
        <f t="shared" si="27"/>
        <v>0.6</v>
      </c>
      <c r="M32" s="416"/>
      <c r="N32" s="400">
        <f t="shared" ref="N32:N48" si="36">L32-H32</f>
        <v>0.3</v>
      </c>
      <c r="O32" s="401">
        <f t="shared" ref="O32:O48" si="37">IF((H32)=0,"",(N32/H32))</f>
        <v>1</v>
      </c>
      <c r="P32" s="52"/>
      <c r="Q32" s="413">
        <f>IFERROR(VLOOKUP($C32,'Proposed Rates'!$B:$J,Q$11,FALSE),0)</f>
        <v>0</v>
      </c>
      <c r="R32" s="414">
        <f t="shared" si="28"/>
        <v>1500</v>
      </c>
      <c r="S32" s="399">
        <f t="shared" si="29"/>
        <v>0</v>
      </c>
      <c r="T32" s="416"/>
      <c r="U32" s="400">
        <f t="shared" si="9"/>
        <v>-0.6</v>
      </c>
      <c r="V32" s="401">
        <f t="shared" si="10"/>
        <v>-1</v>
      </c>
      <c r="W32" s="52"/>
      <c r="X32" s="413">
        <f>IFERROR(VLOOKUP($C32,'Proposed Rates'!$B:$J,X$11,FALSE),0)</f>
        <v>0</v>
      </c>
      <c r="Y32" s="414">
        <f t="shared" si="30"/>
        <v>1500</v>
      </c>
      <c r="Z32" s="399">
        <f t="shared" si="31"/>
        <v>0</v>
      </c>
      <c r="AA32" s="416"/>
      <c r="AB32" s="400">
        <f t="shared" si="13"/>
        <v>0</v>
      </c>
      <c r="AC32" s="401" t="str">
        <f t="shared" si="14"/>
        <v/>
      </c>
      <c r="AD32" s="52"/>
      <c r="AE32" s="413">
        <f>IFERROR(VLOOKUP($C32,'Proposed Rates'!$B:$J,AE$11,FALSE),0)</f>
        <v>0</v>
      </c>
      <c r="AF32" s="414">
        <f t="shared" si="32"/>
        <v>1500</v>
      </c>
      <c r="AG32" s="399">
        <f t="shared" si="33"/>
        <v>0</v>
      </c>
      <c r="AH32" s="416"/>
      <c r="AI32" s="400">
        <f t="shared" si="17"/>
        <v>0</v>
      </c>
      <c r="AJ32" s="401" t="str">
        <f t="shared" si="18"/>
        <v/>
      </c>
      <c r="AK32" s="52"/>
      <c r="AL32" s="413">
        <f>IFERROR(VLOOKUP($C32,'Proposed Rates'!$B:$J,AL$11,FALSE),0)</f>
        <v>0</v>
      </c>
      <c r="AM32" s="414">
        <f t="shared" si="34"/>
        <v>1500</v>
      </c>
      <c r="AN32" s="399">
        <f t="shared" si="35"/>
        <v>0</v>
      </c>
      <c r="AO32" s="416"/>
      <c r="AP32" s="400">
        <f t="shared" si="21"/>
        <v>0</v>
      </c>
      <c r="AQ32" s="401" t="str">
        <f t="shared" si="22"/>
        <v/>
      </c>
      <c r="AR32" s="402"/>
    </row>
    <row r="33" spans="1:44" ht="12.75" customHeight="1">
      <c r="A33" s="52"/>
      <c r="B33" s="403" t="s">
        <v>315</v>
      </c>
      <c r="C33" s="394" t="str">
        <f t="shared" si="23"/>
        <v>Residential.GA Disposition Rate Rider-NonRPP</v>
      </c>
      <c r="D33" s="395" t="s">
        <v>312</v>
      </c>
      <c r="E33" s="321"/>
      <c r="F33" s="413">
        <f>IFERROR(VLOOKUP($C33,'Proposed Rates'!$B:$J,F$11,FALSE),0)</f>
        <v>0</v>
      </c>
      <c r="G33" s="414">
        <f t="shared" si="24"/>
        <v>1500</v>
      </c>
      <c r="H33" s="399">
        <f t="shared" si="25"/>
        <v>0</v>
      </c>
      <c r="I33" s="484"/>
      <c r="J33" s="413">
        <f>IFERROR(VLOOKUP($C33,'Proposed Rates'!$B:$J,J$11,FALSE),0)</f>
        <v>0</v>
      </c>
      <c r="K33" s="414">
        <f t="shared" si="26"/>
        <v>1500</v>
      </c>
      <c r="L33" s="399">
        <f t="shared" si="27"/>
        <v>0</v>
      </c>
      <c r="M33" s="416"/>
      <c r="N33" s="400">
        <f t="shared" si="36"/>
        <v>0</v>
      </c>
      <c r="O33" s="401" t="str">
        <f t="shared" si="37"/>
        <v/>
      </c>
      <c r="P33" s="52"/>
      <c r="Q33" s="413">
        <f>IFERROR(VLOOKUP($C33,'Proposed Rates'!$B:$J,Q$11,FALSE),0)</f>
        <v>0</v>
      </c>
      <c r="R33" s="414">
        <f t="shared" si="28"/>
        <v>1500</v>
      </c>
      <c r="S33" s="399">
        <f t="shared" si="29"/>
        <v>0</v>
      </c>
      <c r="T33" s="416"/>
      <c r="U33" s="400">
        <f t="shared" si="9"/>
        <v>0</v>
      </c>
      <c r="V33" s="401" t="str">
        <f t="shared" si="10"/>
        <v/>
      </c>
      <c r="W33" s="52"/>
      <c r="X33" s="413">
        <f>IFERROR(VLOOKUP($C33,'Proposed Rates'!$B:$J,X$11,FALSE),0)</f>
        <v>0</v>
      </c>
      <c r="Y33" s="414">
        <f t="shared" si="30"/>
        <v>1500</v>
      </c>
      <c r="Z33" s="399">
        <f t="shared" si="31"/>
        <v>0</v>
      </c>
      <c r="AA33" s="416"/>
      <c r="AB33" s="400">
        <f t="shared" si="13"/>
        <v>0</v>
      </c>
      <c r="AC33" s="401" t="str">
        <f t="shared" si="14"/>
        <v/>
      </c>
      <c r="AD33" s="52"/>
      <c r="AE33" s="413">
        <f>IFERROR(VLOOKUP($C33,'Proposed Rates'!$B:$J,AE$11,FALSE),0)</f>
        <v>0</v>
      </c>
      <c r="AF33" s="414">
        <f t="shared" si="32"/>
        <v>1500</v>
      </c>
      <c r="AG33" s="399">
        <f t="shared" si="33"/>
        <v>0</v>
      </c>
      <c r="AH33" s="416"/>
      <c r="AI33" s="400">
        <f t="shared" si="17"/>
        <v>0</v>
      </c>
      <c r="AJ33" s="401" t="str">
        <f t="shared" si="18"/>
        <v/>
      </c>
      <c r="AK33" s="52"/>
      <c r="AL33" s="413">
        <f>IFERROR(VLOOKUP($C33,'Proposed Rates'!$B:$J,AL$11,FALSE),0)</f>
        <v>0</v>
      </c>
      <c r="AM33" s="414">
        <f t="shared" si="34"/>
        <v>1500</v>
      </c>
      <c r="AN33" s="399">
        <f t="shared" si="35"/>
        <v>0</v>
      </c>
      <c r="AO33" s="416"/>
      <c r="AP33" s="400">
        <f t="shared" si="21"/>
        <v>0</v>
      </c>
      <c r="AQ33" s="401" t="str">
        <f t="shared" si="22"/>
        <v/>
      </c>
      <c r="AR33" s="402"/>
    </row>
    <row r="34" spans="1:44" ht="12.75" customHeight="1">
      <c r="A34" s="52"/>
      <c r="B34" s="321" t="s">
        <v>273</v>
      </c>
      <c r="C34" s="394" t="str">
        <f t="shared" si="23"/>
        <v>Residential.Low Voltage Service Charge</v>
      </c>
      <c r="D34" s="395" t="s">
        <v>312</v>
      </c>
      <c r="E34" s="321"/>
      <c r="F34" s="417">
        <f>IFERROR(VLOOKUP($C34,'Proposed Rates'!$B:$J,F$11,FALSE),0)</f>
        <v>5.0000000000000002E-5</v>
      </c>
      <c r="G34" s="418">
        <f>$F$10*(1+F$63)</f>
        <v>1550.7</v>
      </c>
      <c r="H34" s="399">
        <f t="shared" si="25"/>
        <v>7.7535000000000007E-2</v>
      </c>
      <c r="I34" s="132"/>
      <c r="J34" s="417">
        <f>IFERROR(VLOOKUP($C34,'Proposed Rates'!$B:$J,J$11,FALSE),0)</f>
        <v>6.9999999999999994E-5</v>
      </c>
      <c r="K34" s="418">
        <f>$F$10*(1+J$63)</f>
        <v>1549.8</v>
      </c>
      <c r="L34" s="399">
        <f t="shared" si="27"/>
        <v>0.10848599999999999</v>
      </c>
      <c r="M34" s="132"/>
      <c r="N34" s="400">
        <f t="shared" si="36"/>
        <v>3.0950999999999979E-2</v>
      </c>
      <c r="O34" s="401">
        <f t="shared" si="37"/>
        <v>0.3991874637260589</v>
      </c>
      <c r="P34" s="52"/>
      <c r="Q34" s="417">
        <f>IFERROR(VLOOKUP($C34,'Proposed Rates'!$B:$J,Q$11,FALSE),0)</f>
        <v>6.9999999999999994E-5</v>
      </c>
      <c r="R34" s="418">
        <f>$F$10*(1+Q$63)</f>
        <v>1549.8</v>
      </c>
      <c r="S34" s="399">
        <f t="shared" si="29"/>
        <v>0.10848599999999999</v>
      </c>
      <c r="T34" s="132"/>
      <c r="U34" s="400">
        <f t="shared" si="9"/>
        <v>0</v>
      </c>
      <c r="V34" s="401">
        <f t="shared" si="10"/>
        <v>0</v>
      </c>
      <c r="W34" s="52"/>
      <c r="X34" s="417">
        <f>IFERROR(VLOOKUP($C34,'Proposed Rates'!$B:$J,X$11,FALSE),0)</f>
        <v>8.0000000000000007E-5</v>
      </c>
      <c r="Y34" s="418">
        <f>$F$10*(1+X$63)</f>
        <v>1549.8</v>
      </c>
      <c r="Z34" s="399">
        <f t="shared" si="31"/>
        <v>0.12398400000000001</v>
      </c>
      <c r="AA34" s="132"/>
      <c r="AB34" s="400">
        <f t="shared" si="13"/>
        <v>1.5498000000000026E-2</v>
      </c>
      <c r="AC34" s="401">
        <f t="shared" si="14"/>
        <v>0.14285714285714313</v>
      </c>
      <c r="AD34" s="52"/>
      <c r="AE34" s="417">
        <f>IFERROR(VLOOKUP($C34,'Proposed Rates'!$B:$J,AE$11,FALSE),0)</f>
        <v>8.0000000000000007E-5</v>
      </c>
      <c r="AF34" s="418">
        <f>$F$10*(1+AE$63)</f>
        <v>1549.8</v>
      </c>
      <c r="AG34" s="399">
        <f t="shared" si="33"/>
        <v>0.12398400000000001</v>
      </c>
      <c r="AH34" s="132"/>
      <c r="AI34" s="400">
        <f t="shared" si="17"/>
        <v>0</v>
      </c>
      <c r="AJ34" s="401">
        <f t="shared" si="18"/>
        <v>0</v>
      </c>
      <c r="AK34" s="52"/>
      <c r="AL34" s="417">
        <f>IFERROR(VLOOKUP($C34,'Proposed Rates'!$B:$J,AL$11,FALSE),0)</f>
        <v>8.0000000000000007E-5</v>
      </c>
      <c r="AM34" s="418">
        <f>$F$10*(1+AL$63)</f>
        <v>1549.8</v>
      </c>
      <c r="AN34" s="399">
        <f t="shared" si="35"/>
        <v>0.12398400000000001</v>
      </c>
      <c r="AO34" s="132"/>
      <c r="AP34" s="400">
        <f t="shared" si="21"/>
        <v>0</v>
      </c>
      <c r="AQ34" s="401">
        <f t="shared" si="22"/>
        <v>0</v>
      </c>
      <c r="AR34" s="402"/>
    </row>
    <row r="35" spans="1:44" ht="12.75"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50.700000000000045</v>
      </c>
      <c r="H35" s="399">
        <f t="shared" si="25"/>
        <v>6.4652640000000066</v>
      </c>
      <c r="I35" s="132"/>
      <c r="J35" s="419">
        <f>'Proposed Rates'!$K$253*J$44+'Proposed Rates'!$K$254*J$45+'Proposed Rates'!$K$255*J$46</f>
        <v>0.12752000000000002</v>
      </c>
      <c r="K35" s="420">
        <f>$F$10*(1+J$63)-$F$10</f>
        <v>49.799999999999955</v>
      </c>
      <c r="L35" s="399">
        <f t="shared" si="27"/>
        <v>6.3504959999999953</v>
      </c>
      <c r="M35" s="132"/>
      <c r="N35" s="400">
        <f t="shared" si="36"/>
        <v>-0.11476800000001131</v>
      </c>
      <c r="O35" s="401">
        <f t="shared" si="37"/>
        <v>-1.775147928994256E-2</v>
      </c>
      <c r="P35" s="52"/>
      <c r="Q35" s="419">
        <f>'Proposed Rates'!$K$253*Q$44+'Proposed Rates'!$K$254*Q$45+'Proposed Rates'!$K$255*Q$46</f>
        <v>0.12752000000000002</v>
      </c>
      <c r="R35" s="420">
        <f>$F$10*(1+Q$63)-$F$10</f>
        <v>49.799999999999955</v>
      </c>
      <c r="S35" s="399">
        <f t="shared" si="29"/>
        <v>6.3504959999999953</v>
      </c>
      <c r="T35" s="132"/>
      <c r="U35" s="400">
        <f t="shared" si="9"/>
        <v>0</v>
      </c>
      <c r="V35" s="401">
        <f t="shared" si="10"/>
        <v>0</v>
      </c>
      <c r="W35" s="52"/>
      <c r="X35" s="419">
        <f>'Proposed Rates'!$K$253*X$44+'Proposed Rates'!$K$254*X$45+'Proposed Rates'!$K$255*X$46</f>
        <v>0.12752000000000002</v>
      </c>
      <c r="Y35" s="420">
        <f>$F$10*(1+X$63)-$F$10</f>
        <v>49.799999999999955</v>
      </c>
      <c r="Z35" s="399">
        <f t="shared" si="31"/>
        <v>6.3504959999999953</v>
      </c>
      <c r="AA35" s="132"/>
      <c r="AB35" s="400">
        <f t="shared" si="13"/>
        <v>0</v>
      </c>
      <c r="AC35" s="401">
        <f t="shared" si="14"/>
        <v>0</v>
      </c>
      <c r="AD35" s="52"/>
      <c r="AE35" s="419">
        <f>'Proposed Rates'!$K$253*AE$44+'Proposed Rates'!$K$254*AE$45+'Proposed Rates'!$K$255*AE$46</f>
        <v>0.12752000000000002</v>
      </c>
      <c r="AF35" s="420">
        <f>$F$10*(1+AE$63)-$F$10</f>
        <v>49.799999999999955</v>
      </c>
      <c r="AG35" s="399">
        <f t="shared" si="33"/>
        <v>6.3504959999999953</v>
      </c>
      <c r="AH35" s="132"/>
      <c r="AI35" s="400">
        <f t="shared" si="17"/>
        <v>0</v>
      </c>
      <c r="AJ35" s="401">
        <f t="shared" si="18"/>
        <v>0</v>
      </c>
      <c r="AK35" s="52"/>
      <c r="AL35" s="419">
        <f>'Proposed Rates'!$K$253*AL$44+'Proposed Rates'!$K$254*AL$45+'Proposed Rates'!$K$255*AL$46</f>
        <v>0.12752000000000002</v>
      </c>
      <c r="AM35" s="420">
        <f>$F$10*(1+AL$63)-$F$10</f>
        <v>49.799999999999955</v>
      </c>
      <c r="AN35" s="399">
        <f t="shared" si="35"/>
        <v>6.3504959999999953</v>
      </c>
      <c r="AO35" s="132"/>
      <c r="AP35" s="400">
        <f t="shared" si="21"/>
        <v>0</v>
      </c>
      <c r="AQ35" s="401">
        <f t="shared" si="22"/>
        <v>0</v>
      </c>
      <c r="AR35" s="402"/>
    </row>
    <row r="36" spans="1:44" ht="12.75"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36"/>
        <v>0</v>
      </c>
      <c r="O36" s="401">
        <f t="shared" si="37"/>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row>
    <row r="37" spans="1:44" ht="12.75" customHeight="1">
      <c r="A37" s="52"/>
      <c r="B37" s="404" t="s">
        <v>317</v>
      </c>
      <c r="C37" s="421"/>
      <c r="D37" s="421"/>
      <c r="E37" s="421"/>
      <c r="F37" s="422"/>
      <c r="G37" s="423"/>
      <c r="H37" s="408">
        <f>SUM(H30:H36)+H29</f>
        <v>41.472799000000002</v>
      </c>
      <c r="I37" s="424"/>
      <c r="J37" s="422"/>
      <c r="K37" s="423"/>
      <c r="L37" s="408">
        <f>SUM(L30:L36)+L29</f>
        <v>46.618981999999995</v>
      </c>
      <c r="M37" s="424"/>
      <c r="N37" s="410">
        <f t="shared" si="36"/>
        <v>5.1461829999999935</v>
      </c>
      <c r="O37" s="411">
        <f t="shared" si="37"/>
        <v>0.12408574111431431</v>
      </c>
      <c r="P37" s="52"/>
      <c r="Q37" s="422"/>
      <c r="R37" s="423"/>
      <c r="S37" s="408">
        <f>SUM(S30:S36)+S29</f>
        <v>49.518981999999994</v>
      </c>
      <c r="T37" s="424"/>
      <c r="U37" s="410">
        <f t="shared" si="9"/>
        <v>2.8999999999999986</v>
      </c>
      <c r="V37" s="411">
        <f t="shared" si="10"/>
        <v>6.2206420552040342E-2</v>
      </c>
      <c r="W37" s="52"/>
      <c r="X37" s="422"/>
      <c r="Y37" s="423"/>
      <c r="Z37" s="408">
        <f>SUM(Z30:Z36)+Z29</f>
        <v>52.374479999999991</v>
      </c>
      <c r="AA37" s="424"/>
      <c r="AB37" s="410">
        <f t="shared" si="13"/>
        <v>2.8554979999999972</v>
      </c>
      <c r="AC37" s="411">
        <f t="shared" si="14"/>
        <v>5.766471532068243E-2</v>
      </c>
      <c r="AD37" s="52"/>
      <c r="AE37" s="422"/>
      <c r="AF37" s="423"/>
      <c r="AG37" s="408">
        <f>SUM(AG30:AG36)+AG29</f>
        <v>53.894479999999994</v>
      </c>
      <c r="AH37" s="424"/>
      <c r="AI37" s="410">
        <f t="shared" si="17"/>
        <v>1.5200000000000031</v>
      </c>
      <c r="AJ37" s="411">
        <f t="shared" si="18"/>
        <v>2.9021767853351543E-2</v>
      </c>
      <c r="AK37" s="52"/>
      <c r="AL37" s="422"/>
      <c r="AM37" s="423"/>
      <c r="AN37" s="408">
        <f>SUM(AN30:AN36)+AN29</f>
        <v>55.284479999999995</v>
      </c>
      <c r="AO37" s="424"/>
      <c r="AP37" s="410">
        <f t="shared" si="21"/>
        <v>1.3900000000000006</v>
      </c>
      <c r="AQ37" s="411">
        <f t="shared" si="22"/>
        <v>2.5791138535894598E-2</v>
      </c>
      <c r="AR37" s="412"/>
    </row>
    <row r="38" spans="1:44" ht="12.75" customHeight="1">
      <c r="A38" s="52"/>
      <c r="B38" s="132" t="s">
        <v>258</v>
      </c>
      <c r="C38" s="394" t="str">
        <f t="shared" ref="C38:C39" si="38">D$6&amp;"."&amp;B38</f>
        <v>Residential.RTSR - Network</v>
      </c>
      <c r="D38" s="425" t="s">
        <v>312</v>
      </c>
      <c r="E38" s="132"/>
      <c r="F38" s="413">
        <f>IFERROR(VLOOKUP($C38,'Proposed Rates'!$B:$J,F$11,FALSE),0)</f>
        <v>1.26E-2</v>
      </c>
      <c r="G38" s="418">
        <f t="shared" ref="G38:G39" si="39">$F$10*(1+F$63)</f>
        <v>1550.7</v>
      </c>
      <c r="H38" s="399">
        <f t="shared" ref="H38:H39" si="40">G38*F38</f>
        <v>19.538820000000001</v>
      </c>
      <c r="I38" s="132"/>
      <c r="J38" s="413">
        <f>IFERROR(VLOOKUP($C38,'Proposed Rates'!$B:$J,J$11,FALSE),0)</f>
        <v>1.38E-2</v>
      </c>
      <c r="K38" s="418">
        <f t="shared" ref="K38:K39" si="41">$F$10*(1+J$63)</f>
        <v>1549.8</v>
      </c>
      <c r="L38" s="399">
        <f t="shared" ref="L38:L39" si="42">K38*J38</f>
        <v>21.387239999999998</v>
      </c>
      <c r="M38" s="132"/>
      <c r="N38" s="400">
        <f t="shared" si="36"/>
        <v>1.8484199999999973</v>
      </c>
      <c r="O38" s="401">
        <f t="shared" si="37"/>
        <v>9.4602437608821671E-2</v>
      </c>
      <c r="P38" s="52"/>
      <c r="Q38" s="413">
        <f>IFERROR(VLOOKUP($C38,'Proposed Rates'!$B:$J,Q$11,FALSE),0)</f>
        <v>1.38E-2</v>
      </c>
      <c r="R38" s="418">
        <f t="shared" ref="R38:R39" si="43">$F$10*(1+Q$63)</f>
        <v>1549.8</v>
      </c>
      <c r="S38" s="399">
        <f t="shared" ref="S38:S39" si="44">R38*Q38</f>
        <v>21.387239999999998</v>
      </c>
      <c r="T38" s="132"/>
      <c r="U38" s="400">
        <f t="shared" si="9"/>
        <v>0</v>
      </c>
      <c r="V38" s="401">
        <f t="shared" si="10"/>
        <v>0</v>
      </c>
      <c r="W38" s="52"/>
      <c r="X38" s="413">
        <f>IFERROR(VLOOKUP($C38,'Proposed Rates'!$B:$J,X$11,FALSE),0)</f>
        <v>1.38E-2</v>
      </c>
      <c r="Y38" s="418">
        <f t="shared" ref="Y38:Y39" si="45">$F$10*(1+X$63)</f>
        <v>1549.8</v>
      </c>
      <c r="Z38" s="399">
        <f t="shared" ref="Z38:Z39" si="46">Y38*X38</f>
        <v>21.387239999999998</v>
      </c>
      <c r="AA38" s="132"/>
      <c r="AB38" s="400">
        <f t="shared" si="13"/>
        <v>0</v>
      </c>
      <c r="AC38" s="401">
        <f t="shared" si="14"/>
        <v>0</v>
      </c>
      <c r="AD38" s="52"/>
      <c r="AE38" s="413">
        <f>IFERROR(VLOOKUP($C38,'Proposed Rates'!$B:$J,AE$11,FALSE),0)</f>
        <v>1.38E-2</v>
      </c>
      <c r="AF38" s="418">
        <f t="shared" ref="AF38:AF39" si="47">$F$10*(1+AE$63)</f>
        <v>1549.8</v>
      </c>
      <c r="AG38" s="399">
        <f t="shared" ref="AG38:AG39" si="48">AF38*AE38</f>
        <v>21.387239999999998</v>
      </c>
      <c r="AH38" s="132"/>
      <c r="AI38" s="400">
        <f t="shared" si="17"/>
        <v>0</v>
      </c>
      <c r="AJ38" s="401">
        <f t="shared" si="18"/>
        <v>0</v>
      </c>
      <c r="AK38" s="52"/>
      <c r="AL38" s="413">
        <f>IFERROR(VLOOKUP($C38,'Proposed Rates'!$B:$J,AL$11,FALSE),0)</f>
        <v>1.38E-2</v>
      </c>
      <c r="AM38" s="418">
        <f t="shared" ref="AM38:AM39" si="49">$F$10*(1+AL$63)</f>
        <v>1549.8</v>
      </c>
      <c r="AN38" s="399">
        <f t="shared" ref="AN38:AN39" si="50">AM38*AL38</f>
        <v>21.387239999999998</v>
      </c>
      <c r="AO38" s="132"/>
      <c r="AP38" s="400">
        <f t="shared" si="21"/>
        <v>0</v>
      </c>
      <c r="AQ38" s="401">
        <f t="shared" si="22"/>
        <v>0</v>
      </c>
      <c r="AR38" s="402"/>
    </row>
    <row r="39" spans="1:44" ht="12.75" customHeight="1">
      <c r="A39" s="52"/>
      <c r="B39" s="132" t="s">
        <v>261</v>
      </c>
      <c r="C39" s="394" t="str">
        <f t="shared" si="38"/>
        <v>Residential.RTSR - Line and Transformation Connection</v>
      </c>
      <c r="D39" s="425" t="s">
        <v>312</v>
      </c>
      <c r="E39" s="132"/>
      <c r="F39" s="413">
        <f>IFERROR(VLOOKUP($C39,'Proposed Rates'!$B:$J,F$11,FALSE),0)</f>
        <v>7.1999999999999998E-3</v>
      </c>
      <c r="G39" s="418">
        <f t="shared" si="39"/>
        <v>1550.7</v>
      </c>
      <c r="H39" s="399">
        <f t="shared" si="40"/>
        <v>11.165039999999999</v>
      </c>
      <c r="I39" s="132"/>
      <c r="J39" s="413">
        <f>IFERROR(VLOOKUP($C39,'Proposed Rates'!$B:$J,J$11,FALSE),0)</f>
        <v>7.7999999999999996E-3</v>
      </c>
      <c r="K39" s="418">
        <f t="shared" si="41"/>
        <v>1549.8</v>
      </c>
      <c r="L39" s="399">
        <f t="shared" si="42"/>
        <v>12.088439999999999</v>
      </c>
      <c r="M39" s="132"/>
      <c r="N39" s="400">
        <f t="shared" si="36"/>
        <v>0.92339999999999911</v>
      </c>
      <c r="O39" s="401">
        <f t="shared" si="37"/>
        <v>8.2704585026117161E-2</v>
      </c>
      <c r="P39" s="52"/>
      <c r="Q39" s="413">
        <f>IFERROR(VLOOKUP($C39,'Proposed Rates'!$B:$J,Q$11,FALSE),0)</f>
        <v>7.7999999999999996E-3</v>
      </c>
      <c r="R39" s="418">
        <f t="shared" si="43"/>
        <v>1549.8</v>
      </c>
      <c r="S39" s="399">
        <f t="shared" si="44"/>
        <v>12.088439999999999</v>
      </c>
      <c r="T39" s="132"/>
      <c r="U39" s="400">
        <f t="shared" si="9"/>
        <v>0</v>
      </c>
      <c r="V39" s="401">
        <f t="shared" si="10"/>
        <v>0</v>
      </c>
      <c r="W39" s="52"/>
      <c r="X39" s="413">
        <f>IFERROR(VLOOKUP($C39,'Proposed Rates'!$B:$J,X$11,FALSE),0)</f>
        <v>7.7999999999999996E-3</v>
      </c>
      <c r="Y39" s="418">
        <f t="shared" si="45"/>
        <v>1549.8</v>
      </c>
      <c r="Z39" s="399">
        <f t="shared" si="46"/>
        <v>12.088439999999999</v>
      </c>
      <c r="AA39" s="132"/>
      <c r="AB39" s="400">
        <f t="shared" si="13"/>
        <v>0</v>
      </c>
      <c r="AC39" s="401">
        <f t="shared" si="14"/>
        <v>0</v>
      </c>
      <c r="AD39" s="52"/>
      <c r="AE39" s="413">
        <f>IFERROR(VLOOKUP($C39,'Proposed Rates'!$B:$J,AE$11,FALSE),0)</f>
        <v>7.7999999999999996E-3</v>
      </c>
      <c r="AF39" s="418">
        <f t="shared" si="47"/>
        <v>1549.8</v>
      </c>
      <c r="AG39" s="399">
        <f t="shared" si="48"/>
        <v>12.088439999999999</v>
      </c>
      <c r="AH39" s="132"/>
      <c r="AI39" s="400">
        <f t="shared" si="17"/>
        <v>0</v>
      </c>
      <c r="AJ39" s="401">
        <f t="shared" si="18"/>
        <v>0</v>
      </c>
      <c r="AK39" s="52"/>
      <c r="AL39" s="413">
        <f>IFERROR(VLOOKUP($C39,'Proposed Rates'!$B:$J,AL$11,FALSE),0)</f>
        <v>7.7999999999999996E-3</v>
      </c>
      <c r="AM39" s="418">
        <f t="shared" si="49"/>
        <v>1549.8</v>
      </c>
      <c r="AN39" s="399">
        <f t="shared" si="50"/>
        <v>12.088439999999999</v>
      </c>
      <c r="AO39" s="132"/>
      <c r="AP39" s="400">
        <f t="shared" si="21"/>
        <v>0</v>
      </c>
      <c r="AQ39" s="401">
        <f t="shared" si="22"/>
        <v>0</v>
      </c>
      <c r="AR39" s="402"/>
    </row>
    <row r="40" spans="1:44" ht="12.75" customHeight="1">
      <c r="A40" s="52"/>
      <c r="B40" s="404" t="s">
        <v>318</v>
      </c>
      <c r="C40" s="426"/>
      <c r="D40" s="426"/>
      <c r="E40" s="426"/>
      <c r="F40" s="427"/>
      <c r="G40" s="428"/>
      <c r="H40" s="408">
        <f>SUM(H37:H39)</f>
        <v>72.176659000000001</v>
      </c>
      <c r="I40" s="409"/>
      <c r="J40" s="427"/>
      <c r="K40" s="428"/>
      <c r="L40" s="408">
        <f>SUM(L37:L39)</f>
        <v>80.094662</v>
      </c>
      <c r="M40" s="409"/>
      <c r="N40" s="410">
        <f t="shared" si="36"/>
        <v>7.9180029999999988</v>
      </c>
      <c r="O40" s="411">
        <f t="shared" si="37"/>
        <v>0.1097030966756164</v>
      </c>
      <c r="P40" s="52"/>
      <c r="Q40" s="427"/>
      <c r="R40" s="428"/>
      <c r="S40" s="408">
        <f>SUM(S37:S39)</f>
        <v>82.994661999999977</v>
      </c>
      <c r="T40" s="409"/>
      <c r="U40" s="410">
        <f t="shared" si="9"/>
        <v>2.8999999999999773</v>
      </c>
      <c r="V40" s="411">
        <f t="shared" si="10"/>
        <v>3.620715697632855E-2</v>
      </c>
      <c r="W40" s="52"/>
      <c r="X40" s="427"/>
      <c r="Y40" s="428"/>
      <c r="Z40" s="408">
        <f>SUM(Z37:Z39)</f>
        <v>85.850159999999988</v>
      </c>
      <c r="AA40" s="409"/>
      <c r="AB40" s="410">
        <f t="shared" si="13"/>
        <v>2.8554980000000114</v>
      </c>
      <c r="AC40" s="411">
        <f t="shared" si="14"/>
        <v>3.4405803110566464E-2</v>
      </c>
      <c r="AD40" s="52"/>
      <c r="AE40" s="427"/>
      <c r="AF40" s="428"/>
      <c r="AG40" s="408">
        <f>SUM(AG37:AG39)</f>
        <v>87.370159999999998</v>
      </c>
      <c r="AH40" s="409"/>
      <c r="AI40" s="410">
        <f t="shared" si="17"/>
        <v>1.5200000000000102</v>
      </c>
      <c r="AJ40" s="411">
        <f t="shared" si="18"/>
        <v>1.7705266944173553E-2</v>
      </c>
      <c r="AK40" s="52"/>
      <c r="AL40" s="427"/>
      <c r="AM40" s="428"/>
      <c r="AN40" s="408">
        <f>SUM(AN37:AN39)</f>
        <v>88.760159999999985</v>
      </c>
      <c r="AO40" s="409"/>
      <c r="AP40" s="410">
        <f t="shared" si="21"/>
        <v>1.3899999999999864</v>
      </c>
      <c r="AQ40" s="411">
        <f t="shared" si="22"/>
        <v>1.5909321901207304E-2</v>
      </c>
      <c r="AR40" s="412"/>
    </row>
    <row r="41" spans="1:44" ht="12.75" customHeight="1">
      <c r="A41" s="52"/>
      <c r="B41" s="321" t="s">
        <v>262</v>
      </c>
      <c r="C41" s="394" t="str">
        <f t="shared" ref="C41:C48" si="51">D$6&amp;"."&amp;B41</f>
        <v>Residential.Wholesale Market Service Charge (WMSC)</v>
      </c>
      <c r="D41" s="395" t="s">
        <v>312</v>
      </c>
      <c r="E41" s="321"/>
      <c r="F41" s="413">
        <f>IFERROR(VLOOKUP($C41,'Proposed Rates'!$B:$J,F$11,FALSE),0)</f>
        <v>4.4999999999999997E-3</v>
      </c>
      <c r="G41" s="418">
        <f t="shared" ref="G41:G42" si="52">$F$10*(1+F$63)</f>
        <v>1550.7</v>
      </c>
      <c r="H41" s="399">
        <f t="shared" ref="H41:H48" si="53">G41*F41</f>
        <v>6.9781499999999994</v>
      </c>
      <c r="I41" s="132"/>
      <c r="J41" s="413">
        <f>IFERROR(VLOOKUP($C41,'Proposed Rates'!$B:$J,J$11,FALSE),0)</f>
        <v>4.7000000000000002E-3</v>
      </c>
      <c r="K41" s="418">
        <f t="shared" ref="K41:K42" si="54">$F$10*(1+J$63)</f>
        <v>1549.8</v>
      </c>
      <c r="L41" s="399">
        <f t="shared" ref="L41:L48" si="55">K41*J41</f>
        <v>7.2840600000000002</v>
      </c>
      <c r="M41" s="132"/>
      <c r="N41" s="400">
        <f t="shared" si="36"/>
        <v>0.30591000000000079</v>
      </c>
      <c r="O41" s="401">
        <f t="shared" si="37"/>
        <v>4.3838266589282374E-2</v>
      </c>
      <c r="P41" s="52"/>
      <c r="Q41" s="413">
        <f>IFERROR(VLOOKUP($C41,'Proposed Rates'!$B:$J,Q$11,FALSE),0)</f>
        <v>4.7000000000000002E-3</v>
      </c>
      <c r="R41" s="418">
        <f t="shared" ref="R41:R42" si="56">$F$10*(1+Q$63)</f>
        <v>1549.8</v>
      </c>
      <c r="S41" s="399">
        <f t="shared" ref="S41:S48" si="57">R41*Q41</f>
        <v>7.2840600000000002</v>
      </c>
      <c r="T41" s="132"/>
      <c r="U41" s="400">
        <f t="shared" si="9"/>
        <v>0</v>
      </c>
      <c r="V41" s="401">
        <f t="shared" si="10"/>
        <v>0</v>
      </c>
      <c r="W41" s="52"/>
      <c r="X41" s="413">
        <f>IFERROR(VLOOKUP($C41,'Proposed Rates'!$B:$J,X$11,FALSE),0)</f>
        <v>4.7000000000000002E-3</v>
      </c>
      <c r="Y41" s="418">
        <f t="shared" ref="Y41:Y42" si="58">$F$10*(1+X$63)</f>
        <v>1549.8</v>
      </c>
      <c r="Z41" s="399">
        <f t="shared" ref="Z41:Z48" si="59">Y41*X41</f>
        <v>7.2840600000000002</v>
      </c>
      <c r="AA41" s="132"/>
      <c r="AB41" s="400">
        <f t="shared" si="13"/>
        <v>0</v>
      </c>
      <c r="AC41" s="401">
        <f t="shared" si="14"/>
        <v>0</v>
      </c>
      <c r="AD41" s="52"/>
      <c r="AE41" s="413">
        <f>IFERROR(VLOOKUP($C41,'Proposed Rates'!$B:$J,AE$11,FALSE),0)</f>
        <v>4.7000000000000002E-3</v>
      </c>
      <c r="AF41" s="418">
        <f t="shared" ref="AF41:AF42" si="60">$F$10*(1+AE$63)</f>
        <v>1549.8</v>
      </c>
      <c r="AG41" s="399">
        <f t="shared" ref="AG41:AG48" si="61">AF41*AE41</f>
        <v>7.2840600000000002</v>
      </c>
      <c r="AH41" s="132"/>
      <c r="AI41" s="400">
        <f t="shared" si="17"/>
        <v>0</v>
      </c>
      <c r="AJ41" s="401">
        <f t="shared" si="18"/>
        <v>0</v>
      </c>
      <c r="AK41" s="52"/>
      <c r="AL41" s="413">
        <f>IFERROR(VLOOKUP($C41,'Proposed Rates'!$B:$J,AL$11,FALSE),0)</f>
        <v>4.7000000000000002E-3</v>
      </c>
      <c r="AM41" s="418">
        <f t="shared" ref="AM41:AM42" si="62">$F$10*(1+AL$63)</f>
        <v>1549.8</v>
      </c>
      <c r="AN41" s="399">
        <f t="shared" ref="AN41:AN48" si="63">AM41*AL41</f>
        <v>7.2840600000000002</v>
      </c>
      <c r="AO41" s="132"/>
      <c r="AP41" s="400">
        <f t="shared" si="21"/>
        <v>0</v>
      </c>
      <c r="AQ41" s="401">
        <f t="shared" si="22"/>
        <v>0</v>
      </c>
      <c r="AR41" s="402"/>
    </row>
    <row r="42" spans="1:44" ht="12.75" customHeight="1">
      <c r="A42" s="52"/>
      <c r="B42" s="321" t="s">
        <v>263</v>
      </c>
      <c r="C42" s="394" t="str">
        <f t="shared" si="51"/>
        <v>Residential.Rural and Remote Rate Protection (RRRP)</v>
      </c>
      <c r="D42" s="395" t="s">
        <v>312</v>
      </c>
      <c r="E42" s="321"/>
      <c r="F42" s="413">
        <f>IFERROR(VLOOKUP($C42,'Proposed Rates'!$B:$J,F$11,FALSE),0)</f>
        <v>1.5E-3</v>
      </c>
      <c r="G42" s="418">
        <f t="shared" si="52"/>
        <v>1550.7</v>
      </c>
      <c r="H42" s="399">
        <f t="shared" si="53"/>
        <v>2.32605</v>
      </c>
      <c r="I42" s="132"/>
      <c r="J42" s="413">
        <f>IFERROR(VLOOKUP($C42,'Proposed Rates'!$B:$J,J$11,FALSE),0)</f>
        <v>5.9999999999999995E-4</v>
      </c>
      <c r="K42" s="418">
        <f t="shared" si="54"/>
        <v>1549.8</v>
      </c>
      <c r="L42" s="399">
        <f t="shared" si="55"/>
        <v>0.92987999999999993</v>
      </c>
      <c r="M42" s="132"/>
      <c r="N42" s="400">
        <f t="shared" si="36"/>
        <v>-1.3961700000000001</v>
      </c>
      <c r="O42" s="401">
        <f t="shared" si="37"/>
        <v>-0.600232153221126</v>
      </c>
      <c r="P42" s="52"/>
      <c r="Q42" s="413">
        <f>IFERROR(VLOOKUP($C42,'Proposed Rates'!$B:$J,Q$11,FALSE),0)</f>
        <v>5.9999999999999995E-4</v>
      </c>
      <c r="R42" s="418">
        <f t="shared" si="56"/>
        <v>1549.8</v>
      </c>
      <c r="S42" s="399">
        <f t="shared" si="57"/>
        <v>0.92987999999999993</v>
      </c>
      <c r="T42" s="132"/>
      <c r="U42" s="400">
        <f t="shared" si="9"/>
        <v>0</v>
      </c>
      <c r="V42" s="401">
        <f t="shared" si="10"/>
        <v>0</v>
      </c>
      <c r="W42" s="52"/>
      <c r="X42" s="413">
        <f>IFERROR(VLOOKUP($C42,'Proposed Rates'!$B:$J,X$11,FALSE),0)</f>
        <v>5.9999999999999995E-4</v>
      </c>
      <c r="Y42" s="418">
        <f t="shared" si="58"/>
        <v>1549.8</v>
      </c>
      <c r="Z42" s="399">
        <f t="shared" si="59"/>
        <v>0.92987999999999993</v>
      </c>
      <c r="AA42" s="132"/>
      <c r="AB42" s="400">
        <f t="shared" si="13"/>
        <v>0</v>
      </c>
      <c r="AC42" s="401">
        <f t="shared" si="14"/>
        <v>0</v>
      </c>
      <c r="AD42" s="52"/>
      <c r="AE42" s="413">
        <f>IFERROR(VLOOKUP($C42,'Proposed Rates'!$B:$J,AE$11,FALSE),0)</f>
        <v>5.9999999999999995E-4</v>
      </c>
      <c r="AF42" s="418">
        <f t="shared" si="60"/>
        <v>1549.8</v>
      </c>
      <c r="AG42" s="399">
        <f t="shared" si="61"/>
        <v>0.92987999999999993</v>
      </c>
      <c r="AH42" s="132"/>
      <c r="AI42" s="400">
        <f t="shared" si="17"/>
        <v>0</v>
      </c>
      <c r="AJ42" s="401">
        <f t="shared" si="18"/>
        <v>0</v>
      </c>
      <c r="AK42" s="52"/>
      <c r="AL42" s="413">
        <f>IFERROR(VLOOKUP($C42,'Proposed Rates'!$B:$J,AL$11,FALSE),0)</f>
        <v>5.9999999999999995E-4</v>
      </c>
      <c r="AM42" s="418">
        <f t="shared" si="62"/>
        <v>1549.8</v>
      </c>
      <c r="AN42" s="399">
        <f t="shared" si="63"/>
        <v>0.92987999999999993</v>
      </c>
      <c r="AO42" s="132"/>
      <c r="AP42" s="400">
        <f t="shared" si="21"/>
        <v>0</v>
      </c>
      <c r="AQ42" s="401">
        <f t="shared" si="22"/>
        <v>0</v>
      </c>
      <c r="AR42" s="402"/>
    </row>
    <row r="43" spans="1:44" ht="12.75" customHeight="1">
      <c r="A43" s="52"/>
      <c r="B43" s="321" t="s">
        <v>264</v>
      </c>
      <c r="C43" s="394" t="str">
        <f t="shared" si="51"/>
        <v>Residential.Standard Supply Service Charge</v>
      </c>
      <c r="D43" s="395" t="s">
        <v>310</v>
      </c>
      <c r="E43" s="321"/>
      <c r="F43" s="413">
        <f>IFERROR(VLOOKUP($C43,'Proposed Rates'!$B:$J,F$11,FALSE),0)</f>
        <v>0.25</v>
      </c>
      <c r="G43" s="414">
        <f>IF($D43="Monthly",1,IF($D43="per KWH",$F$10,0))</f>
        <v>1</v>
      </c>
      <c r="H43" s="399">
        <f t="shared" si="53"/>
        <v>0.25</v>
      </c>
      <c r="I43" s="132"/>
      <c r="J43" s="413">
        <f>IFERROR(VLOOKUP($C43,'Proposed Rates'!$B:$J,J$11,FALSE),0)</f>
        <v>0.25</v>
      </c>
      <c r="K43" s="414">
        <f>IF($D43="Monthly",1,IF($D43="per KWH",$F$10,0))</f>
        <v>1</v>
      </c>
      <c r="L43" s="399">
        <f t="shared" si="55"/>
        <v>0.25</v>
      </c>
      <c r="M43" s="132"/>
      <c r="N43" s="400">
        <f t="shared" si="36"/>
        <v>0</v>
      </c>
      <c r="O43" s="401">
        <f t="shared" si="37"/>
        <v>0</v>
      </c>
      <c r="P43" s="52"/>
      <c r="Q43" s="413">
        <f>IFERROR(VLOOKUP($C43,'Proposed Rates'!$B:$J,Q$11,FALSE),0)</f>
        <v>0.25</v>
      </c>
      <c r="R43" s="414">
        <f>IF($D43="Monthly",1,IF($D43="per KWH",$F$10,0))</f>
        <v>1</v>
      </c>
      <c r="S43" s="399">
        <f t="shared" si="57"/>
        <v>0.25</v>
      </c>
      <c r="T43" s="132"/>
      <c r="U43" s="400">
        <f t="shared" si="9"/>
        <v>0</v>
      </c>
      <c r="V43" s="401">
        <f t="shared" si="10"/>
        <v>0</v>
      </c>
      <c r="W43" s="52"/>
      <c r="X43" s="413">
        <f>IFERROR(VLOOKUP($C43,'Proposed Rates'!$B:$J,X$11,FALSE),0)</f>
        <v>0.25</v>
      </c>
      <c r="Y43" s="414">
        <f>IF($D43="Monthly",1,IF($D43="per KWH",$F$10,0))</f>
        <v>1</v>
      </c>
      <c r="Z43" s="399">
        <f t="shared" si="59"/>
        <v>0.25</v>
      </c>
      <c r="AA43" s="132"/>
      <c r="AB43" s="400">
        <f t="shared" si="13"/>
        <v>0</v>
      </c>
      <c r="AC43" s="401">
        <f t="shared" si="14"/>
        <v>0</v>
      </c>
      <c r="AD43" s="52"/>
      <c r="AE43" s="413">
        <f>IFERROR(VLOOKUP($C43,'Proposed Rates'!$B:$J,AE$11,FALSE),0)</f>
        <v>0.25</v>
      </c>
      <c r="AF43" s="414">
        <f>IF($D43="Monthly",1,IF($D43="per KWH",$F$10,0))</f>
        <v>1</v>
      </c>
      <c r="AG43" s="399">
        <f t="shared" si="61"/>
        <v>0.25</v>
      </c>
      <c r="AH43" s="132"/>
      <c r="AI43" s="400">
        <f t="shared" si="17"/>
        <v>0</v>
      </c>
      <c r="AJ43" s="401">
        <f t="shared" si="18"/>
        <v>0</v>
      </c>
      <c r="AK43" s="52"/>
      <c r="AL43" s="413">
        <f>IFERROR(VLOOKUP($C43,'Proposed Rates'!$B:$J,AL$11,FALSE),0)</f>
        <v>0.25</v>
      </c>
      <c r="AM43" s="414">
        <f>IF($D43="Monthly",1,IF($D43="per KWH",$F$10,0))</f>
        <v>1</v>
      </c>
      <c r="AN43" s="399">
        <f t="shared" si="63"/>
        <v>0.25</v>
      </c>
      <c r="AO43" s="132"/>
      <c r="AP43" s="400">
        <f t="shared" si="21"/>
        <v>0</v>
      </c>
      <c r="AQ43" s="401">
        <f t="shared" si="22"/>
        <v>0</v>
      </c>
      <c r="AR43" s="402"/>
    </row>
    <row r="44" spans="1:44" ht="12.75" customHeight="1">
      <c r="A44" s="52"/>
      <c r="B44" s="321" t="s">
        <v>266</v>
      </c>
      <c r="C44" s="394" t="str">
        <f t="shared" si="51"/>
        <v>Residential.TOU - Off Peak</v>
      </c>
      <c r="D44" s="395" t="s">
        <v>312</v>
      </c>
      <c r="E44" s="321"/>
      <c r="F44" s="429">
        <f>VLOOKUP($B44,'Proposed Rates'!$D$252:$J$258,+F$11-2,FALSE)</f>
        <v>9.8000000000000004E-2</v>
      </c>
      <c r="G44" s="420">
        <f>$F$10*'Proposed Rates'!$K$253</f>
        <v>960</v>
      </c>
      <c r="H44" s="399">
        <f t="shared" si="53"/>
        <v>94.08</v>
      </c>
      <c r="I44" s="132"/>
      <c r="J44" s="429">
        <f>VLOOKUP($B44,'Proposed Rates'!$D$252:$J$258,+J$11-2,FALSE)</f>
        <v>9.8000000000000004E-2</v>
      </c>
      <c r="K44" s="420">
        <f>$F$10*'Proposed Rates'!$K$253</f>
        <v>960</v>
      </c>
      <c r="L44" s="399">
        <f t="shared" si="55"/>
        <v>94.08</v>
      </c>
      <c r="M44" s="132"/>
      <c r="N44" s="400">
        <f t="shared" si="36"/>
        <v>0</v>
      </c>
      <c r="O44" s="401">
        <f t="shared" si="37"/>
        <v>0</v>
      </c>
      <c r="P44" s="52"/>
      <c r="Q44" s="429">
        <f>VLOOKUP($B44,'Proposed Rates'!$D$252:$J$258,+Q$11-2,FALSE)</f>
        <v>9.8000000000000004E-2</v>
      </c>
      <c r="R44" s="420">
        <f>$F$10*'Proposed Rates'!$K$253</f>
        <v>960</v>
      </c>
      <c r="S44" s="399">
        <f t="shared" si="57"/>
        <v>94.08</v>
      </c>
      <c r="T44" s="132"/>
      <c r="U44" s="400">
        <f t="shared" si="9"/>
        <v>0</v>
      </c>
      <c r="V44" s="401">
        <f t="shared" si="10"/>
        <v>0</v>
      </c>
      <c r="W44" s="52"/>
      <c r="X44" s="429">
        <f>VLOOKUP($B44,'Proposed Rates'!$D$252:$J$258,+X$11-2,FALSE)</f>
        <v>9.8000000000000004E-2</v>
      </c>
      <c r="Y44" s="420">
        <f>$F$10*'Proposed Rates'!$K$253</f>
        <v>960</v>
      </c>
      <c r="Z44" s="399">
        <f t="shared" si="59"/>
        <v>94.08</v>
      </c>
      <c r="AA44" s="132"/>
      <c r="AB44" s="400">
        <f t="shared" si="13"/>
        <v>0</v>
      </c>
      <c r="AC44" s="401">
        <f t="shared" si="14"/>
        <v>0</v>
      </c>
      <c r="AD44" s="52"/>
      <c r="AE44" s="429">
        <f>VLOOKUP($B44,'Proposed Rates'!$D$252:$J$258,+AE$11-2,FALSE)</f>
        <v>9.8000000000000004E-2</v>
      </c>
      <c r="AF44" s="420">
        <f>$F$10*'Proposed Rates'!$K$253</f>
        <v>960</v>
      </c>
      <c r="AG44" s="399">
        <f t="shared" si="61"/>
        <v>94.08</v>
      </c>
      <c r="AH44" s="132"/>
      <c r="AI44" s="400">
        <f t="shared" si="17"/>
        <v>0</v>
      </c>
      <c r="AJ44" s="401">
        <f t="shared" si="18"/>
        <v>0</v>
      </c>
      <c r="AK44" s="52"/>
      <c r="AL44" s="429">
        <f>VLOOKUP($B44,'Proposed Rates'!$D$252:$J$258,+AL$11-2,FALSE)</f>
        <v>9.8000000000000004E-2</v>
      </c>
      <c r="AM44" s="420">
        <f>$F$10*'Proposed Rates'!$K$253</f>
        <v>960</v>
      </c>
      <c r="AN44" s="399">
        <f t="shared" si="63"/>
        <v>94.08</v>
      </c>
      <c r="AO44" s="132"/>
      <c r="AP44" s="400">
        <f t="shared" si="21"/>
        <v>0</v>
      </c>
      <c r="AQ44" s="401">
        <f t="shared" si="22"/>
        <v>0</v>
      </c>
      <c r="AR44" s="402"/>
    </row>
    <row r="45" spans="1:44" ht="12.75" customHeight="1">
      <c r="A45" s="52"/>
      <c r="B45" s="321" t="s">
        <v>267</v>
      </c>
      <c r="C45" s="394" t="str">
        <f t="shared" si="51"/>
        <v>Residential.TOU - Mid Peak</v>
      </c>
      <c r="D45" s="395" t="s">
        <v>312</v>
      </c>
      <c r="E45" s="321"/>
      <c r="F45" s="429">
        <f>VLOOKUP($B45,'Proposed Rates'!$D$252:$J$258,+F$11-2,FALSE)</f>
        <v>0.157</v>
      </c>
      <c r="G45" s="420">
        <f>$F$10*'Proposed Rates'!$K$254</f>
        <v>270</v>
      </c>
      <c r="H45" s="399">
        <f t="shared" si="53"/>
        <v>42.39</v>
      </c>
      <c r="I45" s="132"/>
      <c r="J45" s="429">
        <f>VLOOKUP($B45,'Proposed Rates'!$D$252:$J$258,+J$11-2,FALSE)</f>
        <v>0.157</v>
      </c>
      <c r="K45" s="420">
        <f>$F$10*'Proposed Rates'!$K$254</f>
        <v>270</v>
      </c>
      <c r="L45" s="399">
        <f t="shared" si="55"/>
        <v>42.39</v>
      </c>
      <c r="M45" s="132"/>
      <c r="N45" s="400">
        <f t="shared" si="36"/>
        <v>0</v>
      </c>
      <c r="O45" s="401">
        <f t="shared" si="37"/>
        <v>0</v>
      </c>
      <c r="P45" s="52"/>
      <c r="Q45" s="429">
        <f>VLOOKUP($B45,'Proposed Rates'!$D$252:$J$258,+Q$11-2,FALSE)</f>
        <v>0.157</v>
      </c>
      <c r="R45" s="420">
        <f>$F$10*'Proposed Rates'!$K$254</f>
        <v>270</v>
      </c>
      <c r="S45" s="399">
        <f t="shared" si="57"/>
        <v>42.39</v>
      </c>
      <c r="T45" s="132"/>
      <c r="U45" s="400">
        <f t="shared" si="9"/>
        <v>0</v>
      </c>
      <c r="V45" s="401">
        <f t="shared" si="10"/>
        <v>0</v>
      </c>
      <c r="W45" s="52"/>
      <c r="X45" s="429">
        <f>VLOOKUP($B45,'Proposed Rates'!$D$252:$J$258,+X$11-2,FALSE)</f>
        <v>0.157</v>
      </c>
      <c r="Y45" s="420">
        <f>$F$10*'Proposed Rates'!$K$254</f>
        <v>270</v>
      </c>
      <c r="Z45" s="399">
        <f t="shared" si="59"/>
        <v>42.39</v>
      </c>
      <c r="AA45" s="132"/>
      <c r="AB45" s="400">
        <f t="shared" si="13"/>
        <v>0</v>
      </c>
      <c r="AC45" s="401">
        <f t="shared" si="14"/>
        <v>0</v>
      </c>
      <c r="AD45" s="52"/>
      <c r="AE45" s="429">
        <f>VLOOKUP($B45,'Proposed Rates'!$D$252:$J$258,+AE$11-2,FALSE)</f>
        <v>0.157</v>
      </c>
      <c r="AF45" s="420">
        <f>$F$10*'Proposed Rates'!$K$254</f>
        <v>270</v>
      </c>
      <c r="AG45" s="399">
        <f t="shared" si="61"/>
        <v>42.39</v>
      </c>
      <c r="AH45" s="132"/>
      <c r="AI45" s="400">
        <f t="shared" si="17"/>
        <v>0</v>
      </c>
      <c r="AJ45" s="401">
        <f t="shared" si="18"/>
        <v>0</v>
      </c>
      <c r="AK45" s="52"/>
      <c r="AL45" s="429">
        <f>VLOOKUP($B45,'Proposed Rates'!$D$252:$J$258,+AL$11-2,FALSE)</f>
        <v>0.157</v>
      </c>
      <c r="AM45" s="420">
        <f>$F$10*'Proposed Rates'!$K$254</f>
        <v>270</v>
      </c>
      <c r="AN45" s="399">
        <f t="shared" si="63"/>
        <v>42.39</v>
      </c>
      <c r="AO45" s="132"/>
      <c r="AP45" s="400">
        <f t="shared" si="21"/>
        <v>0</v>
      </c>
      <c r="AQ45" s="401">
        <f t="shared" si="22"/>
        <v>0</v>
      </c>
      <c r="AR45" s="402"/>
    </row>
    <row r="46" spans="1:44" ht="12.75" customHeight="1">
      <c r="A46" s="52"/>
      <c r="B46" s="52" t="s">
        <v>268</v>
      </c>
      <c r="C46" s="394" t="str">
        <f t="shared" si="51"/>
        <v>Residential.TOU - On Peak</v>
      </c>
      <c r="D46" s="395" t="s">
        <v>312</v>
      </c>
      <c r="E46" s="321"/>
      <c r="F46" s="429">
        <f>VLOOKUP($B46,'Proposed Rates'!$D$252:$J$258,+F$11-2,FALSE)</f>
        <v>0.20300000000000001</v>
      </c>
      <c r="G46" s="420">
        <f>$F$10*'Proposed Rates'!$K$255</f>
        <v>270</v>
      </c>
      <c r="H46" s="399">
        <f t="shared" si="53"/>
        <v>54.81</v>
      </c>
      <c r="I46" s="132"/>
      <c r="J46" s="429">
        <f>VLOOKUP($B46,'Proposed Rates'!$D$252:$J$258,+J$11-2,FALSE)</f>
        <v>0.20300000000000001</v>
      </c>
      <c r="K46" s="420">
        <f>$F$10*'Proposed Rates'!$K$255</f>
        <v>270</v>
      </c>
      <c r="L46" s="399">
        <f t="shared" si="55"/>
        <v>54.81</v>
      </c>
      <c r="M46" s="132"/>
      <c r="N46" s="400">
        <f t="shared" si="36"/>
        <v>0</v>
      </c>
      <c r="O46" s="401">
        <f t="shared" si="37"/>
        <v>0</v>
      </c>
      <c r="P46" s="52"/>
      <c r="Q46" s="429">
        <f>VLOOKUP($B46,'Proposed Rates'!$D$252:$J$258,+Q$11-2,FALSE)</f>
        <v>0.20300000000000001</v>
      </c>
      <c r="R46" s="420">
        <f>$F$10*'Proposed Rates'!$K$255</f>
        <v>270</v>
      </c>
      <c r="S46" s="399">
        <f t="shared" si="57"/>
        <v>54.81</v>
      </c>
      <c r="T46" s="132"/>
      <c r="U46" s="400">
        <f t="shared" si="9"/>
        <v>0</v>
      </c>
      <c r="V46" s="401">
        <f t="shared" si="10"/>
        <v>0</v>
      </c>
      <c r="W46" s="52"/>
      <c r="X46" s="429">
        <f>VLOOKUP($B46,'Proposed Rates'!$D$252:$J$258,+X$11-2,FALSE)</f>
        <v>0.20300000000000001</v>
      </c>
      <c r="Y46" s="420">
        <f>$F$10*'Proposed Rates'!$K$255</f>
        <v>270</v>
      </c>
      <c r="Z46" s="399">
        <f t="shared" si="59"/>
        <v>54.81</v>
      </c>
      <c r="AA46" s="132"/>
      <c r="AB46" s="400">
        <f t="shared" si="13"/>
        <v>0</v>
      </c>
      <c r="AC46" s="401">
        <f t="shared" si="14"/>
        <v>0</v>
      </c>
      <c r="AD46" s="52"/>
      <c r="AE46" s="429">
        <f>VLOOKUP($B46,'Proposed Rates'!$D$252:$J$258,+AE$11-2,FALSE)</f>
        <v>0.20300000000000001</v>
      </c>
      <c r="AF46" s="420">
        <f>$F$10*'Proposed Rates'!$K$255</f>
        <v>270</v>
      </c>
      <c r="AG46" s="399">
        <f t="shared" si="61"/>
        <v>54.81</v>
      </c>
      <c r="AH46" s="132"/>
      <c r="AI46" s="400">
        <f t="shared" si="17"/>
        <v>0</v>
      </c>
      <c r="AJ46" s="401">
        <f t="shared" si="18"/>
        <v>0</v>
      </c>
      <c r="AK46" s="52"/>
      <c r="AL46" s="429">
        <f>VLOOKUP($B46,'Proposed Rates'!$D$252:$J$258,+AL$11-2,FALSE)</f>
        <v>0.20300000000000001</v>
      </c>
      <c r="AM46" s="420">
        <f>$F$10*'Proposed Rates'!$K$255</f>
        <v>270</v>
      </c>
      <c r="AN46" s="399">
        <f t="shared" si="63"/>
        <v>54.81</v>
      </c>
      <c r="AO46" s="132"/>
      <c r="AP46" s="400">
        <f t="shared" si="21"/>
        <v>0</v>
      </c>
      <c r="AQ46" s="401">
        <f t="shared" si="22"/>
        <v>0</v>
      </c>
      <c r="AR46" s="402"/>
    </row>
    <row r="47" spans="1:44" ht="12.75" customHeight="1">
      <c r="A47" s="52"/>
      <c r="B47" s="321" t="s">
        <v>269</v>
      </c>
      <c r="C47" s="394" t="str">
        <f t="shared" si="51"/>
        <v>Residential.Energy - RPP - Tier 1</v>
      </c>
      <c r="D47" s="395" t="s">
        <v>312</v>
      </c>
      <c r="E47" s="321"/>
      <c r="F47" s="429">
        <f>VLOOKUP($B47,'Proposed Rates'!$D$252:$J$258,+F$11-2,FALSE)</f>
        <v>0.12</v>
      </c>
      <c r="G47" s="430">
        <f>IF(AND($S$2=1, $F$10&gt;=600), 600, IF(AND($S$2=1, AND($F$10&lt;600, $F$10&gt;=0)), $F$10, IF(AND($S$2=2, $F$10&gt;=1000), 1000, IF(AND($S$2=2, AND($F$10&lt;1000, $F$10&gt;=0)), $F$10))))</f>
        <v>600</v>
      </c>
      <c r="H47" s="399">
        <f t="shared" si="53"/>
        <v>72</v>
      </c>
      <c r="I47" s="132"/>
      <c r="J47" s="429">
        <f>VLOOKUP($B47,'Proposed Rates'!$D$252:$J$258,+J$11-2,FALSE)</f>
        <v>0.12</v>
      </c>
      <c r="K47" s="430">
        <f>IF(AND($S$2=1, $F$10&gt;=600), 600, IF(AND($S$2=1, AND($F$10&lt;600, $F$10&gt;=0)), $F$10, IF(AND($S$2=2, $F$10&gt;=1000), 1000, IF(AND($S$2=2, AND($F$10&lt;1000, $F$10&gt;=0)), $F$10))))</f>
        <v>600</v>
      </c>
      <c r="L47" s="399">
        <f t="shared" si="55"/>
        <v>72</v>
      </c>
      <c r="M47" s="132"/>
      <c r="N47" s="400">
        <f t="shared" si="36"/>
        <v>0</v>
      </c>
      <c r="O47" s="401">
        <f t="shared" si="37"/>
        <v>0</v>
      </c>
      <c r="P47" s="52"/>
      <c r="Q47" s="429">
        <f>VLOOKUP($B47,'Proposed Rates'!$D$252:$J$258,+Q$11-2,FALSE)</f>
        <v>0.12</v>
      </c>
      <c r="R47" s="430">
        <f>IF(AND($S$2=1, $F$10&gt;=600), 600, IF(AND($S$2=1, AND($F$10&lt;600, $F$10&gt;=0)), $F$10, IF(AND($S$2=2, $F$10&gt;=1000), 1000, IF(AND($S$2=2, AND($F$10&lt;1000, $F$10&gt;=0)), $F$10))))</f>
        <v>600</v>
      </c>
      <c r="S47" s="399">
        <f t="shared" si="57"/>
        <v>72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600</v>
      </c>
      <c r="Z47" s="399">
        <f t="shared" si="59"/>
        <v>72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600</v>
      </c>
      <c r="AG47" s="399">
        <f t="shared" si="61"/>
        <v>72</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600</v>
      </c>
      <c r="AN47" s="399">
        <f t="shared" si="63"/>
        <v>72</v>
      </c>
      <c r="AO47" s="132"/>
      <c r="AP47" s="400">
        <f t="shared" si="21"/>
        <v>0</v>
      </c>
      <c r="AQ47" s="401">
        <f t="shared" si="22"/>
        <v>0</v>
      </c>
      <c r="AR47" s="402"/>
    </row>
    <row r="48" spans="1:44" ht="12.75" customHeight="1">
      <c r="A48" s="52"/>
      <c r="B48" s="321" t="s">
        <v>270</v>
      </c>
      <c r="C48" s="394" t="str">
        <f t="shared" si="51"/>
        <v>Residential.Energy - RPP - Tier 2</v>
      </c>
      <c r="D48" s="395" t="s">
        <v>312</v>
      </c>
      <c r="E48" s="321"/>
      <c r="F48" s="429">
        <f>VLOOKUP($B48,'Proposed Rates'!$D$252:$J$258,+F$11-2,FALSE)</f>
        <v>0.14199999999999999</v>
      </c>
      <c r="G48" s="432">
        <f>IF(AND($S$2=1, $F$10&gt;=600), $F$10-600, IF(AND($S$2=1, AND($F$10&lt;600, $F$10&gt;=0)), 0, IF(AND($S$2=2, $F$10&gt;=1000), $F$10-1000, IF(AND($S$2=2, AND($F$10&lt;1000, $F$10&gt;=0)), 0))))</f>
        <v>900</v>
      </c>
      <c r="H48" s="399">
        <f t="shared" si="53"/>
        <v>127.79999999999998</v>
      </c>
      <c r="I48" s="132"/>
      <c r="J48" s="429">
        <f>VLOOKUP($B48,'Proposed Rates'!$D$252:$J$258,+J$11-2,FALSE)</f>
        <v>0.14199999999999999</v>
      </c>
      <c r="K48" s="432">
        <f>IF(AND($S$2=1, $F$10&gt;=600), $F$10-600, IF(AND($S$2=1, AND($F$10&lt;600, $F$10&gt;=0)), 0, IF(AND($S$2=2, $F$10&gt;=1000), $F$10-1000, IF(AND($S$2=2, AND($F$10&lt;1000, $F$10&gt;=0)), 0))))</f>
        <v>900</v>
      </c>
      <c r="L48" s="399">
        <f t="shared" si="55"/>
        <v>127.79999999999998</v>
      </c>
      <c r="M48" s="132"/>
      <c r="N48" s="400">
        <f t="shared" si="36"/>
        <v>0</v>
      </c>
      <c r="O48" s="401">
        <f t="shared" si="37"/>
        <v>0</v>
      </c>
      <c r="P48" s="52"/>
      <c r="Q48" s="429">
        <f>VLOOKUP($B48,'Proposed Rates'!$D$252:$J$258,+Q$11-2,FALSE)</f>
        <v>0.14199999999999999</v>
      </c>
      <c r="R48" s="432">
        <f>IF(AND($S$2=1, $F$10&gt;=600), $F$10-600, IF(AND($S$2=1, AND($F$10&lt;600, $F$10&gt;=0)), 0, IF(AND($S$2=2, $F$10&gt;=1000), $F$10-1000, IF(AND($S$2=2, AND($F$10&lt;1000, $F$10&gt;=0)), 0))))</f>
        <v>900</v>
      </c>
      <c r="S48" s="399">
        <f t="shared" si="57"/>
        <v>127.79999999999998</v>
      </c>
      <c r="T48" s="132"/>
      <c r="U48" s="400">
        <f t="shared" si="9"/>
        <v>0</v>
      </c>
      <c r="V48" s="401">
        <f t="shared" si="10"/>
        <v>0</v>
      </c>
      <c r="W48" s="52"/>
      <c r="X48" s="429">
        <f>VLOOKUP($B48,'Proposed Rates'!$D$252:$J$258,+X$11-2,FALSE)</f>
        <v>0.14199999999999999</v>
      </c>
      <c r="Y48" s="432">
        <f>IF(AND($S$2=1, $F$10&gt;=600), $F$10-600, IF(AND($S$2=1, AND($F$10&lt;600, $F$10&gt;=0)), 0, IF(AND($S$2=2, $F$10&gt;=1000), $F$10-1000, IF(AND($S$2=2, AND($F$10&lt;1000, $F$10&gt;=0)), 0))))</f>
        <v>900</v>
      </c>
      <c r="Z48" s="399">
        <f t="shared" si="59"/>
        <v>127.79999999999998</v>
      </c>
      <c r="AA48" s="132"/>
      <c r="AB48" s="400">
        <f t="shared" si="13"/>
        <v>0</v>
      </c>
      <c r="AC48" s="401">
        <f t="shared" si="14"/>
        <v>0</v>
      </c>
      <c r="AD48" s="52"/>
      <c r="AE48" s="429">
        <f>VLOOKUP($B48,'Proposed Rates'!$D$252:$J$258,+AE$11-2,FALSE)</f>
        <v>0.14199999999999999</v>
      </c>
      <c r="AF48" s="432">
        <f>IF(AND($S$2=1, $F$10&gt;=600), $F$10-600, IF(AND($S$2=1, AND($F$10&lt;600, $F$10&gt;=0)), 0, IF(AND($S$2=2, $F$10&gt;=1000), $F$10-1000, IF(AND($S$2=2, AND($F$10&lt;1000, $F$10&gt;=0)), 0))))</f>
        <v>900</v>
      </c>
      <c r="AG48" s="399">
        <f t="shared" si="61"/>
        <v>127.79999999999998</v>
      </c>
      <c r="AH48" s="132"/>
      <c r="AI48" s="400">
        <f t="shared" si="17"/>
        <v>0</v>
      </c>
      <c r="AJ48" s="401">
        <f t="shared" si="18"/>
        <v>0</v>
      </c>
      <c r="AK48" s="52"/>
      <c r="AL48" s="429">
        <f>VLOOKUP($B48,'Proposed Rates'!$D$252:$J$258,+AL$11-2,FALSE)</f>
        <v>0.14199999999999999</v>
      </c>
      <c r="AM48" s="432">
        <f>IF(AND($S$2=1, $F$10&gt;=600), $F$10-600, IF(AND($S$2=1, AND($F$10&lt;600, $F$10&gt;=0)), 0, IF(AND($S$2=2, $F$10&gt;=1000), $F$10-1000, IF(AND($S$2=2, AND($F$10&lt;1000, $F$10&gt;=0)), 0))))</f>
        <v>900</v>
      </c>
      <c r="AN48" s="399">
        <f t="shared" si="63"/>
        <v>127.79999999999998</v>
      </c>
      <c r="AO48" s="132"/>
      <c r="AP48" s="400">
        <f t="shared" si="21"/>
        <v>0</v>
      </c>
      <c r="AQ48" s="401">
        <f t="shared" si="22"/>
        <v>0</v>
      </c>
      <c r="AR48" s="402"/>
    </row>
    <row r="49" spans="1:44" ht="8.25"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75" customHeight="1">
      <c r="A50" s="52"/>
      <c r="B50" s="443" t="s">
        <v>319</v>
      </c>
      <c r="C50" s="321"/>
      <c r="D50" s="321"/>
      <c r="E50" s="321"/>
      <c r="F50" s="444"/>
      <c r="G50" s="488"/>
      <c r="H50" s="446">
        <f>SUM(H41:H46,H40)</f>
        <v>273.01085899999998</v>
      </c>
      <c r="I50" s="481"/>
      <c r="J50" s="444"/>
      <c r="K50" s="445"/>
      <c r="L50" s="446">
        <f>SUM(L41:L46,L40)</f>
        <v>279.83860200000004</v>
      </c>
      <c r="M50" s="448"/>
      <c r="N50" s="447">
        <f t="shared" ref="N50:N54" si="64">L50-H50</f>
        <v>6.827743000000055</v>
      </c>
      <c r="O50" s="449">
        <f t="shared" ref="O50:O54" si="65">IF((H50)=0,"",(N50/H50))</f>
        <v>2.5009052845037405E-2</v>
      </c>
      <c r="P50" s="52"/>
      <c r="Q50" s="445"/>
      <c r="R50" s="445"/>
      <c r="S50" s="447">
        <f>SUM(S41:S46,S40)</f>
        <v>282.73860200000001</v>
      </c>
      <c r="T50" s="448"/>
      <c r="U50" s="447">
        <f t="shared" ref="U50:U54" si="66">S50-L50</f>
        <v>2.8999999999999773</v>
      </c>
      <c r="V50" s="449">
        <f t="shared" ref="V50:V54" si="67">IF((L50)=0,"",(U50/L50))</f>
        <v>1.0363116379490693E-2</v>
      </c>
      <c r="W50" s="52"/>
      <c r="X50" s="445"/>
      <c r="Y50" s="445"/>
      <c r="Z50" s="447">
        <f>SUM(Z41:Z46,Z40)</f>
        <v>285.59410000000003</v>
      </c>
      <c r="AA50" s="448"/>
      <c r="AB50" s="447">
        <f t="shared" ref="AB50:AB54" si="68">Z50-S50</f>
        <v>2.8554980000000114</v>
      </c>
      <c r="AC50" s="449">
        <f t="shared" ref="AC50:AC54" si="69">IF((S50)=0,"",(AB50/S50))</f>
        <v>1.0099427456318862E-2</v>
      </c>
      <c r="AD50" s="52"/>
      <c r="AE50" s="445"/>
      <c r="AF50" s="445"/>
      <c r="AG50" s="447">
        <f>SUM(AG41:AG46,AG40)</f>
        <v>287.11410000000001</v>
      </c>
      <c r="AH50" s="448"/>
      <c r="AI50" s="447">
        <f t="shared" ref="AI50:AI54" si="70">AG50-Z50</f>
        <v>1.5199999999999818</v>
      </c>
      <c r="AJ50" s="449">
        <f t="shared" ref="AJ50:AJ54" si="71">IF((Z50)=0,"",(AI50/Z50))</f>
        <v>5.3222387997510509E-3</v>
      </c>
      <c r="AK50" s="52"/>
      <c r="AL50" s="445"/>
      <c r="AM50" s="445"/>
      <c r="AN50" s="447">
        <f>SUM(AN41:AN46,AN40)</f>
        <v>288.50409999999999</v>
      </c>
      <c r="AO50" s="448"/>
      <c r="AP50" s="447">
        <f t="shared" ref="AP50:AP54" si="72">AN50-AG50</f>
        <v>1.3899999999999864</v>
      </c>
      <c r="AQ50" s="449">
        <f t="shared" ref="AQ50:AQ54" si="73">IF((AG50)=0,"",(AP50/AG50))</f>
        <v>4.841280870566741E-3</v>
      </c>
      <c r="AR50" s="450"/>
    </row>
    <row r="51" spans="1:44" ht="12.75" customHeight="1">
      <c r="A51" s="52"/>
      <c r="B51" s="451" t="s">
        <v>320</v>
      </c>
      <c r="C51" s="321"/>
      <c r="D51" s="321"/>
      <c r="E51" s="321"/>
      <c r="F51" s="444">
        <v>0.13</v>
      </c>
      <c r="G51" s="132"/>
      <c r="H51" s="489">
        <f>H50*F51</f>
        <v>35.491411669999998</v>
      </c>
      <c r="I51" s="416"/>
      <c r="J51" s="444">
        <v>0.13</v>
      </c>
      <c r="K51" s="416"/>
      <c r="L51" s="399">
        <f>L50*J51</f>
        <v>36.379018260000009</v>
      </c>
      <c r="M51" s="132"/>
      <c r="N51" s="400">
        <f t="shared" si="64"/>
        <v>0.88760659000001141</v>
      </c>
      <c r="O51" s="401">
        <f t="shared" si="65"/>
        <v>2.5009052845037523E-2</v>
      </c>
      <c r="P51" s="52"/>
      <c r="Q51" s="452">
        <v>0.13</v>
      </c>
      <c r="R51" s="416"/>
      <c r="S51" s="399">
        <f>S50*Q51</f>
        <v>36.756018260000005</v>
      </c>
      <c r="T51" s="132"/>
      <c r="U51" s="400">
        <f t="shared" si="66"/>
        <v>0.37699999999999534</v>
      </c>
      <c r="V51" s="401">
        <f t="shared" si="67"/>
        <v>1.0363116379490644E-2</v>
      </c>
      <c r="W51" s="52"/>
      <c r="X51" s="452">
        <v>0.13</v>
      </c>
      <c r="Y51" s="416"/>
      <c r="Z51" s="399">
        <f>Z50*X51</f>
        <v>37.127233000000004</v>
      </c>
      <c r="AA51" s="132"/>
      <c r="AB51" s="400">
        <f t="shared" si="68"/>
        <v>0.37121473999999921</v>
      </c>
      <c r="AC51" s="401">
        <f t="shared" si="69"/>
        <v>1.00994274563188E-2</v>
      </c>
      <c r="AD51" s="52"/>
      <c r="AE51" s="452">
        <v>0.13</v>
      </c>
      <c r="AF51" s="416"/>
      <c r="AG51" s="399">
        <f>AG50*AE51</f>
        <v>37.324833000000005</v>
      </c>
      <c r="AH51" s="132"/>
      <c r="AI51" s="400">
        <f t="shared" si="70"/>
        <v>0.19760000000000133</v>
      </c>
      <c r="AJ51" s="401">
        <f t="shared" si="71"/>
        <v>5.3222387997511507E-3</v>
      </c>
      <c r="AK51" s="52"/>
      <c r="AL51" s="452">
        <v>0.13</v>
      </c>
      <c r="AM51" s="416"/>
      <c r="AN51" s="399">
        <f>AN50*AL51</f>
        <v>37.505533</v>
      </c>
      <c r="AO51" s="132"/>
      <c r="AP51" s="400">
        <f t="shared" si="72"/>
        <v>0.18069999999999453</v>
      </c>
      <c r="AQ51" s="401">
        <f t="shared" si="73"/>
        <v>4.8412808705666412E-3</v>
      </c>
      <c r="AR51" s="402"/>
    </row>
    <row r="52" spans="1:44" ht="12.75" customHeight="1">
      <c r="A52" s="52"/>
      <c r="B52" s="453" t="s">
        <v>361</v>
      </c>
      <c r="C52" s="321"/>
      <c r="D52" s="321"/>
      <c r="E52" s="321"/>
      <c r="F52" s="454"/>
      <c r="G52" s="132"/>
      <c r="H52" s="489">
        <f>H50+H51</f>
        <v>308.50227066999997</v>
      </c>
      <c r="I52" s="416"/>
      <c r="J52" s="454"/>
      <c r="K52" s="416"/>
      <c r="L52" s="399">
        <f>L50+L51</f>
        <v>316.21762026000005</v>
      </c>
      <c r="M52" s="132"/>
      <c r="N52" s="400">
        <f t="shared" si="64"/>
        <v>7.7153495900000735</v>
      </c>
      <c r="O52" s="401">
        <f t="shared" si="65"/>
        <v>2.500905284503744E-2</v>
      </c>
      <c r="P52" s="52"/>
      <c r="Q52" s="416"/>
      <c r="R52" s="416"/>
      <c r="S52" s="399">
        <f>S50+S51</f>
        <v>319.49462026000003</v>
      </c>
      <c r="T52" s="132"/>
      <c r="U52" s="400">
        <f t="shared" si="66"/>
        <v>3.2769999999999868</v>
      </c>
      <c r="V52" s="401">
        <f t="shared" si="67"/>
        <v>1.0363116379490733E-2</v>
      </c>
      <c r="W52" s="52"/>
      <c r="X52" s="416"/>
      <c r="Y52" s="416"/>
      <c r="Z52" s="399">
        <f>Z50+Z51</f>
        <v>322.72133300000002</v>
      </c>
      <c r="AA52" s="132"/>
      <c r="AB52" s="400">
        <f t="shared" si="68"/>
        <v>3.2267127399999822</v>
      </c>
      <c r="AC52" s="401">
        <f t="shared" si="69"/>
        <v>1.0099427456318765E-2</v>
      </c>
      <c r="AD52" s="52"/>
      <c r="AE52" s="416"/>
      <c r="AF52" s="416"/>
      <c r="AG52" s="399">
        <f>AG50+AG51</f>
        <v>324.43893300000002</v>
      </c>
      <c r="AH52" s="132"/>
      <c r="AI52" s="400">
        <f t="shared" si="70"/>
        <v>1.7176000000000045</v>
      </c>
      <c r="AJ52" s="401">
        <f t="shared" si="71"/>
        <v>5.322238799751129E-3</v>
      </c>
      <c r="AK52" s="52"/>
      <c r="AL52" s="416"/>
      <c r="AM52" s="416"/>
      <c r="AN52" s="399">
        <f>AN50+AN51</f>
        <v>326.00963300000001</v>
      </c>
      <c r="AO52" s="132"/>
      <c r="AP52" s="400">
        <f t="shared" si="72"/>
        <v>1.570699999999988</v>
      </c>
      <c r="AQ52" s="401">
        <f t="shared" si="73"/>
        <v>4.8412808705667514E-3</v>
      </c>
      <c r="AR52" s="402"/>
    </row>
    <row r="53" spans="1:44" ht="15.75" customHeight="1">
      <c r="A53" s="52"/>
      <c r="B53" s="632" t="s">
        <v>277</v>
      </c>
      <c r="C53" s="623"/>
      <c r="D53" s="623"/>
      <c r="E53" s="321"/>
      <c r="F53" s="455">
        <f>'Proposed Rates'!E290</f>
        <v>0.23499999999999999</v>
      </c>
      <c r="G53" s="132"/>
      <c r="H53" s="491">
        <f>F53*H50</f>
        <v>64.157551864999988</v>
      </c>
      <c r="I53" s="416"/>
      <c r="J53" s="455">
        <f>'Proposed Rates'!F290</f>
        <v>0.23499999999999999</v>
      </c>
      <c r="K53" s="416"/>
      <c r="L53" s="456">
        <f>J53*L50</f>
        <v>65.762071470000009</v>
      </c>
      <c r="M53" s="132"/>
      <c r="N53" s="456">
        <f t="shared" si="64"/>
        <v>1.6045196050000214</v>
      </c>
      <c r="O53" s="458">
        <f t="shared" si="65"/>
        <v>2.500905284503754E-2</v>
      </c>
      <c r="P53" s="52"/>
      <c r="Q53" s="457">
        <f>'Proposed Rates'!G290</f>
        <v>0.23499999999999999</v>
      </c>
      <c r="R53" s="416"/>
      <c r="S53" s="456">
        <f>Q53*S50</f>
        <v>66.443571469999995</v>
      </c>
      <c r="T53" s="132"/>
      <c r="U53" s="456">
        <f t="shared" si="66"/>
        <v>0.68149999999998556</v>
      </c>
      <c r="V53" s="458">
        <f t="shared" si="67"/>
        <v>1.0363116379490554E-2</v>
      </c>
      <c r="W53" s="52"/>
      <c r="X53" s="457">
        <f>'Proposed Rates'!H290</f>
        <v>0.23499999999999999</v>
      </c>
      <c r="Y53" s="416"/>
      <c r="Z53" s="456">
        <f>X53*Z50</f>
        <v>67.114613500000004</v>
      </c>
      <c r="AA53" s="132"/>
      <c r="AB53" s="456">
        <f t="shared" si="68"/>
        <v>0.6710420300000095</v>
      </c>
      <c r="AC53" s="458">
        <f t="shared" si="69"/>
        <v>1.0099427456318966E-2</v>
      </c>
      <c r="AD53" s="52"/>
      <c r="AE53" s="457">
        <f>'Proposed Rates'!I290</f>
        <v>0.23499999999999999</v>
      </c>
      <c r="AF53" s="416"/>
      <c r="AG53" s="456">
        <f>AE53*AG50</f>
        <v>67.471813499999996</v>
      </c>
      <c r="AH53" s="132"/>
      <c r="AI53" s="456">
        <f t="shared" si="70"/>
        <v>0.35719999999999175</v>
      </c>
      <c r="AJ53" s="458">
        <f t="shared" si="71"/>
        <v>5.322238799750992E-3</v>
      </c>
      <c r="AK53" s="52"/>
      <c r="AL53" s="457">
        <f>'Proposed Rates'!J290</f>
        <v>0.23499999999999999</v>
      </c>
      <c r="AM53" s="416"/>
      <c r="AN53" s="456">
        <f>AL53*AN50</f>
        <v>67.798463499999997</v>
      </c>
      <c r="AO53" s="132"/>
      <c r="AP53" s="456">
        <f t="shared" si="72"/>
        <v>0.32665000000000077</v>
      </c>
      <c r="AQ53" s="458">
        <f t="shared" si="73"/>
        <v>4.8412808705668E-3</v>
      </c>
      <c r="AR53" s="459"/>
    </row>
    <row r="54" spans="1:44" ht="12.75" customHeight="1">
      <c r="A54" s="52"/>
      <c r="B54" s="634" t="s">
        <v>322</v>
      </c>
      <c r="C54" s="615"/>
      <c r="D54" s="615"/>
      <c r="E54" s="460"/>
      <c r="F54" s="461"/>
      <c r="G54" s="492"/>
      <c r="H54" s="493">
        <f>H52-H53</f>
        <v>244.34471880499999</v>
      </c>
      <c r="I54" s="462"/>
      <c r="J54" s="461"/>
      <c r="K54" s="462"/>
      <c r="L54" s="463">
        <f>L52-L53</f>
        <v>250.45554879000002</v>
      </c>
      <c r="M54" s="464"/>
      <c r="N54" s="465">
        <f t="shared" si="64"/>
        <v>6.1108299850000378</v>
      </c>
      <c r="O54" s="466">
        <f t="shared" si="65"/>
        <v>2.5009052845037356E-2</v>
      </c>
      <c r="P54" s="52"/>
      <c r="Q54" s="462"/>
      <c r="R54" s="462"/>
      <c r="S54" s="463">
        <f>S52-S53</f>
        <v>253.05104879000004</v>
      </c>
      <c r="T54" s="464"/>
      <c r="U54" s="465">
        <f t="shared" si="66"/>
        <v>2.5955000000000155</v>
      </c>
      <c r="V54" s="466">
        <f t="shared" si="67"/>
        <v>1.0363116379490837E-2</v>
      </c>
      <c r="W54" s="52"/>
      <c r="X54" s="462"/>
      <c r="Y54" s="462"/>
      <c r="Z54" s="463">
        <f>Z52-Z53</f>
        <v>255.6067195</v>
      </c>
      <c r="AA54" s="464"/>
      <c r="AB54" s="465">
        <f t="shared" si="68"/>
        <v>2.5556707099999585</v>
      </c>
      <c r="AC54" s="466">
        <f t="shared" si="69"/>
        <v>1.0099427456318658E-2</v>
      </c>
      <c r="AD54" s="52"/>
      <c r="AE54" s="462"/>
      <c r="AF54" s="462"/>
      <c r="AG54" s="463">
        <f>AG52-AG53</f>
        <v>256.96711950000002</v>
      </c>
      <c r="AH54" s="464"/>
      <c r="AI54" s="465">
        <f t="shared" si="70"/>
        <v>1.3604000000000269</v>
      </c>
      <c r="AJ54" s="466">
        <f t="shared" si="71"/>
        <v>5.3222387997512209E-3</v>
      </c>
      <c r="AK54" s="52"/>
      <c r="AL54" s="462"/>
      <c r="AM54" s="462"/>
      <c r="AN54" s="463">
        <f>AN52-AN53</f>
        <v>258.21116949999998</v>
      </c>
      <c r="AO54" s="464"/>
      <c r="AP54" s="465">
        <f t="shared" si="72"/>
        <v>1.2440499999999588</v>
      </c>
      <c r="AQ54" s="466">
        <f t="shared" si="73"/>
        <v>4.8412808705666282E-3</v>
      </c>
      <c r="AR54" s="467"/>
    </row>
    <row r="55" spans="1:44" ht="8.25"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75" customHeight="1">
      <c r="A56" s="52"/>
      <c r="B56" s="443" t="s">
        <v>323</v>
      </c>
      <c r="C56" s="321"/>
      <c r="D56" s="321"/>
      <c r="E56" s="321"/>
      <c r="F56" s="444"/>
      <c r="G56" s="488"/>
      <c r="H56" s="446">
        <f>SUM(H47:H48,H40,H41:H43)</f>
        <v>281.53085899999996</v>
      </c>
      <c r="I56" s="481"/>
      <c r="J56" s="444"/>
      <c r="K56" s="445"/>
      <c r="L56" s="446">
        <f>SUM(L47:L48,L40,L41:L43)</f>
        <v>288.35860200000002</v>
      </c>
      <c r="M56" s="448"/>
      <c r="N56" s="447">
        <f t="shared" ref="N56:N60" si="74">L56-H56</f>
        <v>6.827743000000055</v>
      </c>
      <c r="O56" s="449">
        <f t="shared" ref="O56:O60" si="75">IF((H56)=0,"",(N56/H56))</f>
        <v>2.4252201070434187E-2</v>
      </c>
      <c r="P56" s="52"/>
      <c r="Q56" s="445"/>
      <c r="R56" s="445"/>
      <c r="S56" s="447">
        <f>SUM(S47:S48,S40,S41:S43)</f>
        <v>291.258602</v>
      </c>
      <c r="T56" s="448"/>
      <c r="U56" s="447">
        <f t="shared" ref="U56:U60" si="76">S56-L56</f>
        <v>2.8999999999999773</v>
      </c>
      <c r="V56" s="449">
        <f t="shared" ref="V56:V60" si="77">IF((L56)=0,"",(U56/L56))</f>
        <v>1.005692210978321E-2</v>
      </c>
      <c r="W56" s="52"/>
      <c r="X56" s="445"/>
      <c r="Y56" s="445"/>
      <c r="Z56" s="447">
        <f>SUM(Z47:Z48,Z40,Z41:Z43)</f>
        <v>294.11410000000001</v>
      </c>
      <c r="AA56" s="448"/>
      <c r="AB56" s="447">
        <f t="shared" ref="AB56:AB60" si="78">Z56-S56</f>
        <v>2.8554980000000114</v>
      </c>
      <c r="AC56" s="449">
        <f t="shared" ref="AC56:AC60" si="79">IF((S56)=0,"",(AB56/S56))</f>
        <v>9.8039954198503344E-3</v>
      </c>
      <c r="AD56" s="52"/>
      <c r="AE56" s="445"/>
      <c r="AF56" s="445"/>
      <c r="AG56" s="447">
        <f>SUM(AG47:AG48,AG40,AG41:AG43)</f>
        <v>295.63410000000005</v>
      </c>
      <c r="AH56" s="448"/>
      <c r="AI56" s="447">
        <f t="shared" ref="AI56:AI60" si="80">AG56-Z56</f>
        <v>1.5200000000000387</v>
      </c>
      <c r="AJ56" s="449">
        <f t="shared" ref="AJ56:AJ60" si="81">IF((Z56)=0,"",(AI56/Z56))</f>
        <v>5.1680623268317927E-3</v>
      </c>
      <c r="AK56" s="52"/>
      <c r="AL56" s="445"/>
      <c r="AM56" s="445"/>
      <c r="AN56" s="447">
        <f>SUM(AN47:AN48,AN40,AN41:AN43)</f>
        <v>297.02410000000003</v>
      </c>
      <c r="AO56" s="448"/>
      <c r="AP56" s="447">
        <f t="shared" ref="AP56:AP60" si="82">AN56-AG56</f>
        <v>1.3899999999999864</v>
      </c>
      <c r="AQ56" s="449">
        <f t="shared" ref="AQ56:AQ60" si="83">IF((AG56)=0,"",(AP56/AG56))</f>
        <v>4.7017580177658334E-3</v>
      </c>
      <c r="AR56" s="450"/>
    </row>
    <row r="57" spans="1:44" ht="12.75" customHeight="1">
      <c r="A57" s="52"/>
      <c r="B57" s="451" t="s">
        <v>320</v>
      </c>
      <c r="C57" s="321"/>
      <c r="D57" s="321"/>
      <c r="E57" s="321"/>
      <c r="F57" s="444">
        <v>0.13</v>
      </c>
      <c r="G57" s="488"/>
      <c r="H57" s="489">
        <f>H56*F57</f>
        <v>36.599011669999996</v>
      </c>
      <c r="I57" s="416"/>
      <c r="J57" s="444">
        <v>0.13</v>
      </c>
      <c r="K57" s="452"/>
      <c r="L57" s="399">
        <f>L56*J57</f>
        <v>37.48661826</v>
      </c>
      <c r="M57" s="132"/>
      <c r="N57" s="400">
        <f t="shared" si="74"/>
        <v>0.8876065900000043</v>
      </c>
      <c r="O57" s="401">
        <f t="shared" si="75"/>
        <v>2.4252201070434107E-2</v>
      </c>
      <c r="P57" s="52"/>
      <c r="Q57" s="444">
        <v>0.13</v>
      </c>
      <c r="R57" s="452"/>
      <c r="S57" s="399">
        <f>S56*Q57</f>
        <v>37.863618260000003</v>
      </c>
      <c r="T57" s="132"/>
      <c r="U57" s="400">
        <f t="shared" si="76"/>
        <v>0.37700000000000244</v>
      </c>
      <c r="V57" s="401">
        <f t="shared" si="77"/>
        <v>1.0056922109783355E-2</v>
      </c>
      <c r="W57" s="52"/>
      <c r="X57" s="444">
        <v>0.13</v>
      </c>
      <c r="Y57" s="452"/>
      <c r="Z57" s="399">
        <f>Z56*X57</f>
        <v>38.234833000000002</v>
      </c>
      <c r="AA57" s="132"/>
      <c r="AB57" s="400">
        <f t="shared" si="78"/>
        <v>0.37121473999999921</v>
      </c>
      <c r="AC57" s="401">
        <f t="shared" si="79"/>
        <v>9.8039954198502737E-3</v>
      </c>
      <c r="AD57" s="52"/>
      <c r="AE57" s="444">
        <v>0.13</v>
      </c>
      <c r="AF57" s="452"/>
      <c r="AG57" s="399">
        <f>AG56*AE57</f>
        <v>38.43243300000001</v>
      </c>
      <c r="AH57" s="132"/>
      <c r="AI57" s="400">
        <f t="shared" si="80"/>
        <v>0.19760000000000844</v>
      </c>
      <c r="AJ57" s="401">
        <f t="shared" si="81"/>
        <v>5.168062326831882E-3</v>
      </c>
      <c r="AK57" s="52"/>
      <c r="AL57" s="444">
        <v>0.13</v>
      </c>
      <c r="AM57" s="452"/>
      <c r="AN57" s="399">
        <f>AN56*AL57</f>
        <v>38.613133000000005</v>
      </c>
      <c r="AO57" s="132"/>
      <c r="AP57" s="400">
        <f t="shared" si="82"/>
        <v>0.18069999999999453</v>
      </c>
      <c r="AQ57" s="401">
        <f t="shared" si="83"/>
        <v>4.7017580177657363E-3</v>
      </c>
      <c r="AR57" s="402"/>
    </row>
    <row r="58" spans="1:44" ht="12.75" customHeight="1">
      <c r="A58" s="52"/>
      <c r="B58" s="453" t="s">
        <v>362</v>
      </c>
      <c r="C58" s="321"/>
      <c r="D58" s="321"/>
      <c r="E58" s="321"/>
      <c r="F58" s="454"/>
      <c r="G58" s="132"/>
      <c r="H58" s="489">
        <f>H56+H57</f>
        <v>318.12987066999995</v>
      </c>
      <c r="I58" s="416"/>
      <c r="J58" s="454"/>
      <c r="K58" s="416"/>
      <c r="L58" s="399">
        <f>L56+L57</f>
        <v>325.84522026000002</v>
      </c>
      <c r="M58" s="132"/>
      <c r="N58" s="400">
        <f t="shared" si="74"/>
        <v>7.7153495900000735</v>
      </c>
      <c r="O58" s="401">
        <f t="shared" si="75"/>
        <v>2.4252201070434222E-2</v>
      </c>
      <c r="P58" s="52"/>
      <c r="Q58" s="416"/>
      <c r="R58" s="416"/>
      <c r="S58" s="399">
        <f>S56+S57</f>
        <v>329.12222026000001</v>
      </c>
      <c r="T58" s="132"/>
      <c r="U58" s="400">
        <f t="shared" si="76"/>
        <v>3.2769999999999868</v>
      </c>
      <c r="V58" s="401">
        <f t="shared" si="77"/>
        <v>1.005692210978325E-2</v>
      </c>
      <c r="W58" s="52"/>
      <c r="X58" s="416"/>
      <c r="Y58" s="416"/>
      <c r="Z58" s="399">
        <f>Z56+Z57</f>
        <v>332.34893299999999</v>
      </c>
      <c r="AA58" s="132"/>
      <c r="AB58" s="400">
        <f t="shared" si="78"/>
        <v>3.2267127399999822</v>
      </c>
      <c r="AC58" s="401">
        <f t="shared" si="79"/>
        <v>9.8039954198502408E-3</v>
      </c>
      <c r="AD58" s="52"/>
      <c r="AE58" s="416"/>
      <c r="AF58" s="416"/>
      <c r="AG58" s="399">
        <f>AG56+AG57</f>
        <v>334.06653300000005</v>
      </c>
      <c r="AH58" s="132"/>
      <c r="AI58" s="400">
        <f t="shared" si="80"/>
        <v>1.7176000000000613</v>
      </c>
      <c r="AJ58" s="401">
        <f t="shared" si="81"/>
        <v>5.1680623268318465E-3</v>
      </c>
      <c r="AK58" s="52"/>
      <c r="AL58" s="416"/>
      <c r="AM58" s="416"/>
      <c r="AN58" s="399">
        <f>AN56+AN57</f>
        <v>335.63723300000004</v>
      </c>
      <c r="AO58" s="132"/>
      <c r="AP58" s="400">
        <f t="shared" si="82"/>
        <v>1.570699999999988</v>
      </c>
      <c r="AQ58" s="401">
        <f t="shared" si="83"/>
        <v>4.7017580177658438E-3</v>
      </c>
      <c r="AR58" s="402"/>
    </row>
    <row r="59" spans="1:44" ht="15.75" customHeight="1">
      <c r="A59" s="52"/>
      <c r="B59" s="632" t="s">
        <v>277</v>
      </c>
      <c r="C59" s="623"/>
      <c r="D59" s="623"/>
      <c r="E59" s="321"/>
      <c r="F59" s="455">
        <f>F53</f>
        <v>0.23499999999999999</v>
      </c>
      <c r="G59" s="132"/>
      <c r="H59" s="491">
        <f>F59*H56</f>
        <v>66.15975186499999</v>
      </c>
      <c r="I59" s="416"/>
      <c r="J59" s="455">
        <f>J53</f>
        <v>0.23499999999999999</v>
      </c>
      <c r="K59" s="416"/>
      <c r="L59" s="456">
        <f>J59*L56</f>
        <v>67.764271469999997</v>
      </c>
      <c r="M59" s="132"/>
      <c r="N59" s="456">
        <f t="shared" si="74"/>
        <v>1.6045196050000072</v>
      </c>
      <c r="O59" s="458">
        <f t="shared" si="75"/>
        <v>2.4252201070434101E-2</v>
      </c>
      <c r="P59" s="52"/>
      <c r="Q59" s="457">
        <f>Q53</f>
        <v>0.23499999999999999</v>
      </c>
      <c r="R59" s="416"/>
      <c r="S59" s="456">
        <f>Q59*S56</f>
        <v>68.445771469999997</v>
      </c>
      <c r="T59" s="132"/>
      <c r="U59" s="456">
        <f t="shared" si="76"/>
        <v>0.68149999999999977</v>
      </c>
      <c r="V59" s="458">
        <f t="shared" si="77"/>
        <v>1.0056922109783288E-2</v>
      </c>
      <c r="W59" s="52"/>
      <c r="X59" s="457">
        <f>X53</f>
        <v>0.23499999999999999</v>
      </c>
      <c r="Y59" s="416"/>
      <c r="Z59" s="456">
        <f>X59*Z56</f>
        <v>69.116813499999992</v>
      </c>
      <c r="AA59" s="132"/>
      <c r="AB59" s="456">
        <f t="shared" si="78"/>
        <v>0.67104202999999529</v>
      </c>
      <c r="AC59" s="458">
        <f t="shared" si="79"/>
        <v>9.8039954198502269E-3</v>
      </c>
      <c r="AD59" s="52"/>
      <c r="AE59" s="457">
        <f>AE53</f>
        <v>0.23499999999999999</v>
      </c>
      <c r="AF59" s="416"/>
      <c r="AG59" s="456">
        <f>AE59*AG56</f>
        <v>69.474013500000012</v>
      </c>
      <c r="AH59" s="132"/>
      <c r="AI59" s="456">
        <f t="shared" si="80"/>
        <v>0.35720000000002017</v>
      </c>
      <c r="AJ59" s="458">
        <f t="shared" si="81"/>
        <v>5.168062326831954E-3</v>
      </c>
      <c r="AK59" s="52"/>
      <c r="AL59" s="457">
        <f>AL53</f>
        <v>0.23499999999999999</v>
      </c>
      <c r="AM59" s="416"/>
      <c r="AN59" s="456">
        <f>AL59*AN56</f>
        <v>69.800663499999999</v>
      </c>
      <c r="AO59" s="132"/>
      <c r="AP59" s="456">
        <f t="shared" si="82"/>
        <v>0.32664999999998656</v>
      </c>
      <c r="AQ59" s="458">
        <f t="shared" si="83"/>
        <v>4.7017580177656859E-3</v>
      </c>
      <c r="AR59" s="459"/>
    </row>
    <row r="60" spans="1:44" ht="12.75" customHeight="1">
      <c r="A60" s="52"/>
      <c r="B60" s="634" t="s">
        <v>325</v>
      </c>
      <c r="C60" s="615"/>
      <c r="D60" s="615"/>
      <c r="E60" s="460"/>
      <c r="F60" s="468"/>
      <c r="G60" s="494"/>
      <c r="H60" s="495">
        <f>H58-H59</f>
        <v>251.97011880499997</v>
      </c>
      <c r="I60" s="469"/>
      <c r="J60" s="468"/>
      <c r="K60" s="469"/>
      <c r="L60" s="470">
        <f>L58-L59</f>
        <v>258.08094879000004</v>
      </c>
      <c r="M60" s="471"/>
      <c r="N60" s="472">
        <f t="shared" si="74"/>
        <v>6.1108299850000662</v>
      </c>
      <c r="O60" s="473">
        <f t="shared" si="75"/>
        <v>2.4252201070434253E-2</v>
      </c>
      <c r="P60" s="52"/>
      <c r="Q60" s="469"/>
      <c r="R60" s="469"/>
      <c r="S60" s="470">
        <f>S58-S59</f>
        <v>260.67644878999999</v>
      </c>
      <c r="T60" s="471"/>
      <c r="U60" s="472">
        <f t="shared" si="76"/>
        <v>2.5954999999999586</v>
      </c>
      <c r="V60" s="473">
        <f t="shared" si="77"/>
        <v>1.0056922109783128E-2</v>
      </c>
      <c r="W60" s="52"/>
      <c r="X60" s="469"/>
      <c r="Y60" s="469"/>
      <c r="Z60" s="470">
        <f>Z58-Z59</f>
        <v>263.23211950000001</v>
      </c>
      <c r="AA60" s="471"/>
      <c r="AB60" s="472">
        <f t="shared" si="78"/>
        <v>2.5556707100000153</v>
      </c>
      <c r="AC60" s="473">
        <f t="shared" si="79"/>
        <v>9.8039954198503535E-3</v>
      </c>
      <c r="AD60" s="52"/>
      <c r="AE60" s="469"/>
      <c r="AF60" s="469"/>
      <c r="AG60" s="470">
        <f>AG58-AG59</f>
        <v>264.59251950000004</v>
      </c>
      <c r="AH60" s="471"/>
      <c r="AI60" s="472">
        <f t="shared" si="80"/>
        <v>1.3604000000000269</v>
      </c>
      <c r="AJ60" s="473">
        <f t="shared" si="81"/>
        <v>5.1680623268317641E-3</v>
      </c>
      <c r="AK60" s="52"/>
      <c r="AL60" s="469"/>
      <c r="AM60" s="469"/>
      <c r="AN60" s="470">
        <f>AN58-AN59</f>
        <v>265.83656950000005</v>
      </c>
      <c r="AO60" s="471"/>
      <c r="AP60" s="472">
        <f t="shared" si="82"/>
        <v>1.2440500000000156</v>
      </c>
      <c r="AQ60" s="473">
        <f t="shared" si="83"/>
        <v>4.7017580177659384E-3</v>
      </c>
      <c r="AR60" s="467"/>
    </row>
    <row r="61" spans="1:44" ht="8.25"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75"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75"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5.75" customHeight="1">
      <c r="A65" s="478" t="s">
        <v>363</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3.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8.25"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75"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000-000000000000}">
      <formula1>"TOU,non-TOU"</formula1>
    </dataValidation>
    <dataValidation type="list" allowBlank="1" showErrorMessage="1" sqref="E15:E28 E30:E36 E38:E39 E41:E49 E55 E61" xr:uid="{00000000-0002-0000-1000-000001000000}">
      <formula1>#REF!</formula1>
    </dataValidation>
    <dataValidation type="list" allowBlank="1" showInputMessage="1" showErrorMessage="1" prompt="Select Charge Unit - monthly, per kWh, per kW" sqref="D15:D28 D30:D36 D38:D39 D41:D49 D55 D61" xr:uid="{00000000-0002-0000-1000-000002000000}">
      <formula1>"Monthly,per kWh,per kW"</formula1>
    </dataValidation>
  </dataValidations>
  <pageMargins left="0.74803149606299213" right="0.74803149606299213" top="0.98425196850393704" bottom="0.98425196850393704"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855468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5"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5"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20" t="s">
        <v>298</v>
      </c>
      <c r="C6" s="52"/>
      <c r="D6" s="380" t="s">
        <v>222</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7" t="s">
        <v>301</v>
      </c>
      <c r="E10" s="307"/>
      <c r="F10" s="385">
        <v>2000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5"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5"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5"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5" ht="12"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9">
        <f t="shared" ref="H15:H28" si="2">G15*F15</f>
        <v>34.26</v>
      </c>
      <c r="I15" s="13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5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c r="AR15" s="402"/>
    </row>
    <row r="16" spans="1:45" ht="12" customHeight="1">
      <c r="A16" s="52"/>
      <c r="B16" s="321" t="s">
        <v>311</v>
      </c>
      <c r="C16" s="394" t="str">
        <f t="shared" si="0"/>
        <v>Residential.Smart Meter Rate Adder</v>
      </c>
      <c r="D16" s="395" t="s">
        <v>310</v>
      </c>
      <c r="E16" s="321"/>
      <c r="F16" s="396">
        <f>IFERROR(VLOOKUP($C16,'Proposed Rates'!$B:$J,F$11,FALSE),0)</f>
        <v>0</v>
      </c>
      <c r="G16" s="397">
        <f t="shared" si="1"/>
        <v>1</v>
      </c>
      <c r="H16" s="399">
        <f t="shared" si="2"/>
        <v>0</v>
      </c>
      <c r="I16" s="13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52"/>
      <c r="AL16" s="396">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2000</v>
      </c>
      <c r="H17" s="399">
        <f t="shared" si="2"/>
        <v>0</v>
      </c>
      <c r="I17" s="132"/>
      <c r="J17" s="396">
        <f>IFERROR(VLOOKUP($C17,'Proposed Rates'!$B:$J,J$11,FALSE),0)</f>
        <v>0</v>
      </c>
      <c r="K17" s="397">
        <f t="shared" si="3"/>
        <v>2000</v>
      </c>
      <c r="L17" s="399">
        <f t="shared" si="4"/>
        <v>0</v>
      </c>
      <c r="M17" s="132"/>
      <c r="N17" s="400">
        <f t="shared" si="5"/>
        <v>0</v>
      </c>
      <c r="O17" s="401" t="str">
        <f t="shared" si="6"/>
        <v/>
      </c>
      <c r="P17" s="52"/>
      <c r="Q17" s="396">
        <f>IFERROR(VLOOKUP($C17,'Proposed Rates'!$B:$J,Q$11,FALSE),0)</f>
        <v>0</v>
      </c>
      <c r="R17" s="397">
        <f t="shared" si="7"/>
        <v>2000</v>
      </c>
      <c r="S17" s="399">
        <f t="shared" si="8"/>
        <v>0</v>
      </c>
      <c r="T17" s="132"/>
      <c r="U17" s="400">
        <f t="shared" si="9"/>
        <v>0</v>
      </c>
      <c r="V17" s="401" t="str">
        <f t="shared" si="10"/>
        <v/>
      </c>
      <c r="W17" s="52"/>
      <c r="X17" s="396">
        <f>IFERROR(VLOOKUP($C17,'Proposed Rates'!$B:$J,X$11,FALSE),0)</f>
        <v>0</v>
      </c>
      <c r="Y17" s="397">
        <f t="shared" si="11"/>
        <v>2000</v>
      </c>
      <c r="Z17" s="399">
        <f t="shared" si="12"/>
        <v>0</v>
      </c>
      <c r="AA17" s="132"/>
      <c r="AB17" s="400">
        <f t="shared" si="13"/>
        <v>0</v>
      </c>
      <c r="AC17" s="401" t="str">
        <f t="shared" si="14"/>
        <v/>
      </c>
      <c r="AD17" s="52"/>
      <c r="AE17" s="396">
        <f>IFERROR(VLOOKUP($C17,'Proposed Rates'!$B:$J,AE$11,FALSE),0)</f>
        <v>0</v>
      </c>
      <c r="AF17" s="397">
        <f t="shared" si="15"/>
        <v>2000</v>
      </c>
      <c r="AG17" s="399">
        <f t="shared" si="16"/>
        <v>0</v>
      </c>
      <c r="AH17" s="132"/>
      <c r="AI17" s="400">
        <f t="shared" si="17"/>
        <v>0</v>
      </c>
      <c r="AJ17" s="401" t="str">
        <f t="shared" si="18"/>
        <v/>
      </c>
      <c r="AK17" s="52"/>
      <c r="AL17" s="396">
        <f>IFERROR(VLOOKUP($C17,'Proposed Rates'!$B:$J,AL$11,FALSE),0)</f>
        <v>0</v>
      </c>
      <c r="AM17" s="397">
        <f t="shared" si="19"/>
        <v>2000</v>
      </c>
      <c r="AN17" s="399">
        <f t="shared" si="20"/>
        <v>0</v>
      </c>
      <c r="AO17" s="132"/>
      <c r="AP17" s="400">
        <f t="shared" si="21"/>
        <v>0</v>
      </c>
      <c r="AQ17" s="401" t="str">
        <f t="shared" si="22"/>
        <v/>
      </c>
      <c r="AR17" s="402"/>
    </row>
    <row r="18" spans="1:44" ht="12"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9">
        <f t="shared" si="2"/>
        <v>0</v>
      </c>
      <c r="I18" s="13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52"/>
      <c r="AL18" s="396">
        <f>IFERROR(VLOOKUP($C18,'Proposed Rates'!$B:$J,AL$11,FALSE),0)</f>
        <v>0</v>
      </c>
      <c r="AM18" s="397">
        <f t="shared" si="19"/>
        <v>1</v>
      </c>
      <c r="AN18" s="399">
        <f t="shared" si="20"/>
        <v>0</v>
      </c>
      <c r="AO18" s="132"/>
      <c r="AP18" s="400">
        <f t="shared" si="21"/>
        <v>0</v>
      </c>
      <c r="AQ18" s="401" t="str">
        <f t="shared" si="22"/>
        <v/>
      </c>
      <c r="AR18" s="402"/>
    </row>
    <row r="19" spans="1:44" ht="12" customHeight="1">
      <c r="A19" s="52"/>
      <c r="B19" s="321" t="s">
        <v>59</v>
      </c>
      <c r="C19" s="394" t="str">
        <f t="shared" si="0"/>
        <v>Residential.Distribution Volumetric Rate</v>
      </c>
      <c r="D19" s="395" t="s">
        <v>312</v>
      </c>
      <c r="E19" s="321"/>
      <c r="F19" s="396">
        <f>IFERROR(VLOOKUP($C19,'Proposed Rates'!$B:$J,F$11,FALSE),0)</f>
        <v>0</v>
      </c>
      <c r="G19" s="397">
        <f t="shared" si="1"/>
        <v>2000</v>
      </c>
      <c r="H19" s="399">
        <f t="shared" si="2"/>
        <v>0</v>
      </c>
      <c r="I19" s="132"/>
      <c r="J19" s="396">
        <f>IFERROR(VLOOKUP($C19,'Proposed Rates'!$B:$J,J$11,FALSE),0)</f>
        <v>0</v>
      </c>
      <c r="K19" s="397">
        <f t="shared" si="3"/>
        <v>2000</v>
      </c>
      <c r="L19" s="399">
        <f t="shared" si="4"/>
        <v>0</v>
      </c>
      <c r="M19" s="132"/>
      <c r="N19" s="400">
        <f t="shared" si="5"/>
        <v>0</v>
      </c>
      <c r="O19" s="401" t="str">
        <f t="shared" si="6"/>
        <v/>
      </c>
      <c r="P19" s="52"/>
      <c r="Q19" s="396">
        <f>IFERROR(VLOOKUP($C19,'Proposed Rates'!$B:$J,Q$11,FALSE),0)</f>
        <v>0</v>
      </c>
      <c r="R19" s="397">
        <f t="shared" si="7"/>
        <v>2000</v>
      </c>
      <c r="S19" s="399">
        <f t="shared" si="8"/>
        <v>0</v>
      </c>
      <c r="T19" s="132"/>
      <c r="U19" s="400">
        <f t="shared" si="9"/>
        <v>0</v>
      </c>
      <c r="V19" s="401" t="str">
        <f t="shared" si="10"/>
        <v/>
      </c>
      <c r="W19" s="52"/>
      <c r="X19" s="396">
        <f>IFERROR(VLOOKUP($C19,'Proposed Rates'!$B:$J,X$11,FALSE),0)</f>
        <v>0</v>
      </c>
      <c r="Y19" s="397">
        <f t="shared" si="11"/>
        <v>2000</v>
      </c>
      <c r="Z19" s="399">
        <f t="shared" si="12"/>
        <v>0</v>
      </c>
      <c r="AA19" s="132"/>
      <c r="AB19" s="400">
        <f t="shared" si="13"/>
        <v>0</v>
      </c>
      <c r="AC19" s="401" t="str">
        <f t="shared" si="14"/>
        <v/>
      </c>
      <c r="AD19" s="52"/>
      <c r="AE19" s="396">
        <f>IFERROR(VLOOKUP($C19,'Proposed Rates'!$B:$J,AE$11,FALSE),0)</f>
        <v>0</v>
      </c>
      <c r="AF19" s="397">
        <f t="shared" si="15"/>
        <v>2000</v>
      </c>
      <c r="AG19" s="399">
        <f t="shared" si="16"/>
        <v>0</v>
      </c>
      <c r="AH19" s="132"/>
      <c r="AI19" s="400">
        <f t="shared" si="17"/>
        <v>0</v>
      </c>
      <c r="AJ19" s="401" t="str">
        <f t="shared" si="18"/>
        <v/>
      </c>
      <c r="AK19" s="52"/>
      <c r="AL19" s="396">
        <f>IFERROR(VLOOKUP($C19,'Proposed Rates'!$B:$J,AL$11,FALSE),0)</f>
        <v>0</v>
      </c>
      <c r="AM19" s="397">
        <f t="shared" si="19"/>
        <v>2000</v>
      </c>
      <c r="AN19" s="399">
        <f t="shared" si="20"/>
        <v>0</v>
      </c>
      <c r="AO19" s="132"/>
      <c r="AP19" s="400">
        <f t="shared" si="21"/>
        <v>0</v>
      </c>
      <c r="AQ19" s="401" t="str">
        <f t="shared" si="22"/>
        <v/>
      </c>
      <c r="AR19" s="402"/>
    </row>
    <row r="20" spans="1:44" ht="12" customHeight="1">
      <c r="A20" s="52"/>
      <c r="B20" s="321" t="s">
        <v>313</v>
      </c>
      <c r="C20" s="394" t="str">
        <f t="shared" si="0"/>
        <v>Residential.Smart Meter Disposition Rider</v>
      </c>
      <c r="D20" s="395" t="s">
        <v>312</v>
      </c>
      <c r="E20" s="321"/>
      <c r="F20" s="396">
        <f>IFERROR(VLOOKUP($C20,'Proposed Rates'!$B:$J,F$11,FALSE),0)</f>
        <v>0</v>
      </c>
      <c r="G20" s="397">
        <f t="shared" si="1"/>
        <v>2000</v>
      </c>
      <c r="H20" s="399">
        <f t="shared" si="2"/>
        <v>0</v>
      </c>
      <c r="I20" s="132"/>
      <c r="J20" s="396">
        <f>IFERROR(VLOOKUP($C20,'Proposed Rates'!$B:$J,J$11,FALSE),0)</f>
        <v>0</v>
      </c>
      <c r="K20" s="397">
        <f t="shared" si="3"/>
        <v>2000</v>
      </c>
      <c r="L20" s="399">
        <f t="shared" si="4"/>
        <v>0</v>
      </c>
      <c r="M20" s="132"/>
      <c r="N20" s="400">
        <f t="shared" si="5"/>
        <v>0</v>
      </c>
      <c r="O20" s="401" t="str">
        <f t="shared" si="6"/>
        <v/>
      </c>
      <c r="P20" s="52"/>
      <c r="Q20" s="396">
        <f>IFERROR(VLOOKUP($C20,'Proposed Rates'!$B:$J,Q$11,FALSE),0)</f>
        <v>0</v>
      </c>
      <c r="R20" s="397">
        <f t="shared" si="7"/>
        <v>2000</v>
      </c>
      <c r="S20" s="399">
        <f t="shared" si="8"/>
        <v>0</v>
      </c>
      <c r="T20" s="132"/>
      <c r="U20" s="400">
        <f t="shared" si="9"/>
        <v>0</v>
      </c>
      <c r="V20" s="401" t="str">
        <f t="shared" si="10"/>
        <v/>
      </c>
      <c r="W20" s="52"/>
      <c r="X20" s="396">
        <f>IFERROR(VLOOKUP($C20,'Proposed Rates'!$B:$J,X$11,FALSE),0)</f>
        <v>0</v>
      </c>
      <c r="Y20" s="397">
        <f t="shared" si="11"/>
        <v>2000</v>
      </c>
      <c r="Z20" s="399">
        <f t="shared" si="12"/>
        <v>0</v>
      </c>
      <c r="AA20" s="132"/>
      <c r="AB20" s="400">
        <f t="shared" si="13"/>
        <v>0</v>
      </c>
      <c r="AC20" s="401" t="str">
        <f t="shared" si="14"/>
        <v/>
      </c>
      <c r="AD20" s="52"/>
      <c r="AE20" s="396">
        <f>IFERROR(VLOOKUP($C20,'Proposed Rates'!$B:$J,AE$11,FALSE),0)</f>
        <v>0</v>
      </c>
      <c r="AF20" s="397">
        <f t="shared" si="15"/>
        <v>2000</v>
      </c>
      <c r="AG20" s="399">
        <f t="shared" si="16"/>
        <v>0</v>
      </c>
      <c r="AH20" s="132"/>
      <c r="AI20" s="400">
        <f t="shared" si="17"/>
        <v>0</v>
      </c>
      <c r="AJ20" s="401" t="str">
        <f t="shared" si="18"/>
        <v/>
      </c>
      <c r="AK20" s="52"/>
      <c r="AL20" s="396">
        <f>IFERROR(VLOOKUP($C20,'Proposed Rates'!$B:$J,AL$11,FALSE),0)</f>
        <v>0</v>
      </c>
      <c r="AM20" s="397">
        <f t="shared" si="19"/>
        <v>2000</v>
      </c>
      <c r="AN20" s="399">
        <f t="shared" si="20"/>
        <v>0</v>
      </c>
      <c r="AO20" s="132"/>
      <c r="AP20" s="400">
        <f t="shared" si="21"/>
        <v>0</v>
      </c>
      <c r="AQ20" s="401" t="str">
        <f t="shared" si="22"/>
        <v/>
      </c>
      <c r="AR20" s="402"/>
    </row>
    <row r="21" spans="1:44" ht="12"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52"/>
      <c r="AL21" s="396">
        <f>IFERROR(VLOOKUP($C21,'Proposed Rates'!$B:$J,AL$11,FALSE),0)</f>
        <v>0</v>
      </c>
      <c r="AM21" s="397">
        <f t="shared" si="19"/>
        <v>1</v>
      </c>
      <c r="AN21" s="399">
        <f t="shared" si="20"/>
        <v>0</v>
      </c>
      <c r="AO21" s="132"/>
      <c r="AP21" s="400">
        <f t="shared" si="21"/>
        <v>0</v>
      </c>
      <c r="AQ21" s="401" t="str">
        <f t="shared" si="22"/>
        <v/>
      </c>
      <c r="AR21" s="402"/>
    </row>
    <row r="22" spans="1:44" ht="12" customHeight="1">
      <c r="A22" s="52"/>
      <c r="B22" s="403" t="s">
        <v>240</v>
      </c>
      <c r="C22" s="394" t="str">
        <f t="shared" si="0"/>
        <v>Residential.Deferral/Variance Account Disposition Rate Rider Group 2</v>
      </c>
      <c r="D22" s="395" t="s">
        <v>310</v>
      </c>
      <c r="E22" s="321"/>
      <c r="F22" s="396">
        <f>IFERROR(VLOOKUP($C22,'Proposed Rates'!$B:$J,F$11,FALSE),0)</f>
        <v>0</v>
      </c>
      <c r="G22" s="397">
        <f t="shared" si="1"/>
        <v>1</v>
      </c>
      <c r="H22" s="399">
        <f t="shared" si="2"/>
        <v>0</v>
      </c>
      <c r="I22" s="13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52"/>
      <c r="AL22" s="396">
        <f>IFERROR(VLOOKUP($C22,'Proposed Rates'!$B:$J,AL$11,FALSE),0)</f>
        <v>0</v>
      </c>
      <c r="AM22" s="397">
        <f t="shared" si="19"/>
        <v>1</v>
      </c>
      <c r="AN22" s="399">
        <f t="shared" si="20"/>
        <v>0</v>
      </c>
      <c r="AO22" s="132"/>
      <c r="AP22" s="400">
        <f t="shared" si="21"/>
        <v>0</v>
      </c>
      <c r="AQ22" s="401" t="str">
        <f t="shared" si="22"/>
        <v/>
      </c>
      <c r="AR22" s="402"/>
    </row>
    <row r="23" spans="1:44" ht="12" customHeight="1">
      <c r="A23" s="52"/>
      <c r="B23" s="403"/>
      <c r="C23" s="394" t="str">
        <f t="shared" si="0"/>
        <v>Residential.</v>
      </c>
      <c r="D23" s="395"/>
      <c r="E23" s="321"/>
      <c r="F23" s="396">
        <f>IFERROR(VLOOKUP($C23,'Proposed Rates'!$B:$J,F$11,FALSE),0)</f>
        <v>0</v>
      </c>
      <c r="G23" s="397">
        <f t="shared" si="1"/>
        <v>0</v>
      </c>
      <c r="H23" s="399">
        <f t="shared" si="2"/>
        <v>0</v>
      </c>
      <c r="I23" s="13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52"/>
      <c r="AL23" s="396">
        <f>IFERROR(VLOOKUP($C23,'Proposed Rates'!$B:$J,AL$11,FALSE),0)</f>
        <v>0</v>
      </c>
      <c r="AM23" s="397">
        <f t="shared" si="19"/>
        <v>0</v>
      </c>
      <c r="AN23" s="399">
        <f t="shared" si="20"/>
        <v>0</v>
      </c>
      <c r="AO23" s="132"/>
      <c r="AP23" s="400">
        <f t="shared" si="21"/>
        <v>0</v>
      </c>
      <c r="AQ23" s="401" t="str">
        <f t="shared" si="22"/>
        <v/>
      </c>
      <c r="AR23" s="402"/>
    </row>
    <row r="24" spans="1:44" ht="12" customHeight="1">
      <c r="A24" s="52"/>
      <c r="B24" s="403"/>
      <c r="C24" s="394" t="str">
        <f t="shared" si="0"/>
        <v>Residential.</v>
      </c>
      <c r="D24" s="395"/>
      <c r="E24" s="321"/>
      <c r="F24" s="396">
        <f>IFERROR(VLOOKUP($C24,'Proposed Rates'!$B:$J,F$11,FALSE),0)</f>
        <v>0</v>
      </c>
      <c r="G24" s="397">
        <f t="shared" si="1"/>
        <v>0</v>
      </c>
      <c r="H24" s="399">
        <f t="shared" si="2"/>
        <v>0</v>
      </c>
      <c r="I24" s="13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52"/>
      <c r="AL24" s="396">
        <f>IFERROR(VLOOKUP($C24,'Proposed Rates'!$B:$J,AL$11,FALSE),0)</f>
        <v>0</v>
      </c>
      <c r="AM24" s="397">
        <f t="shared" si="19"/>
        <v>0</v>
      </c>
      <c r="AN24" s="399">
        <f t="shared" si="20"/>
        <v>0</v>
      </c>
      <c r="AO24" s="132"/>
      <c r="AP24" s="400">
        <f t="shared" si="21"/>
        <v>0</v>
      </c>
      <c r="AQ24" s="401" t="str">
        <f t="shared" si="22"/>
        <v/>
      </c>
      <c r="AR24" s="402"/>
    </row>
    <row r="25" spans="1:44" ht="12" customHeight="1">
      <c r="A25" s="52"/>
      <c r="B25" s="403"/>
      <c r="C25" s="394" t="str">
        <f t="shared" si="0"/>
        <v>Residential.</v>
      </c>
      <c r="D25" s="395"/>
      <c r="E25" s="321"/>
      <c r="F25" s="396">
        <f>IFERROR(VLOOKUP($C25,'Proposed Rates'!$B:$J,F$11,FALSE),0)</f>
        <v>0</v>
      </c>
      <c r="G25" s="397">
        <f t="shared" si="1"/>
        <v>0</v>
      </c>
      <c r="H25" s="399">
        <f t="shared" si="2"/>
        <v>0</v>
      </c>
      <c r="I25" s="13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52"/>
      <c r="AL25" s="396">
        <f>IFERROR(VLOOKUP($C25,'Proposed Rates'!$B:$J,AL$11,FALSE),0)</f>
        <v>0</v>
      </c>
      <c r="AM25" s="397">
        <f t="shared" si="19"/>
        <v>0</v>
      </c>
      <c r="AN25" s="399">
        <f t="shared" si="20"/>
        <v>0</v>
      </c>
      <c r="AO25" s="132"/>
      <c r="AP25" s="400">
        <f t="shared" si="21"/>
        <v>0</v>
      </c>
      <c r="AQ25" s="401" t="str">
        <f t="shared" si="22"/>
        <v/>
      </c>
      <c r="AR25" s="402"/>
    </row>
    <row r="26" spans="1:44" ht="12" customHeight="1">
      <c r="A26" s="52"/>
      <c r="B26" s="403"/>
      <c r="C26" s="394" t="str">
        <f t="shared" si="0"/>
        <v>Residential.</v>
      </c>
      <c r="D26" s="395"/>
      <c r="E26" s="321"/>
      <c r="F26" s="396">
        <f>IFERROR(VLOOKUP($C26,'Proposed Rates'!$B:$J,F$11,FALSE),0)</f>
        <v>0</v>
      </c>
      <c r="G26" s="397">
        <f t="shared" si="1"/>
        <v>0</v>
      </c>
      <c r="H26" s="399">
        <f t="shared" si="2"/>
        <v>0</v>
      </c>
      <c r="I26" s="13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52"/>
      <c r="AL26" s="396">
        <f>IFERROR(VLOOKUP($C26,'Proposed Rates'!$B:$J,AL$11,FALSE),0)</f>
        <v>0</v>
      </c>
      <c r="AM26" s="397">
        <f t="shared" si="19"/>
        <v>0</v>
      </c>
      <c r="AN26" s="399">
        <f t="shared" si="20"/>
        <v>0</v>
      </c>
      <c r="AO26" s="132"/>
      <c r="AP26" s="400">
        <f t="shared" si="21"/>
        <v>0</v>
      </c>
      <c r="AQ26" s="401" t="str">
        <f t="shared" si="22"/>
        <v/>
      </c>
      <c r="AR26" s="402"/>
    </row>
    <row r="27" spans="1:44" ht="12" customHeight="1">
      <c r="A27" s="52"/>
      <c r="B27" s="403"/>
      <c r="C27" s="394" t="str">
        <f t="shared" si="0"/>
        <v>Residential.</v>
      </c>
      <c r="D27" s="395"/>
      <c r="E27" s="321"/>
      <c r="F27" s="396">
        <f>IFERROR(VLOOKUP($C27,'Proposed Rates'!$B:$J,F$11,FALSE),0)</f>
        <v>0</v>
      </c>
      <c r="G27" s="397">
        <f t="shared" si="1"/>
        <v>0</v>
      </c>
      <c r="H27" s="399">
        <f t="shared" si="2"/>
        <v>0</v>
      </c>
      <c r="I27" s="13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52"/>
      <c r="AL27" s="396">
        <f>IFERROR(VLOOKUP($C27,'Proposed Rates'!$B:$J,AL$11,FALSE),0)</f>
        <v>0</v>
      </c>
      <c r="AM27" s="397">
        <f t="shared" si="19"/>
        <v>0</v>
      </c>
      <c r="AN27" s="399">
        <f t="shared" si="20"/>
        <v>0</v>
      </c>
      <c r="AO27" s="132"/>
      <c r="AP27" s="400">
        <f t="shared" si="21"/>
        <v>0</v>
      </c>
      <c r="AQ27" s="401" t="str">
        <f t="shared" si="22"/>
        <v/>
      </c>
      <c r="AR27" s="402"/>
    </row>
    <row r="28" spans="1:44" ht="12" customHeight="1">
      <c r="A28" s="52"/>
      <c r="B28" s="403"/>
      <c r="C28" s="394" t="str">
        <f t="shared" si="0"/>
        <v>Residential.</v>
      </c>
      <c r="D28" s="395"/>
      <c r="E28" s="321"/>
      <c r="F28" s="396">
        <f>IFERROR(VLOOKUP($C28,'Proposed Rates'!$B:$J,F$11,FALSE),0)</f>
        <v>0</v>
      </c>
      <c r="G28" s="397">
        <f t="shared" si="1"/>
        <v>0</v>
      </c>
      <c r="H28" s="399">
        <f t="shared" si="2"/>
        <v>0</v>
      </c>
      <c r="I28" s="13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52"/>
      <c r="AL28" s="396">
        <f>IFERROR(VLOOKUP($C28,'Proposed Rates'!$B:$J,AL$11,FALSE),0)</f>
        <v>0</v>
      </c>
      <c r="AM28" s="397">
        <f t="shared" si="19"/>
        <v>0</v>
      </c>
      <c r="AN28" s="399">
        <f t="shared" si="20"/>
        <v>0</v>
      </c>
      <c r="AO28" s="132"/>
      <c r="AP28" s="400">
        <f t="shared" si="21"/>
        <v>0</v>
      </c>
      <c r="AQ28" s="401" t="str">
        <f t="shared" si="22"/>
        <v/>
      </c>
      <c r="AR28" s="402"/>
    </row>
    <row r="29" spans="1:44" ht="12" customHeight="1">
      <c r="A29" s="307"/>
      <c r="B29" s="404" t="s">
        <v>314</v>
      </c>
      <c r="C29" s="405"/>
      <c r="D29" s="405"/>
      <c r="E29" s="405"/>
      <c r="F29" s="406"/>
      <c r="G29" s="407"/>
      <c r="H29" s="408">
        <f>SUM(H15:H28)</f>
        <v>34.51</v>
      </c>
      <c r="I29" s="409"/>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307"/>
      <c r="AL29" s="406"/>
      <c r="AM29" s="407"/>
      <c r="AN29" s="408">
        <f>SUM(AN15:AN28)</f>
        <v>48.36</v>
      </c>
      <c r="AO29" s="409"/>
      <c r="AP29" s="410">
        <f t="shared" si="21"/>
        <v>1.3800000000000026</v>
      </c>
      <c r="AQ29" s="411">
        <f t="shared" si="22"/>
        <v>2.9374201787994946E-2</v>
      </c>
      <c r="AR29" s="412"/>
    </row>
    <row r="30" spans="1:44" ht="12"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2000</v>
      </c>
      <c r="H30" s="399">
        <f t="shared" ref="H30:H36" si="25">G30*F30</f>
        <v>-0.4</v>
      </c>
      <c r="I30" s="132"/>
      <c r="J30" s="413">
        <f>IFERROR(VLOOKUP($C30,'Proposed Rates'!$B:$J,J$11,FALSE),0)</f>
        <v>-5.9999999999999995E-4</v>
      </c>
      <c r="K30" s="414">
        <f t="shared" ref="K30:K33" si="26">IF($D30="Monthly",1,IF($D30="per KWH",$F$10,0))</f>
        <v>2000</v>
      </c>
      <c r="L30" s="415">
        <f t="shared" ref="L30:L36" si="27">K30*J30</f>
        <v>-1.2</v>
      </c>
      <c r="M30" s="132"/>
      <c r="N30" s="400">
        <f t="shared" si="5"/>
        <v>-0.79999999999999993</v>
      </c>
      <c r="O30" s="401">
        <f t="shared" si="6"/>
        <v>1.9999999999999998</v>
      </c>
      <c r="P30" s="52"/>
      <c r="Q30" s="413">
        <f>IFERROR(VLOOKUP($C30,'Proposed Rates'!$B:$J,Q$11,FALSE),0)</f>
        <v>0</v>
      </c>
      <c r="R30" s="414">
        <f t="shared" ref="R30:R33" si="28">IF($D30="Monthly",1,IF($D30="per KWH",$F$10,0))</f>
        <v>2000</v>
      </c>
      <c r="S30" s="399">
        <f t="shared" ref="S30:S36" si="29">R30*Q30</f>
        <v>0</v>
      </c>
      <c r="T30" s="132"/>
      <c r="U30" s="400">
        <f t="shared" si="9"/>
        <v>1.2</v>
      </c>
      <c r="V30" s="401">
        <f t="shared" si="10"/>
        <v>-1</v>
      </c>
      <c r="W30" s="52"/>
      <c r="X30" s="413">
        <f>IFERROR(VLOOKUP($C30,'Proposed Rates'!$B:$J,X$11,FALSE),0)</f>
        <v>0</v>
      </c>
      <c r="Y30" s="414">
        <f t="shared" ref="Y30:Y33" si="30">IF($D30="Monthly",1,IF($D30="per KWH",$F$10,0))</f>
        <v>2000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2000</v>
      </c>
      <c r="AG30" s="399">
        <f t="shared" ref="AG30:AG36" si="33">AF30*AE30</f>
        <v>0</v>
      </c>
      <c r="AH30" s="132"/>
      <c r="AI30" s="400">
        <f t="shared" si="17"/>
        <v>0</v>
      </c>
      <c r="AJ30" s="401" t="str">
        <f t="shared" si="18"/>
        <v/>
      </c>
      <c r="AK30" s="52"/>
      <c r="AL30" s="413">
        <f>IFERROR(VLOOKUP($C30,'Proposed Rates'!$B:$J,AL$11,FALSE),0)</f>
        <v>0</v>
      </c>
      <c r="AM30" s="414">
        <f t="shared" ref="AM30:AM33" si="34">IF($D30="Monthly",1,IF($D30="per KWH",$F$10,0))</f>
        <v>2000</v>
      </c>
      <c r="AN30" s="399">
        <f t="shared" ref="AN30:AN36" si="35">AM30*AL30</f>
        <v>0</v>
      </c>
      <c r="AO30" s="132"/>
      <c r="AP30" s="400">
        <f t="shared" si="21"/>
        <v>0</v>
      </c>
      <c r="AQ30" s="401" t="str">
        <f t="shared" si="22"/>
        <v/>
      </c>
      <c r="AR30" s="402"/>
    </row>
    <row r="31" spans="1:44" ht="12" customHeight="1">
      <c r="A31" s="52"/>
      <c r="B31" s="403" t="s">
        <v>239</v>
      </c>
      <c r="C31" s="394" t="str">
        <f t="shared" si="23"/>
        <v>Residential.DVA Disposition Rate Rider Group 1 - 2024</v>
      </c>
      <c r="D31" s="395" t="s">
        <v>312</v>
      </c>
      <c r="E31" s="321"/>
      <c r="F31" s="413">
        <f>IFERROR(VLOOKUP($C31,'Proposed Rates'!$B:$J,F$11,FALSE),0)</f>
        <v>0</v>
      </c>
      <c r="G31" s="414">
        <f t="shared" si="24"/>
        <v>2000</v>
      </c>
      <c r="H31" s="497">
        <f t="shared" si="25"/>
        <v>0</v>
      </c>
      <c r="I31" s="484"/>
      <c r="J31" s="413">
        <f>IFERROR(VLOOKUP($C31,'Proposed Rates'!$B:$J,J$11,FALSE),0)</f>
        <v>0</v>
      </c>
      <c r="K31" s="414">
        <f t="shared" si="26"/>
        <v>2000</v>
      </c>
      <c r="L31" s="497">
        <f t="shared" si="27"/>
        <v>0</v>
      </c>
      <c r="M31" s="416"/>
      <c r="N31" s="400">
        <f t="shared" si="5"/>
        <v>0</v>
      </c>
      <c r="O31" s="401" t="str">
        <f t="shared" si="6"/>
        <v/>
      </c>
      <c r="P31" s="52"/>
      <c r="Q31" s="413">
        <f>IFERROR(VLOOKUP($C31,'Proposed Rates'!$B:$J,Q$11,FALSE),0)</f>
        <v>0</v>
      </c>
      <c r="R31" s="414">
        <f t="shared" si="28"/>
        <v>2000</v>
      </c>
      <c r="S31" s="497">
        <f t="shared" si="29"/>
        <v>0</v>
      </c>
      <c r="T31" s="416"/>
      <c r="U31" s="400">
        <f t="shared" si="9"/>
        <v>0</v>
      </c>
      <c r="V31" s="401" t="str">
        <f t="shared" si="10"/>
        <v/>
      </c>
      <c r="W31" s="52"/>
      <c r="X31" s="413">
        <f>IFERROR(VLOOKUP($C31,'Proposed Rates'!$B:$J,X$11,FALSE),0)</f>
        <v>0</v>
      </c>
      <c r="Y31" s="414">
        <f t="shared" si="30"/>
        <v>2000</v>
      </c>
      <c r="Z31" s="497">
        <f t="shared" si="31"/>
        <v>0</v>
      </c>
      <c r="AA31" s="416"/>
      <c r="AB31" s="400">
        <f t="shared" si="13"/>
        <v>0</v>
      </c>
      <c r="AC31" s="401" t="str">
        <f t="shared" si="14"/>
        <v/>
      </c>
      <c r="AD31" s="52"/>
      <c r="AE31" s="413">
        <f>IFERROR(VLOOKUP($C31,'Proposed Rates'!$B:$J,AE$11,FALSE),0)</f>
        <v>0</v>
      </c>
      <c r="AF31" s="414">
        <f t="shared" si="32"/>
        <v>2000</v>
      </c>
      <c r="AG31" s="497">
        <f t="shared" si="33"/>
        <v>0</v>
      </c>
      <c r="AH31" s="416"/>
      <c r="AI31" s="400">
        <f t="shared" si="17"/>
        <v>0</v>
      </c>
      <c r="AJ31" s="401" t="str">
        <f t="shared" si="18"/>
        <v/>
      </c>
      <c r="AK31" s="52"/>
      <c r="AL31" s="413">
        <f>IFERROR(VLOOKUP($C31,'Proposed Rates'!$B:$J,AL$11,FALSE),0)</f>
        <v>0</v>
      </c>
      <c r="AM31" s="414">
        <f t="shared" si="34"/>
        <v>2000</v>
      </c>
      <c r="AN31" s="497">
        <f t="shared" si="35"/>
        <v>0</v>
      </c>
      <c r="AO31" s="416"/>
      <c r="AP31" s="400">
        <f t="shared" si="21"/>
        <v>0</v>
      </c>
      <c r="AQ31" s="401" t="str">
        <f t="shared" si="22"/>
        <v/>
      </c>
      <c r="AR31" s="402"/>
    </row>
    <row r="32" spans="1:44" ht="12" customHeight="1">
      <c r="A32" s="52"/>
      <c r="B32" s="403" t="s">
        <v>247</v>
      </c>
      <c r="C32" s="394" t="str">
        <f t="shared" si="23"/>
        <v>Residential.CBR Class B Rate Riders</v>
      </c>
      <c r="D32" s="395" t="s">
        <v>312</v>
      </c>
      <c r="E32" s="321"/>
      <c r="F32" s="413">
        <f>IFERROR(VLOOKUP($C32,'Proposed Rates'!$B:$J,F$11,FALSE),0)</f>
        <v>2.0000000000000001E-4</v>
      </c>
      <c r="G32" s="414">
        <f t="shared" si="24"/>
        <v>2000</v>
      </c>
      <c r="H32" s="399">
        <f t="shared" si="25"/>
        <v>0.4</v>
      </c>
      <c r="I32" s="484"/>
      <c r="J32" s="413">
        <f>IFERROR(VLOOKUP($C32,'Proposed Rates'!$B:$J,J$11,FALSE),0)</f>
        <v>4.0000000000000002E-4</v>
      </c>
      <c r="K32" s="414">
        <f t="shared" si="26"/>
        <v>2000</v>
      </c>
      <c r="L32" s="399">
        <f t="shared" si="27"/>
        <v>0.8</v>
      </c>
      <c r="M32" s="416"/>
      <c r="N32" s="400">
        <f t="shared" si="5"/>
        <v>0.4</v>
      </c>
      <c r="O32" s="401">
        <f t="shared" si="6"/>
        <v>1</v>
      </c>
      <c r="P32" s="52"/>
      <c r="Q32" s="413">
        <f>IFERROR(VLOOKUP($C32,'Proposed Rates'!$B:$J,Q$11,FALSE),0)</f>
        <v>0</v>
      </c>
      <c r="R32" s="414">
        <f t="shared" si="28"/>
        <v>2000</v>
      </c>
      <c r="S32" s="399">
        <f t="shared" si="29"/>
        <v>0</v>
      </c>
      <c r="T32" s="416"/>
      <c r="U32" s="400">
        <f t="shared" si="9"/>
        <v>-0.8</v>
      </c>
      <c r="V32" s="401">
        <f t="shared" si="10"/>
        <v>-1</v>
      </c>
      <c r="W32" s="52"/>
      <c r="X32" s="413">
        <f>IFERROR(VLOOKUP($C32,'Proposed Rates'!$B:$J,X$11,FALSE),0)</f>
        <v>0</v>
      </c>
      <c r="Y32" s="414">
        <f t="shared" si="30"/>
        <v>2000</v>
      </c>
      <c r="Z32" s="399">
        <f t="shared" si="31"/>
        <v>0</v>
      </c>
      <c r="AA32" s="416"/>
      <c r="AB32" s="400">
        <f t="shared" si="13"/>
        <v>0</v>
      </c>
      <c r="AC32" s="401" t="str">
        <f t="shared" si="14"/>
        <v/>
      </c>
      <c r="AD32" s="52"/>
      <c r="AE32" s="413">
        <f>IFERROR(VLOOKUP($C32,'Proposed Rates'!$B:$J,AE$11,FALSE),0)</f>
        <v>0</v>
      </c>
      <c r="AF32" s="414">
        <f t="shared" si="32"/>
        <v>2000</v>
      </c>
      <c r="AG32" s="399">
        <f t="shared" si="33"/>
        <v>0</v>
      </c>
      <c r="AH32" s="416"/>
      <c r="AI32" s="400">
        <f t="shared" si="17"/>
        <v>0</v>
      </c>
      <c r="AJ32" s="401" t="str">
        <f t="shared" si="18"/>
        <v/>
      </c>
      <c r="AK32" s="52"/>
      <c r="AL32" s="413">
        <f>IFERROR(VLOOKUP($C32,'Proposed Rates'!$B:$J,AL$11,FALSE),0)</f>
        <v>0</v>
      </c>
      <c r="AM32" s="414">
        <f t="shared" si="34"/>
        <v>2000</v>
      </c>
      <c r="AN32" s="399">
        <f t="shared" si="35"/>
        <v>0</v>
      </c>
      <c r="AO32" s="416"/>
      <c r="AP32" s="400">
        <f t="shared" si="21"/>
        <v>0</v>
      </c>
      <c r="AQ32" s="401" t="str">
        <f t="shared" si="22"/>
        <v/>
      </c>
      <c r="AR32" s="402"/>
    </row>
    <row r="33" spans="1:44" ht="12" customHeight="1">
      <c r="A33" s="52"/>
      <c r="B33" s="403" t="s">
        <v>315</v>
      </c>
      <c r="C33" s="394" t="str">
        <f t="shared" si="23"/>
        <v>Residential.GA Disposition Rate Rider-NonRPP</v>
      </c>
      <c r="D33" s="395" t="s">
        <v>312</v>
      </c>
      <c r="E33" s="321"/>
      <c r="F33" s="413">
        <f>IFERROR(VLOOKUP($C33,'Proposed Rates'!$B:$J,F$11,FALSE),0)</f>
        <v>0</v>
      </c>
      <c r="G33" s="414">
        <f t="shared" si="24"/>
        <v>2000</v>
      </c>
      <c r="H33" s="399">
        <f t="shared" si="25"/>
        <v>0</v>
      </c>
      <c r="I33" s="484"/>
      <c r="J33" s="413">
        <f>IFERROR(VLOOKUP($C33,'Proposed Rates'!$B:$J,J$11,FALSE),0)</f>
        <v>0</v>
      </c>
      <c r="K33" s="414">
        <f t="shared" si="26"/>
        <v>2000</v>
      </c>
      <c r="L33" s="399">
        <f t="shared" si="27"/>
        <v>0</v>
      </c>
      <c r="M33" s="416"/>
      <c r="N33" s="400">
        <f t="shared" si="5"/>
        <v>0</v>
      </c>
      <c r="O33" s="401" t="str">
        <f t="shared" si="6"/>
        <v/>
      </c>
      <c r="P33" s="52"/>
      <c r="Q33" s="413">
        <f>IFERROR(VLOOKUP($C33,'Proposed Rates'!$B:$J,Q$11,FALSE),0)</f>
        <v>0</v>
      </c>
      <c r="R33" s="414">
        <f t="shared" si="28"/>
        <v>2000</v>
      </c>
      <c r="S33" s="399">
        <f t="shared" si="29"/>
        <v>0</v>
      </c>
      <c r="T33" s="416"/>
      <c r="U33" s="400">
        <f t="shared" si="9"/>
        <v>0</v>
      </c>
      <c r="V33" s="401" t="str">
        <f t="shared" si="10"/>
        <v/>
      </c>
      <c r="W33" s="52"/>
      <c r="X33" s="413">
        <f>IFERROR(VLOOKUP($C33,'Proposed Rates'!$B:$J,X$11,FALSE),0)</f>
        <v>0</v>
      </c>
      <c r="Y33" s="414">
        <f t="shared" si="30"/>
        <v>2000</v>
      </c>
      <c r="Z33" s="399">
        <f t="shared" si="31"/>
        <v>0</v>
      </c>
      <c r="AA33" s="416"/>
      <c r="AB33" s="400">
        <f t="shared" si="13"/>
        <v>0</v>
      </c>
      <c r="AC33" s="401" t="str">
        <f t="shared" si="14"/>
        <v/>
      </c>
      <c r="AD33" s="52"/>
      <c r="AE33" s="413">
        <f>IFERROR(VLOOKUP($C33,'Proposed Rates'!$B:$J,AE$11,FALSE),0)</f>
        <v>0</v>
      </c>
      <c r="AF33" s="414">
        <f t="shared" si="32"/>
        <v>2000</v>
      </c>
      <c r="AG33" s="399">
        <f t="shared" si="33"/>
        <v>0</v>
      </c>
      <c r="AH33" s="416"/>
      <c r="AI33" s="400">
        <f t="shared" si="17"/>
        <v>0</v>
      </c>
      <c r="AJ33" s="401" t="str">
        <f t="shared" si="18"/>
        <v/>
      </c>
      <c r="AK33" s="52"/>
      <c r="AL33" s="413">
        <f>IFERROR(VLOOKUP($C33,'Proposed Rates'!$B:$J,AL$11,FALSE),0)</f>
        <v>0</v>
      </c>
      <c r="AM33" s="414">
        <f t="shared" si="34"/>
        <v>2000</v>
      </c>
      <c r="AN33" s="399">
        <f t="shared" si="35"/>
        <v>0</v>
      </c>
      <c r="AO33" s="416"/>
      <c r="AP33" s="400">
        <f t="shared" si="21"/>
        <v>0</v>
      </c>
      <c r="AQ33" s="401" t="str">
        <f t="shared" si="22"/>
        <v/>
      </c>
      <c r="AR33" s="402"/>
    </row>
    <row r="34" spans="1:44" ht="12" customHeight="1">
      <c r="A34" s="52"/>
      <c r="B34" s="321" t="s">
        <v>273</v>
      </c>
      <c r="C34" s="394" t="str">
        <f t="shared" si="23"/>
        <v>Residential.Low Voltage Service Charge</v>
      </c>
      <c r="D34" s="395" t="s">
        <v>312</v>
      </c>
      <c r="E34" s="321"/>
      <c r="F34" s="417">
        <f>IFERROR(VLOOKUP($C34,'Proposed Rates'!$B:$J,F$11,FALSE),0)</f>
        <v>5.0000000000000002E-5</v>
      </c>
      <c r="G34" s="418">
        <f>$F$10*(1+F$63)</f>
        <v>2067.6</v>
      </c>
      <c r="H34" s="399">
        <f t="shared" si="25"/>
        <v>0.10338</v>
      </c>
      <c r="I34" s="132"/>
      <c r="J34" s="417">
        <f>IFERROR(VLOOKUP($C34,'Proposed Rates'!$B:$J,J$11,FALSE),0)</f>
        <v>6.9999999999999994E-5</v>
      </c>
      <c r="K34" s="418">
        <f>$F$10*(1+J$63)</f>
        <v>2066.3999999999996</v>
      </c>
      <c r="L34" s="399">
        <f t="shared" si="27"/>
        <v>0.14464799999999997</v>
      </c>
      <c r="M34" s="132"/>
      <c r="N34" s="400">
        <f t="shared" si="5"/>
        <v>4.1267999999999971E-2</v>
      </c>
      <c r="O34" s="401">
        <f t="shared" si="6"/>
        <v>0.3991874637260589</v>
      </c>
      <c r="P34" s="52"/>
      <c r="Q34" s="417">
        <f>IFERROR(VLOOKUP($C34,'Proposed Rates'!$B:$J,Q$11,FALSE),0)</f>
        <v>6.9999999999999994E-5</v>
      </c>
      <c r="R34" s="418">
        <f>$F$10*(1+Q$63)</f>
        <v>2066.3999999999996</v>
      </c>
      <c r="S34" s="399">
        <f t="shared" si="29"/>
        <v>0.14464799999999997</v>
      </c>
      <c r="T34" s="132"/>
      <c r="U34" s="400">
        <f t="shared" si="9"/>
        <v>0</v>
      </c>
      <c r="V34" s="401">
        <f t="shared" si="10"/>
        <v>0</v>
      </c>
      <c r="W34" s="52"/>
      <c r="X34" s="417">
        <f>IFERROR(VLOOKUP($C34,'Proposed Rates'!$B:$J,X$11,FALSE),0)</f>
        <v>8.0000000000000007E-5</v>
      </c>
      <c r="Y34" s="418">
        <f>$F$10*(1+X$63)</f>
        <v>2066.3999999999996</v>
      </c>
      <c r="Z34" s="399">
        <f t="shared" si="31"/>
        <v>0.16531199999999999</v>
      </c>
      <c r="AA34" s="132"/>
      <c r="AB34" s="400">
        <f t="shared" si="13"/>
        <v>2.0664000000000016E-2</v>
      </c>
      <c r="AC34" s="401">
        <f t="shared" si="14"/>
        <v>0.14285714285714299</v>
      </c>
      <c r="AD34" s="52"/>
      <c r="AE34" s="417">
        <f>IFERROR(VLOOKUP($C34,'Proposed Rates'!$B:$J,AE$11,FALSE),0)</f>
        <v>8.0000000000000007E-5</v>
      </c>
      <c r="AF34" s="418">
        <f>$F$10*(1+AE$63)</f>
        <v>2066.3999999999996</v>
      </c>
      <c r="AG34" s="399">
        <f t="shared" si="33"/>
        <v>0.16531199999999999</v>
      </c>
      <c r="AH34" s="132"/>
      <c r="AI34" s="400">
        <f t="shared" si="17"/>
        <v>0</v>
      </c>
      <c r="AJ34" s="401">
        <f t="shared" si="18"/>
        <v>0</v>
      </c>
      <c r="AK34" s="52"/>
      <c r="AL34" s="417">
        <f>IFERROR(VLOOKUP($C34,'Proposed Rates'!$B:$J,AL$11,FALSE),0)</f>
        <v>8.0000000000000007E-5</v>
      </c>
      <c r="AM34" s="418">
        <f>$F$10*(1+AL$63)</f>
        <v>2066.3999999999996</v>
      </c>
      <c r="AN34" s="399">
        <f t="shared" si="35"/>
        <v>0.16531199999999999</v>
      </c>
      <c r="AO34" s="132"/>
      <c r="AP34" s="400">
        <f t="shared" si="21"/>
        <v>0</v>
      </c>
      <c r="AQ34" s="401">
        <f t="shared" si="22"/>
        <v>0</v>
      </c>
      <c r="AR34" s="402"/>
    </row>
    <row r="35" spans="1:44" ht="12"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67.599999999999909</v>
      </c>
      <c r="H35" s="399">
        <f t="shared" si="25"/>
        <v>8.6203519999999898</v>
      </c>
      <c r="I35" s="132"/>
      <c r="J35" s="419">
        <f>'Proposed Rates'!$K$253*J$44+'Proposed Rates'!$K$254*J$45+'Proposed Rates'!$K$255*J$46</f>
        <v>0.12752000000000002</v>
      </c>
      <c r="K35" s="420">
        <f>$F$10*(1+J$63)-$F$10</f>
        <v>66.399999999999636</v>
      </c>
      <c r="L35" s="399">
        <f t="shared" si="27"/>
        <v>8.4673279999999558</v>
      </c>
      <c r="M35" s="132"/>
      <c r="N35" s="400">
        <f t="shared" si="5"/>
        <v>-0.15302400000003402</v>
      </c>
      <c r="O35" s="401">
        <f t="shared" si="6"/>
        <v>-1.7751479289944794E-2</v>
      </c>
      <c r="P35" s="52"/>
      <c r="Q35" s="419">
        <f>'Proposed Rates'!$K$253*Q$44+'Proposed Rates'!$K$254*Q$45+'Proposed Rates'!$K$255*Q$46</f>
        <v>0.12752000000000002</v>
      </c>
      <c r="R35" s="420">
        <f>$F$10*(1+Q$63)-$F$10</f>
        <v>66.399999999999636</v>
      </c>
      <c r="S35" s="399">
        <f t="shared" si="29"/>
        <v>8.4673279999999558</v>
      </c>
      <c r="T35" s="132"/>
      <c r="U35" s="400">
        <f t="shared" si="9"/>
        <v>0</v>
      </c>
      <c r="V35" s="401">
        <f t="shared" si="10"/>
        <v>0</v>
      </c>
      <c r="W35" s="52"/>
      <c r="X35" s="419">
        <f>'Proposed Rates'!$K$253*X$44+'Proposed Rates'!$K$254*X$45+'Proposed Rates'!$K$255*X$46</f>
        <v>0.12752000000000002</v>
      </c>
      <c r="Y35" s="420">
        <f>$F$10*(1+X$63)-$F$10</f>
        <v>66.399999999999636</v>
      </c>
      <c r="Z35" s="399">
        <f t="shared" si="31"/>
        <v>8.4673279999999558</v>
      </c>
      <c r="AA35" s="132"/>
      <c r="AB35" s="400">
        <f t="shared" si="13"/>
        <v>0</v>
      </c>
      <c r="AC35" s="401">
        <f t="shared" si="14"/>
        <v>0</v>
      </c>
      <c r="AD35" s="52"/>
      <c r="AE35" s="419">
        <f>'Proposed Rates'!$K$253*AE$44+'Proposed Rates'!$K$254*AE$45+'Proposed Rates'!$K$255*AE$46</f>
        <v>0.12752000000000002</v>
      </c>
      <c r="AF35" s="420">
        <f>$F$10*(1+AE$63)-$F$10</f>
        <v>66.399999999999636</v>
      </c>
      <c r="AG35" s="399">
        <f t="shared" si="33"/>
        <v>8.4673279999999558</v>
      </c>
      <c r="AH35" s="132"/>
      <c r="AI35" s="400">
        <f t="shared" si="17"/>
        <v>0</v>
      </c>
      <c r="AJ35" s="401">
        <f t="shared" si="18"/>
        <v>0</v>
      </c>
      <c r="AK35" s="52"/>
      <c r="AL35" s="419">
        <f>'Proposed Rates'!$K$253*AL$44+'Proposed Rates'!$K$254*AL$45+'Proposed Rates'!$K$255*AL$46</f>
        <v>0.12752000000000002</v>
      </c>
      <c r="AM35" s="420">
        <f>$F$10*(1+AL$63)-$F$10</f>
        <v>66.399999999999636</v>
      </c>
      <c r="AN35" s="399">
        <f t="shared" si="35"/>
        <v>8.4673279999999558</v>
      </c>
      <c r="AO35" s="132"/>
      <c r="AP35" s="400">
        <f t="shared" si="21"/>
        <v>0</v>
      </c>
      <c r="AQ35" s="401">
        <f t="shared" si="22"/>
        <v>0</v>
      </c>
      <c r="AR35" s="402"/>
    </row>
    <row r="36" spans="1:44" ht="12"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132"/>
      <c r="J36" s="396">
        <f>IFERROR(VLOOKUP($C36,'Proposed Rates'!$B:$J,J$11,FALSE),0)</f>
        <v>0.42</v>
      </c>
      <c r="K36" s="414">
        <f>IF($D36="Monthly",1,IF($D36="per KWH",$F$10,0))</f>
        <v>1</v>
      </c>
      <c r="L36" s="399">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414">
        <f>IF($D36="Monthly",1,IF($D36="per KWH",$F$10,0))</f>
        <v>1</v>
      </c>
      <c r="AN36" s="399">
        <f t="shared" si="35"/>
        <v>0.45</v>
      </c>
      <c r="AO36" s="132"/>
      <c r="AP36" s="400">
        <f t="shared" si="21"/>
        <v>1.0000000000000009E-2</v>
      </c>
      <c r="AQ36" s="401">
        <f t="shared" si="22"/>
        <v>2.2727272727272749E-2</v>
      </c>
      <c r="AR36" s="402"/>
    </row>
    <row r="37" spans="1:44" ht="12" customHeight="1">
      <c r="A37" s="52"/>
      <c r="B37" s="404" t="s">
        <v>317</v>
      </c>
      <c r="C37" s="421"/>
      <c r="D37" s="421"/>
      <c r="E37" s="421"/>
      <c r="F37" s="422"/>
      <c r="G37" s="423"/>
      <c r="H37" s="408">
        <f>SUM(H30:H36)+H29</f>
        <v>43.653731999999991</v>
      </c>
      <c r="I37" s="424"/>
      <c r="J37" s="422"/>
      <c r="K37" s="423"/>
      <c r="L37" s="408">
        <f>SUM(L30:L36)+L29</f>
        <v>48.671975999999958</v>
      </c>
      <c r="M37" s="424"/>
      <c r="N37" s="410">
        <f t="shared" si="5"/>
        <v>5.0182439999999673</v>
      </c>
      <c r="O37" s="411">
        <f t="shared" si="6"/>
        <v>0.11495566976953925</v>
      </c>
      <c r="P37" s="52"/>
      <c r="Q37" s="422"/>
      <c r="R37" s="423"/>
      <c r="S37" s="408">
        <f>SUM(S30:S36)+S29</f>
        <v>51.671975999999958</v>
      </c>
      <c r="T37" s="424"/>
      <c r="U37" s="410">
        <f t="shared" si="9"/>
        <v>3</v>
      </c>
      <c r="V37" s="411">
        <f t="shared" si="10"/>
        <v>6.1637111260903044E-2</v>
      </c>
      <c r="W37" s="52"/>
      <c r="X37" s="422"/>
      <c r="Y37" s="423"/>
      <c r="Z37" s="408">
        <f>SUM(Z30:Z36)+Z29</f>
        <v>54.532639999999958</v>
      </c>
      <c r="AA37" s="424"/>
      <c r="AB37" s="410">
        <f t="shared" si="13"/>
        <v>2.8606639999999999</v>
      </c>
      <c r="AC37" s="411">
        <f t="shared" si="14"/>
        <v>5.5362001251897205E-2</v>
      </c>
      <c r="AD37" s="52"/>
      <c r="AE37" s="422"/>
      <c r="AF37" s="423"/>
      <c r="AG37" s="408">
        <f>SUM(AG30:AG36)+AG29</f>
        <v>56.052639999999954</v>
      </c>
      <c r="AH37" s="424"/>
      <c r="AI37" s="410">
        <f t="shared" si="17"/>
        <v>1.519999999999996</v>
      </c>
      <c r="AJ37" s="411">
        <f t="shared" si="18"/>
        <v>2.7873215013980567E-2</v>
      </c>
      <c r="AK37" s="52"/>
      <c r="AL37" s="422"/>
      <c r="AM37" s="423"/>
      <c r="AN37" s="408">
        <f>SUM(AN30:AN36)+AN29</f>
        <v>57.442639999999955</v>
      </c>
      <c r="AO37" s="424"/>
      <c r="AP37" s="410">
        <f t="shared" si="21"/>
        <v>1.3900000000000006</v>
      </c>
      <c r="AQ37" s="411">
        <f t="shared" si="22"/>
        <v>2.4798118340188826E-2</v>
      </c>
      <c r="AR37" s="412"/>
    </row>
    <row r="38" spans="1:44" ht="12" customHeight="1">
      <c r="A38" s="52"/>
      <c r="B38" s="132" t="s">
        <v>258</v>
      </c>
      <c r="C38" s="394" t="str">
        <f t="shared" ref="C38:C39" si="36">D$6&amp;"."&amp;B38</f>
        <v>Residential.RTSR - Network</v>
      </c>
      <c r="D38" s="425" t="s">
        <v>312</v>
      </c>
      <c r="E38" s="132"/>
      <c r="F38" s="413">
        <f>IFERROR(VLOOKUP($C38,'Proposed Rates'!$B:$J,F$11,FALSE),0)</f>
        <v>1.26E-2</v>
      </c>
      <c r="G38" s="418">
        <f t="shared" ref="G38:G39" si="37">$F$10*(1+F$63)</f>
        <v>2067.6</v>
      </c>
      <c r="H38" s="399">
        <f t="shared" ref="H38:H39" si="38">G38*F38</f>
        <v>26.051759999999998</v>
      </c>
      <c r="I38" s="132"/>
      <c r="J38" s="413">
        <f>IFERROR(VLOOKUP($C38,'Proposed Rates'!$B:$J,J$11,FALSE),0)</f>
        <v>1.38E-2</v>
      </c>
      <c r="K38" s="418">
        <f t="shared" ref="K38:K39" si="39">$F$10*(1+J$63)</f>
        <v>2066.3999999999996</v>
      </c>
      <c r="L38" s="399">
        <f t="shared" ref="L38:L39" si="40">K38*J38</f>
        <v>28.516319999999993</v>
      </c>
      <c r="M38" s="132"/>
      <c r="N38" s="400">
        <f t="shared" si="5"/>
        <v>2.4645599999999952</v>
      </c>
      <c r="O38" s="401">
        <f t="shared" si="6"/>
        <v>9.4602437608821643E-2</v>
      </c>
      <c r="P38" s="52"/>
      <c r="Q38" s="413">
        <f>IFERROR(VLOOKUP($C38,'Proposed Rates'!$B:$J,Q$11,FALSE),0)</f>
        <v>1.38E-2</v>
      </c>
      <c r="R38" s="418">
        <f t="shared" ref="R38:R39" si="41">$F$10*(1+Q$63)</f>
        <v>2066.3999999999996</v>
      </c>
      <c r="S38" s="399">
        <f t="shared" ref="S38:S39" si="42">R38*Q38</f>
        <v>28.516319999999993</v>
      </c>
      <c r="T38" s="132"/>
      <c r="U38" s="400">
        <f t="shared" si="9"/>
        <v>0</v>
      </c>
      <c r="V38" s="401">
        <f t="shared" si="10"/>
        <v>0</v>
      </c>
      <c r="W38" s="52"/>
      <c r="X38" s="413">
        <f>IFERROR(VLOOKUP($C38,'Proposed Rates'!$B:$J,X$11,FALSE),0)</f>
        <v>1.38E-2</v>
      </c>
      <c r="Y38" s="418">
        <f t="shared" ref="Y38:Y39" si="43">$F$10*(1+X$63)</f>
        <v>2066.3999999999996</v>
      </c>
      <c r="Z38" s="399">
        <f t="shared" ref="Z38:Z39" si="44">Y38*X38</f>
        <v>28.516319999999993</v>
      </c>
      <c r="AA38" s="132"/>
      <c r="AB38" s="400">
        <f t="shared" si="13"/>
        <v>0</v>
      </c>
      <c r="AC38" s="401">
        <f t="shared" si="14"/>
        <v>0</v>
      </c>
      <c r="AD38" s="52"/>
      <c r="AE38" s="413">
        <f>IFERROR(VLOOKUP($C38,'Proposed Rates'!$B:$J,AE$11,FALSE),0)</f>
        <v>1.38E-2</v>
      </c>
      <c r="AF38" s="418">
        <f t="shared" ref="AF38:AF39" si="45">$F$10*(1+AE$63)</f>
        <v>2066.3999999999996</v>
      </c>
      <c r="AG38" s="399">
        <f t="shared" ref="AG38:AG39" si="46">AF38*AE38</f>
        <v>28.516319999999993</v>
      </c>
      <c r="AH38" s="132"/>
      <c r="AI38" s="400">
        <f t="shared" si="17"/>
        <v>0</v>
      </c>
      <c r="AJ38" s="401">
        <f t="shared" si="18"/>
        <v>0</v>
      </c>
      <c r="AK38" s="52"/>
      <c r="AL38" s="413">
        <f>IFERROR(VLOOKUP($C38,'Proposed Rates'!$B:$J,AL$11,FALSE),0)</f>
        <v>1.38E-2</v>
      </c>
      <c r="AM38" s="418">
        <f t="shared" ref="AM38:AM39" si="47">$F$10*(1+AL$63)</f>
        <v>2066.3999999999996</v>
      </c>
      <c r="AN38" s="399">
        <f t="shared" ref="AN38:AN39" si="48">AM38*AL38</f>
        <v>28.516319999999993</v>
      </c>
      <c r="AO38" s="132"/>
      <c r="AP38" s="400">
        <f t="shared" si="21"/>
        <v>0</v>
      </c>
      <c r="AQ38" s="401">
        <f t="shared" si="22"/>
        <v>0</v>
      </c>
      <c r="AR38" s="402"/>
    </row>
    <row r="39" spans="1:44" ht="12" customHeight="1">
      <c r="A39" s="52"/>
      <c r="B39" s="132" t="s">
        <v>261</v>
      </c>
      <c r="C39" s="394" t="str">
        <f t="shared" si="36"/>
        <v>Residential.RTSR - Line and Transformation Connection</v>
      </c>
      <c r="D39" s="425" t="s">
        <v>312</v>
      </c>
      <c r="E39" s="132"/>
      <c r="F39" s="413">
        <f>IFERROR(VLOOKUP($C39,'Proposed Rates'!$B:$J,F$11,FALSE),0)</f>
        <v>7.1999999999999998E-3</v>
      </c>
      <c r="G39" s="418">
        <f t="shared" si="37"/>
        <v>2067.6</v>
      </c>
      <c r="H39" s="399">
        <f t="shared" si="38"/>
        <v>14.886719999999999</v>
      </c>
      <c r="I39" s="132"/>
      <c r="J39" s="413">
        <f>IFERROR(VLOOKUP($C39,'Proposed Rates'!$B:$J,J$11,FALSE),0)</f>
        <v>7.7999999999999996E-3</v>
      </c>
      <c r="K39" s="418">
        <f t="shared" si="39"/>
        <v>2066.3999999999996</v>
      </c>
      <c r="L39" s="399">
        <f t="shared" si="40"/>
        <v>16.117919999999998</v>
      </c>
      <c r="M39" s="132"/>
      <c r="N39" s="400">
        <f t="shared" si="5"/>
        <v>1.2311999999999994</v>
      </c>
      <c r="O39" s="401">
        <f t="shared" si="6"/>
        <v>8.2704585026117203E-2</v>
      </c>
      <c r="P39" s="52"/>
      <c r="Q39" s="413">
        <f>IFERROR(VLOOKUP($C39,'Proposed Rates'!$B:$J,Q$11,FALSE),0)</f>
        <v>7.7999999999999996E-3</v>
      </c>
      <c r="R39" s="418">
        <f t="shared" si="41"/>
        <v>2066.3999999999996</v>
      </c>
      <c r="S39" s="399">
        <f t="shared" si="42"/>
        <v>16.117919999999998</v>
      </c>
      <c r="T39" s="132"/>
      <c r="U39" s="400">
        <f t="shared" si="9"/>
        <v>0</v>
      </c>
      <c r="V39" s="401">
        <f t="shared" si="10"/>
        <v>0</v>
      </c>
      <c r="W39" s="52"/>
      <c r="X39" s="413">
        <f>IFERROR(VLOOKUP($C39,'Proposed Rates'!$B:$J,X$11,FALSE),0)</f>
        <v>7.7999999999999996E-3</v>
      </c>
      <c r="Y39" s="418">
        <f t="shared" si="43"/>
        <v>2066.3999999999996</v>
      </c>
      <c r="Z39" s="399">
        <f t="shared" si="44"/>
        <v>16.117919999999998</v>
      </c>
      <c r="AA39" s="132"/>
      <c r="AB39" s="400">
        <f t="shared" si="13"/>
        <v>0</v>
      </c>
      <c r="AC39" s="401">
        <f t="shared" si="14"/>
        <v>0</v>
      </c>
      <c r="AD39" s="52"/>
      <c r="AE39" s="413">
        <f>IFERROR(VLOOKUP($C39,'Proposed Rates'!$B:$J,AE$11,FALSE),0)</f>
        <v>7.7999999999999996E-3</v>
      </c>
      <c r="AF39" s="418">
        <f t="shared" si="45"/>
        <v>2066.3999999999996</v>
      </c>
      <c r="AG39" s="399">
        <f t="shared" si="46"/>
        <v>16.117919999999998</v>
      </c>
      <c r="AH39" s="132"/>
      <c r="AI39" s="400">
        <f t="shared" si="17"/>
        <v>0</v>
      </c>
      <c r="AJ39" s="401">
        <f t="shared" si="18"/>
        <v>0</v>
      </c>
      <c r="AK39" s="52"/>
      <c r="AL39" s="413">
        <f>IFERROR(VLOOKUP($C39,'Proposed Rates'!$B:$J,AL$11,FALSE),0)</f>
        <v>7.7999999999999996E-3</v>
      </c>
      <c r="AM39" s="418">
        <f t="shared" si="47"/>
        <v>2066.3999999999996</v>
      </c>
      <c r="AN39" s="399">
        <f t="shared" si="48"/>
        <v>16.117919999999998</v>
      </c>
      <c r="AO39" s="132"/>
      <c r="AP39" s="400">
        <f t="shared" si="21"/>
        <v>0</v>
      </c>
      <c r="AQ39" s="401">
        <f t="shared" si="22"/>
        <v>0</v>
      </c>
      <c r="AR39" s="402"/>
    </row>
    <row r="40" spans="1:44" ht="12" customHeight="1">
      <c r="A40" s="52"/>
      <c r="B40" s="404" t="s">
        <v>318</v>
      </c>
      <c r="C40" s="426"/>
      <c r="D40" s="426"/>
      <c r="E40" s="426"/>
      <c r="F40" s="427"/>
      <c r="G40" s="428"/>
      <c r="H40" s="408">
        <f>SUM(H37:H39)</f>
        <v>84.592211999999989</v>
      </c>
      <c r="I40" s="409"/>
      <c r="J40" s="427"/>
      <c r="K40" s="428"/>
      <c r="L40" s="408">
        <f>SUM(L37:L39)</f>
        <v>93.306215999999949</v>
      </c>
      <c r="M40" s="409"/>
      <c r="N40" s="410">
        <f t="shared" si="5"/>
        <v>8.7140039999999601</v>
      </c>
      <c r="O40" s="411">
        <f t="shared" si="6"/>
        <v>0.1030118942864381</v>
      </c>
      <c r="P40" s="52"/>
      <c r="Q40" s="427"/>
      <c r="R40" s="428"/>
      <c r="S40" s="408">
        <f>SUM(S37:S39)</f>
        <v>96.306215999999949</v>
      </c>
      <c r="T40" s="409"/>
      <c r="U40" s="410">
        <f t="shared" si="9"/>
        <v>3</v>
      </c>
      <c r="V40" s="411">
        <f t="shared" si="10"/>
        <v>3.2152198734540921E-2</v>
      </c>
      <c r="W40" s="52"/>
      <c r="X40" s="427"/>
      <c r="Y40" s="428"/>
      <c r="Z40" s="408">
        <f>SUM(Z37:Z39)</f>
        <v>99.166879999999949</v>
      </c>
      <c r="AA40" s="409"/>
      <c r="AB40" s="410">
        <f t="shared" si="13"/>
        <v>2.8606639999999999</v>
      </c>
      <c r="AC40" s="411">
        <f t="shared" si="14"/>
        <v>2.970383552397076E-2</v>
      </c>
      <c r="AD40" s="52"/>
      <c r="AE40" s="427"/>
      <c r="AF40" s="428"/>
      <c r="AG40" s="408">
        <f>SUM(AG37:AG39)</f>
        <v>100.68687999999995</v>
      </c>
      <c r="AH40" s="409"/>
      <c r="AI40" s="410">
        <f t="shared" si="17"/>
        <v>1.519999999999996</v>
      </c>
      <c r="AJ40" s="411">
        <f t="shared" si="18"/>
        <v>1.532769811856536E-2</v>
      </c>
      <c r="AK40" s="52"/>
      <c r="AL40" s="427"/>
      <c r="AM40" s="428"/>
      <c r="AN40" s="408">
        <f>SUM(AN37:AN39)</f>
        <v>102.07687999999995</v>
      </c>
      <c r="AO40" s="409"/>
      <c r="AP40" s="410">
        <f t="shared" si="21"/>
        <v>1.3900000000000006</v>
      </c>
      <c r="AQ40" s="411">
        <f t="shared" si="22"/>
        <v>1.3805175013864779E-2</v>
      </c>
      <c r="AR40" s="412"/>
    </row>
    <row r="41" spans="1:44" ht="12" customHeight="1">
      <c r="A41" s="52"/>
      <c r="B41" s="321" t="s">
        <v>262</v>
      </c>
      <c r="C41" s="394" t="str">
        <f t="shared" ref="C41:C48" si="49">D$6&amp;"."&amp;B41</f>
        <v>Residential.Wholesale Market Service Charge (WMSC)</v>
      </c>
      <c r="D41" s="395" t="s">
        <v>312</v>
      </c>
      <c r="E41" s="321"/>
      <c r="F41" s="413">
        <f>IFERROR(VLOOKUP($C41,'Proposed Rates'!$B:$J,F$11,FALSE),0)</f>
        <v>4.4999999999999997E-3</v>
      </c>
      <c r="G41" s="418">
        <f t="shared" ref="G41:G42" si="50">$F$10*(1+F$63)</f>
        <v>2067.6</v>
      </c>
      <c r="H41" s="399">
        <f t="shared" ref="H41:H48" si="51">G41*F41</f>
        <v>9.304199999999998</v>
      </c>
      <c r="I41" s="132"/>
      <c r="J41" s="413">
        <f>IFERROR(VLOOKUP($C41,'Proposed Rates'!$B:$J,J$11,FALSE),0)</f>
        <v>4.7000000000000002E-3</v>
      </c>
      <c r="K41" s="418">
        <f t="shared" ref="K41:K42" si="52">$F$10*(1+J$63)</f>
        <v>2066.3999999999996</v>
      </c>
      <c r="L41" s="399">
        <f t="shared" ref="L41:L48" si="53">K41*J41</f>
        <v>9.7120799999999985</v>
      </c>
      <c r="M41" s="132"/>
      <c r="N41" s="400">
        <f t="shared" si="5"/>
        <v>0.40788000000000046</v>
      </c>
      <c r="O41" s="401">
        <f t="shared" si="6"/>
        <v>4.3838266589282318E-2</v>
      </c>
      <c r="P41" s="52"/>
      <c r="Q41" s="413">
        <f>IFERROR(VLOOKUP($C41,'Proposed Rates'!$B:$J,Q$11,FALSE),0)</f>
        <v>4.7000000000000002E-3</v>
      </c>
      <c r="R41" s="418">
        <f t="shared" ref="R41:R42" si="54">$F$10*(1+Q$63)</f>
        <v>2066.3999999999996</v>
      </c>
      <c r="S41" s="399">
        <f t="shared" ref="S41:S48" si="55">R41*Q41</f>
        <v>9.7120799999999985</v>
      </c>
      <c r="T41" s="132"/>
      <c r="U41" s="400">
        <f t="shared" si="9"/>
        <v>0</v>
      </c>
      <c r="V41" s="401">
        <f t="shared" si="10"/>
        <v>0</v>
      </c>
      <c r="W41" s="52"/>
      <c r="X41" s="413">
        <f>IFERROR(VLOOKUP($C41,'Proposed Rates'!$B:$J,X$11,FALSE),0)</f>
        <v>4.7000000000000002E-3</v>
      </c>
      <c r="Y41" s="418">
        <f t="shared" ref="Y41:Y42" si="56">$F$10*(1+X$63)</f>
        <v>2066.3999999999996</v>
      </c>
      <c r="Z41" s="399">
        <f t="shared" ref="Z41:Z48" si="57">Y41*X41</f>
        <v>9.7120799999999985</v>
      </c>
      <c r="AA41" s="132"/>
      <c r="AB41" s="400">
        <f t="shared" si="13"/>
        <v>0</v>
      </c>
      <c r="AC41" s="401">
        <f t="shared" si="14"/>
        <v>0</v>
      </c>
      <c r="AD41" s="52"/>
      <c r="AE41" s="413">
        <f>IFERROR(VLOOKUP($C41,'Proposed Rates'!$B:$J,AE$11,FALSE),0)</f>
        <v>4.7000000000000002E-3</v>
      </c>
      <c r="AF41" s="418">
        <f t="shared" ref="AF41:AF42" si="58">$F$10*(1+AE$63)</f>
        <v>2066.3999999999996</v>
      </c>
      <c r="AG41" s="399">
        <f t="shared" ref="AG41:AG48" si="59">AF41*AE41</f>
        <v>9.7120799999999985</v>
      </c>
      <c r="AH41" s="132"/>
      <c r="AI41" s="400">
        <f t="shared" si="17"/>
        <v>0</v>
      </c>
      <c r="AJ41" s="401">
        <f t="shared" si="18"/>
        <v>0</v>
      </c>
      <c r="AK41" s="52"/>
      <c r="AL41" s="413">
        <f>IFERROR(VLOOKUP($C41,'Proposed Rates'!$B:$J,AL$11,FALSE),0)</f>
        <v>4.7000000000000002E-3</v>
      </c>
      <c r="AM41" s="418">
        <f t="shared" ref="AM41:AM42" si="60">$F$10*(1+AL$63)</f>
        <v>2066.3999999999996</v>
      </c>
      <c r="AN41" s="399">
        <f t="shared" ref="AN41:AN48" si="61">AM41*AL41</f>
        <v>9.7120799999999985</v>
      </c>
      <c r="AO41" s="132"/>
      <c r="AP41" s="400">
        <f t="shared" si="21"/>
        <v>0</v>
      </c>
      <c r="AQ41" s="401">
        <f t="shared" si="22"/>
        <v>0</v>
      </c>
      <c r="AR41" s="402"/>
    </row>
    <row r="42" spans="1:44" ht="12" customHeight="1">
      <c r="A42" s="52"/>
      <c r="B42" s="321" t="s">
        <v>263</v>
      </c>
      <c r="C42" s="394" t="str">
        <f t="shared" si="49"/>
        <v>Residential.Rural and Remote Rate Protection (RRRP)</v>
      </c>
      <c r="D42" s="395" t="s">
        <v>312</v>
      </c>
      <c r="E42" s="321"/>
      <c r="F42" s="413">
        <f>IFERROR(VLOOKUP($C42,'Proposed Rates'!$B:$J,F$11,FALSE),0)</f>
        <v>1.5E-3</v>
      </c>
      <c r="G42" s="418">
        <f t="shared" si="50"/>
        <v>2067.6</v>
      </c>
      <c r="H42" s="399">
        <f t="shared" si="51"/>
        <v>3.1013999999999999</v>
      </c>
      <c r="I42" s="132"/>
      <c r="J42" s="413">
        <f>IFERROR(VLOOKUP($C42,'Proposed Rates'!$B:$J,J$11,FALSE),0)</f>
        <v>5.9999999999999995E-4</v>
      </c>
      <c r="K42" s="418">
        <f t="shared" si="52"/>
        <v>2066.3999999999996</v>
      </c>
      <c r="L42" s="399">
        <f t="shared" si="53"/>
        <v>1.2398399999999996</v>
      </c>
      <c r="M42" s="132"/>
      <c r="N42" s="400">
        <f t="shared" si="5"/>
        <v>-1.8615600000000003</v>
      </c>
      <c r="O42" s="401">
        <f t="shared" si="6"/>
        <v>-0.60023215322112611</v>
      </c>
      <c r="P42" s="52"/>
      <c r="Q42" s="413">
        <f>IFERROR(VLOOKUP($C42,'Proposed Rates'!$B:$J,Q$11,FALSE),0)</f>
        <v>5.9999999999999995E-4</v>
      </c>
      <c r="R42" s="418">
        <f t="shared" si="54"/>
        <v>2066.3999999999996</v>
      </c>
      <c r="S42" s="399">
        <f t="shared" si="55"/>
        <v>1.2398399999999996</v>
      </c>
      <c r="T42" s="132"/>
      <c r="U42" s="400">
        <f t="shared" si="9"/>
        <v>0</v>
      </c>
      <c r="V42" s="401">
        <f t="shared" si="10"/>
        <v>0</v>
      </c>
      <c r="W42" s="52"/>
      <c r="X42" s="413">
        <f>IFERROR(VLOOKUP($C42,'Proposed Rates'!$B:$J,X$11,FALSE),0)</f>
        <v>5.9999999999999995E-4</v>
      </c>
      <c r="Y42" s="418">
        <f t="shared" si="56"/>
        <v>2066.3999999999996</v>
      </c>
      <c r="Z42" s="399">
        <f t="shared" si="57"/>
        <v>1.2398399999999996</v>
      </c>
      <c r="AA42" s="132"/>
      <c r="AB42" s="400">
        <f t="shared" si="13"/>
        <v>0</v>
      </c>
      <c r="AC42" s="401">
        <f t="shared" si="14"/>
        <v>0</v>
      </c>
      <c r="AD42" s="52"/>
      <c r="AE42" s="413">
        <f>IFERROR(VLOOKUP($C42,'Proposed Rates'!$B:$J,AE$11,FALSE),0)</f>
        <v>5.9999999999999995E-4</v>
      </c>
      <c r="AF42" s="418">
        <f t="shared" si="58"/>
        <v>2066.3999999999996</v>
      </c>
      <c r="AG42" s="399">
        <f t="shared" si="59"/>
        <v>1.2398399999999996</v>
      </c>
      <c r="AH42" s="132"/>
      <c r="AI42" s="400">
        <f t="shared" si="17"/>
        <v>0</v>
      </c>
      <c r="AJ42" s="401">
        <f t="shared" si="18"/>
        <v>0</v>
      </c>
      <c r="AK42" s="52"/>
      <c r="AL42" s="413">
        <f>IFERROR(VLOOKUP($C42,'Proposed Rates'!$B:$J,AL$11,FALSE),0)</f>
        <v>5.9999999999999995E-4</v>
      </c>
      <c r="AM42" s="418">
        <f t="shared" si="60"/>
        <v>2066.3999999999996</v>
      </c>
      <c r="AN42" s="399">
        <f t="shared" si="61"/>
        <v>1.2398399999999996</v>
      </c>
      <c r="AO42" s="132"/>
      <c r="AP42" s="400">
        <f t="shared" si="21"/>
        <v>0</v>
      </c>
      <c r="AQ42" s="401">
        <f t="shared" si="22"/>
        <v>0</v>
      </c>
      <c r="AR42" s="402"/>
    </row>
    <row r="43" spans="1:44" ht="12" customHeight="1">
      <c r="A43" s="52"/>
      <c r="B43" s="321" t="s">
        <v>264</v>
      </c>
      <c r="C43" s="394" t="str">
        <f t="shared" si="49"/>
        <v>Residential.Standard Supply Service Charge</v>
      </c>
      <c r="D43" s="395" t="s">
        <v>310</v>
      </c>
      <c r="E43" s="321"/>
      <c r="F43" s="413">
        <f>IFERROR(VLOOKUP($C43,'Proposed Rates'!$B:$J,F$11,FALSE),0)</f>
        <v>0.25</v>
      </c>
      <c r="G43" s="414">
        <f>IF($D43="Monthly",1,IF($D43="per KWH",$F$10,0))</f>
        <v>1</v>
      </c>
      <c r="H43" s="399">
        <f t="shared" si="51"/>
        <v>0.25</v>
      </c>
      <c r="I43" s="132"/>
      <c r="J43" s="413">
        <f>IFERROR(VLOOKUP($C43,'Proposed Rates'!$B:$J,J$11,FALSE),0)</f>
        <v>0.25</v>
      </c>
      <c r="K43" s="414">
        <f>IF($D43="Monthly",1,IF($D43="per KWH",$F$10,0))</f>
        <v>1</v>
      </c>
      <c r="L43" s="399">
        <f t="shared" si="53"/>
        <v>0.25</v>
      </c>
      <c r="M43" s="132"/>
      <c r="N43" s="400">
        <f t="shared" si="5"/>
        <v>0</v>
      </c>
      <c r="O43" s="401">
        <f t="shared" si="6"/>
        <v>0</v>
      </c>
      <c r="P43" s="52"/>
      <c r="Q43" s="413">
        <f>IFERROR(VLOOKUP($C43,'Proposed Rates'!$B:$J,Q$11,FALSE),0)</f>
        <v>0.25</v>
      </c>
      <c r="R43" s="414">
        <f>IF($D43="Monthly",1,IF($D43="per KWH",$F$10,0))</f>
        <v>1</v>
      </c>
      <c r="S43" s="399">
        <f t="shared" si="55"/>
        <v>0.25</v>
      </c>
      <c r="T43" s="132"/>
      <c r="U43" s="400">
        <f t="shared" si="9"/>
        <v>0</v>
      </c>
      <c r="V43" s="401">
        <f t="shared" si="10"/>
        <v>0</v>
      </c>
      <c r="W43" s="52"/>
      <c r="X43" s="413">
        <f>IFERROR(VLOOKUP($C43,'Proposed Rates'!$B:$J,X$11,FALSE),0)</f>
        <v>0.25</v>
      </c>
      <c r="Y43" s="414">
        <f>IF($D43="Monthly",1,IF($D43="per KWH",$F$10,0))</f>
        <v>1</v>
      </c>
      <c r="Z43" s="399">
        <f t="shared" si="57"/>
        <v>0.25</v>
      </c>
      <c r="AA43" s="132"/>
      <c r="AB43" s="400">
        <f t="shared" si="13"/>
        <v>0</v>
      </c>
      <c r="AC43" s="401">
        <f t="shared" si="14"/>
        <v>0</v>
      </c>
      <c r="AD43" s="52"/>
      <c r="AE43" s="413">
        <f>IFERROR(VLOOKUP($C43,'Proposed Rates'!$B:$J,AE$11,FALSE),0)</f>
        <v>0.25</v>
      </c>
      <c r="AF43" s="414">
        <f>IF($D43="Monthly",1,IF($D43="per KWH",$F$10,0))</f>
        <v>1</v>
      </c>
      <c r="AG43" s="399">
        <f t="shared" si="59"/>
        <v>0.25</v>
      </c>
      <c r="AH43" s="132"/>
      <c r="AI43" s="400">
        <f t="shared" si="17"/>
        <v>0</v>
      </c>
      <c r="AJ43" s="401">
        <f t="shared" si="18"/>
        <v>0</v>
      </c>
      <c r="AK43" s="52"/>
      <c r="AL43" s="413">
        <f>IFERROR(VLOOKUP($C43,'Proposed Rates'!$B:$J,AL$11,FALSE),0)</f>
        <v>0.25</v>
      </c>
      <c r="AM43" s="414">
        <f>IF($D43="Monthly",1,IF($D43="per KWH",$F$10,0))</f>
        <v>1</v>
      </c>
      <c r="AN43" s="399">
        <f t="shared" si="61"/>
        <v>0.25</v>
      </c>
      <c r="AO43" s="132"/>
      <c r="AP43" s="400">
        <f t="shared" si="21"/>
        <v>0</v>
      </c>
      <c r="AQ43" s="401">
        <f t="shared" si="22"/>
        <v>0</v>
      </c>
      <c r="AR43" s="402"/>
    </row>
    <row r="44" spans="1:44" ht="12" customHeight="1">
      <c r="A44" s="52"/>
      <c r="B44" s="321" t="s">
        <v>266</v>
      </c>
      <c r="C44" s="394" t="str">
        <f t="shared" si="49"/>
        <v>Residential.TOU - Off Peak</v>
      </c>
      <c r="D44" s="395" t="s">
        <v>312</v>
      </c>
      <c r="E44" s="321"/>
      <c r="F44" s="429">
        <f>VLOOKUP($B44,'Proposed Rates'!$D$252:$J$258,+F$11-2,FALSE)</f>
        <v>9.8000000000000004E-2</v>
      </c>
      <c r="G44" s="420">
        <f>$F$10*'Proposed Rates'!$K$253</f>
        <v>1280</v>
      </c>
      <c r="H44" s="399">
        <f t="shared" si="51"/>
        <v>125.44</v>
      </c>
      <c r="I44" s="132"/>
      <c r="J44" s="429">
        <f>VLOOKUP($B44,'Proposed Rates'!$D$252:$J$258,+J$11-2,FALSE)</f>
        <v>9.8000000000000004E-2</v>
      </c>
      <c r="K44" s="420">
        <f>$F$10*'Proposed Rates'!$K$253</f>
        <v>1280</v>
      </c>
      <c r="L44" s="399">
        <f t="shared" si="53"/>
        <v>125.44</v>
      </c>
      <c r="M44" s="132"/>
      <c r="N44" s="400">
        <f t="shared" si="5"/>
        <v>0</v>
      </c>
      <c r="O44" s="401">
        <f t="shared" si="6"/>
        <v>0</v>
      </c>
      <c r="P44" s="52"/>
      <c r="Q44" s="429">
        <f>VLOOKUP($B44,'Proposed Rates'!$D$252:$J$258,+Q$11-2,FALSE)</f>
        <v>9.8000000000000004E-2</v>
      </c>
      <c r="R44" s="420">
        <f>$F$10*'Proposed Rates'!$K$253</f>
        <v>1280</v>
      </c>
      <c r="S44" s="399">
        <f t="shared" si="55"/>
        <v>125.44</v>
      </c>
      <c r="T44" s="132"/>
      <c r="U44" s="400">
        <f t="shared" si="9"/>
        <v>0</v>
      </c>
      <c r="V44" s="401">
        <f t="shared" si="10"/>
        <v>0</v>
      </c>
      <c r="W44" s="52"/>
      <c r="X44" s="429">
        <f>VLOOKUP($B44,'Proposed Rates'!$D$252:$J$258,+X$11-2,FALSE)</f>
        <v>9.8000000000000004E-2</v>
      </c>
      <c r="Y44" s="420">
        <f>$F$10*'Proposed Rates'!$K$253</f>
        <v>1280</v>
      </c>
      <c r="Z44" s="399">
        <f t="shared" si="57"/>
        <v>125.44</v>
      </c>
      <c r="AA44" s="132"/>
      <c r="AB44" s="400">
        <f t="shared" si="13"/>
        <v>0</v>
      </c>
      <c r="AC44" s="401">
        <f t="shared" si="14"/>
        <v>0</v>
      </c>
      <c r="AD44" s="52"/>
      <c r="AE44" s="429">
        <f>VLOOKUP($B44,'Proposed Rates'!$D$252:$J$258,+AE$11-2,FALSE)</f>
        <v>9.8000000000000004E-2</v>
      </c>
      <c r="AF44" s="420">
        <f>$F$10*'Proposed Rates'!$K$253</f>
        <v>1280</v>
      </c>
      <c r="AG44" s="399">
        <f t="shared" si="59"/>
        <v>125.44</v>
      </c>
      <c r="AH44" s="132"/>
      <c r="AI44" s="400">
        <f t="shared" si="17"/>
        <v>0</v>
      </c>
      <c r="AJ44" s="401">
        <f t="shared" si="18"/>
        <v>0</v>
      </c>
      <c r="AK44" s="52"/>
      <c r="AL44" s="429">
        <f>VLOOKUP($B44,'Proposed Rates'!$D$252:$J$258,+AL$11-2,FALSE)</f>
        <v>9.8000000000000004E-2</v>
      </c>
      <c r="AM44" s="420">
        <f>$F$10*'Proposed Rates'!$K$253</f>
        <v>1280</v>
      </c>
      <c r="AN44" s="399">
        <f t="shared" si="61"/>
        <v>125.44</v>
      </c>
      <c r="AO44" s="132"/>
      <c r="AP44" s="400">
        <f t="shared" si="21"/>
        <v>0</v>
      </c>
      <c r="AQ44" s="401">
        <f t="shared" si="22"/>
        <v>0</v>
      </c>
      <c r="AR44" s="402"/>
    </row>
    <row r="45" spans="1:44" ht="12" customHeight="1">
      <c r="A45" s="52"/>
      <c r="B45" s="321" t="s">
        <v>267</v>
      </c>
      <c r="C45" s="394" t="str">
        <f t="shared" si="49"/>
        <v>Residential.TOU - Mid Peak</v>
      </c>
      <c r="D45" s="395" t="s">
        <v>312</v>
      </c>
      <c r="E45" s="321"/>
      <c r="F45" s="429">
        <f>VLOOKUP($B45,'Proposed Rates'!$D$252:$J$258,+F$11-2,FALSE)</f>
        <v>0.157</v>
      </c>
      <c r="G45" s="420">
        <f>$F$10*'Proposed Rates'!$K$254</f>
        <v>360</v>
      </c>
      <c r="H45" s="399">
        <f t="shared" si="51"/>
        <v>56.52</v>
      </c>
      <c r="I45" s="132"/>
      <c r="J45" s="429">
        <f>VLOOKUP($B45,'Proposed Rates'!$D$252:$J$258,+J$11-2,FALSE)</f>
        <v>0.157</v>
      </c>
      <c r="K45" s="420">
        <f>$F$10*'Proposed Rates'!$K$254</f>
        <v>360</v>
      </c>
      <c r="L45" s="399">
        <f t="shared" si="53"/>
        <v>56.52</v>
      </c>
      <c r="M45" s="132"/>
      <c r="N45" s="400">
        <f t="shared" si="5"/>
        <v>0</v>
      </c>
      <c r="O45" s="401">
        <f t="shared" si="6"/>
        <v>0</v>
      </c>
      <c r="P45" s="52"/>
      <c r="Q45" s="429">
        <f>VLOOKUP($B45,'Proposed Rates'!$D$252:$J$258,+Q$11-2,FALSE)</f>
        <v>0.157</v>
      </c>
      <c r="R45" s="420">
        <f>$F$10*'Proposed Rates'!$K$254</f>
        <v>360</v>
      </c>
      <c r="S45" s="399">
        <f t="shared" si="55"/>
        <v>56.52</v>
      </c>
      <c r="T45" s="132"/>
      <c r="U45" s="400">
        <f t="shared" si="9"/>
        <v>0</v>
      </c>
      <c r="V45" s="401">
        <f t="shared" si="10"/>
        <v>0</v>
      </c>
      <c r="W45" s="52"/>
      <c r="X45" s="429">
        <f>VLOOKUP($B45,'Proposed Rates'!$D$252:$J$258,+X$11-2,FALSE)</f>
        <v>0.157</v>
      </c>
      <c r="Y45" s="420">
        <f>$F$10*'Proposed Rates'!$K$254</f>
        <v>360</v>
      </c>
      <c r="Z45" s="399">
        <f t="shared" si="57"/>
        <v>56.52</v>
      </c>
      <c r="AA45" s="132"/>
      <c r="AB45" s="400">
        <f t="shared" si="13"/>
        <v>0</v>
      </c>
      <c r="AC45" s="401">
        <f t="shared" si="14"/>
        <v>0</v>
      </c>
      <c r="AD45" s="52"/>
      <c r="AE45" s="429">
        <f>VLOOKUP($B45,'Proposed Rates'!$D$252:$J$258,+AE$11-2,FALSE)</f>
        <v>0.157</v>
      </c>
      <c r="AF45" s="420">
        <f>$F$10*'Proposed Rates'!$K$254</f>
        <v>360</v>
      </c>
      <c r="AG45" s="399">
        <f t="shared" si="59"/>
        <v>56.52</v>
      </c>
      <c r="AH45" s="132"/>
      <c r="AI45" s="400">
        <f t="shared" si="17"/>
        <v>0</v>
      </c>
      <c r="AJ45" s="401">
        <f t="shared" si="18"/>
        <v>0</v>
      </c>
      <c r="AK45" s="52"/>
      <c r="AL45" s="429">
        <f>VLOOKUP($B45,'Proposed Rates'!$D$252:$J$258,+AL$11-2,FALSE)</f>
        <v>0.157</v>
      </c>
      <c r="AM45" s="420">
        <f>$F$10*'Proposed Rates'!$K$254</f>
        <v>360</v>
      </c>
      <c r="AN45" s="399">
        <f t="shared" si="61"/>
        <v>56.52</v>
      </c>
      <c r="AO45" s="132"/>
      <c r="AP45" s="400">
        <f t="shared" si="21"/>
        <v>0</v>
      </c>
      <c r="AQ45" s="401">
        <f t="shared" si="22"/>
        <v>0</v>
      </c>
      <c r="AR45" s="402"/>
    </row>
    <row r="46" spans="1:44" ht="12" customHeight="1">
      <c r="A46" s="52"/>
      <c r="B46" s="52" t="s">
        <v>268</v>
      </c>
      <c r="C46" s="394" t="str">
        <f t="shared" si="49"/>
        <v>Residential.TOU - On Peak</v>
      </c>
      <c r="D46" s="395" t="s">
        <v>312</v>
      </c>
      <c r="E46" s="321"/>
      <c r="F46" s="429">
        <f>VLOOKUP($B46,'Proposed Rates'!$D$252:$J$258,+F$11-2,FALSE)</f>
        <v>0.20300000000000001</v>
      </c>
      <c r="G46" s="420">
        <f>$F$10*'Proposed Rates'!$K$255</f>
        <v>360</v>
      </c>
      <c r="H46" s="399">
        <f t="shared" si="51"/>
        <v>73.08</v>
      </c>
      <c r="I46" s="132"/>
      <c r="J46" s="429">
        <f>VLOOKUP($B46,'Proposed Rates'!$D$252:$J$258,+J$11-2,FALSE)</f>
        <v>0.20300000000000001</v>
      </c>
      <c r="K46" s="420">
        <f>$F$10*'Proposed Rates'!$K$255</f>
        <v>360</v>
      </c>
      <c r="L46" s="399">
        <f t="shared" si="53"/>
        <v>73.08</v>
      </c>
      <c r="M46" s="132"/>
      <c r="N46" s="400">
        <f t="shared" si="5"/>
        <v>0</v>
      </c>
      <c r="O46" s="401">
        <f t="shared" si="6"/>
        <v>0</v>
      </c>
      <c r="P46" s="52"/>
      <c r="Q46" s="429">
        <f>VLOOKUP($B46,'Proposed Rates'!$D$252:$J$258,+Q$11-2,FALSE)</f>
        <v>0.20300000000000001</v>
      </c>
      <c r="R46" s="420">
        <f>$F$10*'Proposed Rates'!$K$255</f>
        <v>360</v>
      </c>
      <c r="S46" s="399">
        <f t="shared" si="55"/>
        <v>73.08</v>
      </c>
      <c r="T46" s="132"/>
      <c r="U46" s="400">
        <f t="shared" si="9"/>
        <v>0</v>
      </c>
      <c r="V46" s="401">
        <f t="shared" si="10"/>
        <v>0</v>
      </c>
      <c r="W46" s="52"/>
      <c r="X46" s="429">
        <f>VLOOKUP($B46,'Proposed Rates'!$D$252:$J$258,+X$11-2,FALSE)</f>
        <v>0.20300000000000001</v>
      </c>
      <c r="Y46" s="420">
        <f>$F$10*'Proposed Rates'!$K$255</f>
        <v>360</v>
      </c>
      <c r="Z46" s="399">
        <f t="shared" si="57"/>
        <v>73.08</v>
      </c>
      <c r="AA46" s="132"/>
      <c r="AB46" s="400">
        <f t="shared" si="13"/>
        <v>0</v>
      </c>
      <c r="AC46" s="401">
        <f t="shared" si="14"/>
        <v>0</v>
      </c>
      <c r="AD46" s="52"/>
      <c r="AE46" s="429">
        <f>VLOOKUP($B46,'Proposed Rates'!$D$252:$J$258,+AE$11-2,FALSE)</f>
        <v>0.20300000000000001</v>
      </c>
      <c r="AF46" s="420">
        <f>$F$10*'Proposed Rates'!$K$255</f>
        <v>360</v>
      </c>
      <c r="AG46" s="399">
        <f t="shared" si="59"/>
        <v>73.08</v>
      </c>
      <c r="AH46" s="132"/>
      <c r="AI46" s="400">
        <f t="shared" si="17"/>
        <v>0</v>
      </c>
      <c r="AJ46" s="401">
        <f t="shared" si="18"/>
        <v>0</v>
      </c>
      <c r="AK46" s="52"/>
      <c r="AL46" s="429">
        <f>VLOOKUP($B46,'Proposed Rates'!$D$252:$J$258,+AL$11-2,FALSE)</f>
        <v>0.20300000000000001</v>
      </c>
      <c r="AM46" s="420">
        <f>$F$10*'Proposed Rates'!$K$255</f>
        <v>360</v>
      </c>
      <c r="AN46" s="399">
        <f t="shared" si="61"/>
        <v>73.08</v>
      </c>
      <c r="AO46" s="132"/>
      <c r="AP46" s="400">
        <f t="shared" si="21"/>
        <v>0</v>
      </c>
      <c r="AQ46" s="401">
        <f t="shared" si="22"/>
        <v>0</v>
      </c>
      <c r="AR46" s="402"/>
    </row>
    <row r="47" spans="1:44" ht="12" customHeight="1">
      <c r="A47" s="52"/>
      <c r="B47" s="321" t="s">
        <v>269</v>
      </c>
      <c r="C47" s="394" t="str">
        <f t="shared" si="49"/>
        <v>Residential.Energy - RPP - Tier 1</v>
      </c>
      <c r="D47" s="395" t="s">
        <v>312</v>
      </c>
      <c r="E47" s="321"/>
      <c r="F47" s="429">
        <f>VLOOKUP($B47,'Proposed Rates'!$D$252:$J$258,+F$11-2,FALSE)</f>
        <v>0.12</v>
      </c>
      <c r="G47" s="430">
        <f>IF(AND($S$2=1, $F$10&gt;=600), 600, IF(AND($S$2=1, AND($F$10&lt;600, $F$10&gt;=0)), $F$10, IF(AND($S$2=2, $F$10&gt;=1000), 1000, IF(AND($S$2=2, AND($F$10&lt;1000, $F$10&gt;=0)), $F$10))))</f>
        <v>600</v>
      </c>
      <c r="H47" s="399">
        <f t="shared" si="51"/>
        <v>72</v>
      </c>
      <c r="I47" s="132"/>
      <c r="J47" s="429">
        <f>VLOOKUP($B47,'Proposed Rates'!$D$252:$J$258,+J$11-2,FALSE)</f>
        <v>0.12</v>
      </c>
      <c r="K47" s="430">
        <f>IF(AND($S$2=1, $F$10&gt;=600), 600, IF(AND($S$2=1, AND($F$10&lt;600, $F$10&gt;=0)), $F$10, IF(AND($S$2=2, $F$10&gt;=1000), 1000, IF(AND($S$2=2, AND($F$10&lt;1000, $F$10&gt;=0)), $F$10))))</f>
        <v>600</v>
      </c>
      <c r="L47" s="399">
        <f t="shared" si="53"/>
        <v>72</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600</v>
      </c>
      <c r="S47" s="399">
        <f t="shared" si="55"/>
        <v>72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600</v>
      </c>
      <c r="Z47" s="399">
        <f t="shared" si="57"/>
        <v>72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600</v>
      </c>
      <c r="AG47" s="399">
        <f t="shared" si="59"/>
        <v>72</v>
      </c>
      <c r="AH47" s="132"/>
      <c r="AI47" s="400">
        <f t="shared" si="17"/>
        <v>0</v>
      </c>
      <c r="AJ47" s="401">
        <f t="shared" si="18"/>
        <v>0</v>
      </c>
      <c r="AK47" s="52"/>
      <c r="AL47" s="429">
        <f>VLOOKUP($B47,'Proposed Rates'!$D$252:$J$258,+AL$11-2,FALSE)</f>
        <v>0.12</v>
      </c>
      <c r="AM47" s="430">
        <f>IF(AND($S$2=1, $F$10&gt;=600), 600, IF(AND($S$2=1, AND($F$10&lt;600, $F$10&gt;=0)), $F$10, IF(AND($S$2=2, $F$10&gt;=1000), 1000, IF(AND($S$2=2, AND($F$10&lt;1000, $F$10&gt;=0)), $F$10))))</f>
        <v>600</v>
      </c>
      <c r="AN47" s="399">
        <f t="shared" si="61"/>
        <v>72</v>
      </c>
      <c r="AO47" s="132"/>
      <c r="AP47" s="400">
        <f t="shared" si="21"/>
        <v>0</v>
      </c>
      <c r="AQ47" s="401">
        <f t="shared" si="22"/>
        <v>0</v>
      </c>
      <c r="AR47" s="402"/>
    </row>
    <row r="48" spans="1:44" ht="12" customHeight="1">
      <c r="A48" s="52"/>
      <c r="B48" s="321" t="s">
        <v>270</v>
      </c>
      <c r="C48" s="394" t="str">
        <f t="shared" si="49"/>
        <v>Residential.Energy - RPP - Tier 2</v>
      </c>
      <c r="D48" s="395" t="s">
        <v>312</v>
      </c>
      <c r="E48" s="321"/>
      <c r="F48" s="429">
        <f>VLOOKUP($B48,'Proposed Rates'!$D$252:$J$258,+F$11-2,FALSE)</f>
        <v>0.14199999999999999</v>
      </c>
      <c r="G48" s="432">
        <f>IF(AND($S$2=1, $F$10&gt;=600), $F$10-600, IF(AND($S$2=1, AND($F$10&lt;600, $F$10&gt;=0)), 0, IF(AND($S$2=2, $F$10&gt;=1000), $F$10-1000, IF(AND($S$2=2, AND($F$10&lt;1000, $F$10&gt;=0)), 0))))</f>
        <v>1400</v>
      </c>
      <c r="H48" s="399">
        <f t="shared" si="51"/>
        <v>198.79999999999998</v>
      </c>
      <c r="I48" s="132"/>
      <c r="J48" s="429">
        <f>VLOOKUP($B48,'Proposed Rates'!$D$252:$J$258,+J$11-2,FALSE)</f>
        <v>0.14199999999999999</v>
      </c>
      <c r="K48" s="432">
        <f>IF(AND($S$2=1, $F$10&gt;=600), $F$10-600, IF(AND($S$2=1, AND($F$10&lt;600, $F$10&gt;=0)), 0, IF(AND($S$2=2, $F$10&gt;=1000), $F$10-1000, IF(AND($S$2=2, AND($F$10&lt;1000, $F$10&gt;=0)), 0))))</f>
        <v>1400</v>
      </c>
      <c r="L48" s="399">
        <f t="shared" si="53"/>
        <v>198.79999999999998</v>
      </c>
      <c r="M48" s="132"/>
      <c r="N48" s="400">
        <f t="shared" si="5"/>
        <v>0</v>
      </c>
      <c r="O48" s="401">
        <f t="shared" si="6"/>
        <v>0</v>
      </c>
      <c r="P48" s="52"/>
      <c r="Q48" s="429">
        <f>VLOOKUP($B48,'Proposed Rates'!$D$252:$J$258,+Q$11-2,FALSE)</f>
        <v>0.14199999999999999</v>
      </c>
      <c r="R48" s="432">
        <f>IF(AND($S$2=1, $F$10&gt;=600), $F$10-600, IF(AND($S$2=1, AND($F$10&lt;600, $F$10&gt;=0)), 0, IF(AND($S$2=2, $F$10&gt;=1000), $F$10-1000, IF(AND($S$2=2, AND($F$10&lt;1000, $F$10&gt;=0)), 0))))</f>
        <v>1400</v>
      </c>
      <c r="S48" s="399">
        <f t="shared" si="55"/>
        <v>198.79999999999998</v>
      </c>
      <c r="T48" s="132"/>
      <c r="U48" s="400">
        <f t="shared" si="9"/>
        <v>0</v>
      </c>
      <c r="V48" s="401">
        <f t="shared" si="10"/>
        <v>0</v>
      </c>
      <c r="W48" s="52"/>
      <c r="X48" s="429">
        <f>VLOOKUP($B48,'Proposed Rates'!$D$252:$J$258,+X$11-2,FALSE)</f>
        <v>0.14199999999999999</v>
      </c>
      <c r="Y48" s="432">
        <f>IF(AND($S$2=1, $F$10&gt;=600), $F$10-600, IF(AND($S$2=1, AND($F$10&lt;600, $F$10&gt;=0)), 0, IF(AND($S$2=2, $F$10&gt;=1000), $F$10-1000, IF(AND($S$2=2, AND($F$10&lt;1000, $F$10&gt;=0)), 0))))</f>
        <v>1400</v>
      </c>
      <c r="Z48" s="399">
        <f t="shared" si="57"/>
        <v>198.79999999999998</v>
      </c>
      <c r="AA48" s="132"/>
      <c r="AB48" s="400">
        <f t="shared" si="13"/>
        <v>0</v>
      </c>
      <c r="AC48" s="401">
        <f t="shared" si="14"/>
        <v>0</v>
      </c>
      <c r="AD48" s="52"/>
      <c r="AE48" s="429">
        <f>VLOOKUP($B48,'Proposed Rates'!$D$252:$J$258,+AE$11-2,FALSE)</f>
        <v>0.14199999999999999</v>
      </c>
      <c r="AF48" s="432">
        <f>IF(AND($S$2=1, $F$10&gt;=600), $F$10-600, IF(AND($S$2=1, AND($F$10&lt;600, $F$10&gt;=0)), 0, IF(AND($S$2=2, $F$10&gt;=1000), $F$10-1000, IF(AND($S$2=2, AND($F$10&lt;1000, $F$10&gt;=0)), 0))))</f>
        <v>1400</v>
      </c>
      <c r="AG48" s="399">
        <f t="shared" si="59"/>
        <v>198.79999999999998</v>
      </c>
      <c r="AH48" s="132"/>
      <c r="AI48" s="400">
        <f t="shared" si="17"/>
        <v>0</v>
      </c>
      <c r="AJ48" s="401">
        <f t="shared" si="18"/>
        <v>0</v>
      </c>
      <c r="AK48" s="52"/>
      <c r="AL48" s="429">
        <f>VLOOKUP($B48,'Proposed Rates'!$D$252:$J$258,+AL$11-2,FALSE)</f>
        <v>0.14199999999999999</v>
      </c>
      <c r="AM48" s="432">
        <f>IF(AND($S$2=1, $F$10&gt;=600), $F$10-600, IF(AND($S$2=1, AND($F$10&lt;600, $F$10&gt;=0)), 0, IF(AND($S$2=2, $F$10&gt;=1000), $F$10-1000, IF(AND($S$2=2, AND($F$10&lt;1000, $F$10&gt;=0)), 0))))</f>
        <v>1400</v>
      </c>
      <c r="AN48" s="399">
        <f t="shared" si="61"/>
        <v>198.79999999999998</v>
      </c>
      <c r="AO48" s="132"/>
      <c r="AP48" s="400">
        <f t="shared" si="21"/>
        <v>0</v>
      </c>
      <c r="AQ48" s="401">
        <f t="shared" si="22"/>
        <v>0</v>
      </c>
      <c r="AR48" s="402"/>
    </row>
    <row r="49" spans="1:44" ht="12"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352.28781200000003</v>
      </c>
      <c r="I50" s="481"/>
      <c r="J50" s="444"/>
      <c r="K50" s="445"/>
      <c r="L50" s="446">
        <f>SUM(L41:L46,L40)</f>
        <v>359.54813599999994</v>
      </c>
      <c r="M50" s="448"/>
      <c r="N50" s="447">
        <f t="shared" ref="N50:N54" si="62">L50-H50</f>
        <v>7.2603239999999118</v>
      </c>
      <c r="O50" s="449">
        <f t="shared" ref="O50:O54" si="63">IF((H50)=0,"",(N50/H50))</f>
        <v>2.0609069495710827E-2</v>
      </c>
      <c r="P50" s="52"/>
      <c r="Q50" s="445"/>
      <c r="R50" s="445"/>
      <c r="S50" s="447">
        <f>SUM(S41:S46,S40)</f>
        <v>362.54813599999994</v>
      </c>
      <c r="T50" s="448"/>
      <c r="U50" s="447">
        <f t="shared" ref="U50:U54" si="64">S50-L50</f>
        <v>3</v>
      </c>
      <c r="V50" s="449">
        <f t="shared" ref="V50:V54" si="65">IF((L50)=0,"",(U50/L50))</f>
        <v>8.3438062935751126E-3</v>
      </c>
      <c r="W50" s="52"/>
      <c r="X50" s="445"/>
      <c r="Y50" s="445"/>
      <c r="Z50" s="447">
        <f>SUM(Z41:Z46,Z40)</f>
        <v>365.40879999999993</v>
      </c>
      <c r="AA50" s="448"/>
      <c r="AB50" s="447">
        <f t="shared" ref="AB50:AB54" si="66">Z50-S50</f>
        <v>2.8606639999999857</v>
      </c>
      <c r="AC50" s="449">
        <f t="shared" ref="AC50:AC54" si="67">IF((S50)=0,"",(AB50/S50))</f>
        <v>7.8904391333016986E-3</v>
      </c>
      <c r="AD50" s="52"/>
      <c r="AE50" s="445"/>
      <c r="AF50" s="445"/>
      <c r="AG50" s="447">
        <f>SUM(AG41:AG46,AG40)</f>
        <v>366.92879999999991</v>
      </c>
      <c r="AH50" s="448"/>
      <c r="AI50" s="447">
        <f t="shared" ref="AI50:AI54" si="68">AG50-Z50</f>
        <v>1.5199999999999818</v>
      </c>
      <c r="AJ50" s="449">
        <f t="shared" ref="AJ50:AJ54" si="69">IF((Z50)=0,"",(AI50/Z50))</f>
        <v>4.1597246700133712E-3</v>
      </c>
      <c r="AK50" s="52"/>
      <c r="AL50" s="445"/>
      <c r="AM50" s="445"/>
      <c r="AN50" s="447">
        <f>SUM(AN41:AN46,AN40)</f>
        <v>368.31879999999995</v>
      </c>
      <c r="AO50" s="448"/>
      <c r="AP50" s="447">
        <f t="shared" ref="AP50:AP54" si="70">AN50-AG50</f>
        <v>1.3900000000000432</v>
      </c>
      <c r="AQ50" s="449">
        <f t="shared" ref="AQ50:AQ54" si="71">IF((AG50)=0,"",(AP50/AG50))</f>
        <v>3.7882008716678644E-3</v>
      </c>
      <c r="AR50" s="450"/>
    </row>
    <row r="51" spans="1:44" ht="12" customHeight="1">
      <c r="A51" s="52"/>
      <c r="B51" s="451" t="s">
        <v>320</v>
      </c>
      <c r="C51" s="321"/>
      <c r="D51" s="321"/>
      <c r="E51" s="321"/>
      <c r="F51" s="444">
        <v>0.13</v>
      </c>
      <c r="G51" s="132"/>
      <c r="H51" s="489">
        <f>H50*F51</f>
        <v>45.797415560000005</v>
      </c>
      <c r="I51" s="416"/>
      <c r="J51" s="444">
        <v>0.13</v>
      </c>
      <c r="K51" s="416"/>
      <c r="L51" s="399">
        <f>L50*J51</f>
        <v>46.741257679999997</v>
      </c>
      <c r="M51" s="132"/>
      <c r="N51" s="400">
        <f t="shared" si="62"/>
        <v>0.94384211999999224</v>
      </c>
      <c r="O51" s="401">
        <f t="shared" si="63"/>
        <v>2.0609069495710911E-2</v>
      </c>
      <c r="P51" s="52"/>
      <c r="Q51" s="452">
        <v>0.13</v>
      </c>
      <c r="R51" s="416"/>
      <c r="S51" s="399">
        <f>S50*Q51</f>
        <v>47.131257679999997</v>
      </c>
      <c r="T51" s="132"/>
      <c r="U51" s="400">
        <f t="shared" si="64"/>
        <v>0.39000000000000057</v>
      </c>
      <c r="V51" s="401">
        <f t="shared" si="65"/>
        <v>8.3438062935751248E-3</v>
      </c>
      <c r="W51" s="52"/>
      <c r="X51" s="452">
        <v>0.13</v>
      </c>
      <c r="Y51" s="416"/>
      <c r="Z51" s="399">
        <f>Z50*X51</f>
        <v>47.503143999999992</v>
      </c>
      <c r="AA51" s="132"/>
      <c r="AB51" s="400">
        <f t="shared" si="66"/>
        <v>0.37188631999999444</v>
      </c>
      <c r="AC51" s="401">
        <f t="shared" si="67"/>
        <v>7.8904391333016188E-3</v>
      </c>
      <c r="AD51" s="52"/>
      <c r="AE51" s="452">
        <v>0.13</v>
      </c>
      <c r="AF51" s="416"/>
      <c r="AG51" s="399">
        <f>AG50*AE51</f>
        <v>47.700743999999993</v>
      </c>
      <c r="AH51" s="132"/>
      <c r="AI51" s="400">
        <f t="shared" si="68"/>
        <v>0.19760000000000133</v>
      </c>
      <c r="AJ51" s="401">
        <f t="shared" si="69"/>
        <v>4.1597246700134493E-3</v>
      </c>
      <c r="AK51" s="52"/>
      <c r="AL51" s="452">
        <v>0.13</v>
      </c>
      <c r="AM51" s="416"/>
      <c r="AN51" s="399">
        <f>AN50*AL51</f>
        <v>47.881443999999995</v>
      </c>
      <c r="AO51" s="132"/>
      <c r="AP51" s="400">
        <f t="shared" si="70"/>
        <v>0.18070000000000164</v>
      </c>
      <c r="AQ51" s="401">
        <f t="shared" si="71"/>
        <v>3.7882008716677807E-3</v>
      </c>
      <c r="AR51" s="402"/>
    </row>
    <row r="52" spans="1:44" ht="12" customHeight="1">
      <c r="A52" s="52"/>
      <c r="B52" s="453" t="s">
        <v>364</v>
      </c>
      <c r="C52" s="321"/>
      <c r="D52" s="321"/>
      <c r="E52" s="321"/>
      <c r="F52" s="454"/>
      <c r="G52" s="132"/>
      <c r="H52" s="489">
        <f>H50+H51</f>
        <v>398.08522756000002</v>
      </c>
      <c r="I52" s="416"/>
      <c r="J52" s="454"/>
      <c r="K52" s="416"/>
      <c r="L52" s="399">
        <f>L50+L51</f>
        <v>406.28939367999993</v>
      </c>
      <c r="M52" s="132"/>
      <c r="N52" s="400">
        <f t="shared" si="62"/>
        <v>8.2041661199999112</v>
      </c>
      <c r="O52" s="401">
        <f t="shared" si="63"/>
        <v>2.0609069495710855E-2</v>
      </c>
      <c r="P52" s="52"/>
      <c r="Q52" s="416"/>
      <c r="R52" s="416"/>
      <c r="S52" s="399">
        <f>S50+S51</f>
        <v>409.67939367999992</v>
      </c>
      <c r="T52" s="132"/>
      <c r="U52" s="400">
        <f t="shared" si="64"/>
        <v>3.3899999999999864</v>
      </c>
      <c r="V52" s="401">
        <f t="shared" si="65"/>
        <v>8.3438062935750797E-3</v>
      </c>
      <c r="W52" s="52"/>
      <c r="X52" s="416"/>
      <c r="Y52" s="416"/>
      <c r="Z52" s="399">
        <f>Z50+Z51</f>
        <v>412.91194399999995</v>
      </c>
      <c r="AA52" s="132"/>
      <c r="AB52" s="400">
        <f t="shared" si="66"/>
        <v>3.2325503200000298</v>
      </c>
      <c r="AC52" s="401">
        <f t="shared" si="67"/>
        <v>7.8904391333018114E-3</v>
      </c>
      <c r="AD52" s="52"/>
      <c r="AE52" s="416"/>
      <c r="AF52" s="416"/>
      <c r="AG52" s="399">
        <f>AG50+AG51</f>
        <v>414.6295439999999</v>
      </c>
      <c r="AH52" s="132"/>
      <c r="AI52" s="400">
        <f t="shared" si="68"/>
        <v>1.7175999999999476</v>
      </c>
      <c r="AJ52" s="401">
        <f t="shared" si="69"/>
        <v>4.159724670013294E-3</v>
      </c>
      <c r="AK52" s="52"/>
      <c r="AL52" s="416"/>
      <c r="AM52" s="416"/>
      <c r="AN52" s="399">
        <f>AN50+AN51</f>
        <v>416.20024399999994</v>
      </c>
      <c r="AO52" s="132"/>
      <c r="AP52" s="400">
        <f t="shared" si="70"/>
        <v>1.5707000000000448</v>
      </c>
      <c r="AQ52" s="401">
        <f t="shared" si="71"/>
        <v>3.7882008716678549E-3</v>
      </c>
      <c r="AR52" s="402"/>
    </row>
    <row r="53" spans="1:44" ht="12" customHeight="1">
      <c r="A53" s="52"/>
      <c r="B53" s="632" t="s">
        <v>277</v>
      </c>
      <c r="C53" s="623"/>
      <c r="D53" s="623"/>
      <c r="E53" s="321"/>
      <c r="F53" s="455">
        <f>'Proposed Rates'!E290</f>
        <v>0.23499999999999999</v>
      </c>
      <c r="G53" s="132"/>
      <c r="H53" s="491">
        <f>F53*H50</f>
        <v>82.787635820000006</v>
      </c>
      <c r="I53" s="416"/>
      <c r="J53" s="455">
        <f>'Proposed Rates'!F290</f>
        <v>0.23499999999999999</v>
      </c>
      <c r="K53" s="416"/>
      <c r="L53" s="456">
        <f>J53*L50</f>
        <v>84.493811959999988</v>
      </c>
      <c r="M53" s="132"/>
      <c r="N53" s="456">
        <f t="shared" si="62"/>
        <v>1.7061761399999824</v>
      </c>
      <c r="O53" s="458">
        <f t="shared" si="63"/>
        <v>2.0609069495710865E-2</v>
      </c>
      <c r="P53" s="52"/>
      <c r="Q53" s="457">
        <f>'Proposed Rates'!G290</f>
        <v>0.23499999999999999</v>
      </c>
      <c r="R53" s="416"/>
      <c r="S53" s="456">
        <f>Q53*S50</f>
        <v>85.198811959999986</v>
      </c>
      <c r="T53" s="132"/>
      <c r="U53" s="456">
        <f t="shared" si="64"/>
        <v>0.70499999999999829</v>
      </c>
      <c r="V53" s="458">
        <f t="shared" si="65"/>
        <v>8.3438062935750918E-3</v>
      </c>
      <c r="W53" s="52"/>
      <c r="X53" s="457">
        <f>'Proposed Rates'!H290</f>
        <v>0.23499999999999999</v>
      </c>
      <c r="Y53" s="416"/>
      <c r="Z53" s="456">
        <f>X53*Z50</f>
        <v>85.87106799999998</v>
      </c>
      <c r="AA53" s="132"/>
      <c r="AB53" s="456">
        <f t="shared" si="66"/>
        <v>0.6722560399999935</v>
      </c>
      <c r="AC53" s="458">
        <f t="shared" si="67"/>
        <v>7.8904391333016605E-3</v>
      </c>
      <c r="AD53" s="52"/>
      <c r="AE53" s="457">
        <f>'Proposed Rates'!I290</f>
        <v>0.23499999999999999</v>
      </c>
      <c r="AF53" s="416"/>
      <c r="AG53" s="456">
        <f>AE53*AG50</f>
        <v>86.228267999999971</v>
      </c>
      <c r="AH53" s="132"/>
      <c r="AI53" s="456">
        <f t="shared" si="68"/>
        <v>0.35719999999999175</v>
      </c>
      <c r="AJ53" s="458">
        <f t="shared" si="69"/>
        <v>4.1597246700133253E-3</v>
      </c>
      <c r="AK53" s="52"/>
      <c r="AL53" s="457">
        <f>'Proposed Rates'!J290</f>
        <v>0.23499999999999999</v>
      </c>
      <c r="AM53" s="416"/>
      <c r="AN53" s="456">
        <f>AL53*AN50</f>
        <v>86.554917999999986</v>
      </c>
      <c r="AO53" s="132"/>
      <c r="AP53" s="456">
        <f t="shared" si="70"/>
        <v>0.32665000000001498</v>
      </c>
      <c r="AQ53" s="458">
        <f t="shared" si="71"/>
        <v>3.7882008716679208E-3</v>
      </c>
      <c r="AR53" s="459"/>
    </row>
    <row r="54" spans="1:44" ht="12" customHeight="1">
      <c r="A54" s="52"/>
      <c r="B54" s="634" t="s">
        <v>322</v>
      </c>
      <c r="C54" s="615"/>
      <c r="D54" s="615"/>
      <c r="E54" s="460"/>
      <c r="F54" s="461"/>
      <c r="G54" s="492"/>
      <c r="H54" s="493">
        <f>H52-H53</f>
        <v>315.29759174000003</v>
      </c>
      <c r="I54" s="462"/>
      <c r="J54" s="461"/>
      <c r="K54" s="462"/>
      <c r="L54" s="463">
        <f>L52-L53</f>
        <v>321.79558171999997</v>
      </c>
      <c r="M54" s="464"/>
      <c r="N54" s="465">
        <f t="shared" si="62"/>
        <v>6.497989979999943</v>
      </c>
      <c r="O54" s="466">
        <f t="shared" si="63"/>
        <v>2.0609069495710897E-2</v>
      </c>
      <c r="P54" s="52"/>
      <c r="Q54" s="462"/>
      <c r="R54" s="462"/>
      <c r="S54" s="463">
        <f>S52-S53</f>
        <v>324.48058171999992</v>
      </c>
      <c r="T54" s="464"/>
      <c r="U54" s="465">
        <f t="shared" si="64"/>
        <v>2.6849999999999454</v>
      </c>
      <c r="V54" s="466">
        <f t="shared" si="65"/>
        <v>8.3438062935749426E-3</v>
      </c>
      <c r="W54" s="52"/>
      <c r="X54" s="462"/>
      <c r="Y54" s="462"/>
      <c r="Z54" s="463">
        <f>Z52-Z53</f>
        <v>327.04087599999997</v>
      </c>
      <c r="AA54" s="464"/>
      <c r="AB54" s="465">
        <f t="shared" si="66"/>
        <v>2.5602942800000505</v>
      </c>
      <c r="AC54" s="466">
        <f t="shared" si="67"/>
        <v>7.8904391333018947E-3</v>
      </c>
      <c r="AD54" s="52"/>
      <c r="AE54" s="462"/>
      <c r="AF54" s="462"/>
      <c r="AG54" s="463">
        <f>AG52-AG53</f>
        <v>328.40127599999994</v>
      </c>
      <c r="AH54" s="464"/>
      <c r="AI54" s="465">
        <f t="shared" si="68"/>
        <v>1.3603999999999701</v>
      </c>
      <c r="AJ54" s="466">
        <f t="shared" si="69"/>
        <v>4.1597246700133296E-3</v>
      </c>
      <c r="AK54" s="52"/>
      <c r="AL54" s="462"/>
      <c r="AM54" s="462"/>
      <c r="AN54" s="463">
        <f>AN52-AN53</f>
        <v>329.64532599999995</v>
      </c>
      <c r="AO54" s="464"/>
      <c r="AP54" s="465">
        <f t="shared" si="70"/>
        <v>1.2440500000000156</v>
      </c>
      <c r="AQ54" s="466">
        <f t="shared" si="71"/>
        <v>3.7882008716677942E-3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368.04781199999996</v>
      </c>
      <c r="I56" s="481"/>
      <c r="J56" s="444"/>
      <c r="K56" s="445"/>
      <c r="L56" s="446">
        <f>SUM(L47:L48,L40,L41:L43)</f>
        <v>375.30813599999993</v>
      </c>
      <c r="M56" s="448"/>
      <c r="N56" s="447">
        <f t="shared" ref="N56:N60" si="72">L56-H56</f>
        <v>7.2603239999999687</v>
      </c>
      <c r="O56" s="449">
        <f t="shared" ref="O56:O60" si="73">IF((H56)=0,"",(N56/H56))</f>
        <v>1.9726578350097539E-2</v>
      </c>
      <c r="P56" s="52"/>
      <c r="Q56" s="445"/>
      <c r="R56" s="445"/>
      <c r="S56" s="447">
        <f>SUM(S47:S48,S40,S41:S43)</f>
        <v>378.30813599999993</v>
      </c>
      <c r="T56" s="448"/>
      <c r="U56" s="447">
        <f t="shared" ref="U56:U60" si="74">S56-L56</f>
        <v>3</v>
      </c>
      <c r="V56" s="449">
        <f t="shared" ref="V56:V60" si="75">IF((L56)=0,"",(U56/L56))</f>
        <v>7.993431829039806E-3</v>
      </c>
      <c r="W56" s="52"/>
      <c r="X56" s="445"/>
      <c r="Y56" s="445"/>
      <c r="Z56" s="447">
        <f>SUM(Z47:Z48,Z40,Z41:Z43)</f>
        <v>381.16879999999992</v>
      </c>
      <c r="AA56" s="448"/>
      <c r="AB56" s="447">
        <f t="shared" ref="AB56:AB60" si="76">Z56-S56</f>
        <v>2.8606639999999857</v>
      </c>
      <c r="AC56" s="449">
        <f t="shared" ref="AC56:AC60" si="77">IF((S56)=0,"",(AB56/S56))</f>
        <v>7.5617300496016457E-3</v>
      </c>
      <c r="AD56" s="52"/>
      <c r="AE56" s="445"/>
      <c r="AF56" s="445"/>
      <c r="AG56" s="447">
        <f>SUM(AG47:AG48,AG40,AG41:AG43)</f>
        <v>382.68879999999996</v>
      </c>
      <c r="AH56" s="448"/>
      <c r="AI56" s="447">
        <f t="shared" ref="AI56:AI60" si="78">AG56-Z56</f>
        <v>1.5200000000000387</v>
      </c>
      <c r="AJ56" s="449">
        <f t="shared" ref="AJ56:AJ60" si="79">IF((Z56)=0,"",(AI56/Z56))</f>
        <v>3.9877345679920264E-3</v>
      </c>
      <c r="AK56" s="52"/>
      <c r="AL56" s="445"/>
      <c r="AM56" s="445"/>
      <c r="AN56" s="447">
        <f>SUM(AN47:AN48,AN40,AN41:AN43)</f>
        <v>384.07879999999994</v>
      </c>
      <c r="AO56" s="448"/>
      <c r="AP56" s="447">
        <f t="shared" ref="AP56:AP60" si="80">AN56-AG56</f>
        <v>1.3899999999999864</v>
      </c>
      <c r="AQ56" s="449">
        <f t="shared" ref="AQ56:AQ60" si="81">IF((AG56)=0,"",(AP56/AG56))</f>
        <v>3.6321940960905743E-3</v>
      </c>
      <c r="AR56" s="450"/>
    </row>
    <row r="57" spans="1:44" ht="12" customHeight="1">
      <c r="A57" s="52"/>
      <c r="B57" s="451" t="s">
        <v>320</v>
      </c>
      <c r="C57" s="321"/>
      <c r="D57" s="321"/>
      <c r="E57" s="321"/>
      <c r="F57" s="444">
        <v>0.13</v>
      </c>
      <c r="G57" s="488"/>
      <c r="H57" s="489">
        <f>H56*F57</f>
        <v>47.846215559999997</v>
      </c>
      <c r="I57" s="416"/>
      <c r="J57" s="444">
        <v>0.13</v>
      </c>
      <c r="K57" s="452"/>
      <c r="L57" s="399">
        <f>L56*J57</f>
        <v>48.79005767999999</v>
      </c>
      <c r="M57" s="132"/>
      <c r="N57" s="400">
        <f t="shared" si="72"/>
        <v>0.94384211999999224</v>
      </c>
      <c r="O57" s="401">
        <f t="shared" si="73"/>
        <v>1.9726578350097463E-2</v>
      </c>
      <c r="P57" s="52"/>
      <c r="Q57" s="444">
        <v>0.13</v>
      </c>
      <c r="R57" s="452"/>
      <c r="S57" s="399">
        <f>S56*Q57</f>
        <v>49.18005767999999</v>
      </c>
      <c r="T57" s="132"/>
      <c r="U57" s="400">
        <f t="shared" si="74"/>
        <v>0.39000000000000057</v>
      </c>
      <c r="V57" s="401">
        <f t="shared" si="75"/>
        <v>7.9934318290398182E-3</v>
      </c>
      <c r="W57" s="52"/>
      <c r="X57" s="444">
        <v>0.13</v>
      </c>
      <c r="Y57" s="452"/>
      <c r="Z57" s="399">
        <f>Z56*X57</f>
        <v>49.551943999999992</v>
      </c>
      <c r="AA57" s="132"/>
      <c r="AB57" s="400">
        <f t="shared" si="76"/>
        <v>0.37188632000000155</v>
      </c>
      <c r="AC57" s="401">
        <f t="shared" si="77"/>
        <v>7.5617300496017151E-3</v>
      </c>
      <c r="AD57" s="52"/>
      <c r="AE57" s="444">
        <v>0.13</v>
      </c>
      <c r="AF57" s="452"/>
      <c r="AG57" s="399">
        <f>AG56*AE57</f>
        <v>49.749543999999993</v>
      </c>
      <c r="AH57" s="132"/>
      <c r="AI57" s="400">
        <f t="shared" si="78"/>
        <v>0.19760000000000133</v>
      </c>
      <c r="AJ57" s="401">
        <f t="shared" si="79"/>
        <v>3.9877345679919509E-3</v>
      </c>
      <c r="AK57" s="52"/>
      <c r="AL57" s="444">
        <v>0.13</v>
      </c>
      <c r="AM57" s="452"/>
      <c r="AN57" s="399">
        <f>AN56*AL57</f>
        <v>49.930243999999995</v>
      </c>
      <c r="AO57" s="132"/>
      <c r="AP57" s="400">
        <f t="shared" si="80"/>
        <v>0.18070000000000164</v>
      </c>
      <c r="AQ57" s="401">
        <f t="shared" si="81"/>
        <v>3.6321940960906429E-3</v>
      </c>
      <c r="AR57" s="402"/>
    </row>
    <row r="58" spans="1:44" ht="12" customHeight="1">
      <c r="A58" s="52"/>
      <c r="B58" s="453" t="s">
        <v>365</v>
      </c>
      <c r="C58" s="321"/>
      <c r="D58" s="321"/>
      <c r="E58" s="321"/>
      <c r="F58" s="454"/>
      <c r="G58" s="132"/>
      <c r="H58" s="489">
        <f>H56+H57</f>
        <v>415.89402755999998</v>
      </c>
      <c r="I58" s="416"/>
      <c r="J58" s="454"/>
      <c r="K58" s="416"/>
      <c r="L58" s="399">
        <f>L56+L57</f>
        <v>424.09819367999989</v>
      </c>
      <c r="M58" s="132"/>
      <c r="N58" s="400">
        <f t="shared" si="72"/>
        <v>8.2041661199999112</v>
      </c>
      <c r="O58" s="401">
        <f t="shared" si="73"/>
        <v>1.9726578350097411E-2</v>
      </c>
      <c r="P58" s="52"/>
      <c r="Q58" s="416"/>
      <c r="R58" s="416"/>
      <c r="S58" s="399">
        <f>S56+S57</f>
        <v>427.48819367999994</v>
      </c>
      <c r="T58" s="132"/>
      <c r="U58" s="400">
        <f t="shared" si="74"/>
        <v>3.3900000000000432</v>
      </c>
      <c r="V58" s="401">
        <f t="shared" si="75"/>
        <v>7.9934318290399084E-3</v>
      </c>
      <c r="W58" s="52"/>
      <c r="X58" s="416"/>
      <c r="Y58" s="416"/>
      <c r="Z58" s="399">
        <f>Z56+Z57</f>
        <v>430.72074399999991</v>
      </c>
      <c r="AA58" s="132"/>
      <c r="AB58" s="400">
        <f t="shared" si="76"/>
        <v>3.232550319999973</v>
      </c>
      <c r="AC58" s="401">
        <f t="shared" si="77"/>
        <v>7.5617300496016206E-3</v>
      </c>
      <c r="AD58" s="52"/>
      <c r="AE58" s="416"/>
      <c r="AF58" s="416"/>
      <c r="AG58" s="399">
        <f>AG56+AG57</f>
        <v>432.43834399999997</v>
      </c>
      <c r="AH58" s="132"/>
      <c r="AI58" s="400">
        <f t="shared" si="78"/>
        <v>1.7176000000000613</v>
      </c>
      <c r="AJ58" s="401">
        <f t="shared" si="79"/>
        <v>3.9877345679920672E-3</v>
      </c>
      <c r="AK58" s="52"/>
      <c r="AL58" s="416"/>
      <c r="AM58" s="416"/>
      <c r="AN58" s="399">
        <f>AN56+AN57</f>
        <v>434.00904399999996</v>
      </c>
      <c r="AO58" s="132"/>
      <c r="AP58" s="400">
        <f t="shared" si="80"/>
        <v>1.570699999999988</v>
      </c>
      <c r="AQ58" s="401">
        <f t="shared" si="81"/>
        <v>3.6321940960905817E-3</v>
      </c>
      <c r="AR58" s="402"/>
    </row>
    <row r="59" spans="1:44" ht="12" customHeight="1">
      <c r="A59" s="52"/>
      <c r="B59" s="632" t="s">
        <v>277</v>
      </c>
      <c r="C59" s="623"/>
      <c r="D59" s="623"/>
      <c r="E59" s="321"/>
      <c r="F59" s="455">
        <f>F53</f>
        <v>0.23499999999999999</v>
      </c>
      <c r="G59" s="132"/>
      <c r="H59" s="491">
        <f>F59*H56</f>
        <v>86.491235819999986</v>
      </c>
      <c r="I59" s="416"/>
      <c r="J59" s="455">
        <f>J53</f>
        <v>0.23499999999999999</v>
      </c>
      <c r="K59" s="416"/>
      <c r="L59" s="456">
        <f>J59*L56</f>
        <v>88.197411959999982</v>
      </c>
      <c r="M59" s="132"/>
      <c r="N59" s="456">
        <f t="shared" si="72"/>
        <v>1.7061761399999966</v>
      </c>
      <c r="O59" s="458">
        <f t="shared" si="73"/>
        <v>1.9726578350097588E-2</v>
      </c>
      <c r="P59" s="52"/>
      <c r="Q59" s="457">
        <f>Q53</f>
        <v>0.23499999999999999</v>
      </c>
      <c r="R59" s="416"/>
      <c r="S59" s="456">
        <f>Q59*S56</f>
        <v>88.902411959999981</v>
      </c>
      <c r="T59" s="132"/>
      <c r="U59" s="456">
        <f t="shared" si="74"/>
        <v>0.70499999999999829</v>
      </c>
      <c r="V59" s="458">
        <f t="shared" si="75"/>
        <v>7.993431829039787E-3</v>
      </c>
      <c r="W59" s="52"/>
      <c r="X59" s="457">
        <f>X53</f>
        <v>0.23499999999999999</v>
      </c>
      <c r="Y59" s="416"/>
      <c r="Z59" s="456">
        <f>X59*Z56</f>
        <v>89.574667999999974</v>
      </c>
      <c r="AA59" s="132"/>
      <c r="AB59" s="456">
        <f t="shared" si="76"/>
        <v>0.6722560399999935</v>
      </c>
      <c r="AC59" s="458">
        <f t="shared" si="77"/>
        <v>7.561730049601611E-3</v>
      </c>
      <c r="AD59" s="52"/>
      <c r="AE59" s="457">
        <f>AE53</f>
        <v>0.23499999999999999</v>
      </c>
      <c r="AF59" s="416"/>
      <c r="AG59" s="456">
        <f>AE59*AG56</f>
        <v>89.93186799999998</v>
      </c>
      <c r="AH59" s="132"/>
      <c r="AI59" s="456">
        <f t="shared" si="78"/>
        <v>0.35720000000000596</v>
      </c>
      <c r="AJ59" s="458">
        <f t="shared" si="79"/>
        <v>3.9877345679919917E-3</v>
      </c>
      <c r="AK59" s="52"/>
      <c r="AL59" s="457">
        <f>AL53</f>
        <v>0.23499999999999999</v>
      </c>
      <c r="AM59" s="416"/>
      <c r="AN59" s="456">
        <f>AL59*AN56</f>
        <v>90.258517999999981</v>
      </c>
      <c r="AO59" s="132"/>
      <c r="AP59" s="456">
        <f t="shared" si="80"/>
        <v>0.32665000000000077</v>
      </c>
      <c r="AQ59" s="458">
        <f t="shared" si="81"/>
        <v>3.6321940960906186E-3</v>
      </c>
      <c r="AR59" s="459"/>
    </row>
    <row r="60" spans="1:44" ht="12" customHeight="1">
      <c r="A60" s="52"/>
      <c r="B60" s="634" t="s">
        <v>325</v>
      </c>
      <c r="C60" s="615"/>
      <c r="D60" s="615"/>
      <c r="E60" s="460"/>
      <c r="F60" s="468"/>
      <c r="G60" s="494"/>
      <c r="H60" s="495">
        <f>H58-H59</f>
        <v>329.40279174</v>
      </c>
      <c r="I60" s="469"/>
      <c r="J60" s="468"/>
      <c r="K60" s="469"/>
      <c r="L60" s="470">
        <f>L58-L59</f>
        <v>335.90078171999994</v>
      </c>
      <c r="M60" s="471"/>
      <c r="N60" s="472">
        <f t="shared" si="72"/>
        <v>6.497989979999943</v>
      </c>
      <c r="O60" s="473">
        <f t="shared" si="73"/>
        <v>1.9726578350097449E-2</v>
      </c>
      <c r="P60" s="52"/>
      <c r="Q60" s="469"/>
      <c r="R60" s="469"/>
      <c r="S60" s="470">
        <f>S58-S59</f>
        <v>338.58578171999994</v>
      </c>
      <c r="T60" s="471"/>
      <c r="U60" s="472">
        <f t="shared" si="74"/>
        <v>2.6850000000000023</v>
      </c>
      <c r="V60" s="473">
        <f t="shared" si="75"/>
        <v>7.993431829039813E-3</v>
      </c>
      <c r="W60" s="52"/>
      <c r="X60" s="469"/>
      <c r="Y60" s="469"/>
      <c r="Z60" s="470">
        <f>Z58-Z59</f>
        <v>341.14607599999994</v>
      </c>
      <c r="AA60" s="471"/>
      <c r="AB60" s="472">
        <f t="shared" si="76"/>
        <v>2.5602942799999937</v>
      </c>
      <c r="AC60" s="473">
        <f t="shared" si="77"/>
        <v>7.5617300496016648E-3</v>
      </c>
      <c r="AD60" s="52"/>
      <c r="AE60" s="469"/>
      <c r="AF60" s="469"/>
      <c r="AG60" s="470">
        <f>AG58-AG59</f>
        <v>342.50647600000002</v>
      </c>
      <c r="AH60" s="471"/>
      <c r="AI60" s="472">
        <f t="shared" si="78"/>
        <v>1.3604000000000838</v>
      </c>
      <c r="AJ60" s="473">
        <f t="shared" si="79"/>
        <v>3.9877345679921704E-3</v>
      </c>
      <c r="AK60" s="52"/>
      <c r="AL60" s="469"/>
      <c r="AM60" s="469"/>
      <c r="AN60" s="470">
        <f>AN58-AN59</f>
        <v>343.75052599999998</v>
      </c>
      <c r="AO60" s="471"/>
      <c r="AP60" s="472">
        <f t="shared" si="80"/>
        <v>1.2440499999999588</v>
      </c>
      <c r="AQ60" s="473">
        <f t="shared" si="81"/>
        <v>3.6321940960904889E-3</v>
      </c>
      <c r="AR60" s="467"/>
    </row>
    <row r="61" spans="1:44"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478" t="s">
        <v>366</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row>
    <row r="193" spans="1:44"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row>
    <row r="194" spans="1:44"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row>
    <row r="195" spans="1:44"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row>
    <row r="196" spans="1:44"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row>
    <row r="197" spans="1:44"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row>
    <row r="198" spans="1:44"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row>
    <row r="199" spans="1:44"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row>
    <row r="200" spans="1:44"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row>
    <row r="201" spans="1:44"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row>
    <row r="202" spans="1:44"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row>
    <row r="203" spans="1:44"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row>
    <row r="204" spans="1:44"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row>
    <row r="205" spans="1:44"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row>
    <row r="206" spans="1:44"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row>
    <row r="207" spans="1:44"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row>
    <row r="208" spans="1:44"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row>
    <row r="209" spans="1:44"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row>
    <row r="210" spans="1:44"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row>
    <row r="211" spans="1:44"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row>
    <row r="212" spans="1:44"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row>
    <row r="213" spans="1:44"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row>
    <row r="214" spans="1:44"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row>
    <row r="215" spans="1:44"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row>
    <row r="216" spans="1:44"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row>
    <row r="217" spans="1:44"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row>
    <row r="218" spans="1:44"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row>
    <row r="219" spans="1:44"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row>
    <row r="220" spans="1:44"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row>
    <row r="221" spans="1:44"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row>
    <row r="222" spans="1:44"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row>
    <row r="223" spans="1:44"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row>
    <row r="224" spans="1:44"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row>
    <row r="225" spans="1:44"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row>
    <row r="226" spans="1:44"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row>
    <row r="227" spans="1:44"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row>
    <row r="228" spans="1:44"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row>
    <row r="229" spans="1:44"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row>
    <row r="230" spans="1:44"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row>
    <row r="231" spans="1:44"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row>
    <row r="232" spans="1:44"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row>
    <row r="233" spans="1:44"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row>
    <row r="234" spans="1:44"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row>
    <row r="235" spans="1:44"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row>
    <row r="236" spans="1:44"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row>
    <row r="237" spans="1:44"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row>
    <row r="238" spans="1:44"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row>
    <row r="239" spans="1:44"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row>
    <row r="240" spans="1:44"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row>
    <row r="241" spans="1:44"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row>
    <row r="242" spans="1:44"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row>
    <row r="243" spans="1:44"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row>
    <row r="244" spans="1:44"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row>
    <row r="245" spans="1:44"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row>
    <row r="246" spans="1:44"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row>
    <row r="247" spans="1:44"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row>
    <row r="248" spans="1:44"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row>
    <row r="249" spans="1:44"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row>
    <row r="250" spans="1:44"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row>
    <row r="251" spans="1:44"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row>
    <row r="252" spans="1:44"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row>
    <row r="253" spans="1:44"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row>
    <row r="254" spans="1:44"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row>
    <row r="255" spans="1:44"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row>
    <row r="256" spans="1:44"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row>
    <row r="257" spans="1:44"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row>
    <row r="258" spans="1:44"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row>
    <row r="259" spans="1:44"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row>
    <row r="260" spans="1:44"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row>
    <row r="261" spans="1:44"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row>
    <row r="262" spans="1:44"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row>
    <row r="263" spans="1:44"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row>
    <row r="264" spans="1:44"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row>
    <row r="265" spans="1:44"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row>
    <row r="266" spans="1:44"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row>
    <row r="267" spans="1:44"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row>
    <row r="268" spans="1:44"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row>
    <row r="269" spans="1:44"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row>
    <row r="270" spans="1:44"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row>
    <row r="271" spans="1:44"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row>
    <row r="272" spans="1:44"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row>
    <row r="273" spans="1:44"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row>
    <row r="274" spans="1:44"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row>
    <row r="275" spans="1:44"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row>
    <row r="276" spans="1:44"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row>
    <row r="277" spans="1:44"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row>
    <row r="278" spans="1:44"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row>
    <row r="279" spans="1:44"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row>
    <row r="280" spans="1:44"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row>
    <row r="281" spans="1:44"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100-000000000000}">
      <formula1>"TOU,non-TOU"</formula1>
    </dataValidation>
    <dataValidation type="list" allowBlank="1" showErrorMessage="1" sqref="E15:E28 E30:E36 E38:E39 E41:E49 E55 E61" xr:uid="{00000000-0002-0000-1100-000001000000}">
      <formula1>#REF!</formula1>
    </dataValidation>
    <dataValidation type="list" allowBlank="1" showInputMessage="1" showErrorMessage="1" prompt="Select Charge Unit - monthly, per kWh, per kW" sqref="D15:D28 D30:D36 D38:D39 D41:D49 D55 D61" xr:uid="{00000000-0002-0000-1100-000002000000}">
      <formula1>"Monthly,per kWh,per kW"</formula1>
    </dataValidation>
  </dataValidations>
  <pageMargins left="0.74803149606299213" right="0.74803149606299213" top="0.98425196850393704" bottom="0.98425196850393704"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8" customWidth="1"/>
    <col min="3" max="3" width="3.42578125" customWidth="1"/>
    <col min="4" max="4" width="11.42578125" customWidth="1"/>
    <col min="5" max="5" width="1.42578125" customWidth="1"/>
    <col min="6" max="6" width="10.7109375" customWidth="1"/>
    <col min="7" max="7" width="8" customWidth="1"/>
    <col min="8" max="8" width="9.5703125" customWidth="1"/>
    <col min="9" max="9" width="0.42578125" customWidth="1"/>
    <col min="10" max="10" width="10.42578125" customWidth="1"/>
    <col min="11" max="11" width="8" customWidth="1"/>
    <col min="12" max="12" width="9.710937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5"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5"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20" t="s">
        <v>298</v>
      </c>
      <c r="C6" s="52"/>
      <c r="D6" s="504" t="s">
        <v>223</v>
      </c>
      <c r="E6" s="505"/>
      <c r="F6" s="505"/>
      <c r="G6" s="505"/>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7" t="s">
        <v>301</v>
      </c>
      <c r="E10" s="307"/>
      <c r="F10" s="385">
        <v>1000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5"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5"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5"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5" ht="12" customHeight="1">
      <c r="A15" s="52"/>
      <c r="B15" s="321" t="s">
        <v>221</v>
      </c>
      <c r="C15" s="394" t="str">
        <f t="shared" ref="C15:C28" si="0">D$6&amp;"."&amp;B15</f>
        <v>General Service &lt; 50 kW.Monthly Service Charge</v>
      </c>
      <c r="D15" s="395" t="s">
        <v>310</v>
      </c>
      <c r="E15" s="321"/>
      <c r="F15" s="396">
        <f>IFERROR(VLOOKUP($C15,'Proposed Rates'!$B:$J,F$11,FALSE),0)</f>
        <v>23.53</v>
      </c>
      <c r="G15" s="397">
        <f t="shared" ref="G15:G28" si="1">IF($D15="Monthly",1,IF($D15="per KWH",$F$10,0))</f>
        <v>1</v>
      </c>
      <c r="H15" s="399">
        <f t="shared" ref="H15:H28" si="2">G15*F15</f>
        <v>23.53</v>
      </c>
      <c r="I15" s="132"/>
      <c r="J15" s="396">
        <f>IFERROR(VLOOKUP($C15,'Proposed Rates'!$B:$J,J$11,FALSE),0)</f>
        <v>27.14</v>
      </c>
      <c r="K15" s="397">
        <f t="shared" ref="K15:K28" si="3">IF($D15="Monthly",1,IF($D15="per KWH",$F$10,0))</f>
        <v>1</v>
      </c>
      <c r="L15" s="399">
        <f t="shared" ref="L15:L28" si="4">K15*J15</f>
        <v>27.14</v>
      </c>
      <c r="M15" s="132"/>
      <c r="N15" s="400">
        <f t="shared" ref="N15:N48" si="5">L15-H15</f>
        <v>3.6099999999999994</v>
      </c>
      <c r="O15" s="401">
        <f t="shared" ref="O15:O48" si="6">IF((H15)=0,"",(N15/H15))</f>
        <v>0.15342116447088819</v>
      </c>
      <c r="P15" s="52"/>
      <c r="Q15" s="396">
        <f>IFERROR(VLOOKUP($C15,'Proposed Rates'!$B:$J,Q$11,FALSE),0)</f>
        <v>28.41</v>
      </c>
      <c r="R15" s="397">
        <f t="shared" ref="R15:R28" si="7">IF($D15="Monthly",1,IF($D15="per KWH",$F$10,0))</f>
        <v>1</v>
      </c>
      <c r="S15" s="399">
        <f t="shared" ref="S15:S28" si="8">R15*Q15</f>
        <v>28.41</v>
      </c>
      <c r="T15" s="132"/>
      <c r="U15" s="400">
        <f t="shared" ref="U15:U48" si="9">S15-L15</f>
        <v>1.2699999999999996</v>
      </c>
      <c r="V15" s="401">
        <f t="shared" ref="V15:V48" si="10">IF((L15)=0,"",(U15/L15))</f>
        <v>4.6794399410464239E-2</v>
      </c>
      <c r="W15" s="52"/>
      <c r="X15" s="396">
        <f>IFERROR(VLOOKUP($C15,'Proposed Rates'!$B:$J,X$11,FALSE),0)</f>
        <v>30.29</v>
      </c>
      <c r="Y15" s="397">
        <f t="shared" ref="Y15:Y28" si="11">IF($D15="Monthly",1,IF($D15="per KWH",$F$10,0))</f>
        <v>1</v>
      </c>
      <c r="Z15" s="399">
        <f t="shared" ref="Z15:Z28" si="12">Y15*X15</f>
        <v>30.29</v>
      </c>
      <c r="AA15" s="132"/>
      <c r="AB15" s="400">
        <f t="shared" ref="AB15:AB48" si="13">Z15-S15</f>
        <v>1.879999999999999</v>
      </c>
      <c r="AC15" s="401">
        <f t="shared" ref="AC15:AC48" si="14">IF((S15)=0,"",(AB15/S15))</f>
        <v>6.6173882435762027E-2</v>
      </c>
      <c r="AD15" s="52"/>
      <c r="AE15" s="396">
        <f>IFERROR(VLOOKUP($C15,'Proposed Rates'!$B:$J,AE$11,FALSE),0)</f>
        <v>30.86</v>
      </c>
      <c r="AF15" s="397">
        <f t="shared" ref="AF15:AF28" si="15">IF($D15="Monthly",1,IF($D15="per KWH",$F$10,0))</f>
        <v>1</v>
      </c>
      <c r="AG15" s="399">
        <f t="shared" ref="AG15:AG28" si="16">AF15*AE15</f>
        <v>30.86</v>
      </c>
      <c r="AH15" s="132"/>
      <c r="AI15" s="400">
        <f t="shared" ref="AI15:AI48" si="17">AG15-Z15</f>
        <v>0.57000000000000028</v>
      </c>
      <c r="AJ15" s="401">
        <f t="shared" ref="AJ15:AJ48" si="18">IF((Z15)=0,"",(AI15/Z15))</f>
        <v>1.8818091779465178E-2</v>
      </c>
      <c r="AK15" s="52"/>
      <c r="AL15" s="396">
        <f>IFERROR(VLOOKUP($C15,'Proposed Rates'!$B:$J,AL$11,FALSE),0)</f>
        <v>31.3</v>
      </c>
      <c r="AM15" s="397">
        <f t="shared" ref="AM15:AM28" si="19">IF($D15="Monthly",1,IF($D15="per KWH",$F$10,0))</f>
        <v>1</v>
      </c>
      <c r="AN15" s="399">
        <f t="shared" ref="AN15:AN28" si="20">AM15*AL15</f>
        <v>31.3</v>
      </c>
      <c r="AO15" s="132"/>
      <c r="AP15" s="400">
        <f t="shared" ref="AP15:AP48" si="21">AN15-AG15</f>
        <v>0.44000000000000128</v>
      </c>
      <c r="AQ15" s="401">
        <f t="shared" ref="AQ15:AQ48" si="22">IF((AG15)=0,"",(AP15/AG15))</f>
        <v>1.4257939079714883E-2</v>
      </c>
      <c r="AR15" s="402"/>
    </row>
    <row r="16" spans="1:45" ht="12" customHeight="1">
      <c r="A16" s="52"/>
      <c r="B16" s="321" t="s">
        <v>311</v>
      </c>
      <c r="C16" s="394" t="str">
        <f t="shared" si="0"/>
        <v>General Service &lt; 50 kW.Smart Meter Rate Adder</v>
      </c>
      <c r="D16" s="395" t="s">
        <v>310</v>
      </c>
      <c r="E16" s="321"/>
      <c r="F16" s="413">
        <f>IFERROR(VLOOKUP($C16,'Proposed Rates'!$B:$J,F$11,FALSE),0)</f>
        <v>0</v>
      </c>
      <c r="G16" s="397">
        <f t="shared" si="1"/>
        <v>1</v>
      </c>
      <c r="H16" s="399">
        <f t="shared" si="2"/>
        <v>0</v>
      </c>
      <c r="I16" s="132"/>
      <c r="J16" s="413">
        <f>IFERROR(VLOOKUP($C16,'Proposed Rates'!$B:$J,J$11,FALSE),0)</f>
        <v>0</v>
      </c>
      <c r="K16" s="397">
        <f t="shared" si="3"/>
        <v>1</v>
      </c>
      <c r="L16" s="399">
        <f t="shared" si="4"/>
        <v>0</v>
      </c>
      <c r="M16" s="132"/>
      <c r="N16" s="400">
        <f t="shared" si="5"/>
        <v>0</v>
      </c>
      <c r="O16" s="401" t="str">
        <f t="shared" si="6"/>
        <v/>
      </c>
      <c r="P16" s="52"/>
      <c r="Q16" s="413">
        <f>IFERROR(VLOOKUP($C16,'Proposed Rates'!$B:$J,Q$11,FALSE),0)</f>
        <v>0</v>
      </c>
      <c r="R16" s="397">
        <f t="shared" si="7"/>
        <v>1</v>
      </c>
      <c r="S16" s="399">
        <f t="shared" si="8"/>
        <v>0</v>
      </c>
      <c r="T16" s="132"/>
      <c r="U16" s="400">
        <f t="shared" si="9"/>
        <v>0</v>
      </c>
      <c r="V16" s="401" t="str">
        <f t="shared" si="10"/>
        <v/>
      </c>
      <c r="W16" s="52"/>
      <c r="X16" s="413">
        <f>IFERROR(VLOOKUP($C16,'Proposed Rates'!$B:$J,X$11,FALSE),0)</f>
        <v>0</v>
      </c>
      <c r="Y16" s="397">
        <f t="shared" si="11"/>
        <v>1</v>
      </c>
      <c r="Z16" s="399">
        <f t="shared" si="12"/>
        <v>0</v>
      </c>
      <c r="AA16" s="132"/>
      <c r="AB16" s="400">
        <f t="shared" si="13"/>
        <v>0</v>
      </c>
      <c r="AC16" s="401" t="str">
        <f t="shared" si="14"/>
        <v/>
      </c>
      <c r="AD16" s="52"/>
      <c r="AE16" s="413">
        <f>IFERROR(VLOOKUP($C16,'Proposed Rates'!$B:$J,AE$11,FALSE),0)</f>
        <v>0</v>
      </c>
      <c r="AF16" s="397">
        <f t="shared" si="15"/>
        <v>1</v>
      </c>
      <c r="AG16" s="399">
        <f t="shared" si="16"/>
        <v>0</v>
      </c>
      <c r="AH16" s="132"/>
      <c r="AI16" s="400">
        <f t="shared" si="17"/>
        <v>0</v>
      </c>
      <c r="AJ16" s="401" t="str">
        <f t="shared" si="18"/>
        <v/>
      </c>
      <c r="AK16" s="52"/>
      <c r="AL16" s="413">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General Service &lt; 50 kW.Rate Rider Calculation for PILs</v>
      </c>
      <c r="D17" s="395" t="s">
        <v>312</v>
      </c>
      <c r="E17" s="321"/>
      <c r="F17" s="413">
        <f>IFERROR(VLOOKUP($C17,'Proposed Rates'!$B:$J,F$11,FALSE),0)</f>
        <v>0</v>
      </c>
      <c r="G17" s="397">
        <f t="shared" si="1"/>
        <v>1000</v>
      </c>
      <c r="H17" s="399">
        <f t="shared" si="2"/>
        <v>0</v>
      </c>
      <c r="I17" s="132"/>
      <c r="J17" s="413">
        <f>IFERROR(VLOOKUP($C17,'Proposed Rates'!$B:$J,J$11,FALSE),0)</f>
        <v>0</v>
      </c>
      <c r="K17" s="397">
        <f t="shared" si="3"/>
        <v>1000</v>
      </c>
      <c r="L17" s="399">
        <f t="shared" si="4"/>
        <v>0</v>
      </c>
      <c r="M17" s="132"/>
      <c r="N17" s="400">
        <f t="shared" si="5"/>
        <v>0</v>
      </c>
      <c r="O17" s="401" t="str">
        <f t="shared" si="6"/>
        <v/>
      </c>
      <c r="P17" s="52"/>
      <c r="Q17" s="413">
        <f>IFERROR(VLOOKUP($C17,'Proposed Rates'!$B:$J,Q$11,FALSE),0)</f>
        <v>0</v>
      </c>
      <c r="R17" s="397">
        <f t="shared" si="7"/>
        <v>1000</v>
      </c>
      <c r="S17" s="399">
        <f t="shared" si="8"/>
        <v>0</v>
      </c>
      <c r="T17" s="132"/>
      <c r="U17" s="400">
        <f t="shared" si="9"/>
        <v>0</v>
      </c>
      <c r="V17" s="401" t="str">
        <f t="shared" si="10"/>
        <v/>
      </c>
      <c r="W17" s="52"/>
      <c r="X17" s="413">
        <f>IFERROR(VLOOKUP($C17,'Proposed Rates'!$B:$J,X$11,FALSE),0)</f>
        <v>0</v>
      </c>
      <c r="Y17" s="397">
        <f t="shared" si="11"/>
        <v>1000</v>
      </c>
      <c r="Z17" s="399">
        <f t="shared" si="12"/>
        <v>0</v>
      </c>
      <c r="AA17" s="132"/>
      <c r="AB17" s="400">
        <f t="shared" si="13"/>
        <v>0</v>
      </c>
      <c r="AC17" s="401" t="str">
        <f t="shared" si="14"/>
        <v/>
      </c>
      <c r="AD17" s="52"/>
      <c r="AE17" s="413">
        <f>IFERROR(VLOOKUP($C17,'Proposed Rates'!$B:$J,AE$11,FALSE),0)</f>
        <v>0</v>
      </c>
      <c r="AF17" s="397">
        <f t="shared" si="15"/>
        <v>1000</v>
      </c>
      <c r="AG17" s="399">
        <f t="shared" si="16"/>
        <v>0</v>
      </c>
      <c r="AH17" s="132"/>
      <c r="AI17" s="400">
        <f t="shared" si="17"/>
        <v>0</v>
      </c>
      <c r="AJ17" s="401" t="str">
        <f t="shared" si="18"/>
        <v/>
      </c>
      <c r="AK17" s="52"/>
      <c r="AL17" s="413">
        <f>IFERROR(VLOOKUP($C17,'Proposed Rates'!$B:$J,AL$11,FALSE),0)</f>
        <v>0</v>
      </c>
      <c r="AM17" s="397">
        <f t="shared" si="19"/>
        <v>1000</v>
      </c>
      <c r="AN17" s="399">
        <f t="shared" si="20"/>
        <v>0</v>
      </c>
      <c r="AO17" s="132"/>
      <c r="AP17" s="400">
        <f t="shared" si="21"/>
        <v>0</v>
      </c>
      <c r="AQ17" s="401" t="str">
        <f t="shared" si="22"/>
        <v/>
      </c>
      <c r="AR17" s="402"/>
    </row>
    <row r="18" spans="1:44" ht="12" customHeight="1">
      <c r="A18" s="52"/>
      <c r="B18" s="403" t="str">
        <f>'Proposed Rates'!C128</f>
        <v>Rate Rider Calculation for Generic</v>
      </c>
      <c r="C18" s="394" t="str">
        <f t="shared" si="0"/>
        <v>General Service &lt; 50 kW.Rate Rider Calculation for Generic</v>
      </c>
      <c r="D18" s="395" t="s">
        <v>310</v>
      </c>
      <c r="E18" s="321"/>
      <c r="F18" s="413">
        <f>IFERROR(VLOOKUP($C18,'Proposed Rates'!$B:$J,F$11,FALSE),0)</f>
        <v>0</v>
      </c>
      <c r="G18" s="397">
        <f t="shared" si="1"/>
        <v>1</v>
      </c>
      <c r="H18" s="399">
        <f t="shared" si="2"/>
        <v>0</v>
      </c>
      <c r="I18" s="132"/>
      <c r="J18" s="413">
        <f>IFERROR(VLOOKUP($C18,'Proposed Rates'!$B:$J,J$11,FALSE),0)</f>
        <v>0</v>
      </c>
      <c r="K18" s="397">
        <f t="shared" si="3"/>
        <v>1</v>
      </c>
      <c r="L18" s="399">
        <f t="shared" si="4"/>
        <v>0</v>
      </c>
      <c r="M18" s="132"/>
      <c r="N18" s="400">
        <f t="shared" si="5"/>
        <v>0</v>
      </c>
      <c r="O18" s="401" t="str">
        <f t="shared" si="6"/>
        <v/>
      </c>
      <c r="P18" s="52"/>
      <c r="Q18" s="413">
        <f>IFERROR(VLOOKUP($C18,'Proposed Rates'!$B:$J,Q$11,FALSE),0)</f>
        <v>0</v>
      </c>
      <c r="R18" s="397">
        <f t="shared" si="7"/>
        <v>1</v>
      </c>
      <c r="S18" s="399">
        <f t="shared" si="8"/>
        <v>0</v>
      </c>
      <c r="T18" s="132"/>
      <c r="U18" s="400">
        <f t="shared" si="9"/>
        <v>0</v>
      </c>
      <c r="V18" s="401" t="str">
        <f t="shared" si="10"/>
        <v/>
      </c>
      <c r="W18" s="52"/>
      <c r="X18" s="413">
        <f>IFERROR(VLOOKUP($C18,'Proposed Rates'!$B:$J,X$11,FALSE),0)</f>
        <v>0</v>
      </c>
      <c r="Y18" s="397">
        <f t="shared" si="11"/>
        <v>1</v>
      </c>
      <c r="Z18" s="399">
        <f t="shared" si="12"/>
        <v>0</v>
      </c>
      <c r="AA18" s="132"/>
      <c r="AB18" s="400">
        <f t="shared" si="13"/>
        <v>0</v>
      </c>
      <c r="AC18" s="401" t="str">
        <f t="shared" si="14"/>
        <v/>
      </c>
      <c r="AD18" s="52"/>
      <c r="AE18" s="413">
        <f>IFERROR(VLOOKUP($C18,'Proposed Rates'!$B:$J,AE$11,FALSE),0)</f>
        <v>0</v>
      </c>
      <c r="AF18" s="397">
        <f t="shared" si="15"/>
        <v>1</v>
      </c>
      <c r="AG18" s="399">
        <f t="shared" si="16"/>
        <v>0</v>
      </c>
      <c r="AH18" s="132"/>
      <c r="AI18" s="400">
        <f t="shared" si="17"/>
        <v>0</v>
      </c>
      <c r="AJ18" s="401" t="str">
        <f t="shared" si="18"/>
        <v/>
      </c>
      <c r="AK18" s="52"/>
      <c r="AL18" s="413">
        <f>IFERROR(VLOOKUP($C18,'Proposed Rates'!$B:$J,AL$11,FALSE),0)</f>
        <v>0</v>
      </c>
      <c r="AM18" s="397">
        <f t="shared" si="19"/>
        <v>1</v>
      </c>
      <c r="AN18" s="399">
        <f t="shared" si="20"/>
        <v>0</v>
      </c>
      <c r="AO18" s="132"/>
      <c r="AP18" s="400">
        <f t="shared" si="21"/>
        <v>0</v>
      </c>
      <c r="AQ18" s="401" t="str">
        <f t="shared" si="22"/>
        <v/>
      </c>
      <c r="AR18" s="402"/>
    </row>
    <row r="19" spans="1:44" ht="12" customHeight="1">
      <c r="A19" s="52"/>
      <c r="B19" s="321" t="s">
        <v>59</v>
      </c>
      <c r="C19" s="394" t="str">
        <f t="shared" si="0"/>
        <v>General Service &lt; 50 kW.Distribution Volumetric Rate</v>
      </c>
      <c r="D19" s="395" t="s">
        <v>312</v>
      </c>
      <c r="E19" s="321"/>
      <c r="F19" s="413">
        <f>IFERROR(VLOOKUP($C19,'Proposed Rates'!$B:$J,F$11,FALSE),0)</f>
        <v>3.0499999999999999E-2</v>
      </c>
      <c r="G19" s="397">
        <f t="shared" si="1"/>
        <v>1000</v>
      </c>
      <c r="H19" s="399">
        <f t="shared" si="2"/>
        <v>30.5</v>
      </c>
      <c r="I19" s="132"/>
      <c r="J19" s="413">
        <f>IFERROR(VLOOKUP($C19,'Proposed Rates'!$B:$J,J$11,FALSE),0)</f>
        <v>3.5200000000000002E-2</v>
      </c>
      <c r="K19" s="397">
        <f t="shared" si="3"/>
        <v>1000</v>
      </c>
      <c r="L19" s="399">
        <f t="shared" si="4"/>
        <v>35.200000000000003</v>
      </c>
      <c r="M19" s="132"/>
      <c r="N19" s="400">
        <f t="shared" si="5"/>
        <v>4.7000000000000028</v>
      </c>
      <c r="O19" s="401">
        <f t="shared" si="6"/>
        <v>0.15409836065573779</v>
      </c>
      <c r="P19" s="52"/>
      <c r="Q19" s="413">
        <f>IFERROR(VLOOKUP($C19,'Proposed Rates'!$B:$J,Q$11,FALSE),0)</f>
        <v>3.6900000000000002E-2</v>
      </c>
      <c r="R19" s="397">
        <f t="shared" si="7"/>
        <v>1000</v>
      </c>
      <c r="S19" s="399">
        <f t="shared" si="8"/>
        <v>36.900000000000006</v>
      </c>
      <c r="T19" s="132"/>
      <c r="U19" s="400">
        <f t="shared" si="9"/>
        <v>1.7000000000000028</v>
      </c>
      <c r="V19" s="401">
        <f t="shared" si="10"/>
        <v>4.8295454545454621E-2</v>
      </c>
      <c r="W19" s="52"/>
      <c r="X19" s="413">
        <f>IFERROR(VLOOKUP($C19,'Proposed Rates'!$B:$J,X$11,FALSE),0)</f>
        <v>3.9300000000000002E-2</v>
      </c>
      <c r="Y19" s="397">
        <f t="shared" si="11"/>
        <v>1000</v>
      </c>
      <c r="Z19" s="399">
        <f t="shared" si="12"/>
        <v>39.300000000000004</v>
      </c>
      <c r="AA19" s="132"/>
      <c r="AB19" s="400">
        <f t="shared" si="13"/>
        <v>2.3999999999999986</v>
      </c>
      <c r="AC19" s="401">
        <f t="shared" si="14"/>
        <v>6.5040650406504016E-2</v>
      </c>
      <c r="AD19" s="52"/>
      <c r="AE19" s="413">
        <f>IFERROR(VLOOKUP($C19,'Proposed Rates'!$B:$J,AE$11,FALSE),0)</f>
        <v>0.04</v>
      </c>
      <c r="AF19" s="397">
        <f t="shared" si="15"/>
        <v>1000</v>
      </c>
      <c r="AG19" s="399">
        <f t="shared" si="16"/>
        <v>40</v>
      </c>
      <c r="AH19" s="132"/>
      <c r="AI19" s="400">
        <f t="shared" si="17"/>
        <v>0.69999999999999574</v>
      </c>
      <c r="AJ19" s="401">
        <f t="shared" si="18"/>
        <v>1.7811704834605487E-2</v>
      </c>
      <c r="AK19" s="52"/>
      <c r="AL19" s="413">
        <f>IFERROR(VLOOKUP($C19,'Proposed Rates'!$B:$J,AL$11,FALSE),0)</f>
        <v>4.0599999999999997E-2</v>
      </c>
      <c r="AM19" s="397">
        <f t="shared" si="19"/>
        <v>1000</v>
      </c>
      <c r="AN19" s="399">
        <f t="shared" si="20"/>
        <v>40.599999999999994</v>
      </c>
      <c r="AO19" s="132"/>
      <c r="AP19" s="400">
        <f t="shared" si="21"/>
        <v>0.59999999999999432</v>
      </c>
      <c r="AQ19" s="401">
        <f t="shared" si="22"/>
        <v>1.4999999999999857E-2</v>
      </c>
      <c r="AR19" s="402"/>
    </row>
    <row r="20" spans="1:44" ht="12" customHeight="1">
      <c r="A20" s="52"/>
      <c r="B20" s="321" t="s">
        <v>313</v>
      </c>
      <c r="C20" s="394" t="str">
        <f t="shared" si="0"/>
        <v>General Service &lt; 50 kW.Smart Meter Disposition Rider</v>
      </c>
      <c r="D20" s="395" t="s">
        <v>312</v>
      </c>
      <c r="E20" s="321"/>
      <c r="F20" s="413">
        <f>IFERROR(VLOOKUP($C20,'Proposed Rates'!$B:$J,F$11,FALSE),0)</f>
        <v>0</v>
      </c>
      <c r="G20" s="397">
        <f t="shared" si="1"/>
        <v>1000</v>
      </c>
      <c r="H20" s="399">
        <f t="shared" si="2"/>
        <v>0</v>
      </c>
      <c r="I20" s="132"/>
      <c r="J20" s="413">
        <f>IFERROR(VLOOKUP($C20,'Proposed Rates'!$B:$J,J$11,FALSE),0)</f>
        <v>0</v>
      </c>
      <c r="K20" s="397">
        <f t="shared" si="3"/>
        <v>1000</v>
      </c>
      <c r="L20" s="399">
        <f t="shared" si="4"/>
        <v>0</v>
      </c>
      <c r="M20" s="132"/>
      <c r="N20" s="400">
        <f t="shared" si="5"/>
        <v>0</v>
      </c>
      <c r="O20" s="401" t="str">
        <f t="shared" si="6"/>
        <v/>
      </c>
      <c r="P20" s="52"/>
      <c r="Q20" s="413">
        <f>IFERROR(VLOOKUP($C20,'Proposed Rates'!$B:$J,Q$11,FALSE),0)</f>
        <v>0</v>
      </c>
      <c r="R20" s="397">
        <f t="shared" si="7"/>
        <v>1000</v>
      </c>
      <c r="S20" s="399">
        <f t="shared" si="8"/>
        <v>0</v>
      </c>
      <c r="T20" s="132"/>
      <c r="U20" s="400">
        <f t="shared" si="9"/>
        <v>0</v>
      </c>
      <c r="V20" s="401" t="str">
        <f t="shared" si="10"/>
        <v/>
      </c>
      <c r="W20" s="52"/>
      <c r="X20" s="413">
        <f>IFERROR(VLOOKUP($C20,'Proposed Rates'!$B:$J,X$11,FALSE),0)</f>
        <v>0</v>
      </c>
      <c r="Y20" s="397">
        <f t="shared" si="11"/>
        <v>1000</v>
      </c>
      <c r="Z20" s="399">
        <f t="shared" si="12"/>
        <v>0</v>
      </c>
      <c r="AA20" s="132"/>
      <c r="AB20" s="400">
        <f t="shared" si="13"/>
        <v>0</v>
      </c>
      <c r="AC20" s="401" t="str">
        <f t="shared" si="14"/>
        <v/>
      </c>
      <c r="AD20" s="52"/>
      <c r="AE20" s="413">
        <f>IFERROR(VLOOKUP($C20,'Proposed Rates'!$B:$J,AE$11,FALSE),0)</f>
        <v>0</v>
      </c>
      <c r="AF20" s="397">
        <f t="shared" si="15"/>
        <v>1000</v>
      </c>
      <c r="AG20" s="399">
        <f t="shared" si="16"/>
        <v>0</v>
      </c>
      <c r="AH20" s="132"/>
      <c r="AI20" s="400">
        <f t="shared" si="17"/>
        <v>0</v>
      </c>
      <c r="AJ20" s="401" t="str">
        <f t="shared" si="18"/>
        <v/>
      </c>
      <c r="AK20" s="52"/>
      <c r="AL20" s="413">
        <f>IFERROR(VLOOKUP($C20,'Proposed Rates'!$B:$J,AL$11,FALSE),0)</f>
        <v>0</v>
      </c>
      <c r="AM20" s="397">
        <f t="shared" si="19"/>
        <v>1000</v>
      </c>
      <c r="AN20" s="399">
        <f t="shared" si="20"/>
        <v>0</v>
      </c>
      <c r="AO20" s="132"/>
      <c r="AP20" s="400">
        <f t="shared" si="21"/>
        <v>0</v>
      </c>
      <c r="AQ20" s="401" t="str">
        <f t="shared" si="22"/>
        <v/>
      </c>
      <c r="AR20" s="402"/>
    </row>
    <row r="21" spans="1:44" ht="12" customHeight="1">
      <c r="A21" s="52"/>
      <c r="B21" s="321" t="s">
        <v>244</v>
      </c>
      <c r="C21" s="394" t="str">
        <f t="shared" si="0"/>
        <v>General Service &lt; 50 kW.LRAM Rate Rider</v>
      </c>
      <c r="D21" s="395" t="s">
        <v>312</v>
      </c>
      <c r="E21" s="321"/>
      <c r="F21" s="413">
        <f>'Proposed Rates'!E78+'Proposed Rates'!E91</f>
        <v>6.9999999999999999E-4</v>
      </c>
      <c r="G21" s="397">
        <f t="shared" si="1"/>
        <v>1000</v>
      </c>
      <c r="H21" s="399">
        <f t="shared" si="2"/>
        <v>0.7</v>
      </c>
      <c r="I21" s="132"/>
      <c r="J21" s="413">
        <f>'Proposed Rates'!F78+'Proposed Rates'!F91</f>
        <v>4.0000000000000002E-4</v>
      </c>
      <c r="K21" s="397">
        <f t="shared" si="3"/>
        <v>1000</v>
      </c>
      <c r="L21" s="399">
        <f t="shared" si="4"/>
        <v>0.4</v>
      </c>
      <c r="M21" s="132"/>
      <c r="N21" s="400">
        <f t="shared" si="5"/>
        <v>-0.29999999999999993</v>
      </c>
      <c r="O21" s="401">
        <f t="shared" si="6"/>
        <v>-0.42857142857142849</v>
      </c>
      <c r="P21" s="52"/>
      <c r="Q21" s="413">
        <f>'Proposed Rates'!G78+'Proposed Rates'!G91</f>
        <v>0</v>
      </c>
      <c r="R21" s="397">
        <f t="shared" si="7"/>
        <v>1000</v>
      </c>
      <c r="S21" s="399">
        <f t="shared" si="8"/>
        <v>0</v>
      </c>
      <c r="T21" s="132"/>
      <c r="U21" s="400">
        <f t="shared" si="9"/>
        <v>-0.4</v>
      </c>
      <c r="V21" s="401">
        <f t="shared" si="10"/>
        <v>-1</v>
      </c>
      <c r="W21" s="52"/>
      <c r="X21" s="413">
        <f>IFERROR(VLOOKUP($C21,'Proposed Rates'!$B:$J,X$11,FALSE),0)</f>
        <v>0</v>
      </c>
      <c r="Y21" s="397">
        <f t="shared" si="11"/>
        <v>1000</v>
      </c>
      <c r="Z21" s="399">
        <f t="shared" si="12"/>
        <v>0</v>
      </c>
      <c r="AA21" s="132"/>
      <c r="AB21" s="400">
        <f t="shared" si="13"/>
        <v>0</v>
      </c>
      <c r="AC21" s="401" t="str">
        <f t="shared" si="14"/>
        <v/>
      </c>
      <c r="AD21" s="52"/>
      <c r="AE21" s="413">
        <f>IFERROR(VLOOKUP($C21,'Proposed Rates'!$B:$J,AE$11,FALSE),0)</f>
        <v>0</v>
      </c>
      <c r="AF21" s="397">
        <f t="shared" si="15"/>
        <v>1000</v>
      </c>
      <c r="AG21" s="399">
        <f t="shared" si="16"/>
        <v>0</v>
      </c>
      <c r="AH21" s="132"/>
      <c r="AI21" s="400">
        <f t="shared" si="17"/>
        <v>0</v>
      </c>
      <c r="AJ21" s="401" t="str">
        <f t="shared" si="18"/>
        <v/>
      </c>
      <c r="AK21" s="52"/>
      <c r="AL21" s="413">
        <f>IFERROR(VLOOKUP($C21,'Proposed Rates'!$B:$J,AL$11,FALSE),0)</f>
        <v>0</v>
      </c>
      <c r="AM21" s="397">
        <f t="shared" si="19"/>
        <v>1000</v>
      </c>
      <c r="AN21" s="399">
        <f t="shared" si="20"/>
        <v>0</v>
      </c>
      <c r="AO21" s="132"/>
      <c r="AP21" s="400">
        <f t="shared" si="21"/>
        <v>0</v>
      </c>
      <c r="AQ21" s="401" t="str">
        <f t="shared" si="22"/>
        <v/>
      </c>
      <c r="AR21" s="402"/>
    </row>
    <row r="22" spans="1:44" ht="12" customHeight="1">
      <c r="A22" s="52"/>
      <c r="B22" s="403" t="s">
        <v>240</v>
      </c>
      <c r="C22" s="394" t="str">
        <f t="shared" si="0"/>
        <v>General Service &lt; 50 kW.Deferral/Variance Account Disposition Rate Rider Group 2</v>
      </c>
      <c r="D22" s="395" t="s">
        <v>312</v>
      </c>
      <c r="E22" s="321"/>
      <c r="F22" s="413">
        <f>IFERROR(VLOOKUP($C22,'Proposed Rates'!$B:$J,F$11,FALSE),0)</f>
        <v>0</v>
      </c>
      <c r="G22" s="397">
        <f t="shared" si="1"/>
        <v>1000</v>
      </c>
      <c r="H22" s="399">
        <f t="shared" si="2"/>
        <v>0</v>
      </c>
      <c r="I22" s="132"/>
      <c r="J22" s="413">
        <f>IFERROR(VLOOKUP($C22,'Proposed Rates'!$B:$J,J$11,FALSE),0)</f>
        <v>-8.0000000000000004E-4</v>
      </c>
      <c r="K22" s="397">
        <f t="shared" si="3"/>
        <v>1000</v>
      </c>
      <c r="L22" s="399">
        <f t="shared" si="4"/>
        <v>-0.8</v>
      </c>
      <c r="M22" s="132"/>
      <c r="N22" s="400">
        <f t="shared" si="5"/>
        <v>-0.8</v>
      </c>
      <c r="O22" s="401" t="str">
        <f t="shared" si="6"/>
        <v/>
      </c>
      <c r="P22" s="52"/>
      <c r="Q22" s="413">
        <f>IFERROR(VLOOKUP($C22,'Proposed Rates'!$B:$J,Q$11,FALSE),0)</f>
        <v>0</v>
      </c>
      <c r="R22" s="397">
        <f t="shared" si="7"/>
        <v>1000</v>
      </c>
      <c r="S22" s="399">
        <f t="shared" si="8"/>
        <v>0</v>
      </c>
      <c r="T22" s="132"/>
      <c r="U22" s="400">
        <f t="shared" si="9"/>
        <v>0.8</v>
      </c>
      <c r="V22" s="401">
        <f t="shared" si="10"/>
        <v>-1</v>
      </c>
      <c r="W22" s="52"/>
      <c r="X22" s="413">
        <f>IFERROR(VLOOKUP($C22,'Proposed Rates'!$B:$J,X$11,FALSE),0)</f>
        <v>0</v>
      </c>
      <c r="Y22" s="397">
        <f t="shared" si="11"/>
        <v>1000</v>
      </c>
      <c r="Z22" s="399">
        <f t="shared" si="12"/>
        <v>0</v>
      </c>
      <c r="AA22" s="132"/>
      <c r="AB22" s="400">
        <f t="shared" si="13"/>
        <v>0</v>
      </c>
      <c r="AC22" s="401" t="str">
        <f t="shared" si="14"/>
        <v/>
      </c>
      <c r="AD22" s="52"/>
      <c r="AE22" s="413">
        <f>IFERROR(VLOOKUP($C22,'Proposed Rates'!$B:$J,AE$11,FALSE),0)</f>
        <v>0</v>
      </c>
      <c r="AF22" s="397">
        <f t="shared" si="15"/>
        <v>1000</v>
      </c>
      <c r="AG22" s="399">
        <f t="shared" si="16"/>
        <v>0</v>
      </c>
      <c r="AH22" s="132"/>
      <c r="AI22" s="400">
        <f t="shared" si="17"/>
        <v>0</v>
      </c>
      <c r="AJ22" s="401" t="str">
        <f t="shared" si="18"/>
        <v/>
      </c>
      <c r="AK22" s="52"/>
      <c r="AL22" s="413">
        <f>IFERROR(VLOOKUP($C22,'Proposed Rates'!$B:$J,AL$11,FALSE),0)</f>
        <v>0</v>
      </c>
      <c r="AM22" s="397">
        <f t="shared" si="19"/>
        <v>1000</v>
      </c>
      <c r="AN22" s="399">
        <f t="shared" si="20"/>
        <v>0</v>
      </c>
      <c r="AO22" s="132"/>
      <c r="AP22" s="400">
        <f t="shared" si="21"/>
        <v>0</v>
      </c>
      <c r="AQ22" s="401" t="str">
        <f t="shared" si="22"/>
        <v/>
      </c>
      <c r="AR22" s="402"/>
    </row>
    <row r="23" spans="1:44" ht="12" customHeight="1">
      <c r="A23" s="52"/>
      <c r="B23" s="403"/>
      <c r="C23" s="394" t="str">
        <f t="shared" si="0"/>
        <v>General Service &lt; 50 kW.</v>
      </c>
      <c r="D23" s="395"/>
      <c r="E23" s="321"/>
      <c r="F23" s="413">
        <f>IFERROR(VLOOKUP($C23,'Proposed Rates'!$B:$J,F$11,FALSE),0)</f>
        <v>0</v>
      </c>
      <c r="G23" s="397">
        <f t="shared" si="1"/>
        <v>0</v>
      </c>
      <c r="H23" s="399">
        <f t="shared" si="2"/>
        <v>0</v>
      </c>
      <c r="I23" s="132"/>
      <c r="J23" s="413">
        <f>IFERROR(VLOOKUP($C23,'Proposed Rates'!$B:$J,J$11,FALSE),0)</f>
        <v>0</v>
      </c>
      <c r="K23" s="397">
        <f t="shared" si="3"/>
        <v>0</v>
      </c>
      <c r="L23" s="399">
        <f t="shared" si="4"/>
        <v>0</v>
      </c>
      <c r="M23" s="132"/>
      <c r="N23" s="400">
        <f t="shared" si="5"/>
        <v>0</v>
      </c>
      <c r="O23" s="401" t="str">
        <f t="shared" si="6"/>
        <v/>
      </c>
      <c r="P23" s="52"/>
      <c r="Q23" s="413">
        <f>IFERROR(VLOOKUP($C23,'Proposed Rates'!$B:$J,Q$11,FALSE),0)</f>
        <v>0</v>
      </c>
      <c r="R23" s="397">
        <f t="shared" si="7"/>
        <v>0</v>
      </c>
      <c r="S23" s="399">
        <f t="shared" si="8"/>
        <v>0</v>
      </c>
      <c r="T23" s="132"/>
      <c r="U23" s="400">
        <f t="shared" si="9"/>
        <v>0</v>
      </c>
      <c r="V23" s="401" t="str">
        <f t="shared" si="10"/>
        <v/>
      </c>
      <c r="W23" s="52"/>
      <c r="X23" s="413">
        <f>IFERROR(VLOOKUP($C23,'Proposed Rates'!$B:$J,X$11,FALSE),0)</f>
        <v>0</v>
      </c>
      <c r="Y23" s="397">
        <f t="shared" si="11"/>
        <v>0</v>
      </c>
      <c r="Z23" s="399">
        <f t="shared" si="12"/>
        <v>0</v>
      </c>
      <c r="AA23" s="132"/>
      <c r="AB23" s="400">
        <f t="shared" si="13"/>
        <v>0</v>
      </c>
      <c r="AC23" s="401" t="str">
        <f t="shared" si="14"/>
        <v/>
      </c>
      <c r="AD23" s="52"/>
      <c r="AE23" s="413">
        <f>IFERROR(VLOOKUP($C23,'Proposed Rates'!$B:$J,AE$11,FALSE),0)</f>
        <v>0</v>
      </c>
      <c r="AF23" s="397">
        <f t="shared" si="15"/>
        <v>0</v>
      </c>
      <c r="AG23" s="399">
        <f t="shared" si="16"/>
        <v>0</v>
      </c>
      <c r="AH23" s="132"/>
      <c r="AI23" s="400">
        <f t="shared" si="17"/>
        <v>0</v>
      </c>
      <c r="AJ23" s="401" t="str">
        <f t="shared" si="18"/>
        <v/>
      </c>
      <c r="AK23" s="52"/>
      <c r="AL23" s="413">
        <f>IFERROR(VLOOKUP($C23,'Proposed Rates'!$B:$J,AL$11,FALSE),0)</f>
        <v>0</v>
      </c>
      <c r="AM23" s="397">
        <f t="shared" si="19"/>
        <v>0</v>
      </c>
      <c r="AN23" s="399">
        <f t="shared" si="20"/>
        <v>0</v>
      </c>
      <c r="AO23" s="132"/>
      <c r="AP23" s="400">
        <f t="shared" si="21"/>
        <v>0</v>
      </c>
      <c r="AQ23" s="401" t="str">
        <f t="shared" si="22"/>
        <v/>
      </c>
      <c r="AR23" s="402"/>
    </row>
    <row r="24" spans="1:44" ht="12" customHeight="1">
      <c r="A24" s="52"/>
      <c r="B24" s="403"/>
      <c r="C24" s="394" t="str">
        <f t="shared" si="0"/>
        <v>General Service &lt; 50 kW.</v>
      </c>
      <c r="D24" s="395"/>
      <c r="E24" s="321"/>
      <c r="F24" s="413">
        <f>IFERROR(VLOOKUP($C24,'Proposed Rates'!$B:$J,F$11,FALSE),0)</f>
        <v>0</v>
      </c>
      <c r="G24" s="397">
        <f t="shared" si="1"/>
        <v>0</v>
      </c>
      <c r="H24" s="399">
        <f t="shared" si="2"/>
        <v>0</v>
      </c>
      <c r="I24" s="132"/>
      <c r="J24" s="413">
        <f>IFERROR(VLOOKUP($C24,'Proposed Rates'!$B:$J,J$11,FALSE),0)</f>
        <v>0</v>
      </c>
      <c r="K24" s="397">
        <f t="shared" si="3"/>
        <v>0</v>
      </c>
      <c r="L24" s="399">
        <f t="shared" si="4"/>
        <v>0</v>
      </c>
      <c r="M24" s="132"/>
      <c r="N24" s="400">
        <f t="shared" si="5"/>
        <v>0</v>
      </c>
      <c r="O24" s="401" t="str">
        <f t="shared" si="6"/>
        <v/>
      </c>
      <c r="P24" s="52"/>
      <c r="Q24" s="413">
        <f>IFERROR(VLOOKUP($C24,'Proposed Rates'!$B:$J,Q$11,FALSE),0)</f>
        <v>0</v>
      </c>
      <c r="R24" s="397">
        <f t="shared" si="7"/>
        <v>0</v>
      </c>
      <c r="S24" s="399">
        <f t="shared" si="8"/>
        <v>0</v>
      </c>
      <c r="T24" s="132"/>
      <c r="U24" s="400">
        <f t="shared" si="9"/>
        <v>0</v>
      </c>
      <c r="V24" s="401" t="str">
        <f t="shared" si="10"/>
        <v/>
      </c>
      <c r="W24" s="52"/>
      <c r="X24" s="413">
        <f>IFERROR(VLOOKUP($C24,'Proposed Rates'!$B:$J,X$11,FALSE),0)</f>
        <v>0</v>
      </c>
      <c r="Y24" s="397">
        <f t="shared" si="11"/>
        <v>0</v>
      </c>
      <c r="Z24" s="399">
        <f t="shared" si="12"/>
        <v>0</v>
      </c>
      <c r="AA24" s="132"/>
      <c r="AB24" s="400">
        <f t="shared" si="13"/>
        <v>0</v>
      </c>
      <c r="AC24" s="401" t="str">
        <f t="shared" si="14"/>
        <v/>
      </c>
      <c r="AD24" s="52"/>
      <c r="AE24" s="413">
        <f>IFERROR(VLOOKUP($C24,'Proposed Rates'!$B:$J,AE$11,FALSE),0)</f>
        <v>0</v>
      </c>
      <c r="AF24" s="397">
        <f t="shared" si="15"/>
        <v>0</v>
      </c>
      <c r="AG24" s="399">
        <f t="shared" si="16"/>
        <v>0</v>
      </c>
      <c r="AH24" s="132"/>
      <c r="AI24" s="400">
        <f t="shared" si="17"/>
        <v>0</v>
      </c>
      <c r="AJ24" s="401" t="str">
        <f t="shared" si="18"/>
        <v/>
      </c>
      <c r="AK24" s="52"/>
      <c r="AL24" s="413">
        <f>IFERROR(VLOOKUP($C24,'Proposed Rates'!$B:$J,AL$11,FALSE),0)</f>
        <v>0</v>
      </c>
      <c r="AM24" s="397">
        <f t="shared" si="19"/>
        <v>0</v>
      </c>
      <c r="AN24" s="399">
        <f t="shared" si="20"/>
        <v>0</v>
      </c>
      <c r="AO24" s="132"/>
      <c r="AP24" s="400">
        <f t="shared" si="21"/>
        <v>0</v>
      </c>
      <c r="AQ24" s="401" t="str">
        <f t="shared" si="22"/>
        <v/>
      </c>
      <c r="AR24" s="402"/>
    </row>
    <row r="25" spans="1:44" ht="12" customHeight="1">
      <c r="A25" s="52"/>
      <c r="B25" s="403"/>
      <c r="C25" s="394" t="str">
        <f t="shared" si="0"/>
        <v>General Service &lt; 50 kW.</v>
      </c>
      <c r="D25" s="395"/>
      <c r="E25" s="321"/>
      <c r="F25" s="413">
        <f>IFERROR(VLOOKUP($C25,'Proposed Rates'!$B:$J,F$11,FALSE),0)</f>
        <v>0</v>
      </c>
      <c r="G25" s="397">
        <f t="shared" si="1"/>
        <v>0</v>
      </c>
      <c r="H25" s="399">
        <f t="shared" si="2"/>
        <v>0</v>
      </c>
      <c r="I25" s="132"/>
      <c r="J25" s="413">
        <f>IFERROR(VLOOKUP($C25,'Proposed Rates'!$B:$J,J$11,FALSE),0)</f>
        <v>0</v>
      </c>
      <c r="K25" s="397">
        <f t="shared" si="3"/>
        <v>0</v>
      </c>
      <c r="L25" s="399">
        <f t="shared" si="4"/>
        <v>0</v>
      </c>
      <c r="M25" s="132"/>
      <c r="N25" s="400">
        <f t="shared" si="5"/>
        <v>0</v>
      </c>
      <c r="O25" s="401" t="str">
        <f t="shared" si="6"/>
        <v/>
      </c>
      <c r="P25" s="52"/>
      <c r="Q25" s="413">
        <f>IFERROR(VLOOKUP($C25,'Proposed Rates'!$B:$J,Q$11,FALSE),0)</f>
        <v>0</v>
      </c>
      <c r="R25" s="397">
        <f t="shared" si="7"/>
        <v>0</v>
      </c>
      <c r="S25" s="399">
        <f t="shared" si="8"/>
        <v>0</v>
      </c>
      <c r="T25" s="132"/>
      <c r="U25" s="400">
        <f t="shared" si="9"/>
        <v>0</v>
      </c>
      <c r="V25" s="401" t="str">
        <f t="shared" si="10"/>
        <v/>
      </c>
      <c r="W25" s="52"/>
      <c r="X25" s="413">
        <f>IFERROR(VLOOKUP($C25,'Proposed Rates'!$B:$J,X$11,FALSE),0)</f>
        <v>0</v>
      </c>
      <c r="Y25" s="397">
        <f t="shared" si="11"/>
        <v>0</v>
      </c>
      <c r="Z25" s="399">
        <f t="shared" si="12"/>
        <v>0</v>
      </c>
      <c r="AA25" s="132"/>
      <c r="AB25" s="400">
        <f t="shared" si="13"/>
        <v>0</v>
      </c>
      <c r="AC25" s="401" t="str">
        <f t="shared" si="14"/>
        <v/>
      </c>
      <c r="AD25" s="52"/>
      <c r="AE25" s="413">
        <f>IFERROR(VLOOKUP($C25,'Proposed Rates'!$B:$J,AE$11,FALSE),0)</f>
        <v>0</v>
      </c>
      <c r="AF25" s="397">
        <f t="shared" si="15"/>
        <v>0</v>
      </c>
      <c r="AG25" s="399">
        <f t="shared" si="16"/>
        <v>0</v>
      </c>
      <c r="AH25" s="132"/>
      <c r="AI25" s="400">
        <f t="shared" si="17"/>
        <v>0</v>
      </c>
      <c r="AJ25" s="401" t="str">
        <f t="shared" si="18"/>
        <v/>
      </c>
      <c r="AK25" s="52"/>
      <c r="AL25" s="413">
        <f>IFERROR(VLOOKUP($C25,'Proposed Rates'!$B:$J,AL$11,FALSE),0)</f>
        <v>0</v>
      </c>
      <c r="AM25" s="397">
        <f t="shared" si="19"/>
        <v>0</v>
      </c>
      <c r="AN25" s="399">
        <f t="shared" si="20"/>
        <v>0</v>
      </c>
      <c r="AO25" s="132"/>
      <c r="AP25" s="400">
        <f t="shared" si="21"/>
        <v>0</v>
      </c>
      <c r="AQ25" s="401" t="str">
        <f t="shared" si="22"/>
        <v/>
      </c>
      <c r="AR25" s="402"/>
    </row>
    <row r="26" spans="1:44" ht="12" customHeight="1">
      <c r="A26" s="52"/>
      <c r="B26" s="403"/>
      <c r="C26" s="394" t="str">
        <f t="shared" si="0"/>
        <v>General Service &lt; 50 kW.</v>
      </c>
      <c r="D26" s="395"/>
      <c r="E26" s="321"/>
      <c r="F26" s="413">
        <f>IFERROR(VLOOKUP($C26,'Proposed Rates'!$B:$J,F$11,FALSE),0)</f>
        <v>0</v>
      </c>
      <c r="G26" s="397">
        <f t="shared" si="1"/>
        <v>0</v>
      </c>
      <c r="H26" s="399">
        <f t="shared" si="2"/>
        <v>0</v>
      </c>
      <c r="I26" s="132"/>
      <c r="J26" s="413">
        <f>IFERROR(VLOOKUP($C26,'Proposed Rates'!$B:$J,J$11,FALSE),0)</f>
        <v>0</v>
      </c>
      <c r="K26" s="397">
        <f t="shared" si="3"/>
        <v>0</v>
      </c>
      <c r="L26" s="399">
        <f t="shared" si="4"/>
        <v>0</v>
      </c>
      <c r="M26" s="132"/>
      <c r="N26" s="400">
        <f t="shared" si="5"/>
        <v>0</v>
      </c>
      <c r="O26" s="401" t="str">
        <f t="shared" si="6"/>
        <v/>
      </c>
      <c r="P26" s="52"/>
      <c r="Q26" s="413">
        <f>IFERROR(VLOOKUP($C26,'Proposed Rates'!$B:$J,Q$11,FALSE),0)</f>
        <v>0</v>
      </c>
      <c r="R26" s="397">
        <f t="shared" si="7"/>
        <v>0</v>
      </c>
      <c r="S26" s="399">
        <f t="shared" si="8"/>
        <v>0</v>
      </c>
      <c r="T26" s="132"/>
      <c r="U26" s="400">
        <f t="shared" si="9"/>
        <v>0</v>
      </c>
      <c r="V26" s="401" t="str">
        <f t="shared" si="10"/>
        <v/>
      </c>
      <c r="W26" s="52"/>
      <c r="X26" s="413">
        <f>IFERROR(VLOOKUP($C26,'Proposed Rates'!$B:$J,X$11,FALSE),0)</f>
        <v>0</v>
      </c>
      <c r="Y26" s="397">
        <f t="shared" si="11"/>
        <v>0</v>
      </c>
      <c r="Z26" s="399">
        <f t="shared" si="12"/>
        <v>0</v>
      </c>
      <c r="AA26" s="132"/>
      <c r="AB26" s="400">
        <f t="shared" si="13"/>
        <v>0</v>
      </c>
      <c r="AC26" s="401" t="str">
        <f t="shared" si="14"/>
        <v/>
      </c>
      <c r="AD26" s="52"/>
      <c r="AE26" s="413">
        <f>IFERROR(VLOOKUP($C26,'Proposed Rates'!$B:$J,AE$11,FALSE),0)</f>
        <v>0</v>
      </c>
      <c r="AF26" s="397">
        <f t="shared" si="15"/>
        <v>0</v>
      </c>
      <c r="AG26" s="399">
        <f t="shared" si="16"/>
        <v>0</v>
      </c>
      <c r="AH26" s="132"/>
      <c r="AI26" s="400">
        <f t="shared" si="17"/>
        <v>0</v>
      </c>
      <c r="AJ26" s="401" t="str">
        <f t="shared" si="18"/>
        <v/>
      </c>
      <c r="AK26" s="52"/>
      <c r="AL26" s="413">
        <f>IFERROR(VLOOKUP($C26,'Proposed Rates'!$B:$J,AL$11,FALSE),0)</f>
        <v>0</v>
      </c>
      <c r="AM26" s="397">
        <f t="shared" si="19"/>
        <v>0</v>
      </c>
      <c r="AN26" s="399">
        <f t="shared" si="20"/>
        <v>0</v>
      </c>
      <c r="AO26" s="132"/>
      <c r="AP26" s="400">
        <f t="shared" si="21"/>
        <v>0</v>
      </c>
      <c r="AQ26" s="401" t="str">
        <f t="shared" si="22"/>
        <v/>
      </c>
      <c r="AR26" s="402"/>
    </row>
    <row r="27" spans="1:44" ht="12" customHeight="1">
      <c r="A27" s="52"/>
      <c r="B27" s="403"/>
      <c r="C27" s="394" t="str">
        <f t="shared" si="0"/>
        <v>General Service &lt; 50 kW.</v>
      </c>
      <c r="D27" s="395"/>
      <c r="E27" s="321"/>
      <c r="F27" s="413">
        <f>IFERROR(VLOOKUP($C27,'Proposed Rates'!$B:$J,F$11,FALSE),0)</f>
        <v>0</v>
      </c>
      <c r="G27" s="397">
        <f t="shared" si="1"/>
        <v>0</v>
      </c>
      <c r="H27" s="399">
        <f t="shared" si="2"/>
        <v>0</v>
      </c>
      <c r="I27" s="132"/>
      <c r="J27" s="413">
        <f>IFERROR(VLOOKUP($C27,'Proposed Rates'!$B:$J,J$11,FALSE),0)</f>
        <v>0</v>
      </c>
      <c r="K27" s="397">
        <f t="shared" si="3"/>
        <v>0</v>
      </c>
      <c r="L27" s="399">
        <f t="shared" si="4"/>
        <v>0</v>
      </c>
      <c r="M27" s="132"/>
      <c r="N27" s="400">
        <f t="shared" si="5"/>
        <v>0</v>
      </c>
      <c r="O27" s="401" t="str">
        <f t="shared" si="6"/>
        <v/>
      </c>
      <c r="P27" s="52"/>
      <c r="Q27" s="413">
        <f>IFERROR(VLOOKUP($C27,'Proposed Rates'!$B:$J,Q$11,FALSE),0)</f>
        <v>0</v>
      </c>
      <c r="R27" s="397">
        <f t="shared" si="7"/>
        <v>0</v>
      </c>
      <c r="S27" s="399">
        <f t="shared" si="8"/>
        <v>0</v>
      </c>
      <c r="T27" s="132"/>
      <c r="U27" s="400">
        <f t="shared" si="9"/>
        <v>0</v>
      </c>
      <c r="V27" s="401" t="str">
        <f t="shared" si="10"/>
        <v/>
      </c>
      <c r="W27" s="52"/>
      <c r="X27" s="413">
        <f>IFERROR(VLOOKUP($C27,'Proposed Rates'!$B:$J,X$11,FALSE),0)</f>
        <v>0</v>
      </c>
      <c r="Y27" s="397">
        <f t="shared" si="11"/>
        <v>0</v>
      </c>
      <c r="Z27" s="399">
        <f t="shared" si="12"/>
        <v>0</v>
      </c>
      <c r="AA27" s="132"/>
      <c r="AB27" s="400">
        <f t="shared" si="13"/>
        <v>0</v>
      </c>
      <c r="AC27" s="401" t="str">
        <f t="shared" si="14"/>
        <v/>
      </c>
      <c r="AD27" s="52"/>
      <c r="AE27" s="413">
        <f>IFERROR(VLOOKUP($C27,'Proposed Rates'!$B:$J,AE$11,FALSE),0)</f>
        <v>0</v>
      </c>
      <c r="AF27" s="397">
        <f t="shared" si="15"/>
        <v>0</v>
      </c>
      <c r="AG27" s="399">
        <f t="shared" si="16"/>
        <v>0</v>
      </c>
      <c r="AH27" s="132"/>
      <c r="AI27" s="400">
        <f t="shared" si="17"/>
        <v>0</v>
      </c>
      <c r="AJ27" s="401" t="str">
        <f t="shared" si="18"/>
        <v/>
      </c>
      <c r="AK27" s="52"/>
      <c r="AL27" s="413">
        <f>IFERROR(VLOOKUP($C27,'Proposed Rates'!$B:$J,AL$11,FALSE),0)</f>
        <v>0</v>
      </c>
      <c r="AM27" s="397">
        <f t="shared" si="19"/>
        <v>0</v>
      </c>
      <c r="AN27" s="399">
        <f t="shared" si="20"/>
        <v>0</v>
      </c>
      <c r="AO27" s="132"/>
      <c r="AP27" s="400">
        <f t="shared" si="21"/>
        <v>0</v>
      </c>
      <c r="AQ27" s="401" t="str">
        <f t="shared" si="22"/>
        <v/>
      </c>
      <c r="AR27" s="402"/>
    </row>
    <row r="28" spans="1:44" ht="12" customHeight="1">
      <c r="A28" s="52"/>
      <c r="B28" s="403"/>
      <c r="C28" s="394" t="str">
        <f t="shared" si="0"/>
        <v>General Service &lt; 50 kW.</v>
      </c>
      <c r="D28" s="395"/>
      <c r="E28" s="321"/>
      <c r="F28" s="413">
        <f>IFERROR(VLOOKUP($C28,'Proposed Rates'!$B:$J,F$11,FALSE),0)</f>
        <v>0</v>
      </c>
      <c r="G28" s="397">
        <f t="shared" si="1"/>
        <v>0</v>
      </c>
      <c r="H28" s="399">
        <f t="shared" si="2"/>
        <v>0</v>
      </c>
      <c r="I28" s="132"/>
      <c r="J28" s="413">
        <f>IFERROR(VLOOKUP($C28,'Proposed Rates'!$B:$J,J$11,FALSE),0)</f>
        <v>0</v>
      </c>
      <c r="K28" s="397">
        <f t="shared" si="3"/>
        <v>0</v>
      </c>
      <c r="L28" s="399">
        <f t="shared" si="4"/>
        <v>0</v>
      </c>
      <c r="M28" s="132"/>
      <c r="N28" s="400">
        <f t="shared" si="5"/>
        <v>0</v>
      </c>
      <c r="O28" s="401" t="str">
        <f t="shared" si="6"/>
        <v/>
      </c>
      <c r="P28" s="52"/>
      <c r="Q28" s="413">
        <f>IFERROR(VLOOKUP($C28,'Proposed Rates'!$B:$J,Q$11,FALSE),0)</f>
        <v>0</v>
      </c>
      <c r="R28" s="397">
        <f t="shared" si="7"/>
        <v>0</v>
      </c>
      <c r="S28" s="399">
        <f t="shared" si="8"/>
        <v>0</v>
      </c>
      <c r="T28" s="132"/>
      <c r="U28" s="400">
        <f t="shared" si="9"/>
        <v>0</v>
      </c>
      <c r="V28" s="401" t="str">
        <f t="shared" si="10"/>
        <v/>
      </c>
      <c r="W28" s="52"/>
      <c r="X28" s="413">
        <f>IFERROR(VLOOKUP($C28,'Proposed Rates'!$B:$J,X$11,FALSE),0)</f>
        <v>0</v>
      </c>
      <c r="Y28" s="397">
        <f t="shared" si="11"/>
        <v>0</v>
      </c>
      <c r="Z28" s="399">
        <f t="shared" si="12"/>
        <v>0</v>
      </c>
      <c r="AA28" s="132"/>
      <c r="AB28" s="400">
        <f t="shared" si="13"/>
        <v>0</v>
      </c>
      <c r="AC28" s="401" t="str">
        <f t="shared" si="14"/>
        <v/>
      </c>
      <c r="AD28" s="52"/>
      <c r="AE28" s="413">
        <f>IFERROR(VLOOKUP($C28,'Proposed Rates'!$B:$J,AE$11,FALSE),0)</f>
        <v>0</v>
      </c>
      <c r="AF28" s="397">
        <f t="shared" si="15"/>
        <v>0</v>
      </c>
      <c r="AG28" s="399">
        <f t="shared" si="16"/>
        <v>0</v>
      </c>
      <c r="AH28" s="132"/>
      <c r="AI28" s="400">
        <f t="shared" si="17"/>
        <v>0</v>
      </c>
      <c r="AJ28" s="401" t="str">
        <f t="shared" si="18"/>
        <v/>
      </c>
      <c r="AK28" s="52"/>
      <c r="AL28" s="413">
        <f>IFERROR(VLOOKUP($C28,'Proposed Rates'!$B:$J,AL$11,FALSE),0)</f>
        <v>0</v>
      </c>
      <c r="AM28" s="397">
        <f t="shared" si="19"/>
        <v>0</v>
      </c>
      <c r="AN28" s="399">
        <f t="shared" si="20"/>
        <v>0</v>
      </c>
      <c r="AO28" s="132"/>
      <c r="AP28" s="400">
        <f t="shared" si="21"/>
        <v>0</v>
      </c>
      <c r="AQ28" s="401" t="str">
        <f t="shared" si="22"/>
        <v/>
      </c>
      <c r="AR28" s="402"/>
    </row>
    <row r="29" spans="1:44" ht="12" customHeight="1">
      <c r="A29" s="307"/>
      <c r="B29" s="404" t="s">
        <v>314</v>
      </c>
      <c r="C29" s="405"/>
      <c r="D29" s="405"/>
      <c r="E29" s="405"/>
      <c r="F29" s="406"/>
      <c r="G29" s="499"/>
      <c r="H29" s="408">
        <f>SUM(H15:H28)</f>
        <v>54.730000000000004</v>
      </c>
      <c r="I29" s="409"/>
      <c r="J29" s="406"/>
      <c r="K29" s="499"/>
      <c r="L29" s="408">
        <f>SUM(L15:L28)</f>
        <v>61.940000000000005</v>
      </c>
      <c r="M29" s="409"/>
      <c r="N29" s="410">
        <f t="shared" si="5"/>
        <v>7.2100000000000009</v>
      </c>
      <c r="O29" s="411">
        <f t="shared" si="6"/>
        <v>0.13173762104878495</v>
      </c>
      <c r="P29" s="307"/>
      <c r="Q29" s="406"/>
      <c r="R29" s="499"/>
      <c r="S29" s="408">
        <f>SUM(S15:S28)</f>
        <v>65.31</v>
      </c>
      <c r="T29" s="409"/>
      <c r="U29" s="410">
        <f t="shared" si="9"/>
        <v>3.3699999999999974</v>
      </c>
      <c r="V29" s="411">
        <f t="shared" si="10"/>
        <v>5.4407491120439092E-2</v>
      </c>
      <c r="W29" s="307"/>
      <c r="X29" s="406"/>
      <c r="Y29" s="499"/>
      <c r="Z29" s="408">
        <f>SUM(Z15:Z28)</f>
        <v>69.59</v>
      </c>
      <c r="AA29" s="409"/>
      <c r="AB29" s="410">
        <f t="shared" si="13"/>
        <v>4.2800000000000011</v>
      </c>
      <c r="AC29" s="411">
        <f t="shared" si="14"/>
        <v>6.5533608941969079E-2</v>
      </c>
      <c r="AD29" s="307"/>
      <c r="AE29" s="406"/>
      <c r="AF29" s="499"/>
      <c r="AG29" s="408">
        <f>SUM(AG15:AG28)</f>
        <v>70.86</v>
      </c>
      <c r="AH29" s="409"/>
      <c r="AI29" s="410">
        <f t="shared" si="17"/>
        <v>1.269999999999996</v>
      </c>
      <c r="AJ29" s="411">
        <f t="shared" si="18"/>
        <v>1.8249748527087169E-2</v>
      </c>
      <c r="AK29" s="307"/>
      <c r="AL29" s="406"/>
      <c r="AM29" s="499"/>
      <c r="AN29" s="408">
        <f>SUM(AN15:AN28)</f>
        <v>71.899999999999991</v>
      </c>
      <c r="AO29" s="409"/>
      <c r="AP29" s="410">
        <f t="shared" si="21"/>
        <v>1.039999999999992</v>
      </c>
      <c r="AQ29" s="411">
        <f t="shared" si="22"/>
        <v>1.4676827547276207E-2</v>
      </c>
      <c r="AR29" s="412"/>
    </row>
    <row r="30" spans="1:44" ht="12" customHeight="1">
      <c r="A30" s="52"/>
      <c r="B30" s="403" t="s">
        <v>237</v>
      </c>
      <c r="C30" s="394" t="str">
        <f t="shared" ref="C30:C36" si="23">D$6&amp;"."&amp;B30</f>
        <v>General Service &lt; 50 kW.DVA Disposition Rate Rider Group 1 -2025</v>
      </c>
      <c r="D30" s="395" t="s">
        <v>312</v>
      </c>
      <c r="E30" s="321"/>
      <c r="F30" s="413">
        <f>IFERROR(VLOOKUP($C30,'Proposed Rates'!$B:$J,F$11,FALSE),0)</f>
        <v>0</v>
      </c>
      <c r="G30" s="397">
        <f t="shared" ref="G30:G33" si="24">IF($D30="Monthly",1,IF($D30="per KWH",$F$10,0))</f>
        <v>1000</v>
      </c>
      <c r="H30" s="399">
        <f t="shared" ref="H30:H36" si="25">G30*F30</f>
        <v>0</v>
      </c>
      <c r="I30" s="132"/>
      <c r="J30" s="413">
        <f>IFERROR(VLOOKUP($C30,'Proposed Rates'!$B:$J,J$11,FALSE),0)</f>
        <v>-5.0000000000000001E-4</v>
      </c>
      <c r="K30" s="397">
        <f t="shared" ref="K30:K33" si="26">IF($D30="Monthly",1,IF($D30="per KWH",$F$10,0))</f>
        <v>1000</v>
      </c>
      <c r="L30" s="415">
        <f t="shared" ref="L30:L36" si="27">K30*J30</f>
        <v>-0.5</v>
      </c>
      <c r="M30" s="132"/>
      <c r="N30" s="400">
        <f t="shared" si="5"/>
        <v>-0.5</v>
      </c>
      <c r="O30" s="401" t="str">
        <f t="shared" si="6"/>
        <v/>
      </c>
      <c r="P30" s="52"/>
      <c r="Q30" s="413">
        <f>IFERROR(VLOOKUP($C30,'Proposed Rates'!$B:$J,Q$11,FALSE),0)</f>
        <v>0</v>
      </c>
      <c r="R30" s="397">
        <f t="shared" ref="R30:R33" si="28">IF($D30="Monthly",1,IF($D30="per KWH",$F$10,0))</f>
        <v>1000</v>
      </c>
      <c r="S30" s="399">
        <f t="shared" ref="S30:S36" si="29">R30*Q30</f>
        <v>0</v>
      </c>
      <c r="T30" s="132"/>
      <c r="U30" s="400">
        <f t="shared" si="9"/>
        <v>0.5</v>
      </c>
      <c r="V30" s="401">
        <f t="shared" si="10"/>
        <v>-1</v>
      </c>
      <c r="W30" s="52"/>
      <c r="X30" s="413">
        <f>IFERROR(VLOOKUP($C30,'Proposed Rates'!$B:$J,X$11,FALSE),0)</f>
        <v>0</v>
      </c>
      <c r="Y30" s="397">
        <f t="shared" ref="Y30:Y33" si="30">IF($D30="Monthly",1,IF($D30="per KWH",$F$10,0))</f>
        <v>1000</v>
      </c>
      <c r="Z30" s="399">
        <f t="shared" ref="Z30:Z36" si="31">Y30*X30</f>
        <v>0</v>
      </c>
      <c r="AA30" s="132"/>
      <c r="AB30" s="400">
        <f t="shared" si="13"/>
        <v>0</v>
      </c>
      <c r="AC30" s="401" t="str">
        <f t="shared" si="14"/>
        <v/>
      </c>
      <c r="AD30" s="52"/>
      <c r="AE30" s="413">
        <f>IFERROR(VLOOKUP($C30,'Proposed Rates'!$B:$J,AE$11,FALSE),0)</f>
        <v>0</v>
      </c>
      <c r="AF30" s="397">
        <f t="shared" ref="AF30:AF33" si="32">IF($D30="Monthly",1,IF($D30="per KWH",$F$10,0))</f>
        <v>1000</v>
      </c>
      <c r="AG30" s="399">
        <f t="shared" ref="AG30:AG36" si="33">AF30*AE30</f>
        <v>0</v>
      </c>
      <c r="AH30" s="132"/>
      <c r="AI30" s="400">
        <f t="shared" si="17"/>
        <v>0</v>
      </c>
      <c r="AJ30" s="401" t="str">
        <f t="shared" si="18"/>
        <v/>
      </c>
      <c r="AK30" s="52"/>
      <c r="AL30" s="413">
        <f>IFERROR(VLOOKUP($C30,'Proposed Rates'!$B:$J,AL$11,FALSE),0)</f>
        <v>0</v>
      </c>
      <c r="AM30" s="397">
        <f t="shared" ref="AM30:AM33" si="34">IF($D30="Monthly",1,IF($D30="per KWH",$F$10,0))</f>
        <v>1000</v>
      </c>
      <c r="AN30" s="399">
        <f t="shared" ref="AN30:AN36" si="35">AM30*AL30</f>
        <v>0</v>
      </c>
      <c r="AO30" s="132"/>
      <c r="AP30" s="400">
        <f t="shared" si="21"/>
        <v>0</v>
      </c>
      <c r="AQ30" s="401" t="str">
        <f t="shared" si="22"/>
        <v/>
      </c>
      <c r="AR30" s="402"/>
    </row>
    <row r="31" spans="1:44" ht="12" customHeight="1">
      <c r="A31" s="52"/>
      <c r="B31" s="403" t="s">
        <v>239</v>
      </c>
      <c r="C31" s="394" t="str">
        <f t="shared" si="23"/>
        <v>General Service &lt; 50 kW.DVA Disposition Rate Rider Group 1 - 2024</v>
      </c>
      <c r="D31" s="395" t="s">
        <v>312</v>
      </c>
      <c r="E31" s="321"/>
      <c r="F31" s="413">
        <f>IFERROR(VLOOKUP($C31,'Proposed Rates'!$B:$J,F$11,FALSE),0)</f>
        <v>0</v>
      </c>
      <c r="G31" s="397">
        <f t="shared" si="24"/>
        <v>1000</v>
      </c>
      <c r="H31" s="399">
        <f t="shared" si="25"/>
        <v>0</v>
      </c>
      <c r="I31" s="484"/>
      <c r="J31" s="413">
        <f>IFERROR(VLOOKUP($C31,'Proposed Rates'!$B:$J,J$11,FALSE),0)</f>
        <v>0</v>
      </c>
      <c r="K31" s="397">
        <f t="shared" si="26"/>
        <v>1000</v>
      </c>
      <c r="L31" s="399">
        <f t="shared" si="27"/>
        <v>0</v>
      </c>
      <c r="M31" s="416"/>
      <c r="N31" s="400">
        <f t="shared" si="5"/>
        <v>0</v>
      </c>
      <c r="O31" s="401" t="str">
        <f t="shared" si="6"/>
        <v/>
      </c>
      <c r="P31" s="52"/>
      <c r="Q31" s="413">
        <f>IFERROR(VLOOKUP($C31,'Proposed Rates'!$B:$J,Q$11,FALSE),0)</f>
        <v>0</v>
      </c>
      <c r="R31" s="397">
        <f t="shared" si="28"/>
        <v>1000</v>
      </c>
      <c r="S31" s="399">
        <f t="shared" si="29"/>
        <v>0</v>
      </c>
      <c r="T31" s="132"/>
      <c r="U31" s="400">
        <f t="shared" si="9"/>
        <v>0</v>
      </c>
      <c r="V31" s="401" t="str">
        <f t="shared" si="10"/>
        <v/>
      </c>
      <c r="W31" s="52"/>
      <c r="X31" s="413">
        <f>IFERROR(VLOOKUP($C31,'Proposed Rates'!$B:$J,X$11,FALSE),0)</f>
        <v>0</v>
      </c>
      <c r="Y31" s="397">
        <f t="shared" si="30"/>
        <v>1000</v>
      </c>
      <c r="Z31" s="399">
        <f t="shared" si="31"/>
        <v>0</v>
      </c>
      <c r="AA31" s="132"/>
      <c r="AB31" s="400">
        <f t="shared" si="13"/>
        <v>0</v>
      </c>
      <c r="AC31" s="401" t="str">
        <f t="shared" si="14"/>
        <v/>
      </c>
      <c r="AD31" s="52"/>
      <c r="AE31" s="413">
        <f>IFERROR(VLOOKUP($C31,'Proposed Rates'!$B:$J,AE$11,FALSE),0)</f>
        <v>0</v>
      </c>
      <c r="AF31" s="397">
        <f t="shared" si="32"/>
        <v>1000</v>
      </c>
      <c r="AG31" s="399">
        <f t="shared" si="33"/>
        <v>0</v>
      </c>
      <c r="AH31" s="132"/>
      <c r="AI31" s="400">
        <f t="shared" si="17"/>
        <v>0</v>
      </c>
      <c r="AJ31" s="401" t="str">
        <f t="shared" si="18"/>
        <v/>
      </c>
      <c r="AK31" s="52"/>
      <c r="AL31" s="413">
        <f>IFERROR(VLOOKUP($C31,'Proposed Rates'!$B:$J,AL$11,FALSE),0)</f>
        <v>0</v>
      </c>
      <c r="AM31" s="397">
        <f t="shared" si="34"/>
        <v>1000</v>
      </c>
      <c r="AN31" s="399">
        <f t="shared" si="35"/>
        <v>0</v>
      </c>
      <c r="AO31" s="132"/>
      <c r="AP31" s="400">
        <f t="shared" si="21"/>
        <v>0</v>
      </c>
      <c r="AQ31" s="401" t="str">
        <f t="shared" si="22"/>
        <v/>
      </c>
      <c r="AR31" s="402"/>
    </row>
    <row r="32" spans="1:44" ht="12" customHeight="1">
      <c r="A32" s="52"/>
      <c r="B32" s="403" t="s">
        <v>247</v>
      </c>
      <c r="C32" s="394" t="str">
        <f t="shared" si="23"/>
        <v>General Service &lt; 50 kW.CBR Class B Rate Riders</v>
      </c>
      <c r="D32" s="395" t="s">
        <v>312</v>
      </c>
      <c r="E32" s="321"/>
      <c r="F32" s="413">
        <f>IFERROR(VLOOKUP($C32,'Proposed Rates'!$B:$J,F$11,FALSE),0)</f>
        <v>2.0000000000000001E-4</v>
      </c>
      <c r="G32" s="397">
        <f t="shared" si="24"/>
        <v>1000</v>
      </c>
      <c r="H32" s="399">
        <f t="shared" si="25"/>
        <v>0.2</v>
      </c>
      <c r="I32" s="484"/>
      <c r="J32" s="413">
        <f>IFERROR(VLOOKUP($C32,'Proposed Rates'!$B:$J,J$11,FALSE),0)</f>
        <v>4.0000000000000002E-4</v>
      </c>
      <c r="K32" s="397">
        <f t="shared" si="26"/>
        <v>1000</v>
      </c>
      <c r="L32" s="399">
        <f t="shared" si="27"/>
        <v>0.4</v>
      </c>
      <c r="M32" s="416"/>
      <c r="N32" s="400">
        <f t="shared" si="5"/>
        <v>0.2</v>
      </c>
      <c r="O32" s="401">
        <f t="shared" si="6"/>
        <v>1</v>
      </c>
      <c r="P32" s="52"/>
      <c r="Q32" s="413">
        <f>IFERROR(VLOOKUP($C32,'Proposed Rates'!$B:$J,Q$11,FALSE),0)</f>
        <v>0</v>
      </c>
      <c r="R32" s="397">
        <f t="shared" si="28"/>
        <v>1000</v>
      </c>
      <c r="S32" s="399">
        <f t="shared" si="29"/>
        <v>0</v>
      </c>
      <c r="T32" s="416"/>
      <c r="U32" s="400">
        <f t="shared" si="9"/>
        <v>-0.4</v>
      </c>
      <c r="V32" s="401">
        <f t="shared" si="10"/>
        <v>-1</v>
      </c>
      <c r="W32" s="52"/>
      <c r="X32" s="413">
        <f>IFERROR(VLOOKUP($C32,'Proposed Rates'!$B:$J,X$11,FALSE),0)</f>
        <v>0</v>
      </c>
      <c r="Y32" s="397">
        <f t="shared" si="30"/>
        <v>1000</v>
      </c>
      <c r="Z32" s="399">
        <f t="shared" si="31"/>
        <v>0</v>
      </c>
      <c r="AA32" s="416"/>
      <c r="AB32" s="400">
        <f t="shared" si="13"/>
        <v>0</v>
      </c>
      <c r="AC32" s="401" t="str">
        <f t="shared" si="14"/>
        <v/>
      </c>
      <c r="AD32" s="52"/>
      <c r="AE32" s="413">
        <f>IFERROR(VLOOKUP($C32,'Proposed Rates'!$B:$J,AE$11,FALSE),0)</f>
        <v>0</v>
      </c>
      <c r="AF32" s="397">
        <f t="shared" si="32"/>
        <v>1000</v>
      </c>
      <c r="AG32" s="399">
        <f t="shared" si="33"/>
        <v>0</v>
      </c>
      <c r="AH32" s="416"/>
      <c r="AI32" s="400">
        <f t="shared" si="17"/>
        <v>0</v>
      </c>
      <c r="AJ32" s="401" t="str">
        <f t="shared" si="18"/>
        <v/>
      </c>
      <c r="AK32" s="52"/>
      <c r="AL32" s="413">
        <f>IFERROR(VLOOKUP($C32,'Proposed Rates'!$B:$J,AL$11,FALSE),0)</f>
        <v>0</v>
      </c>
      <c r="AM32" s="397">
        <f t="shared" si="34"/>
        <v>1000</v>
      </c>
      <c r="AN32" s="399">
        <f t="shared" si="35"/>
        <v>0</v>
      </c>
      <c r="AO32" s="416"/>
      <c r="AP32" s="400">
        <f t="shared" si="21"/>
        <v>0</v>
      </c>
      <c r="AQ32" s="401" t="str">
        <f t="shared" si="22"/>
        <v/>
      </c>
      <c r="AR32" s="402"/>
    </row>
    <row r="33" spans="1:44" ht="12" customHeight="1">
      <c r="A33" s="52"/>
      <c r="B33" s="403" t="s">
        <v>315</v>
      </c>
      <c r="C33" s="394" t="str">
        <f t="shared" si="23"/>
        <v>General Service &lt; 50 kW.GA Disposition Rate Rider-NonRPP</v>
      </c>
      <c r="D33" s="395" t="s">
        <v>312</v>
      </c>
      <c r="E33" s="321"/>
      <c r="F33" s="413">
        <f>IFERROR(VLOOKUP($C33,'Proposed Rates'!$B:$J,F$11,FALSE),0)</f>
        <v>0</v>
      </c>
      <c r="G33" s="397">
        <f t="shared" si="24"/>
        <v>1000</v>
      </c>
      <c r="H33" s="399">
        <f t="shared" si="25"/>
        <v>0</v>
      </c>
      <c r="I33" s="484"/>
      <c r="J33" s="413">
        <f>IFERROR(VLOOKUP($C33,'Proposed Rates'!$B:$J,J$11,FALSE),0)</f>
        <v>0</v>
      </c>
      <c r="K33" s="397">
        <f t="shared" si="26"/>
        <v>1000</v>
      </c>
      <c r="L33" s="399">
        <f t="shared" si="27"/>
        <v>0</v>
      </c>
      <c r="M33" s="416"/>
      <c r="N33" s="400">
        <f t="shared" si="5"/>
        <v>0</v>
      </c>
      <c r="O33" s="401" t="str">
        <f t="shared" si="6"/>
        <v/>
      </c>
      <c r="P33" s="52"/>
      <c r="Q33" s="413">
        <f>IFERROR(VLOOKUP($C33,'Proposed Rates'!$B:$J,Q$11,FALSE),0)</f>
        <v>0</v>
      </c>
      <c r="R33" s="397">
        <f t="shared" si="28"/>
        <v>1000</v>
      </c>
      <c r="S33" s="399">
        <f t="shared" si="29"/>
        <v>0</v>
      </c>
      <c r="T33" s="416"/>
      <c r="U33" s="400">
        <f t="shared" si="9"/>
        <v>0</v>
      </c>
      <c r="V33" s="401" t="str">
        <f t="shared" si="10"/>
        <v/>
      </c>
      <c r="W33" s="52"/>
      <c r="X33" s="413">
        <f>IFERROR(VLOOKUP($C33,'Proposed Rates'!$B:$J,X$11,FALSE),0)</f>
        <v>0</v>
      </c>
      <c r="Y33" s="397">
        <f t="shared" si="30"/>
        <v>1000</v>
      </c>
      <c r="Z33" s="399">
        <f t="shared" si="31"/>
        <v>0</v>
      </c>
      <c r="AA33" s="416"/>
      <c r="AB33" s="400">
        <f t="shared" si="13"/>
        <v>0</v>
      </c>
      <c r="AC33" s="401" t="str">
        <f t="shared" si="14"/>
        <v/>
      </c>
      <c r="AD33" s="52"/>
      <c r="AE33" s="413">
        <f>IFERROR(VLOOKUP($C33,'Proposed Rates'!$B:$J,AE$11,FALSE),0)</f>
        <v>0</v>
      </c>
      <c r="AF33" s="397">
        <f t="shared" si="32"/>
        <v>1000</v>
      </c>
      <c r="AG33" s="399">
        <f t="shared" si="33"/>
        <v>0</v>
      </c>
      <c r="AH33" s="416"/>
      <c r="AI33" s="400">
        <f t="shared" si="17"/>
        <v>0</v>
      </c>
      <c r="AJ33" s="401" t="str">
        <f t="shared" si="18"/>
        <v/>
      </c>
      <c r="AK33" s="52"/>
      <c r="AL33" s="413">
        <f>IFERROR(VLOOKUP($C33,'Proposed Rates'!$B:$J,AL$11,FALSE),0)</f>
        <v>0</v>
      </c>
      <c r="AM33" s="397">
        <f t="shared" si="34"/>
        <v>1000</v>
      </c>
      <c r="AN33" s="399">
        <f t="shared" si="35"/>
        <v>0</v>
      </c>
      <c r="AO33" s="416"/>
      <c r="AP33" s="400">
        <f t="shared" si="21"/>
        <v>0</v>
      </c>
      <c r="AQ33" s="401" t="str">
        <f t="shared" si="22"/>
        <v/>
      </c>
      <c r="AR33" s="402"/>
    </row>
    <row r="34" spans="1:44" ht="12" customHeight="1">
      <c r="A34" s="52"/>
      <c r="B34" s="321" t="s">
        <v>273</v>
      </c>
      <c r="C34" s="394" t="str">
        <f t="shared" si="23"/>
        <v>General Service &lt; 50 kW.Low Voltage Service Charge</v>
      </c>
      <c r="D34" s="395" t="s">
        <v>312</v>
      </c>
      <c r="E34" s="321"/>
      <c r="F34" s="417">
        <f>IFERROR(VLOOKUP($C34,'Proposed Rates'!$B:$J,F$11,FALSE),0)</f>
        <v>5.0000000000000002E-5</v>
      </c>
      <c r="G34" s="418">
        <f>$F$10*(1+F$63)</f>
        <v>1033.8</v>
      </c>
      <c r="H34" s="399">
        <f t="shared" si="25"/>
        <v>5.169E-2</v>
      </c>
      <c r="I34" s="132"/>
      <c r="J34" s="417">
        <f>IFERROR(VLOOKUP($C34,'Proposed Rates'!$B:$J,J$11,FALSE),0)</f>
        <v>6.0000000000000002E-5</v>
      </c>
      <c r="K34" s="418">
        <f>$F$10*(1+J$63)</f>
        <v>1033.1999999999998</v>
      </c>
      <c r="L34" s="399">
        <f t="shared" si="27"/>
        <v>6.1991999999999992E-2</v>
      </c>
      <c r="M34" s="132"/>
      <c r="N34" s="400">
        <f t="shared" si="5"/>
        <v>1.0301999999999992E-2</v>
      </c>
      <c r="O34" s="401">
        <f t="shared" si="6"/>
        <v>0.19930354033662201</v>
      </c>
      <c r="P34" s="52"/>
      <c r="Q34" s="417">
        <f>IFERROR(VLOOKUP($C34,'Proposed Rates'!$B:$J,Q$11,FALSE),0)</f>
        <v>6.0000000000000002E-5</v>
      </c>
      <c r="R34" s="418">
        <f>$F$10*(1+Q$63)</f>
        <v>1033.1999999999998</v>
      </c>
      <c r="S34" s="399">
        <f t="shared" si="29"/>
        <v>6.1991999999999992E-2</v>
      </c>
      <c r="T34" s="132"/>
      <c r="U34" s="400">
        <f t="shared" si="9"/>
        <v>0</v>
      </c>
      <c r="V34" s="401">
        <f t="shared" si="10"/>
        <v>0</v>
      </c>
      <c r="W34" s="52"/>
      <c r="X34" s="417">
        <f>IFERROR(VLOOKUP($C34,'Proposed Rates'!$B:$J,X$11,FALSE),0)</f>
        <v>6.0000000000000002E-5</v>
      </c>
      <c r="Y34" s="418">
        <f>$F$10*(1+X$63)</f>
        <v>1033.1999999999998</v>
      </c>
      <c r="Z34" s="399">
        <f t="shared" si="31"/>
        <v>6.1991999999999992E-2</v>
      </c>
      <c r="AA34" s="132"/>
      <c r="AB34" s="400">
        <f t="shared" si="13"/>
        <v>0</v>
      </c>
      <c r="AC34" s="401">
        <f t="shared" si="14"/>
        <v>0</v>
      </c>
      <c r="AD34" s="52"/>
      <c r="AE34" s="417">
        <f>IFERROR(VLOOKUP($C34,'Proposed Rates'!$B:$J,AE$11,FALSE),0)</f>
        <v>6.0000000000000002E-5</v>
      </c>
      <c r="AF34" s="418">
        <f>$F$10*(1+AE$63)</f>
        <v>1033.1999999999998</v>
      </c>
      <c r="AG34" s="399">
        <f t="shared" si="33"/>
        <v>6.1991999999999992E-2</v>
      </c>
      <c r="AH34" s="132"/>
      <c r="AI34" s="400">
        <f t="shared" si="17"/>
        <v>0</v>
      </c>
      <c r="AJ34" s="401">
        <f t="shared" si="18"/>
        <v>0</v>
      </c>
      <c r="AK34" s="52"/>
      <c r="AL34" s="417">
        <f>IFERROR(VLOOKUP($C34,'Proposed Rates'!$B:$J,AL$11,FALSE),0)</f>
        <v>6.0000000000000002E-5</v>
      </c>
      <c r="AM34" s="418">
        <f>$F$10*(1+AL$63)</f>
        <v>1033.1999999999998</v>
      </c>
      <c r="AN34" s="399">
        <f t="shared" si="35"/>
        <v>6.1991999999999992E-2</v>
      </c>
      <c r="AO34" s="132"/>
      <c r="AP34" s="400">
        <f t="shared" si="21"/>
        <v>0</v>
      </c>
      <c r="AQ34" s="401">
        <f t="shared" si="22"/>
        <v>0</v>
      </c>
      <c r="AR34" s="402"/>
    </row>
    <row r="35" spans="1:44" ht="12" customHeight="1">
      <c r="A35" s="52"/>
      <c r="B35" s="321" t="s">
        <v>316</v>
      </c>
      <c r="C35" s="394" t="str">
        <f t="shared" si="23"/>
        <v>General Service &lt; 50 kW.Line Losses on Cost of Power</v>
      </c>
      <c r="D35" s="395" t="s">
        <v>312</v>
      </c>
      <c r="E35" s="321"/>
      <c r="F35" s="419">
        <f>'Proposed Rates'!$K$253*F$44+'Proposed Rates'!$K$254*F$45+'Proposed Rates'!$K$255*F$46</f>
        <v>0.12752000000000002</v>
      </c>
      <c r="G35" s="506">
        <f>$F$10*(1+F$63)-$F$10</f>
        <v>33.799999999999955</v>
      </c>
      <c r="H35" s="399">
        <f t="shared" si="25"/>
        <v>4.3101759999999949</v>
      </c>
      <c r="I35" s="132"/>
      <c r="J35" s="419">
        <f>'Proposed Rates'!$K$253*J$44+'Proposed Rates'!$K$254*J$45+'Proposed Rates'!$K$255*J$46</f>
        <v>0.12752000000000002</v>
      </c>
      <c r="K35" s="506">
        <f>$F$10*(1+J$63)-$F$10</f>
        <v>33.199999999999818</v>
      </c>
      <c r="L35" s="399">
        <f t="shared" si="27"/>
        <v>4.2336639999999779</v>
      </c>
      <c r="M35" s="132"/>
      <c r="N35" s="400">
        <f t="shared" si="5"/>
        <v>-7.6512000000017011E-2</v>
      </c>
      <c r="O35" s="401">
        <f t="shared" si="6"/>
        <v>-1.7751479289944794E-2</v>
      </c>
      <c r="P35" s="52"/>
      <c r="Q35" s="419">
        <f>'Proposed Rates'!$K$253*Q$44+'Proposed Rates'!$K$254*Q$45+'Proposed Rates'!$K$255*Q$46</f>
        <v>0.12752000000000002</v>
      </c>
      <c r="R35" s="506">
        <f>$F$10*(1+Q$63)-$F$10</f>
        <v>33.199999999999818</v>
      </c>
      <c r="S35" s="399">
        <f t="shared" si="29"/>
        <v>4.2336639999999779</v>
      </c>
      <c r="T35" s="132"/>
      <c r="U35" s="400">
        <f t="shared" si="9"/>
        <v>0</v>
      </c>
      <c r="V35" s="401">
        <f t="shared" si="10"/>
        <v>0</v>
      </c>
      <c r="W35" s="52"/>
      <c r="X35" s="419">
        <f>'Proposed Rates'!$K$253*X$44+'Proposed Rates'!$K$254*X$45+'Proposed Rates'!$K$255*X$46</f>
        <v>0.12752000000000002</v>
      </c>
      <c r="Y35" s="506">
        <f>$F$10*(1+X$63)-$F$10</f>
        <v>33.199999999999818</v>
      </c>
      <c r="Z35" s="399">
        <f t="shared" si="31"/>
        <v>4.2336639999999779</v>
      </c>
      <c r="AA35" s="132"/>
      <c r="AB35" s="400">
        <f t="shared" si="13"/>
        <v>0</v>
      </c>
      <c r="AC35" s="401">
        <f t="shared" si="14"/>
        <v>0</v>
      </c>
      <c r="AD35" s="52"/>
      <c r="AE35" s="419">
        <f>'Proposed Rates'!$K$253*AE$44+'Proposed Rates'!$K$254*AE$45+'Proposed Rates'!$K$255*AE$46</f>
        <v>0.12752000000000002</v>
      </c>
      <c r="AF35" s="506">
        <f>$F$10*(1+AE$63)-$F$10</f>
        <v>33.199999999999818</v>
      </c>
      <c r="AG35" s="399">
        <f t="shared" si="33"/>
        <v>4.2336639999999779</v>
      </c>
      <c r="AH35" s="132"/>
      <c r="AI35" s="400">
        <f t="shared" si="17"/>
        <v>0</v>
      </c>
      <c r="AJ35" s="401">
        <f t="shared" si="18"/>
        <v>0</v>
      </c>
      <c r="AK35" s="52"/>
      <c r="AL35" s="419">
        <f>'Proposed Rates'!$K$253*AL$44+'Proposed Rates'!$K$254*AL$45+'Proposed Rates'!$K$255*AL$46</f>
        <v>0.12752000000000002</v>
      </c>
      <c r="AM35" s="506">
        <f>$F$10*(1+AL$63)-$F$10</f>
        <v>33.199999999999818</v>
      </c>
      <c r="AN35" s="399">
        <f t="shared" si="35"/>
        <v>4.2336639999999779</v>
      </c>
      <c r="AO35" s="132"/>
      <c r="AP35" s="400">
        <f t="shared" si="21"/>
        <v>0</v>
      </c>
      <c r="AQ35" s="401">
        <f t="shared" si="22"/>
        <v>0</v>
      </c>
      <c r="AR35" s="402"/>
    </row>
    <row r="36" spans="1:44" ht="12" customHeight="1">
      <c r="A36" s="52"/>
      <c r="B36" s="321" t="s">
        <v>275</v>
      </c>
      <c r="C36" s="394" t="str">
        <f t="shared" si="23"/>
        <v>General Service &lt; 50 kW.Smart Meter Entity Charge</v>
      </c>
      <c r="D36" s="395" t="s">
        <v>310</v>
      </c>
      <c r="E36" s="321"/>
      <c r="F36" s="396">
        <f>IFERROR(VLOOKUP($C36,'Proposed Rates'!$B:$J,F$11,FALSE),0)</f>
        <v>0.42</v>
      </c>
      <c r="G36" s="397">
        <f>IF($D36="Monthly",1,IF($D36="per KWH",$F$10,0))</f>
        <v>1</v>
      </c>
      <c r="H36" s="399">
        <f t="shared" si="25"/>
        <v>0.42</v>
      </c>
      <c r="I36" s="132"/>
      <c r="J36" s="396">
        <f>IFERROR(VLOOKUP($C36,'Proposed Rates'!$B:$J,J$11,FALSE),0)</f>
        <v>0.42</v>
      </c>
      <c r="K36" s="397">
        <f>IF($D36="Monthly",1,IF($D36="per KWH",$F$10,0))</f>
        <v>1</v>
      </c>
      <c r="L36" s="399">
        <f t="shared" si="27"/>
        <v>0.42</v>
      </c>
      <c r="M36" s="132"/>
      <c r="N36" s="400">
        <f t="shared" si="5"/>
        <v>0</v>
      </c>
      <c r="O36" s="401">
        <f t="shared" si="6"/>
        <v>0</v>
      </c>
      <c r="P36" s="52"/>
      <c r="Q36" s="396">
        <f>IFERROR(VLOOKUP($C36,'Proposed Rates'!$B:$J,Q$11,FALSE),0)</f>
        <v>0.42</v>
      </c>
      <c r="R36" s="397">
        <f>IF($D36="Monthly",1,IF($D36="per KWH",$F$10,0))</f>
        <v>1</v>
      </c>
      <c r="S36" s="399">
        <f t="shared" si="29"/>
        <v>0.42</v>
      </c>
      <c r="T36" s="132"/>
      <c r="U36" s="400">
        <f t="shared" si="9"/>
        <v>0</v>
      </c>
      <c r="V36" s="401">
        <f t="shared" si="10"/>
        <v>0</v>
      </c>
      <c r="W36" s="52"/>
      <c r="X36" s="396">
        <f>IFERROR(VLOOKUP($C36,'Proposed Rates'!$B:$J,X$11,FALSE),0)</f>
        <v>0.43</v>
      </c>
      <c r="Y36" s="397">
        <f>IF($D36="Monthly",1,IF($D36="per KWH",$F$10,0))</f>
        <v>1</v>
      </c>
      <c r="Z36" s="399">
        <f t="shared" si="31"/>
        <v>0.43</v>
      </c>
      <c r="AA36" s="132"/>
      <c r="AB36" s="400">
        <f t="shared" si="13"/>
        <v>1.0000000000000009E-2</v>
      </c>
      <c r="AC36" s="401">
        <f t="shared" si="14"/>
        <v>2.3809523809523832E-2</v>
      </c>
      <c r="AD36" s="52"/>
      <c r="AE36" s="396">
        <f>IFERROR(VLOOKUP($C36,'Proposed Rates'!$B:$J,AE$11,FALSE),0)</f>
        <v>0.44</v>
      </c>
      <c r="AF36" s="397">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397">
        <f>IF($D36="Monthly",1,IF($D36="per KWH",$F$10,0))</f>
        <v>1</v>
      </c>
      <c r="AN36" s="399">
        <f t="shared" si="35"/>
        <v>0.45</v>
      </c>
      <c r="AO36" s="132"/>
      <c r="AP36" s="400">
        <f t="shared" si="21"/>
        <v>1.0000000000000009E-2</v>
      </c>
      <c r="AQ36" s="401">
        <f t="shared" si="22"/>
        <v>2.2727272727272749E-2</v>
      </c>
      <c r="AR36" s="402"/>
    </row>
    <row r="37" spans="1:44" ht="12" customHeight="1">
      <c r="A37" s="52"/>
      <c r="B37" s="404" t="s">
        <v>317</v>
      </c>
      <c r="C37" s="421"/>
      <c r="D37" s="421"/>
      <c r="E37" s="421"/>
      <c r="F37" s="422"/>
      <c r="G37" s="500"/>
      <c r="H37" s="408">
        <f>SUM(H30:H36)+H29</f>
        <v>59.711866000000001</v>
      </c>
      <c r="I37" s="424"/>
      <c r="J37" s="422"/>
      <c r="K37" s="500"/>
      <c r="L37" s="408">
        <f>SUM(L30:L36)+L29</f>
        <v>66.555655999999985</v>
      </c>
      <c r="M37" s="424"/>
      <c r="N37" s="410">
        <f t="shared" si="5"/>
        <v>6.8437899999999843</v>
      </c>
      <c r="O37" s="411">
        <f t="shared" si="6"/>
        <v>0.11461356776222642</v>
      </c>
      <c r="P37" s="52"/>
      <c r="Q37" s="422"/>
      <c r="R37" s="500"/>
      <c r="S37" s="408">
        <f>SUM(S30:S36)+S29</f>
        <v>70.025655999999984</v>
      </c>
      <c r="T37" s="424"/>
      <c r="U37" s="410">
        <f t="shared" si="9"/>
        <v>3.4699999999999989</v>
      </c>
      <c r="V37" s="411">
        <f t="shared" si="10"/>
        <v>5.2136816140764951E-2</v>
      </c>
      <c r="W37" s="52"/>
      <c r="X37" s="422"/>
      <c r="Y37" s="500"/>
      <c r="Z37" s="408">
        <f>SUM(Z30:Z36)+Z29</f>
        <v>74.315655999999976</v>
      </c>
      <c r="AA37" s="424"/>
      <c r="AB37" s="410">
        <f t="shared" si="13"/>
        <v>4.289999999999992</v>
      </c>
      <c r="AC37" s="411">
        <f t="shared" si="14"/>
        <v>6.126326042557878E-2</v>
      </c>
      <c r="AD37" s="52"/>
      <c r="AE37" s="422"/>
      <c r="AF37" s="500"/>
      <c r="AG37" s="408">
        <f>SUM(AG30:AG36)+AG29</f>
        <v>75.595655999999977</v>
      </c>
      <c r="AH37" s="424"/>
      <c r="AI37" s="410">
        <f t="shared" si="17"/>
        <v>1.2800000000000011</v>
      </c>
      <c r="AJ37" s="411">
        <f t="shared" si="18"/>
        <v>1.7223826968573105E-2</v>
      </c>
      <c r="AK37" s="52"/>
      <c r="AL37" s="422"/>
      <c r="AM37" s="500"/>
      <c r="AN37" s="408">
        <f>SUM(AN30:AN36)+AN29</f>
        <v>76.645655999999974</v>
      </c>
      <c r="AO37" s="424"/>
      <c r="AP37" s="410">
        <f t="shared" si="21"/>
        <v>1.0499999999999972</v>
      </c>
      <c r="AQ37" s="411">
        <f t="shared" si="22"/>
        <v>1.3889686994712996E-2</v>
      </c>
      <c r="AR37" s="412"/>
    </row>
    <row r="38" spans="1:44" ht="12" customHeight="1">
      <c r="A38" s="52"/>
      <c r="B38" s="132" t="s">
        <v>258</v>
      </c>
      <c r="C38" s="394" t="str">
        <f t="shared" ref="C38:C39" si="36">D$6&amp;"."&amp;B38</f>
        <v>General Service &lt; 50 kW.RTSR - Network</v>
      </c>
      <c r="D38" s="425" t="s">
        <v>312</v>
      </c>
      <c r="E38" s="132"/>
      <c r="F38" s="413">
        <f>IFERROR(VLOOKUP($C38,'Proposed Rates'!$B:$J,F$11,FALSE),0)</f>
        <v>1.18E-2</v>
      </c>
      <c r="G38" s="507">
        <f t="shared" ref="G38:G39" si="37">$F$10*(1+F$63)</f>
        <v>1033.8</v>
      </c>
      <c r="H38" s="399">
        <f t="shared" ref="H38:H39" si="38">G38*F38</f>
        <v>12.198839999999999</v>
      </c>
      <c r="I38" s="132"/>
      <c r="J38" s="413">
        <f>IFERROR(VLOOKUP($C38,'Proposed Rates'!$B:$J,J$11,FALSE),0)</f>
        <v>1.0699999999999999E-2</v>
      </c>
      <c r="K38" s="507">
        <f t="shared" ref="K38:K39" si="39">$F$10*(1+J$63)</f>
        <v>1033.1999999999998</v>
      </c>
      <c r="L38" s="399">
        <f t="shared" ref="L38:L39" si="40">K38*J38</f>
        <v>11.055239999999998</v>
      </c>
      <c r="M38" s="132"/>
      <c r="N38" s="400">
        <f t="shared" si="5"/>
        <v>-1.1436000000000011</v>
      </c>
      <c r="O38" s="401">
        <f t="shared" si="6"/>
        <v>-9.3746618530942377E-2</v>
      </c>
      <c r="P38" s="52"/>
      <c r="Q38" s="413">
        <f>IFERROR(VLOOKUP($C38,'Proposed Rates'!$B:$J,Q$11,FALSE),0)</f>
        <v>1.0699999999999999E-2</v>
      </c>
      <c r="R38" s="507">
        <f t="shared" ref="R38:R39" si="41">$F$10*(1+Q$63)</f>
        <v>1033.1999999999998</v>
      </c>
      <c r="S38" s="399">
        <f t="shared" ref="S38:S39" si="42">R38*Q38</f>
        <v>11.055239999999998</v>
      </c>
      <c r="T38" s="132"/>
      <c r="U38" s="400">
        <f t="shared" si="9"/>
        <v>0</v>
      </c>
      <c r="V38" s="401">
        <f t="shared" si="10"/>
        <v>0</v>
      </c>
      <c r="W38" s="52"/>
      <c r="X38" s="413">
        <f>IFERROR(VLOOKUP($C38,'Proposed Rates'!$B:$J,X$11,FALSE),0)</f>
        <v>1.0699999999999999E-2</v>
      </c>
      <c r="Y38" s="507">
        <f t="shared" ref="Y38:Y39" si="43">$F$10*(1+X$63)</f>
        <v>1033.1999999999998</v>
      </c>
      <c r="Z38" s="399">
        <f t="shared" ref="Z38:Z39" si="44">Y38*X38</f>
        <v>11.055239999999998</v>
      </c>
      <c r="AA38" s="132"/>
      <c r="AB38" s="400">
        <f t="shared" si="13"/>
        <v>0</v>
      </c>
      <c r="AC38" s="401">
        <f t="shared" si="14"/>
        <v>0</v>
      </c>
      <c r="AD38" s="52"/>
      <c r="AE38" s="413">
        <f>IFERROR(VLOOKUP($C38,'Proposed Rates'!$B:$J,AE$11,FALSE),0)</f>
        <v>1.0699999999999999E-2</v>
      </c>
      <c r="AF38" s="507">
        <f t="shared" ref="AF38:AF39" si="45">$F$10*(1+AE$63)</f>
        <v>1033.1999999999998</v>
      </c>
      <c r="AG38" s="399">
        <f t="shared" ref="AG38:AG39" si="46">AF38*AE38</f>
        <v>11.055239999999998</v>
      </c>
      <c r="AH38" s="132"/>
      <c r="AI38" s="400">
        <f t="shared" si="17"/>
        <v>0</v>
      </c>
      <c r="AJ38" s="401">
        <f t="shared" si="18"/>
        <v>0</v>
      </c>
      <c r="AK38" s="52"/>
      <c r="AL38" s="413">
        <f>IFERROR(VLOOKUP($C38,'Proposed Rates'!$B:$J,AL$11,FALSE),0)</f>
        <v>1.0699999999999999E-2</v>
      </c>
      <c r="AM38" s="507">
        <f t="shared" ref="AM38:AM39" si="47">$F$10*(1+AL$63)</f>
        <v>1033.1999999999998</v>
      </c>
      <c r="AN38" s="399">
        <f t="shared" ref="AN38:AN39" si="48">AM38*AL38</f>
        <v>11.055239999999998</v>
      </c>
      <c r="AO38" s="132"/>
      <c r="AP38" s="400">
        <f t="shared" si="21"/>
        <v>0</v>
      </c>
      <c r="AQ38" s="401">
        <f t="shared" si="22"/>
        <v>0</v>
      </c>
      <c r="AR38" s="402"/>
    </row>
    <row r="39" spans="1:44" ht="12" customHeight="1">
      <c r="A39" s="52"/>
      <c r="B39" s="132" t="s">
        <v>261</v>
      </c>
      <c r="C39" s="394" t="str">
        <f t="shared" si="36"/>
        <v>General Service &lt; 50 kW.RTSR - Line and Transformation Connection</v>
      </c>
      <c r="D39" s="425" t="s">
        <v>312</v>
      </c>
      <c r="E39" s="132"/>
      <c r="F39" s="413">
        <f>IFERROR(VLOOKUP($C39,'Proposed Rates'!$B:$J,F$11,FALSE),0)</f>
        <v>7.0000000000000001E-3</v>
      </c>
      <c r="G39" s="507">
        <f t="shared" si="37"/>
        <v>1033.8</v>
      </c>
      <c r="H39" s="399">
        <f t="shared" si="38"/>
        <v>7.2366000000000001</v>
      </c>
      <c r="I39" s="132"/>
      <c r="J39" s="413">
        <f>IFERROR(VLOOKUP($C39,'Proposed Rates'!$B:$J,J$11,FALSE),0)</f>
        <v>6.1000000000000004E-3</v>
      </c>
      <c r="K39" s="507">
        <f t="shared" si="39"/>
        <v>1033.1999999999998</v>
      </c>
      <c r="L39" s="399">
        <f t="shared" si="40"/>
        <v>6.3025199999999995</v>
      </c>
      <c r="M39" s="132"/>
      <c r="N39" s="400">
        <f t="shared" si="5"/>
        <v>-0.93408000000000069</v>
      </c>
      <c r="O39" s="401">
        <f t="shared" si="6"/>
        <v>-0.12907719094602446</v>
      </c>
      <c r="P39" s="52"/>
      <c r="Q39" s="413">
        <f>IFERROR(VLOOKUP($C39,'Proposed Rates'!$B:$J,Q$11,FALSE),0)</f>
        <v>6.1000000000000004E-3</v>
      </c>
      <c r="R39" s="507">
        <f t="shared" si="41"/>
        <v>1033.1999999999998</v>
      </c>
      <c r="S39" s="399">
        <f t="shared" si="42"/>
        <v>6.3025199999999995</v>
      </c>
      <c r="T39" s="132"/>
      <c r="U39" s="400">
        <f t="shared" si="9"/>
        <v>0</v>
      </c>
      <c r="V39" s="401">
        <f t="shared" si="10"/>
        <v>0</v>
      </c>
      <c r="W39" s="52"/>
      <c r="X39" s="413">
        <f>IFERROR(VLOOKUP($C39,'Proposed Rates'!$B:$J,X$11,FALSE),0)</f>
        <v>6.1000000000000004E-3</v>
      </c>
      <c r="Y39" s="507">
        <f t="shared" si="43"/>
        <v>1033.1999999999998</v>
      </c>
      <c r="Z39" s="399">
        <f t="shared" si="44"/>
        <v>6.3025199999999995</v>
      </c>
      <c r="AA39" s="132"/>
      <c r="AB39" s="400">
        <f t="shared" si="13"/>
        <v>0</v>
      </c>
      <c r="AC39" s="401">
        <f t="shared" si="14"/>
        <v>0</v>
      </c>
      <c r="AD39" s="52"/>
      <c r="AE39" s="413">
        <f>IFERROR(VLOOKUP($C39,'Proposed Rates'!$B:$J,AE$11,FALSE),0)</f>
        <v>6.1000000000000004E-3</v>
      </c>
      <c r="AF39" s="507">
        <f t="shared" si="45"/>
        <v>1033.1999999999998</v>
      </c>
      <c r="AG39" s="399">
        <f t="shared" si="46"/>
        <v>6.3025199999999995</v>
      </c>
      <c r="AH39" s="132"/>
      <c r="AI39" s="400">
        <f t="shared" si="17"/>
        <v>0</v>
      </c>
      <c r="AJ39" s="401">
        <f t="shared" si="18"/>
        <v>0</v>
      </c>
      <c r="AK39" s="52"/>
      <c r="AL39" s="413">
        <f>IFERROR(VLOOKUP($C39,'Proposed Rates'!$B:$J,AL$11,FALSE),0)</f>
        <v>6.1000000000000004E-3</v>
      </c>
      <c r="AM39" s="507">
        <f t="shared" si="47"/>
        <v>1033.1999999999998</v>
      </c>
      <c r="AN39" s="399">
        <f t="shared" si="48"/>
        <v>6.3025199999999995</v>
      </c>
      <c r="AO39" s="132"/>
      <c r="AP39" s="400">
        <f t="shared" si="21"/>
        <v>0</v>
      </c>
      <c r="AQ39" s="401">
        <f t="shared" si="22"/>
        <v>0</v>
      </c>
      <c r="AR39" s="402"/>
    </row>
    <row r="40" spans="1:44" ht="12" customHeight="1">
      <c r="A40" s="52"/>
      <c r="B40" s="404" t="s">
        <v>318</v>
      </c>
      <c r="C40" s="426"/>
      <c r="D40" s="426"/>
      <c r="E40" s="426"/>
      <c r="F40" s="427"/>
      <c r="G40" s="500"/>
      <c r="H40" s="408">
        <f>SUM(H37:H39)</f>
        <v>79.147306</v>
      </c>
      <c r="I40" s="409"/>
      <c r="J40" s="427"/>
      <c r="K40" s="500"/>
      <c r="L40" s="408">
        <f>SUM(L37:L39)</f>
        <v>83.913415999999984</v>
      </c>
      <c r="M40" s="409"/>
      <c r="N40" s="410">
        <f t="shared" si="5"/>
        <v>4.7661099999999834</v>
      </c>
      <c r="O40" s="411">
        <f t="shared" si="6"/>
        <v>6.0218221451529677E-2</v>
      </c>
      <c r="P40" s="52"/>
      <c r="Q40" s="427"/>
      <c r="R40" s="500"/>
      <c r="S40" s="408">
        <f>SUM(S37:S39)</f>
        <v>87.383415999999983</v>
      </c>
      <c r="T40" s="409"/>
      <c r="U40" s="410">
        <f t="shared" si="9"/>
        <v>3.4699999999999989</v>
      </c>
      <c r="V40" s="411">
        <f t="shared" si="10"/>
        <v>4.1352148028391544E-2</v>
      </c>
      <c r="W40" s="52"/>
      <c r="X40" s="427"/>
      <c r="Y40" s="500"/>
      <c r="Z40" s="408">
        <f>SUM(Z37:Z39)</f>
        <v>91.673415999999975</v>
      </c>
      <c r="AA40" s="409"/>
      <c r="AB40" s="410">
        <f t="shared" si="13"/>
        <v>4.289999999999992</v>
      </c>
      <c r="AC40" s="411">
        <f t="shared" si="14"/>
        <v>4.9093983691367624E-2</v>
      </c>
      <c r="AD40" s="52"/>
      <c r="AE40" s="427"/>
      <c r="AF40" s="500"/>
      <c r="AG40" s="408">
        <f>SUM(AG37:AG39)</f>
        <v>92.953415999999976</v>
      </c>
      <c r="AH40" s="409"/>
      <c r="AI40" s="410">
        <f t="shared" si="17"/>
        <v>1.2800000000000011</v>
      </c>
      <c r="AJ40" s="411">
        <f t="shared" si="18"/>
        <v>1.3962608309479834E-2</v>
      </c>
      <c r="AK40" s="52"/>
      <c r="AL40" s="427"/>
      <c r="AM40" s="500"/>
      <c r="AN40" s="408">
        <f>SUM(AN37:AN39)</f>
        <v>94.003415999999973</v>
      </c>
      <c r="AO40" s="409"/>
      <c r="AP40" s="410">
        <f t="shared" si="21"/>
        <v>1.0499999999999972</v>
      </c>
      <c r="AQ40" s="411">
        <f t="shared" si="22"/>
        <v>1.1295980773853404E-2</v>
      </c>
      <c r="AR40" s="412"/>
    </row>
    <row r="41" spans="1:44" ht="12" customHeight="1">
      <c r="A41" s="52"/>
      <c r="B41" s="321" t="s">
        <v>262</v>
      </c>
      <c r="C41" s="394" t="str">
        <f t="shared" ref="C41:C48" si="49">D$6&amp;"."&amp;B41</f>
        <v>General Service &lt; 50 kW.Wholesale Market Service Charge (WMSC)</v>
      </c>
      <c r="D41" s="395" t="s">
        <v>312</v>
      </c>
      <c r="E41" s="321"/>
      <c r="F41" s="413">
        <f>IFERROR(VLOOKUP($C41,'Proposed Rates'!$B:$J,F$11,FALSE),0)</f>
        <v>4.4999999999999997E-3</v>
      </c>
      <c r="G41" s="507">
        <f t="shared" ref="G41:G42" si="50">$F$10*(1+F$63)</f>
        <v>1033.8</v>
      </c>
      <c r="H41" s="399">
        <f t="shared" ref="H41:H48" si="51">G41*F41</f>
        <v>4.652099999999999</v>
      </c>
      <c r="I41" s="132"/>
      <c r="J41" s="413">
        <f>IFERROR(VLOOKUP($C41,'Proposed Rates'!$B:$J,J$11,FALSE),0)</f>
        <v>4.7000000000000002E-3</v>
      </c>
      <c r="K41" s="507">
        <f t="shared" ref="K41:K42" si="52">$F$10*(1+J$63)</f>
        <v>1033.1999999999998</v>
      </c>
      <c r="L41" s="399">
        <f t="shared" ref="L41:L48" si="53">K41*J41</f>
        <v>4.8560399999999992</v>
      </c>
      <c r="M41" s="132"/>
      <c r="N41" s="400">
        <f t="shared" si="5"/>
        <v>0.20394000000000023</v>
      </c>
      <c r="O41" s="401">
        <f t="shared" si="6"/>
        <v>4.3838266589282318E-2</v>
      </c>
      <c r="P41" s="52"/>
      <c r="Q41" s="413">
        <f>IFERROR(VLOOKUP($C41,'Proposed Rates'!$B:$J,Q$11,FALSE),0)</f>
        <v>4.7000000000000002E-3</v>
      </c>
      <c r="R41" s="507">
        <f t="shared" ref="R41:R42" si="54">$F$10*(1+Q$63)</f>
        <v>1033.1999999999998</v>
      </c>
      <c r="S41" s="399">
        <f t="shared" ref="S41:S48" si="55">R41*Q41</f>
        <v>4.8560399999999992</v>
      </c>
      <c r="T41" s="132"/>
      <c r="U41" s="400">
        <f t="shared" si="9"/>
        <v>0</v>
      </c>
      <c r="V41" s="401">
        <f t="shared" si="10"/>
        <v>0</v>
      </c>
      <c r="W41" s="52"/>
      <c r="X41" s="413">
        <f>IFERROR(VLOOKUP($C41,'Proposed Rates'!$B:$J,X$11,FALSE),0)</f>
        <v>4.7000000000000002E-3</v>
      </c>
      <c r="Y41" s="507">
        <f t="shared" ref="Y41:Y42" si="56">$F$10*(1+X$63)</f>
        <v>1033.1999999999998</v>
      </c>
      <c r="Z41" s="399">
        <f t="shared" ref="Z41:Z48" si="57">Y41*X41</f>
        <v>4.8560399999999992</v>
      </c>
      <c r="AA41" s="132"/>
      <c r="AB41" s="400">
        <f t="shared" si="13"/>
        <v>0</v>
      </c>
      <c r="AC41" s="401">
        <f t="shared" si="14"/>
        <v>0</v>
      </c>
      <c r="AD41" s="52"/>
      <c r="AE41" s="413">
        <f>IFERROR(VLOOKUP($C41,'Proposed Rates'!$B:$J,AE$11,FALSE),0)</f>
        <v>4.7000000000000002E-3</v>
      </c>
      <c r="AF41" s="507">
        <f t="shared" ref="AF41:AF42" si="58">$F$10*(1+AE$63)</f>
        <v>1033.1999999999998</v>
      </c>
      <c r="AG41" s="399">
        <f t="shared" ref="AG41:AG48" si="59">AF41*AE41</f>
        <v>4.8560399999999992</v>
      </c>
      <c r="AH41" s="132"/>
      <c r="AI41" s="400">
        <f t="shared" si="17"/>
        <v>0</v>
      </c>
      <c r="AJ41" s="401">
        <f t="shared" si="18"/>
        <v>0</v>
      </c>
      <c r="AK41" s="52"/>
      <c r="AL41" s="413">
        <f>IFERROR(VLOOKUP($C41,'Proposed Rates'!$B:$J,AL$11,FALSE),0)</f>
        <v>4.7000000000000002E-3</v>
      </c>
      <c r="AM41" s="507">
        <f t="shared" ref="AM41:AM42" si="60">$F$10*(1+AL$63)</f>
        <v>1033.1999999999998</v>
      </c>
      <c r="AN41" s="399">
        <f t="shared" ref="AN41:AN48" si="61">AM41*AL41</f>
        <v>4.8560399999999992</v>
      </c>
      <c r="AO41" s="132"/>
      <c r="AP41" s="400">
        <f t="shared" si="21"/>
        <v>0</v>
      </c>
      <c r="AQ41" s="401">
        <f t="shared" si="22"/>
        <v>0</v>
      </c>
      <c r="AR41" s="402"/>
    </row>
    <row r="42" spans="1:44" ht="12" customHeight="1">
      <c r="A42" s="52"/>
      <c r="B42" s="321" t="s">
        <v>263</v>
      </c>
      <c r="C42" s="394" t="str">
        <f t="shared" si="49"/>
        <v>General Service &lt; 50 kW.Rural and Remote Rate Protection (RRRP)</v>
      </c>
      <c r="D42" s="395" t="s">
        <v>312</v>
      </c>
      <c r="E42" s="321"/>
      <c r="F42" s="413">
        <f>IFERROR(VLOOKUP($C42,'Proposed Rates'!$B:$J,F$11,FALSE),0)</f>
        <v>1.5E-3</v>
      </c>
      <c r="G42" s="507">
        <f t="shared" si="50"/>
        <v>1033.8</v>
      </c>
      <c r="H42" s="399">
        <f t="shared" si="51"/>
        <v>1.5507</v>
      </c>
      <c r="I42" s="132"/>
      <c r="J42" s="413">
        <f>IFERROR(VLOOKUP($C42,'Proposed Rates'!$B:$J,J$11,FALSE),0)</f>
        <v>5.9999999999999995E-4</v>
      </c>
      <c r="K42" s="507">
        <f t="shared" si="52"/>
        <v>1033.1999999999998</v>
      </c>
      <c r="L42" s="399">
        <f t="shared" si="53"/>
        <v>0.6199199999999998</v>
      </c>
      <c r="M42" s="132"/>
      <c r="N42" s="400">
        <f t="shared" si="5"/>
        <v>-0.93078000000000016</v>
      </c>
      <c r="O42" s="401">
        <f t="shared" si="6"/>
        <v>-0.60023215322112611</v>
      </c>
      <c r="P42" s="52"/>
      <c r="Q42" s="413">
        <f>IFERROR(VLOOKUP($C42,'Proposed Rates'!$B:$J,Q$11,FALSE),0)</f>
        <v>5.9999999999999995E-4</v>
      </c>
      <c r="R42" s="507">
        <f t="shared" si="54"/>
        <v>1033.1999999999998</v>
      </c>
      <c r="S42" s="399">
        <f t="shared" si="55"/>
        <v>0.6199199999999998</v>
      </c>
      <c r="T42" s="132"/>
      <c r="U42" s="400">
        <f t="shared" si="9"/>
        <v>0</v>
      </c>
      <c r="V42" s="401">
        <f t="shared" si="10"/>
        <v>0</v>
      </c>
      <c r="W42" s="52"/>
      <c r="X42" s="413">
        <f>IFERROR(VLOOKUP($C42,'Proposed Rates'!$B:$J,X$11,FALSE),0)</f>
        <v>5.9999999999999995E-4</v>
      </c>
      <c r="Y42" s="507">
        <f t="shared" si="56"/>
        <v>1033.1999999999998</v>
      </c>
      <c r="Z42" s="399">
        <f t="shared" si="57"/>
        <v>0.6199199999999998</v>
      </c>
      <c r="AA42" s="132"/>
      <c r="AB42" s="400">
        <f t="shared" si="13"/>
        <v>0</v>
      </c>
      <c r="AC42" s="401">
        <f t="shared" si="14"/>
        <v>0</v>
      </c>
      <c r="AD42" s="52"/>
      <c r="AE42" s="413">
        <f>IFERROR(VLOOKUP($C42,'Proposed Rates'!$B:$J,AE$11,FALSE),0)</f>
        <v>5.9999999999999995E-4</v>
      </c>
      <c r="AF42" s="507">
        <f t="shared" si="58"/>
        <v>1033.1999999999998</v>
      </c>
      <c r="AG42" s="399">
        <f t="shared" si="59"/>
        <v>0.6199199999999998</v>
      </c>
      <c r="AH42" s="132"/>
      <c r="AI42" s="400">
        <f t="shared" si="17"/>
        <v>0</v>
      </c>
      <c r="AJ42" s="401">
        <f t="shared" si="18"/>
        <v>0</v>
      </c>
      <c r="AK42" s="52"/>
      <c r="AL42" s="413">
        <f>IFERROR(VLOOKUP($C42,'Proposed Rates'!$B:$J,AL$11,FALSE),0)</f>
        <v>5.9999999999999995E-4</v>
      </c>
      <c r="AM42" s="507">
        <f t="shared" si="60"/>
        <v>1033.1999999999998</v>
      </c>
      <c r="AN42" s="399">
        <f t="shared" si="61"/>
        <v>0.6199199999999998</v>
      </c>
      <c r="AO42" s="132"/>
      <c r="AP42" s="400">
        <f t="shared" si="21"/>
        <v>0</v>
      </c>
      <c r="AQ42" s="401">
        <f t="shared" si="22"/>
        <v>0</v>
      </c>
      <c r="AR42" s="402"/>
    </row>
    <row r="43" spans="1:44" ht="12" customHeight="1">
      <c r="A43" s="52"/>
      <c r="B43" s="321" t="s">
        <v>264</v>
      </c>
      <c r="C43" s="394" t="str">
        <f t="shared" si="49"/>
        <v>General Service &lt; 50 kW.Standard Supply Service Charge</v>
      </c>
      <c r="D43" s="395" t="s">
        <v>310</v>
      </c>
      <c r="E43" s="321"/>
      <c r="F43" s="396">
        <f>IFERROR(VLOOKUP($C43,'Proposed Rates'!$B:$J,F$11,FALSE),0)</f>
        <v>0.25</v>
      </c>
      <c r="G43" s="397">
        <f>IF($D43="Monthly",1,IF($D43="per KWH",$F$10,0))</f>
        <v>1</v>
      </c>
      <c r="H43" s="399">
        <f t="shared" si="51"/>
        <v>0.25</v>
      </c>
      <c r="I43" s="132"/>
      <c r="J43" s="396">
        <f>IFERROR(VLOOKUP($C43,'Proposed Rates'!$B:$J,J$11,FALSE),0)</f>
        <v>0.25</v>
      </c>
      <c r="K43" s="397">
        <f>IF($D43="Monthly",1,IF($D43="per KWH",$F$10,0))</f>
        <v>1</v>
      </c>
      <c r="L43" s="399">
        <f t="shared" si="53"/>
        <v>0.25</v>
      </c>
      <c r="M43" s="132"/>
      <c r="N43" s="400">
        <f t="shared" si="5"/>
        <v>0</v>
      </c>
      <c r="O43" s="401">
        <f t="shared" si="6"/>
        <v>0</v>
      </c>
      <c r="P43" s="52"/>
      <c r="Q43" s="396">
        <f>IFERROR(VLOOKUP($C43,'Proposed Rates'!$B:$J,Q$11,FALSE),0)</f>
        <v>0.25</v>
      </c>
      <c r="R43" s="397">
        <f>IF($D43="Monthly",1,IF($D43="per KWH",$F$10,0))</f>
        <v>1</v>
      </c>
      <c r="S43" s="399">
        <f t="shared" si="55"/>
        <v>0.25</v>
      </c>
      <c r="T43" s="132"/>
      <c r="U43" s="400">
        <f t="shared" si="9"/>
        <v>0</v>
      </c>
      <c r="V43" s="401">
        <f t="shared" si="10"/>
        <v>0</v>
      </c>
      <c r="W43" s="52"/>
      <c r="X43" s="396">
        <f>IFERROR(VLOOKUP($C43,'Proposed Rates'!$B:$J,X$11,FALSE),0)</f>
        <v>0.25</v>
      </c>
      <c r="Y43" s="397">
        <f>IF($D43="Monthly",1,IF($D43="per KWH",$F$10,0))</f>
        <v>1</v>
      </c>
      <c r="Z43" s="399">
        <f t="shared" si="57"/>
        <v>0.25</v>
      </c>
      <c r="AA43" s="132"/>
      <c r="AB43" s="400">
        <f t="shared" si="13"/>
        <v>0</v>
      </c>
      <c r="AC43" s="401">
        <f t="shared" si="14"/>
        <v>0</v>
      </c>
      <c r="AD43" s="52"/>
      <c r="AE43" s="396">
        <f>IFERROR(VLOOKUP($C43,'Proposed Rates'!$B:$J,AE$11,FALSE),0)</f>
        <v>0.25</v>
      </c>
      <c r="AF43" s="397">
        <f>IF($D43="Monthly",1,IF($D43="per KWH",$F$10,0))</f>
        <v>1</v>
      </c>
      <c r="AG43" s="399">
        <f t="shared" si="59"/>
        <v>0.25</v>
      </c>
      <c r="AH43" s="132"/>
      <c r="AI43" s="400">
        <f t="shared" si="17"/>
        <v>0</v>
      </c>
      <c r="AJ43" s="401">
        <f t="shared" si="18"/>
        <v>0</v>
      </c>
      <c r="AK43" s="52"/>
      <c r="AL43" s="396">
        <f>IFERROR(VLOOKUP($C43,'Proposed Rates'!$B:$J,AL$11,FALSE),0)</f>
        <v>0.25</v>
      </c>
      <c r="AM43" s="397">
        <f>IF($D43="Monthly",1,IF($D43="per KWH",$F$10,0))</f>
        <v>1</v>
      </c>
      <c r="AN43" s="399">
        <f t="shared" si="61"/>
        <v>0.25</v>
      </c>
      <c r="AO43" s="132"/>
      <c r="AP43" s="400">
        <f t="shared" si="21"/>
        <v>0</v>
      </c>
      <c r="AQ43" s="401">
        <f t="shared" si="22"/>
        <v>0</v>
      </c>
      <c r="AR43" s="402"/>
    </row>
    <row r="44" spans="1:44" ht="12" customHeight="1">
      <c r="A44" s="52"/>
      <c r="B44" s="321" t="s">
        <v>266</v>
      </c>
      <c r="C44" s="394" t="str">
        <f t="shared" si="49"/>
        <v>General Service &lt; 50 kW.TOU - Off Peak</v>
      </c>
      <c r="D44" s="395" t="s">
        <v>312</v>
      </c>
      <c r="E44" s="321"/>
      <c r="F44" s="429">
        <f>VLOOKUP($B44,'Proposed Rates'!$D$252:$J$258,+F$11-2,FALSE)</f>
        <v>9.8000000000000004E-2</v>
      </c>
      <c r="G44" s="507">
        <f>'Proposed Rates'!$K$253*$F$10</f>
        <v>640</v>
      </c>
      <c r="H44" s="399">
        <f t="shared" si="51"/>
        <v>62.72</v>
      </c>
      <c r="I44" s="132"/>
      <c r="J44" s="429">
        <f>VLOOKUP($B44,'Proposed Rates'!$D$252:$J$258,+J$11-2,FALSE)</f>
        <v>9.8000000000000004E-2</v>
      </c>
      <c r="K44" s="507">
        <f>'Proposed Rates'!$K$253*$F$10</f>
        <v>640</v>
      </c>
      <c r="L44" s="399">
        <f t="shared" si="53"/>
        <v>62.72</v>
      </c>
      <c r="M44" s="132"/>
      <c r="N44" s="400">
        <f t="shared" si="5"/>
        <v>0</v>
      </c>
      <c r="O44" s="401">
        <f t="shared" si="6"/>
        <v>0</v>
      </c>
      <c r="P44" s="52"/>
      <c r="Q44" s="429">
        <f>VLOOKUP($B44,'Proposed Rates'!$D$252:$J$258,+Q$11-2,FALSE)</f>
        <v>9.8000000000000004E-2</v>
      </c>
      <c r="R44" s="507">
        <f>'Proposed Rates'!$K$253*$F$10</f>
        <v>640</v>
      </c>
      <c r="S44" s="399">
        <f t="shared" si="55"/>
        <v>62.72</v>
      </c>
      <c r="T44" s="132"/>
      <c r="U44" s="400">
        <f t="shared" si="9"/>
        <v>0</v>
      </c>
      <c r="V44" s="401">
        <f t="shared" si="10"/>
        <v>0</v>
      </c>
      <c r="W44" s="52"/>
      <c r="X44" s="429">
        <f>VLOOKUP($B44,'Proposed Rates'!$D$252:$J$258,+X$11-2,FALSE)</f>
        <v>9.8000000000000004E-2</v>
      </c>
      <c r="Y44" s="507">
        <f>'Proposed Rates'!$K$253*$F$10</f>
        <v>640</v>
      </c>
      <c r="Z44" s="399">
        <f t="shared" si="57"/>
        <v>62.72</v>
      </c>
      <c r="AA44" s="132"/>
      <c r="AB44" s="400">
        <f t="shared" si="13"/>
        <v>0</v>
      </c>
      <c r="AC44" s="401">
        <f t="shared" si="14"/>
        <v>0</v>
      </c>
      <c r="AD44" s="52"/>
      <c r="AE44" s="429">
        <f>VLOOKUP($B44,'Proposed Rates'!$D$252:$J$258,+AE$11-2,FALSE)</f>
        <v>9.8000000000000004E-2</v>
      </c>
      <c r="AF44" s="507">
        <f>'Proposed Rates'!$K$253*$F$10</f>
        <v>640</v>
      </c>
      <c r="AG44" s="399">
        <f t="shared" si="59"/>
        <v>62.72</v>
      </c>
      <c r="AH44" s="132"/>
      <c r="AI44" s="400">
        <f t="shared" si="17"/>
        <v>0</v>
      </c>
      <c r="AJ44" s="401">
        <f t="shared" si="18"/>
        <v>0</v>
      </c>
      <c r="AK44" s="52"/>
      <c r="AL44" s="429">
        <f>VLOOKUP($B44,'Proposed Rates'!$D$252:$J$258,+AL$11-2,FALSE)</f>
        <v>9.8000000000000004E-2</v>
      </c>
      <c r="AM44" s="507">
        <f>'Proposed Rates'!$K$253*$F$10</f>
        <v>640</v>
      </c>
      <c r="AN44" s="399">
        <f t="shared" si="61"/>
        <v>62.72</v>
      </c>
      <c r="AO44" s="132"/>
      <c r="AP44" s="400">
        <f t="shared" si="21"/>
        <v>0</v>
      </c>
      <c r="AQ44" s="401">
        <f t="shared" si="22"/>
        <v>0</v>
      </c>
      <c r="AR44" s="402"/>
    </row>
    <row r="45" spans="1:44" ht="12" customHeight="1">
      <c r="A45" s="52"/>
      <c r="B45" s="321" t="s">
        <v>267</v>
      </c>
      <c r="C45" s="394" t="str">
        <f t="shared" si="49"/>
        <v>General Service &lt; 50 kW.TOU - Mid Peak</v>
      </c>
      <c r="D45" s="395" t="s">
        <v>312</v>
      </c>
      <c r="E45" s="321"/>
      <c r="F45" s="429">
        <f>VLOOKUP($B45,'Proposed Rates'!$D$252:$J$258,+F$11-2,FALSE)</f>
        <v>0.157</v>
      </c>
      <c r="G45" s="507">
        <f>'Proposed Rates'!$K$254*$F$10</f>
        <v>180</v>
      </c>
      <c r="H45" s="399">
        <f t="shared" si="51"/>
        <v>28.26</v>
      </c>
      <c r="I45" s="132"/>
      <c r="J45" s="429">
        <f>VLOOKUP($B45,'Proposed Rates'!$D$252:$J$258,+J$11-2,FALSE)</f>
        <v>0.157</v>
      </c>
      <c r="K45" s="507">
        <f>'Proposed Rates'!$K$254*$F$10</f>
        <v>180</v>
      </c>
      <c r="L45" s="399">
        <f t="shared" si="53"/>
        <v>28.26</v>
      </c>
      <c r="M45" s="132"/>
      <c r="N45" s="400">
        <f t="shared" si="5"/>
        <v>0</v>
      </c>
      <c r="O45" s="401">
        <f t="shared" si="6"/>
        <v>0</v>
      </c>
      <c r="P45" s="52"/>
      <c r="Q45" s="429">
        <f>VLOOKUP($B45,'Proposed Rates'!$D$252:$J$258,+Q$11-2,FALSE)</f>
        <v>0.157</v>
      </c>
      <c r="R45" s="507">
        <f>'Proposed Rates'!$K$254*$F$10</f>
        <v>180</v>
      </c>
      <c r="S45" s="399">
        <f t="shared" si="55"/>
        <v>28.26</v>
      </c>
      <c r="T45" s="132"/>
      <c r="U45" s="400">
        <f t="shared" si="9"/>
        <v>0</v>
      </c>
      <c r="V45" s="401">
        <f t="shared" si="10"/>
        <v>0</v>
      </c>
      <c r="W45" s="52"/>
      <c r="X45" s="429">
        <f>VLOOKUP($B45,'Proposed Rates'!$D$252:$J$258,+X$11-2,FALSE)</f>
        <v>0.157</v>
      </c>
      <c r="Y45" s="507">
        <f>'Proposed Rates'!$K$254*$F$10</f>
        <v>180</v>
      </c>
      <c r="Z45" s="399">
        <f t="shared" si="57"/>
        <v>28.26</v>
      </c>
      <c r="AA45" s="132"/>
      <c r="AB45" s="400">
        <f t="shared" si="13"/>
        <v>0</v>
      </c>
      <c r="AC45" s="401">
        <f t="shared" si="14"/>
        <v>0</v>
      </c>
      <c r="AD45" s="52"/>
      <c r="AE45" s="429">
        <f>VLOOKUP($B45,'Proposed Rates'!$D$252:$J$258,+AE$11-2,FALSE)</f>
        <v>0.157</v>
      </c>
      <c r="AF45" s="507">
        <f>'Proposed Rates'!$K$254*$F$10</f>
        <v>180</v>
      </c>
      <c r="AG45" s="399">
        <f t="shared" si="59"/>
        <v>28.26</v>
      </c>
      <c r="AH45" s="132"/>
      <c r="AI45" s="400">
        <f t="shared" si="17"/>
        <v>0</v>
      </c>
      <c r="AJ45" s="401">
        <f t="shared" si="18"/>
        <v>0</v>
      </c>
      <c r="AK45" s="52"/>
      <c r="AL45" s="429">
        <f>VLOOKUP($B45,'Proposed Rates'!$D$252:$J$258,+AL$11-2,FALSE)</f>
        <v>0.157</v>
      </c>
      <c r="AM45" s="507">
        <f>'Proposed Rates'!$K$254*$F$10</f>
        <v>180</v>
      </c>
      <c r="AN45" s="399">
        <f t="shared" si="61"/>
        <v>28.26</v>
      </c>
      <c r="AO45" s="132"/>
      <c r="AP45" s="400">
        <f t="shared" si="21"/>
        <v>0</v>
      </c>
      <c r="AQ45" s="401">
        <f t="shared" si="22"/>
        <v>0</v>
      </c>
      <c r="AR45" s="402"/>
    </row>
    <row r="46" spans="1:44" ht="12" customHeight="1">
      <c r="A46" s="52"/>
      <c r="B46" s="52" t="s">
        <v>268</v>
      </c>
      <c r="C46" s="394" t="str">
        <f t="shared" si="49"/>
        <v>General Service &lt; 50 kW.TOU - On Peak</v>
      </c>
      <c r="D46" s="395" t="s">
        <v>312</v>
      </c>
      <c r="E46" s="321"/>
      <c r="F46" s="429">
        <f>VLOOKUP($B46,'Proposed Rates'!$D$252:$J$258,+F$11-2,FALSE)</f>
        <v>0.20300000000000001</v>
      </c>
      <c r="G46" s="507">
        <f>'Proposed Rates'!$K$255*$F$10</f>
        <v>180</v>
      </c>
      <c r="H46" s="399">
        <f t="shared" si="51"/>
        <v>36.54</v>
      </c>
      <c r="I46" s="132"/>
      <c r="J46" s="429">
        <f>VLOOKUP($B46,'Proposed Rates'!$D$252:$J$258,+J$11-2,FALSE)</f>
        <v>0.20300000000000001</v>
      </c>
      <c r="K46" s="507">
        <f>'Proposed Rates'!$K$255*$F$10</f>
        <v>180</v>
      </c>
      <c r="L46" s="399">
        <f t="shared" si="53"/>
        <v>36.54</v>
      </c>
      <c r="M46" s="132"/>
      <c r="N46" s="400">
        <f t="shared" si="5"/>
        <v>0</v>
      </c>
      <c r="O46" s="401">
        <f t="shared" si="6"/>
        <v>0</v>
      </c>
      <c r="P46" s="52"/>
      <c r="Q46" s="429">
        <f>VLOOKUP($B46,'Proposed Rates'!$D$252:$J$258,+Q$11-2,FALSE)</f>
        <v>0.20300000000000001</v>
      </c>
      <c r="R46" s="507">
        <f>'Proposed Rates'!$K$255*$F$10</f>
        <v>180</v>
      </c>
      <c r="S46" s="399">
        <f t="shared" si="55"/>
        <v>36.54</v>
      </c>
      <c r="T46" s="132"/>
      <c r="U46" s="400">
        <f t="shared" si="9"/>
        <v>0</v>
      </c>
      <c r="V46" s="401">
        <f t="shared" si="10"/>
        <v>0</v>
      </c>
      <c r="W46" s="52"/>
      <c r="X46" s="429">
        <f>VLOOKUP($B46,'Proposed Rates'!$D$252:$J$258,+X$11-2,FALSE)</f>
        <v>0.20300000000000001</v>
      </c>
      <c r="Y46" s="507">
        <f>'Proposed Rates'!$K$255*$F$10</f>
        <v>180</v>
      </c>
      <c r="Z46" s="399">
        <f t="shared" si="57"/>
        <v>36.54</v>
      </c>
      <c r="AA46" s="132"/>
      <c r="AB46" s="400">
        <f t="shared" si="13"/>
        <v>0</v>
      </c>
      <c r="AC46" s="401">
        <f t="shared" si="14"/>
        <v>0</v>
      </c>
      <c r="AD46" s="52"/>
      <c r="AE46" s="429">
        <f>VLOOKUP($B46,'Proposed Rates'!$D$252:$J$258,+AE$11-2,FALSE)</f>
        <v>0.20300000000000001</v>
      </c>
      <c r="AF46" s="507">
        <f>'Proposed Rates'!$K$255*$F$10</f>
        <v>180</v>
      </c>
      <c r="AG46" s="399">
        <f t="shared" si="59"/>
        <v>36.54</v>
      </c>
      <c r="AH46" s="132"/>
      <c r="AI46" s="400">
        <f t="shared" si="17"/>
        <v>0</v>
      </c>
      <c r="AJ46" s="401">
        <f t="shared" si="18"/>
        <v>0</v>
      </c>
      <c r="AK46" s="52"/>
      <c r="AL46" s="429">
        <f>VLOOKUP($B46,'Proposed Rates'!$D$252:$J$258,+AL$11-2,FALSE)</f>
        <v>0.20300000000000001</v>
      </c>
      <c r="AM46" s="507">
        <f>'Proposed Rates'!$K$255*$F$10</f>
        <v>180</v>
      </c>
      <c r="AN46" s="399">
        <f t="shared" si="61"/>
        <v>36.54</v>
      </c>
      <c r="AO46" s="132"/>
      <c r="AP46" s="400">
        <f t="shared" si="21"/>
        <v>0</v>
      </c>
      <c r="AQ46" s="401">
        <f t="shared" si="22"/>
        <v>0</v>
      </c>
      <c r="AR46" s="402"/>
    </row>
    <row r="47" spans="1:44" ht="12" customHeight="1">
      <c r="A47" s="52"/>
      <c r="B47" s="321" t="s">
        <v>269</v>
      </c>
      <c r="C47" s="394" t="str">
        <f t="shared" si="49"/>
        <v>General Service &lt; 50 kW.Energy - RPP - Tier 1</v>
      </c>
      <c r="D47" s="395" t="s">
        <v>312</v>
      </c>
      <c r="E47" s="321"/>
      <c r="F47" s="429">
        <f>VLOOKUP($B47,'Proposed Rates'!$D$252:$J$258,+F$11-2,FALSE)</f>
        <v>0.12</v>
      </c>
      <c r="G47" s="507">
        <f>IF(AND($S$2=1, $F$10&gt;=750), 750, IF(AND($S$2=1, AND($F$10&lt;750, $F$10&gt;=0)), $F$10, IF(AND($S$2=2, $F$10&gt;=1000), 1000, IF(AND($S$2=2, AND($F$10&lt;1000, $F$10&gt;=0)), $F$10))))</f>
        <v>750</v>
      </c>
      <c r="H47" s="399">
        <f t="shared" si="51"/>
        <v>90</v>
      </c>
      <c r="I47" s="132"/>
      <c r="J47" s="429">
        <f>VLOOKUP($B47,'Proposed Rates'!$D$252:$J$258,+J$11-2,FALSE)</f>
        <v>0.12</v>
      </c>
      <c r="K47" s="507">
        <f>IF(AND($S$2=1, $F$10&gt;=750), 750, IF(AND($S$2=1, AND($F$10&lt;750, $F$10&gt;=0)), $F$10, IF(AND($S$2=2, $F$10&gt;=1000), 1000, IF(AND($S$2=2, AND($F$10&lt;1000, $F$10&gt;=0)), $F$10))))</f>
        <v>750</v>
      </c>
      <c r="L47" s="399">
        <f t="shared" si="53"/>
        <v>90</v>
      </c>
      <c r="M47" s="132"/>
      <c r="N47" s="400">
        <f t="shared" si="5"/>
        <v>0</v>
      </c>
      <c r="O47" s="401">
        <f t="shared" si="6"/>
        <v>0</v>
      </c>
      <c r="P47" s="52"/>
      <c r="Q47" s="429">
        <f>VLOOKUP($B47,'Proposed Rates'!$D$252:$J$258,+Q$11-2,FALSE)</f>
        <v>0.12</v>
      </c>
      <c r="R47" s="507">
        <f>IF(AND($S$2=1, $F$10&gt;=750), 750, IF(AND($S$2=1, AND($F$10&lt;750, $F$10&gt;=0)), $F$10, IF(AND($S$2=2, $F$10&gt;=1000), 1000, IF(AND($S$2=2, AND($F$10&lt;1000, $F$10&gt;=0)), $F$10))))</f>
        <v>750</v>
      </c>
      <c r="S47" s="399">
        <f t="shared" si="55"/>
        <v>90</v>
      </c>
      <c r="T47" s="132"/>
      <c r="U47" s="400">
        <f t="shared" si="9"/>
        <v>0</v>
      </c>
      <c r="V47" s="401">
        <f t="shared" si="10"/>
        <v>0</v>
      </c>
      <c r="W47" s="52"/>
      <c r="X47" s="429">
        <f>VLOOKUP($B47,'Proposed Rates'!$D$252:$J$258,+X$11-2,FALSE)</f>
        <v>0.12</v>
      </c>
      <c r="Y47" s="507">
        <f>IF(AND($S$2=1, $F$10&gt;=750), 750, IF(AND($S$2=1, AND($F$10&lt;750, $F$10&gt;=0)), $F$10, IF(AND($S$2=2, $F$10&gt;=1000), 1000, IF(AND($S$2=2, AND($F$10&lt;1000, $F$10&gt;=0)), $F$10))))</f>
        <v>750</v>
      </c>
      <c r="Z47" s="399">
        <f t="shared" si="57"/>
        <v>90</v>
      </c>
      <c r="AA47" s="132"/>
      <c r="AB47" s="400">
        <f t="shared" si="13"/>
        <v>0</v>
      </c>
      <c r="AC47" s="401">
        <f t="shared" si="14"/>
        <v>0</v>
      </c>
      <c r="AD47" s="52"/>
      <c r="AE47" s="429">
        <f>VLOOKUP($B47,'Proposed Rates'!$D$252:$J$258,+AE$11-2,FALSE)</f>
        <v>0.12</v>
      </c>
      <c r="AF47" s="507">
        <f>IF(AND($S$2=1, $F$10&gt;=750), 750, IF(AND($S$2=1, AND($F$10&lt;750, $F$10&gt;=0)), $F$10, IF(AND($S$2=2, $F$10&gt;=1000), 1000, IF(AND($S$2=2, AND($F$10&lt;1000, $F$10&gt;=0)), $F$10))))</f>
        <v>750</v>
      </c>
      <c r="AG47" s="399">
        <f t="shared" si="59"/>
        <v>90</v>
      </c>
      <c r="AH47" s="132"/>
      <c r="AI47" s="400">
        <f t="shared" si="17"/>
        <v>0</v>
      </c>
      <c r="AJ47" s="401">
        <f t="shared" si="18"/>
        <v>0</v>
      </c>
      <c r="AK47" s="52"/>
      <c r="AL47" s="429">
        <f>VLOOKUP($B47,'Proposed Rates'!$D$252:$J$258,+AL$11-2,FALSE)</f>
        <v>0.12</v>
      </c>
      <c r="AM47" s="507">
        <f>IF(AND($S$2=1, $F$10&gt;=750), 750, IF(AND($S$2=1, AND($F$10&lt;750, $F$10&gt;=0)), $F$10, IF(AND($S$2=2, $F$10&gt;=1000), 1000, IF(AND($S$2=2, AND($F$10&lt;1000, $F$10&gt;=0)), $F$10))))</f>
        <v>750</v>
      </c>
      <c r="AN47" s="399">
        <f t="shared" si="61"/>
        <v>90</v>
      </c>
      <c r="AO47" s="132"/>
      <c r="AP47" s="400">
        <f t="shared" si="21"/>
        <v>0</v>
      </c>
      <c r="AQ47" s="401">
        <f t="shared" si="22"/>
        <v>0</v>
      </c>
      <c r="AR47" s="402"/>
    </row>
    <row r="48" spans="1:44" ht="12" customHeight="1">
      <c r="A48" s="52"/>
      <c r="B48" s="321" t="s">
        <v>270</v>
      </c>
      <c r="C48" s="394" t="str">
        <f t="shared" si="49"/>
        <v>General Service &lt; 50 kW.Energy - RPP - Tier 2</v>
      </c>
      <c r="D48" s="395" t="s">
        <v>312</v>
      </c>
      <c r="E48" s="321"/>
      <c r="F48" s="429">
        <f>VLOOKUP($B48,'Proposed Rates'!$D$252:$J$258,+F$11-2,FALSE)</f>
        <v>0.14199999999999999</v>
      </c>
      <c r="G48" s="507">
        <f>IF(AND($S$2=1, $F$10&gt;=750), $F$10-750, IF(AND($S$2=1, AND($F$10&lt;750, $F$10&gt;=0)), 0, IF(AND($S$2=2, $F$10&gt;=1000), $F$10-1000, IF(AND($S$2=2, AND($F$10&lt;1000, $F$10&gt;=0)), 0))))</f>
        <v>250</v>
      </c>
      <c r="H48" s="399">
        <f t="shared" si="51"/>
        <v>35.5</v>
      </c>
      <c r="I48" s="132"/>
      <c r="J48" s="429">
        <f>VLOOKUP($B48,'Proposed Rates'!$D$252:$J$258,+J$11-2,FALSE)</f>
        <v>0.14199999999999999</v>
      </c>
      <c r="K48" s="507">
        <f>IF(AND($S$2=1, $F$10&gt;=750), $F$10-750, IF(AND($S$2=1, AND($F$10&lt;750, $F$10&gt;=0)), 0, IF(AND($S$2=2, $F$10&gt;=1000), $F$10-1000, IF(AND($S$2=2, AND($F$10&lt;1000, $F$10&gt;=0)), 0))))</f>
        <v>250</v>
      </c>
      <c r="L48" s="399">
        <f t="shared" si="53"/>
        <v>35.5</v>
      </c>
      <c r="M48" s="132"/>
      <c r="N48" s="400">
        <f t="shared" si="5"/>
        <v>0</v>
      </c>
      <c r="O48" s="401">
        <f t="shared" si="6"/>
        <v>0</v>
      </c>
      <c r="P48" s="52"/>
      <c r="Q48" s="429">
        <f>VLOOKUP($B48,'Proposed Rates'!$D$252:$J$258,+Q$11-2,FALSE)</f>
        <v>0.14199999999999999</v>
      </c>
      <c r="R48" s="507">
        <f>IF(AND($S$2=1, $F$10&gt;=750), $F$10-750, IF(AND($S$2=1, AND($F$10&lt;750, $F$10&gt;=0)), 0, IF(AND($S$2=2, $F$10&gt;=1000), $F$10-1000, IF(AND($S$2=2, AND($F$10&lt;1000, $F$10&gt;=0)), 0))))</f>
        <v>250</v>
      </c>
      <c r="S48" s="399">
        <f t="shared" si="55"/>
        <v>35.5</v>
      </c>
      <c r="T48" s="132"/>
      <c r="U48" s="400">
        <f t="shared" si="9"/>
        <v>0</v>
      </c>
      <c r="V48" s="401">
        <f t="shared" si="10"/>
        <v>0</v>
      </c>
      <c r="W48" s="52"/>
      <c r="X48" s="429">
        <f>VLOOKUP($B48,'Proposed Rates'!$D$252:$J$258,+X$11-2,FALSE)</f>
        <v>0.14199999999999999</v>
      </c>
      <c r="Y48" s="507">
        <f>IF(AND($S$2=1, $F$10&gt;=750), $F$10-750, IF(AND($S$2=1, AND($F$10&lt;750, $F$10&gt;=0)), 0, IF(AND($S$2=2, $F$10&gt;=1000), $F$10-1000, IF(AND($S$2=2, AND($F$10&lt;1000, $F$10&gt;=0)), 0))))</f>
        <v>250</v>
      </c>
      <c r="Z48" s="399">
        <f t="shared" si="57"/>
        <v>35.5</v>
      </c>
      <c r="AA48" s="132"/>
      <c r="AB48" s="400">
        <f t="shared" si="13"/>
        <v>0</v>
      </c>
      <c r="AC48" s="401">
        <f t="shared" si="14"/>
        <v>0</v>
      </c>
      <c r="AD48" s="52"/>
      <c r="AE48" s="429">
        <f>VLOOKUP($B48,'Proposed Rates'!$D$252:$J$258,+AE$11-2,FALSE)</f>
        <v>0.14199999999999999</v>
      </c>
      <c r="AF48" s="507">
        <f>IF(AND($S$2=1, $F$10&gt;=750), $F$10-750, IF(AND($S$2=1, AND($F$10&lt;750, $F$10&gt;=0)), 0, IF(AND($S$2=2, $F$10&gt;=1000), $F$10-1000, IF(AND($S$2=2, AND($F$10&lt;1000, $F$10&gt;=0)), 0))))</f>
        <v>250</v>
      </c>
      <c r="AG48" s="399">
        <f t="shared" si="59"/>
        <v>35.5</v>
      </c>
      <c r="AH48" s="132"/>
      <c r="AI48" s="400">
        <f t="shared" si="17"/>
        <v>0</v>
      </c>
      <c r="AJ48" s="401">
        <f t="shared" si="18"/>
        <v>0</v>
      </c>
      <c r="AK48" s="52"/>
      <c r="AL48" s="429">
        <f>VLOOKUP($B48,'Proposed Rates'!$D$252:$J$258,+AL$11-2,FALSE)</f>
        <v>0.14199999999999999</v>
      </c>
      <c r="AM48" s="507">
        <f>IF(AND($S$2=1, $F$10&gt;=750), $F$10-750, IF(AND($S$2=1, AND($F$10&lt;750, $F$10&gt;=0)), 0, IF(AND($S$2=2, $F$10&gt;=1000), $F$10-1000, IF(AND($S$2=2, AND($F$10&lt;1000, $F$10&gt;=0)), 0))))</f>
        <v>250</v>
      </c>
      <c r="AN48" s="399">
        <f t="shared" si="61"/>
        <v>35.5</v>
      </c>
      <c r="AO48" s="132"/>
      <c r="AP48" s="400">
        <f t="shared" si="21"/>
        <v>0</v>
      </c>
      <c r="AQ48" s="401">
        <f t="shared" si="22"/>
        <v>0</v>
      </c>
      <c r="AR48" s="402"/>
    </row>
    <row r="49" spans="1:44" ht="12"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213.12010600000002</v>
      </c>
      <c r="I50" s="481"/>
      <c r="J50" s="444"/>
      <c r="K50" s="445"/>
      <c r="L50" s="446">
        <f>SUM(L41:L46,L40)</f>
        <v>217.15937599999998</v>
      </c>
      <c r="M50" s="448"/>
      <c r="N50" s="447">
        <f t="shared" ref="N50:N54" si="62">L50-H50</f>
        <v>4.0392699999999593</v>
      </c>
      <c r="O50" s="449">
        <f t="shared" ref="O50:O54" si="63">IF((H50)=0,"",(N50/H50))</f>
        <v>1.8953021729446583E-2</v>
      </c>
      <c r="P50" s="52"/>
      <c r="Q50" s="445"/>
      <c r="R50" s="445"/>
      <c r="S50" s="447">
        <f>SUM(S41:S46,S40)</f>
        <v>220.62937599999998</v>
      </c>
      <c r="T50" s="448"/>
      <c r="U50" s="447">
        <f t="shared" ref="U50:U54" si="64">S50-L50</f>
        <v>3.4699999999999989</v>
      </c>
      <c r="V50" s="449">
        <f t="shared" ref="V50:V54" si="65">IF((L50)=0,"",(U50/L50))</f>
        <v>1.5979047572875688E-2</v>
      </c>
      <c r="W50" s="52"/>
      <c r="X50" s="445"/>
      <c r="Y50" s="445"/>
      <c r="Z50" s="447">
        <f>SUM(Z41:Z46,Z40)</f>
        <v>224.91937599999997</v>
      </c>
      <c r="AA50" s="448"/>
      <c r="AB50" s="447">
        <f t="shared" ref="AB50:AB54" si="66">Z50-S50</f>
        <v>4.289999999999992</v>
      </c>
      <c r="AC50" s="449">
        <f t="shared" ref="AC50:AC54" si="67">IF((S50)=0,"",(AB50/S50))</f>
        <v>1.944437353618764E-2</v>
      </c>
      <c r="AD50" s="52"/>
      <c r="AE50" s="445"/>
      <c r="AF50" s="445"/>
      <c r="AG50" s="447">
        <f>SUM(AG41:AG46,AG40)</f>
        <v>226.19937599999997</v>
      </c>
      <c r="AH50" s="448"/>
      <c r="AI50" s="447">
        <f t="shared" ref="AI50:AI54" si="68">AG50-Z50</f>
        <v>1.2800000000000011</v>
      </c>
      <c r="AJ50" s="449">
        <f t="shared" ref="AJ50:AJ54" si="69">IF((Z50)=0,"",(AI50/Z50))</f>
        <v>5.6909281128363137E-3</v>
      </c>
      <c r="AK50" s="52"/>
      <c r="AL50" s="445"/>
      <c r="AM50" s="445"/>
      <c r="AN50" s="447">
        <f>SUM(AN41:AN46,AN40)</f>
        <v>227.24937599999998</v>
      </c>
      <c r="AO50" s="448"/>
      <c r="AP50" s="447">
        <f t="shared" ref="AP50:AP54" si="70">AN50-AG50</f>
        <v>1.0500000000000114</v>
      </c>
      <c r="AQ50" s="449">
        <f t="shared" ref="AQ50:AQ54" si="71">IF((AG50)=0,"",(AP50/AG50))</f>
        <v>4.6419226196274367E-3</v>
      </c>
      <c r="AR50" s="450"/>
    </row>
    <row r="51" spans="1:44" ht="12" customHeight="1">
      <c r="A51" s="52"/>
      <c r="B51" s="451" t="s">
        <v>320</v>
      </c>
      <c r="C51" s="321"/>
      <c r="D51" s="321"/>
      <c r="E51" s="321"/>
      <c r="F51" s="444">
        <v>0.13</v>
      </c>
      <c r="G51" s="132"/>
      <c r="H51" s="489">
        <f>H50*F51</f>
        <v>27.705613780000004</v>
      </c>
      <c r="I51" s="416"/>
      <c r="J51" s="444">
        <v>0.13</v>
      </c>
      <c r="K51" s="416"/>
      <c r="L51" s="399">
        <f>L50*J51</f>
        <v>28.230718879999998</v>
      </c>
      <c r="M51" s="132"/>
      <c r="N51" s="400">
        <f t="shared" si="62"/>
        <v>0.525105099999994</v>
      </c>
      <c r="O51" s="401">
        <f t="shared" si="63"/>
        <v>1.8953021729446556E-2</v>
      </c>
      <c r="P51" s="52"/>
      <c r="Q51" s="452">
        <v>0.13</v>
      </c>
      <c r="R51" s="416"/>
      <c r="S51" s="399">
        <f>S50*Q51</f>
        <v>28.681818879999998</v>
      </c>
      <c r="T51" s="132"/>
      <c r="U51" s="400">
        <f t="shared" si="64"/>
        <v>0.45110000000000028</v>
      </c>
      <c r="V51" s="401">
        <f t="shared" si="65"/>
        <v>1.5979047572875705E-2</v>
      </c>
      <c r="W51" s="52"/>
      <c r="X51" s="452">
        <v>0.13</v>
      </c>
      <c r="Y51" s="416"/>
      <c r="Z51" s="399">
        <f>Z50*X51</f>
        <v>29.239518879999999</v>
      </c>
      <c r="AA51" s="132"/>
      <c r="AB51" s="400">
        <f t="shared" si="66"/>
        <v>0.55770000000000053</v>
      </c>
      <c r="AC51" s="401">
        <f t="shared" si="67"/>
        <v>1.9444373536187692E-2</v>
      </c>
      <c r="AD51" s="52"/>
      <c r="AE51" s="452">
        <v>0.13</v>
      </c>
      <c r="AF51" s="416"/>
      <c r="AG51" s="399">
        <f>AG50*AE51</f>
        <v>29.405918879999998</v>
      </c>
      <c r="AH51" s="132"/>
      <c r="AI51" s="400">
        <f t="shared" si="68"/>
        <v>0.16639999999999944</v>
      </c>
      <c r="AJ51" s="401">
        <f t="shared" si="69"/>
        <v>5.6909281128362894E-3</v>
      </c>
      <c r="AK51" s="52"/>
      <c r="AL51" s="452">
        <v>0.13</v>
      </c>
      <c r="AM51" s="416"/>
      <c r="AN51" s="399">
        <f>AN50*AL51</f>
        <v>29.54241888</v>
      </c>
      <c r="AO51" s="132"/>
      <c r="AP51" s="400">
        <f t="shared" si="70"/>
        <v>0.13650000000000162</v>
      </c>
      <c r="AQ51" s="401">
        <f t="shared" si="71"/>
        <v>4.6419226196274411E-3</v>
      </c>
      <c r="AR51" s="402"/>
    </row>
    <row r="52" spans="1:44" ht="12" customHeight="1">
      <c r="A52" s="52"/>
      <c r="B52" s="453" t="s">
        <v>367</v>
      </c>
      <c r="C52" s="321"/>
      <c r="D52" s="321"/>
      <c r="E52" s="321"/>
      <c r="F52" s="454"/>
      <c r="G52" s="132"/>
      <c r="H52" s="489">
        <f>H50+H51</f>
        <v>240.82571978000001</v>
      </c>
      <c r="I52" s="416"/>
      <c r="J52" s="454"/>
      <c r="K52" s="416"/>
      <c r="L52" s="399">
        <f>L50+L51</f>
        <v>245.39009487999999</v>
      </c>
      <c r="M52" s="132"/>
      <c r="N52" s="400">
        <f t="shared" si="62"/>
        <v>4.5643750999999781</v>
      </c>
      <c r="O52" s="401">
        <f t="shared" si="63"/>
        <v>1.8953021729446684E-2</v>
      </c>
      <c r="P52" s="52"/>
      <c r="Q52" s="416"/>
      <c r="R52" s="416"/>
      <c r="S52" s="399">
        <f>S50+S51</f>
        <v>249.31119487999999</v>
      </c>
      <c r="T52" s="132"/>
      <c r="U52" s="400">
        <f t="shared" si="64"/>
        <v>3.9210999999999956</v>
      </c>
      <c r="V52" s="401">
        <f t="shared" si="65"/>
        <v>1.5979047572875677E-2</v>
      </c>
      <c r="W52" s="52"/>
      <c r="X52" s="416"/>
      <c r="Y52" s="416"/>
      <c r="Z52" s="399">
        <f>Z50+Z51</f>
        <v>254.15889487999996</v>
      </c>
      <c r="AA52" s="132"/>
      <c r="AB52" s="400">
        <f t="shared" si="66"/>
        <v>4.8476999999999748</v>
      </c>
      <c r="AC52" s="401">
        <f t="shared" si="67"/>
        <v>1.9444373536187574E-2</v>
      </c>
      <c r="AD52" s="52"/>
      <c r="AE52" s="416"/>
      <c r="AF52" s="416"/>
      <c r="AG52" s="399">
        <f>AG50+AG51</f>
        <v>255.60529487999997</v>
      </c>
      <c r="AH52" s="132"/>
      <c r="AI52" s="400">
        <f t="shared" si="68"/>
        <v>1.4464000000000112</v>
      </c>
      <c r="AJ52" s="401">
        <f t="shared" si="69"/>
        <v>5.6909281128363527E-3</v>
      </c>
      <c r="AK52" s="52"/>
      <c r="AL52" s="416"/>
      <c r="AM52" s="416"/>
      <c r="AN52" s="399">
        <f>AN50+AN51</f>
        <v>256.79179488</v>
      </c>
      <c r="AO52" s="132"/>
      <c r="AP52" s="400">
        <f t="shared" si="70"/>
        <v>1.1865000000000236</v>
      </c>
      <c r="AQ52" s="401">
        <f t="shared" si="71"/>
        <v>4.6419226196274784E-3</v>
      </c>
      <c r="AR52" s="402"/>
    </row>
    <row r="53" spans="1:44" ht="12" customHeight="1">
      <c r="A53" s="52"/>
      <c r="B53" s="632" t="s">
        <v>277</v>
      </c>
      <c r="C53" s="623"/>
      <c r="D53" s="623"/>
      <c r="E53" s="321"/>
      <c r="F53" s="455">
        <f>'Proposed Rates'!E290</f>
        <v>0.23499999999999999</v>
      </c>
      <c r="G53" s="132"/>
      <c r="H53" s="491">
        <f>F53*H50</f>
        <v>50.083224910000006</v>
      </c>
      <c r="I53" s="416"/>
      <c r="J53" s="455">
        <f>'Proposed Rates'!F290</f>
        <v>0.23499999999999999</v>
      </c>
      <c r="K53" s="416"/>
      <c r="L53" s="456">
        <f>J53*L50</f>
        <v>51.032453359999991</v>
      </c>
      <c r="M53" s="132"/>
      <c r="N53" s="456">
        <f t="shared" si="62"/>
        <v>0.94922844999998546</v>
      </c>
      <c r="O53" s="458">
        <f t="shared" si="63"/>
        <v>1.8953021729446483E-2</v>
      </c>
      <c r="P53" s="52"/>
      <c r="Q53" s="457">
        <f>'Proposed Rates'!G290</f>
        <v>0.23499999999999999</v>
      </c>
      <c r="R53" s="416"/>
      <c r="S53" s="456">
        <f>Q53*S50</f>
        <v>51.847903359999989</v>
      </c>
      <c r="T53" s="132"/>
      <c r="U53" s="456">
        <f t="shared" si="64"/>
        <v>0.81544999999999845</v>
      </c>
      <c r="V53" s="458">
        <f t="shared" si="65"/>
        <v>1.5979047572875667E-2</v>
      </c>
      <c r="W53" s="52"/>
      <c r="X53" s="457">
        <f>'Proposed Rates'!H290</f>
        <v>0.23499999999999999</v>
      </c>
      <c r="Y53" s="416"/>
      <c r="Z53" s="456">
        <f>X53*Z50</f>
        <v>52.85605335999999</v>
      </c>
      <c r="AA53" s="132"/>
      <c r="AB53" s="456">
        <f t="shared" si="66"/>
        <v>1.0081500000000005</v>
      </c>
      <c r="AC53" s="458">
        <f t="shared" si="67"/>
        <v>1.9444373536187689E-2</v>
      </c>
      <c r="AD53" s="52"/>
      <c r="AE53" s="457">
        <f>'Proposed Rates'!I290</f>
        <v>0.23499999999999999</v>
      </c>
      <c r="AF53" s="416"/>
      <c r="AG53" s="456">
        <f>AE53*AG50</f>
        <v>53.156853359999992</v>
      </c>
      <c r="AH53" s="132"/>
      <c r="AI53" s="456">
        <f t="shared" si="68"/>
        <v>0.3008000000000024</v>
      </c>
      <c r="AJ53" s="458">
        <f t="shared" si="69"/>
        <v>5.6909281128363545E-3</v>
      </c>
      <c r="AK53" s="52"/>
      <c r="AL53" s="457">
        <f>'Proposed Rates'!J290</f>
        <v>0.23499999999999999</v>
      </c>
      <c r="AM53" s="416"/>
      <c r="AN53" s="456">
        <f>AL53*AN50</f>
        <v>53.403603359999991</v>
      </c>
      <c r="AO53" s="132"/>
      <c r="AP53" s="456">
        <f t="shared" si="70"/>
        <v>0.24674999999999869</v>
      </c>
      <c r="AQ53" s="458">
        <f t="shared" si="71"/>
        <v>4.6419226196273622E-3</v>
      </c>
      <c r="AR53" s="459"/>
    </row>
    <row r="54" spans="1:44" ht="12" customHeight="1">
      <c r="A54" s="52"/>
      <c r="B54" s="634" t="s">
        <v>322</v>
      </c>
      <c r="C54" s="615"/>
      <c r="D54" s="615"/>
      <c r="E54" s="460"/>
      <c r="F54" s="461"/>
      <c r="G54" s="492"/>
      <c r="H54" s="493">
        <f>H52-H53</f>
        <v>190.74249487</v>
      </c>
      <c r="I54" s="462"/>
      <c r="J54" s="461"/>
      <c r="K54" s="462"/>
      <c r="L54" s="463">
        <f>L52-L53</f>
        <v>194.35764152000002</v>
      </c>
      <c r="M54" s="464"/>
      <c r="N54" s="465">
        <f t="shared" si="62"/>
        <v>3.615146650000014</v>
      </c>
      <c r="O54" s="466">
        <f t="shared" si="63"/>
        <v>1.8953021729446847E-2</v>
      </c>
      <c r="P54" s="52"/>
      <c r="Q54" s="462"/>
      <c r="R54" s="462"/>
      <c r="S54" s="463">
        <f>S52-S53</f>
        <v>197.46329151999998</v>
      </c>
      <c r="T54" s="464"/>
      <c r="U54" s="465">
        <f t="shared" si="64"/>
        <v>3.1056499999999687</v>
      </c>
      <c r="V54" s="466">
        <f t="shared" si="65"/>
        <v>1.5979047572875531E-2</v>
      </c>
      <c r="W54" s="52"/>
      <c r="X54" s="462"/>
      <c r="Y54" s="462"/>
      <c r="Z54" s="463">
        <f>Z52-Z53</f>
        <v>201.30284151999996</v>
      </c>
      <c r="AA54" s="464"/>
      <c r="AB54" s="465">
        <f t="shared" si="66"/>
        <v>3.8395499999999743</v>
      </c>
      <c r="AC54" s="466">
        <f t="shared" si="67"/>
        <v>1.9444373536187547E-2</v>
      </c>
      <c r="AD54" s="52"/>
      <c r="AE54" s="462"/>
      <c r="AF54" s="462"/>
      <c r="AG54" s="463">
        <f>AG52-AG53</f>
        <v>202.44844151999999</v>
      </c>
      <c r="AH54" s="464"/>
      <c r="AI54" s="465">
        <f t="shared" si="68"/>
        <v>1.1456000000000301</v>
      </c>
      <c r="AJ54" s="466">
        <f t="shared" si="69"/>
        <v>5.6909281128364594E-3</v>
      </c>
      <c r="AK54" s="52"/>
      <c r="AL54" s="462"/>
      <c r="AM54" s="462"/>
      <c r="AN54" s="463">
        <f>AN52-AN53</f>
        <v>203.38819152000002</v>
      </c>
      <c r="AO54" s="464"/>
      <c r="AP54" s="465">
        <f t="shared" si="70"/>
        <v>0.93975000000003206</v>
      </c>
      <c r="AQ54" s="466">
        <f t="shared" si="71"/>
        <v>4.6419226196275443E-3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211.10010600000001</v>
      </c>
      <c r="I56" s="481"/>
      <c r="J56" s="444"/>
      <c r="K56" s="445"/>
      <c r="L56" s="446">
        <f>SUM(L47:L48,L40,L41:L43)</f>
        <v>215.139376</v>
      </c>
      <c r="M56" s="448"/>
      <c r="N56" s="447">
        <f t="shared" ref="N56:N60" si="72">L56-H56</f>
        <v>4.0392699999999877</v>
      </c>
      <c r="O56" s="449">
        <f t="shared" ref="O56:O60" si="73">IF((H56)=0,"",(N56/H56))</f>
        <v>1.9134381675772288E-2</v>
      </c>
      <c r="P56" s="52"/>
      <c r="Q56" s="445"/>
      <c r="R56" s="445"/>
      <c r="S56" s="447">
        <f>SUM(S47:S48,S40,S41:S43)</f>
        <v>218.609376</v>
      </c>
      <c r="T56" s="448"/>
      <c r="U56" s="447">
        <f t="shared" ref="U56:U60" si="74">S56-L56</f>
        <v>3.4699999999999989</v>
      </c>
      <c r="V56" s="449">
        <f t="shared" ref="V56:V60" si="75">IF((L56)=0,"",(U56/L56))</f>
        <v>1.612907903944092E-2</v>
      </c>
      <c r="W56" s="52"/>
      <c r="X56" s="445"/>
      <c r="Y56" s="445"/>
      <c r="Z56" s="447">
        <f>SUM(Z47:Z48,Z40,Z41:Z43)</f>
        <v>222.89937599999999</v>
      </c>
      <c r="AA56" s="448"/>
      <c r="AB56" s="447">
        <f t="shared" ref="AB56:AB60" si="76">Z56-S56</f>
        <v>4.289999999999992</v>
      </c>
      <c r="AC56" s="449">
        <f t="shared" ref="AC56:AC60" si="77">IF((S56)=0,"",(AB56/S56))</f>
        <v>1.9624043938536249E-2</v>
      </c>
      <c r="AD56" s="52"/>
      <c r="AE56" s="445"/>
      <c r="AF56" s="445"/>
      <c r="AG56" s="447">
        <f>SUM(AG47:AG48,AG40,AG41:AG43)</f>
        <v>224.17937599999999</v>
      </c>
      <c r="AH56" s="448"/>
      <c r="AI56" s="447">
        <f t="shared" ref="AI56:AI60" si="78">AG56-Z56</f>
        <v>1.2800000000000011</v>
      </c>
      <c r="AJ56" s="449">
        <f t="shared" ref="AJ56:AJ60" si="79">IF((Z56)=0,"",(AI56/Z56))</f>
        <v>5.7425014953832853E-3</v>
      </c>
      <c r="AK56" s="52"/>
      <c r="AL56" s="445"/>
      <c r="AM56" s="445"/>
      <c r="AN56" s="447">
        <f>SUM(AN47:AN48,AN40,AN41:AN43)</f>
        <v>225.22937599999997</v>
      </c>
      <c r="AO56" s="448"/>
      <c r="AP56" s="447">
        <f t="shared" ref="AP56:AP60" si="80">AN56-AG56</f>
        <v>1.0499999999999829</v>
      </c>
      <c r="AQ56" s="449">
        <f t="shared" ref="AQ56:AQ60" si="81">IF((AG56)=0,"",(AP56/AG56))</f>
        <v>4.6837493204548086E-3</v>
      </c>
      <c r="AR56" s="450"/>
    </row>
    <row r="57" spans="1:44" ht="12" customHeight="1">
      <c r="A57" s="52"/>
      <c r="B57" s="451" t="s">
        <v>320</v>
      </c>
      <c r="C57" s="321"/>
      <c r="D57" s="321"/>
      <c r="E57" s="321"/>
      <c r="F57" s="444">
        <v>0.13</v>
      </c>
      <c r="G57" s="488"/>
      <c r="H57" s="489">
        <f>H56*F57</f>
        <v>27.443013780000001</v>
      </c>
      <c r="I57" s="416"/>
      <c r="J57" s="444">
        <v>0.13</v>
      </c>
      <c r="K57" s="452"/>
      <c r="L57" s="399">
        <f>L56*J57</f>
        <v>27.968118880000002</v>
      </c>
      <c r="M57" s="132"/>
      <c r="N57" s="400">
        <f t="shared" si="72"/>
        <v>0.5251051000000011</v>
      </c>
      <c r="O57" s="401">
        <f t="shared" si="73"/>
        <v>1.9134381675772385E-2</v>
      </c>
      <c r="P57" s="52"/>
      <c r="Q57" s="444">
        <v>0.13</v>
      </c>
      <c r="R57" s="452"/>
      <c r="S57" s="399">
        <f>S56*Q57</f>
        <v>28.419218879999999</v>
      </c>
      <c r="T57" s="132"/>
      <c r="U57" s="400">
        <f t="shared" si="74"/>
        <v>0.45109999999999673</v>
      </c>
      <c r="V57" s="401">
        <f t="shared" si="75"/>
        <v>1.6129079039440806E-2</v>
      </c>
      <c r="W57" s="52"/>
      <c r="X57" s="444">
        <v>0.13</v>
      </c>
      <c r="Y57" s="452"/>
      <c r="Z57" s="399">
        <f>Z56*X57</f>
        <v>28.976918879999999</v>
      </c>
      <c r="AA57" s="132"/>
      <c r="AB57" s="400">
        <f t="shared" si="76"/>
        <v>0.55770000000000053</v>
      </c>
      <c r="AC57" s="401">
        <f t="shared" si="77"/>
        <v>1.9624043938536305E-2</v>
      </c>
      <c r="AD57" s="52"/>
      <c r="AE57" s="444">
        <v>0.13</v>
      </c>
      <c r="AF57" s="452"/>
      <c r="AG57" s="399">
        <f>AG56*AE57</f>
        <v>29.143318879999999</v>
      </c>
      <c r="AH57" s="132"/>
      <c r="AI57" s="400">
        <f t="shared" si="78"/>
        <v>0.16639999999999944</v>
      </c>
      <c r="AJ57" s="401">
        <f t="shared" si="79"/>
        <v>5.742501495383261E-3</v>
      </c>
      <c r="AK57" s="52"/>
      <c r="AL57" s="444">
        <v>0.13</v>
      </c>
      <c r="AM57" s="452"/>
      <c r="AN57" s="399">
        <f>AN56*AL57</f>
        <v>29.279818879999997</v>
      </c>
      <c r="AO57" s="132"/>
      <c r="AP57" s="400">
        <f t="shared" si="80"/>
        <v>0.13649999999999807</v>
      </c>
      <c r="AQ57" s="401">
        <f t="shared" si="81"/>
        <v>4.6837493204548181E-3</v>
      </c>
      <c r="AR57" s="402"/>
    </row>
    <row r="58" spans="1:44" ht="12" customHeight="1">
      <c r="A58" s="52"/>
      <c r="B58" s="453" t="s">
        <v>368</v>
      </c>
      <c r="C58" s="321"/>
      <c r="D58" s="321"/>
      <c r="E58" s="321"/>
      <c r="F58" s="454"/>
      <c r="G58" s="132"/>
      <c r="H58" s="489">
        <f>H56+H57</f>
        <v>238.54311978000001</v>
      </c>
      <c r="I58" s="416"/>
      <c r="J58" s="454"/>
      <c r="K58" s="416"/>
      <c r="L58" s="399">
        <f>L56+L57</f>
        <v>243.10749487999999</v>
      </c>
      <c r="M58" s="132"/>
      <c r="N58" s="400">
        <f t="shared" si="72"/>
        <v>4.5643750999999781</v>
      </c>
      <c r="O58" s="401">
        <f t="shared" si="73"/>
        <v>1.9134381675772253E-2</v>
      </c>
      <c r="P58" s="52"/>
      <c r="Q58" s="416"/>
      <c r="R58" s="416"/>
      <c r="S58" s="399">
        <f>S56+S57</f>
        <v>247.02859487999999</v>
      </c>
      <c r="T58" s="132"/>
      <c r="U58" s="400">
        <f t="shared" si="74"/>
        <v>3.9210999999999956</v>
      </c>
      <c r="V58" s="401">
        <f t="shared" si="75"/>
        <v>1.6129079039440906E-2</v>
      </c>
      <c r="W58" s="52"/>
      <c r="X58" s="416"/>
      <c r="Y58" s="416"/>
      <c r="Z58" s="399">
        <f>Z56+Z57</f>
        <v>251.87629487999999</v>
      </c>
      <c r="AA58" s="132"/>
      <c r="AB58" s="400">
        <f t="shared" si="76"/>
        <v>4.8477000000000032</v>
      </c>
      <c r="AC58" s="401">
        <f t="shared" si="77"/>
        <v>1.9624043938536301E-2</v>
      </c>
      <c r="AD58" s="52"/>
      <c r="AE58" s="416"/>
      <c r="AF58" s="416"/>
      <c r="AG58" s="399">
        <f>AG56+AG57</f>
        <v>253.32269488</v>
      </c>
      <c r="AH58" s="132"/>
      <c r="AI58" s="400">
        <f t="shared" si="78"/>
        <v>1.4464000000000112</v>
      </c>
      <c r="AJ58" s="401">
        <f t="shared" si="79"/>
        <v>5.7425014953833252E-3</v>
      </c>
      <c r="AK58" s="52"/>
      <c r="AL58" s="416"/>
      <c r="AM58" s="416"/>
      <c r="AN58" s="399">
        <f>AN56+AN57</f>
        <v>254.50919487999997</v>
      </c>
      <c r="AO58" s="132"/>
      <c r="AP58" s="400">
        <f t="shared" si="80"/>
        <v>1.1864999999999668</v>
      </c>
      <c r="AQ58" s="401">
        <f t="shared" si="81"/>
        <v>4.6837493204547531E-3</v>
      </c>
      <c r="AR58" s="402"/>
    </row>
    <row r="59" spans="1:44" ht="12" customHeight="1">
      <c r="A59" s="52"/>
      <c r="B59" s="632" t="s">
        <v>277</v>
      </c>
      <c r="C59" s="623"/>
      <c r="D59" s="623"/>
      <c r="E59" s="321"/>
      <c r="F59" s="455">
        <f>F53</f>
        <v>0.23499999999999999</v>
      </c>
      <c r="G59" s="132"/>
      <c r="H59" s="491">
        <f>F59*H56</f>
        <v>49.60852491</v>
      </c>
      <c r="I59" s="416"/>
      <c r="J59" s="455">
        <f>J53</f>
        <v>0.23499999999999999</v>
      </c>
      <c r="K59" s="416"/>
      <c r="L59" s="456">
        <f>J59*L56</f>
        <v>50.55775336</v>
      </c>
      <c r="M59" s="132"/>
      <c r="N59" s="456">
        <f t="shared" si="72"/>
        <v>0.94922844999999967</v>
      </c>
      <c r="O59" s="458">
        <f t="shared" si="73"/>
        <v>1.913438167577234E-2</v>
      </c>
      <c r="P59" s="52"/>
      <c r="Q59" s="457">
        <f>Q53</f>
        <v>0.23499999999999999</v>
      </c>
      <c r="R59" s="416"/>
      <c r="S59" s="456">
        <f>Q59*S56</f>
        <v>51.373203359999998</v>
      </c>
      <c r="T59" s="132"/>
      <c r="U59" s="456">
        <f t="shared" si="74"/>
        <v>0.81544999999999845</v>
      </c>
      <c r="V59" s="458">
        <f t="shared" si="75"/>
        <v>1.6129079039440896E-2</v>
      </c>
      <c r="W59" s="52"/>
      <c r="X59" s="457">
        <f>X53</f>
        <v>0.23499999999999999</v>
      </c>
      <c r="Y59" s="416"/>
      <c r="Z59" s="456">
        <f>X59*Z56</f>
        <v>52.381353359999991</v>
      </c>
      <c r="AA59" s="132"/>
      <c r="AB59" s="456">
        <f t="shared" si="76"/>
        <v>1.0081499999999934</v>
      </c>
      <c r="AC59" s="458">
        <f t="shared" si="77"/>
        <v>1.9624043938536159E-2</v>
      </c>
      <c r="AD59" s="52"/>
      <c r="AE59" s="457">
        <f>AE53</f>
        <v>0.23499999999999999</v>
      </c>
      <c r="AF59" s="416"/>
      <c r="AG59" s="456">
        <f>AE59*AG56</f>
        <v>52.682153359999994</v>
      </c>
      <c r="AH59" s="132"/>
      <c r="AI59" s="456">
        <f t="shared" si="78"/>
        <v>0.3008000000000024</v>
      </c>
      <c r="AJ59" s="458">
        <f t="shared" si="79"/>
        <v>5.7425014953833269E-3</v>
      </c>
      <c r="AK59" s="52"/>
      <c r="AL59" s="457">
        <f>AL53</f>
        <v>0.23499999999999999</v>
      </c>
      <c r="AM59" s="416"/>
      <c r="AN59" s="456">
        <f>AL59*AN56</f>
        <v>52.928903359999993</v>
      </c>
      <c r="AO59" s="132"/>
      <c r="AP59" s="456">
        <f t="shared" si="80"/>
        <v>0.24674999999999869</v>
      </c>
      <c r="AQ59" s="458">
        <f t="shared" si="81"/>
        <v>4.6837493204548598E-3</v>
      </c>
      <c r="AR59" s="459"/>
    </row>
    <row r="60" spans="1:44" ht="12" customHeight="1">
      <c r="A60" s="52"/>
      <c r="B60" s="634" t="s">
        <v>325</v>
      </c>
      <c r="C60" s="615"/>
      <c r="D60" s="615"/>
      <c r="E60" s="460"/>
      <c r="F60" s="468"/>
      <c r="G60" s="494"/>
      <c r="H60" s="495">
        <f>H58-H59</f>
        <v>188.93459487000001</v>
      </c>
      <c r="I60" s="469"/>
      <c r="J60" s="468"/>
      <c r="K60" s="469"/>
      <c r="L60" s="470">
        <f>L58-L59</f>
        <v>192.54974152</v>
      </c>
      <c r="M60" s="471"/>
      <c r="N60" s="472">
        <f t="shared" si="72"/>
        <v>3.6151466499999856</v>
      </c>
      <c r="O60" s="473">
        <f t="shared" si="73"/>
        <v>1.913438167577227E-2</v>
      </c>
      <c r="P60" s="52"/>
      <c r="Q60" s="469"/>
      <c r="R60" s="469"/>
      <c r="S60" s="470">
        <f>S58-S59</f>
        <v>195.65539151999999</v>
      </c>
      <c r="T60" s="471"/>
      <c r="U60" s="472">
        <f t="shared" si="74"/>
        <v>3.1056499999999971</v>
      </c>
      <c r="V60" s="473">
        <f t="shared" si="75"/>
        <v>1.612907903944091E-2</v>
      </c>
      <c r="W60" s="52"/>
      <c r="X60" s="469"/>
      <c r="Y60" s="469"/>
      <c r="Z60" s="470">
        <f>Z58-Z59</f>
        <v>199.49494152</v>
      </c>
      <c r="AA60" s="471"/>
      <c r="AB60" s="472">
        <f t="shared" si="76"/>
        <v>3.8395500000000027</v>
      </c>
      <c r="AC60" s="473">
        <f t="shared" si="77"/>
        <v>1.9624043938536301E-2</v>
      </c>
      <c r="AD60" s="52"/>
      <c r="AE60" s="469"/>
      <c r="AF60" s="469"/>
      <c r="AG60" s="470">
        <f>AG58-AG59</f>
        <v>200.64054152</v>
      </c>
      <c r="AH60" s="471"/>
      <c r="AI60" s="472">
        <f t="shared" si="78"/>
        <v>1.1456000000000017</v>
      </c>
      <c r="AJ60" s="473">
        <f t="shared" si="79"/>
        <v>5.7425014953832888E-3</v>
      </c>
      <c r="AK60" s="52"/>
      <c r="AL60" s="469"/>
      <c r="AM60" s="469"/>
      <c r="AN60" s="470">
        <f>AN58-AN59</f>
        <v>201.58029151999997</v>
      </c>
      <c r="AO60" s="471"/>
      <c r="AP60" s="472">
        <f t="shared" si="80"/>
        <v>0.93974999999997522</v>
      </c>
      <c r="AQ60" s="473">
        <f t="shared" si="81"/>
        <v>4.6837493204547609E-3</v>
      </c>
      <c r="AR60" s="467"/>
    </row>
    <row r="61" spans="1:44"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331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332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333</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336</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79"/>
      <c r="B73" s="52" t="s">
        <v>337</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338</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200-000000000000}">
      <formula1>"TOU,non-TOU"</formula1>
    </dataValidation>
    <dataValidation type="list" allowBlank="1" showErrorMessage="1" sqref="E15:E28 E30:E36 E38:E39 E41:E49 E55 E61" xr:uid="{00000000-0002-0000-1200-000001000000}">
      <formula1>#REF!</formula1>
    </dataValidation>
    <dataValidation type="list" allowBlank="1" showInputMessage="1" showErrorMessage="1" prompt="Select Charge Unit - monthly, per kWh, per kW" sqref="D15:D28 D30:D36 D38:D39 D41:D49 D55 D61" xr:uid="{00000000-0002-0000-1200-000002000000}">
      <formula1>"Monthly,per kWh,per kW"</formula1>
    </dataValidation>
  </dataValidations>
  <pageMargins left="0.74803149606299213" right="0.74803149606299213" top="0.98425196850393704" bottom="0.98425196850393704"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043"/>
  <sheetViews>
    <sheetView topLeftCell="A226" workbookViewId="0">
      <selection activeCell="F233" sqref="F233"/>
    </sheetView>
  </sheetViews>
  <sheetFormatPr defaultColWidth="12.5703125" defaultRowHeight="15" customHeight="1"/>
  <cols>
    <col min="1" max="1" width="62.7109375" customWidth="1"/>
    <col min="2" max="2" width="3.28515625" customWidth="1"/>
    <col min="3" max="3" width="10.42578125" customWidth="1"/>
    <col min="4" max="4" width="9.42578125" customWidth="1"/>
    <col min="5" max="24" width="9.140625" customWidth="1"/>
  </cols>
  <sheetData>
    <row r="1" spans="1:26" ht="23.25" customHeight="1">
      <c r="A1" s="600" t="s">
        <v>26</v>
      </c>
      <c r="B1" s="601"/>
      <c r="C1" s="601"/>
      <c r="D1" s="602"/>
      <c r="E1" s="53"/>
      <c r="F1" s="53"/>
      <c r="G1" s="53"/>
      <c r="H1" s="53"/>
      <c r="I1" s="53"/>
      <c r="J1" s="53"/>
      <c r="K1" s="53"/>
      <c r="L1" s="53"/>
      <c r="M1" s="53"/>
      <c r="N1" s="53"/>
      <c r="O1" s="53"/>
      <c r="P1" s="53"/>
      <c r="Q1" s="53"/>
      <c r="R1" s="53"/>
      <c r="S1" s="53"/>
      <c r="T1" s="53"/>
      <c r="U1" s="53"/>
      <c r="V1" s="53"/>
      <c r="W1" s="53"/>
      <c r="X1" s="53"/>
      <c r="Y1" s="53"/>
      <c r="Z1" s="53"/>
    </row>
    <row r="2" spans="1:26" ht="18" customHeight="1">
      <c r="A2" s="603" t="s">
        <v>27</v>
      </c>
      <c r="B2" s="601"/>
      <c r="C2" s="601"/>
      <c r="D2" s="602"/>
      <c r="E2" s="53"/>
      <c r="F2" s="53"/>
      <c r="G2" s="53"/>
      <c r="H2" s="53"/>
      <c r="I2" s="53"/>
      <c r="J2" s="53"/>
      <c r="K2" s="53"/>
      <c r="L2" s="53"/>
      <c r="M2" s="53"/>
      <c r="N2" s="53"/>
      <c r="O2" s="53"/>
      <c r="P2" s="53"/>
      <c r="Q2" s="53"/>
      <c r="R2" s="53"/>
      <c r="S2" s="53"/>
      <c r="T2" s="53"/>
      <c r="U2" s="53"/>
      <c r="V2" s="53"/>
      <c r="W2" s="53"/>
      <c r="X2" s="53"/>
      <c r="Y2" s="53"/>
      <c r="Z2" s="53"/>
    </row>
    <row r="3" spans="1:26" ht="15.75" customHeight="1">
      <c r="A3" s="604" t="s">
        <v>28</v>
      </c>
      <c r="B3" s="601"/>
      <c r="C3" s="601"/>
      <c r="D3" s="602"/>
      <c r="E3" s="53"/>
      <c r="F3" s="53"/>
      <c r="G3" s="53"/>
      <c r="H3" s="53"/>
      <c r="I3" s="53"/>
      <c r="J3" s="53"/>
      <c r="K3" s="53"/>
      <c r="L3" s="53"/>
      <c r="M3" s="53"/>
      <c r="N3" s="53"/>
      <c r="O3" s="53"/>
      <c r="P3" s="53"/>
      <c r="Q3" s="53"/>
      <c r="R3" s="53"/>
      <c r="S3" s="53"/>
      <c r="T3" s="53"/>
      <c r="U3" s="53"/>
      <c r="V3" s="53"/>
      <c r="W3" s="53"/>
      <c r="X3" s="53"/>
      <c r="Y3" s="53"/>
      <c r="Z3" s="53"/>
    </row>
    <row r="4" spans="1:26" ht="11.25" customHeight="1">
      <c r="A4" s="605" t="s">
        <v>29</v>
      </c>
      <c r="B4" s="601"/>
      <c r="C4" s="601"/>
      <c r="D4" s="602"/>
      <c r="E4" s="53"/>
      <c r="F4" s="53"/>
      <c r="G4" s="53"/>
      <c r="H4" s="53"/>
      <c r="I4" s="53"/>
      <c r="J4" s="53"/>
      <c r="K4" s="53"/>
      <c r="L4" s="53"/>
      <c r="M4" s="53"/>
      <c r="N4" s="53"/>
      <c r="O4" s="53"/>
      <c r="P4" s="53"/>
      <c r="Q4" s="53"/>
      <c r="R4" s="53"/>
      <c r="S4" s="53"/>
      <c r="T4" s="53"/>
      <c r="U4" s="53"/>
      <c r="V4" s="53"/>
      <c r="W4" s="53"/>
      <c r="X4" s="53"/>
      <c r="Y4" s="53"/>
      <c r="Z4" s="53"/>
    </row>
    <row r="5" spans="1:26" ht="11.25" customHeight="1">
      <c r="A5" s="605" t="s">
        <v>30</v>
      </c>
      <c r="B5" s="601"/>
      <c r="C5" s="601"/>
      <c r="D5" s="602"/>
      <c r="E5" s="53"/>
      <c r="F5" s="53"/>
      <c r="G5" s="53"/>
      <c r="H5" s="53"/>
      <c r="I5" s="53"/>
      <c r="J5" s="53"/>
      <c r="K5" s="53"/>
      <c r="L5" s="53"/>
      <c r="M5" s="53"/>
      <c r="N5" s="53"/>
      <c r="O5" s="53"/>
      <c r="P5" s="53"/>
      <c r="Q5" s="53"/>
      <c r="R5" s="53"/>
      <c r="S5" s="53"/>
      <c r="T5" s="53"/>
      <c r="U5" s="53"/>
      <c r="V5" s="53"/>
      <c r="W5" s="53"/>
      <c r="X5" s="53"/>
      <c r="Y5" s="53"/>
      <c r="Z5" s="53"/>
    </row>
    <row r="6" spans="1:26" ht="11.25" customHeight="1">
      <c r="A6" s="606" t="s">
        <v>31</v>
      </c>
      <c r="B6" s="601"/>
      <c r="C6" s="601"/>
      <c r="D6" s="602"/>
      <c r="E6" s="53"/>
      <c r="F6" s="53"/>
      <c r="G6" s="53"/>
      <c r="H6" s="53"/>
      <c r="I6" s="53"/>
      <c r="J6" s="53"/>
      <c r="K6" s="53"/>
      <c r="L6" s="53"/>
      <c r="M6" s="53"/>
      <c r="N6" s="53"/>
      <c r="O6" s="53"/>
      <c r="P6" s="53"/>
      <c r="Q6" s="53"/>
      <c r="R6" s="53"/>
      <c r="S6" s="53"/>
      <c r="T6" s="53"/>
      <c r="U6" s="53"/>
      <c r="V6" s="53"/>
      <c r="W6" s="53"/>
      <c r="X6" s="53"/>
      <c r="Y6" s="53"/>
      <c r="Z6" s="53"/>
    </row>
    <row r="7" spans="1:26" ht="18.75" customHeight="1">
      <c r="A7" s="607" t="s">
        <v>32</v>
      </c>
      <c r="B7" s="601"/>
      <c r="C7" s="601"/>
      <c r="D7" s="602"/>
      <c r="E7" s="53"/>
      <c r="F7" s="53"/>
      <c r="G7" s="53"/>
      <c r="H7" s="53"/>
      <c r="I7" s="53"/>
      <c r="J7" s="53"/>
      <c r="K7" s="53"/>
      <c r="L7" s="53"/>
      <c r="M7" s="53"/>
      <c r="N7" s="53"/>
      <c r="O7" s="53"/>
      <c r="P7" s="53"/>
      <c r="Q7" s="53"/>
      <c r="R7" s="53"/>
      <c r="S7" s="53"/>
      <c r="T7" s="53"/>
      <c r="U7" s="53"/>
      <c r="V7" s="53"/>
      <c r="W7" s="53"/>
      <c r="X7" s="53"/>
      <c r="Y7" s="53"/>
      <c r="Z7" s="53"/>
    </row>
    <row r="8" spans="1:26" ht="72" customHeight="1">
      <c r="A8" s="608" t="s">
        <v>33</v>
      </c>
      <c r="B8" s="601"/>
      <c r="C8" s="601"/>
      <c r="D8" s="602"/>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9" t="s">
        <v>34</v>
      </c>
      <c r="B10" s="601"/>
      <c r="C10" s="601"/>
      <c r="D10" s="602"/>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8" t="s">
        <v>35</v>
      </c>
      <c r="B12" s="601"/>
      <c r="C12" s="601"/>
      <c r="D12" s="602"/>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8" t="s">
        <v>36</v>
      </c>
      <c r="B14" s="601"/>
      <c r="C14" s="601"/>
      <c r="D14" s="602"/>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8" t="s">
        <v>37</v>
      </c>
      <c r="B16" s="601"/>
      <c r="C16" s="601"/>
      <c r="D16" s="602"/>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8" t="s">
        <v>38</v>
      </c>
      <c r="B18" s="601"/>
      <c r="C18" s="601"/>
      <c r="D18" s="602"/>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610" t="s">
        <v>39</v>
      </c>
      <c r="B20" s="601"/>
      <c r="C20" s="601"/>
      <c r="D20" s="602"/>
      <c r="E20" s="53"/>
      <c r="F20" s="53"/>
      <c r="G20" s="53"/>
      <c r="H20" s="53"/>
      <c r="I20" s="53"/>
      <c r="J20" s="53"/>
      <c r="K20" s="53"/>
      <c r="L20" s="53"/>
      <c r="M20" s="53"/>
      <c r="N20" s="53"/>
      <c r="O20" s="53"/>
      <c r="P20" s="53"/>
      <c r="Q20" s="53"/>
      <c r="R20" s="53"/>
      <c r="S20" s="53"/>
      <c r="T20" s="53"/>
      <c r="U20" s="53"/>
      <c r="V20" s="53"/>
      <c r="W20" s="53"/>
      <c r="X20" s="53"/>
      <c r="Y20" s="53"/>
      <c r="Z20" s="53"/>
    </row>
    <row r="21" spans="1:26" ht="6.75"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2" customHeight="1">
      <c r="A22" s="62" t="s">
        <v>40</v>
      </c>
      <c r="B22" s="63"/>
      <c r="C22" s="64" t="s">
        <v>41</v>
      </c>
      <c r="D22" s="65">
        <f>'Proposed Rates'!F8</f>
        <v>40.72</v>
      </c>
      <c r="E22" s="53"/>
      <c r="F22" s="53"/>
      <c r="G22" s="53"/>
      <c r="H22" s="53"/>
      <c r="I22" s="53"/>
      <c r="J22" s="53"/>
      <c r="K22" s="53"/>
      <c r="L22" s="53"/>
      <c r="M22" s="53"/>
      <c r="N22" s="53"/>
      <c r="O22" s="53"/>
      <c r="P22" s="53"/>
      <c r="Q22" s="53"/>
      <c r="R22" s="53"/>
      <c r="S22" s="53"/>
      <c r="T22" s="53"/>
      <c r="U22" s="53"/>
      <c r="V22" s="53"/>
      <c r="W22" s="53"/>
      <c r="X22" s="53"/>
      <c r="Y22" s="53"/>
      <c r="Z22" s="53"/>
    </row>
    <row r="23" spans="1:26" ht="12" customHeight="1">
      <c r="A23" s="62" t="s">
        <v>42</v>
      </c>
      <c r="B23" s="63"/>
      <c r="C23" s="64" t="s">
        <v>41</v>
      </c>
      <c r="D23" s="66">
        <f>'Proposed Rates'!F90</f>
        <v>0</v>
      </c>
      <c r="E23" s="66"/>
      <c r="F23" s="53"/>
      <c r="G23" s="53"/>
      <c r="H23" s="53"/>
      <c r="I23" s="53"/>
      <c r="J23" s="53"/>
      <c r="K23" s="53"/>
      <c r="L23" s="53"/>
      <c r="M23" s="53"/>
      <c r="N23" s="53"/>
      <c r="O23" s="53"/>
      <c r="P23" s="53"/>
      <c r="Q23" s="53"/>
      <c r="R23" s="53"/>
      <c r="S23" s="53"/>
      <c r="T23" s="53"/>
      <c r="U23" s="53"/>
      <c r="V23" s="53"/>
      <c r="W23" s="53"/>
      <c r="X23" s="53"/>
      <c r="Y23" s="53"/>
      <c r="Z23" s="53"/>
    </row>
    <row r="24" spans="1:26" ht="12" customHeight="1">
      <c r="A24" s="62" t="s">
        <v>43</v>
      </c>
      <c r="B24" s="63"/>
      <c r="C24" s="64" t="s">
        <v>41</v>
      </c>
      <c r="D24" s="66">
        <f>'Proposed Rates'!F64</f>
        <v>-0.68</v>
      </c>
      <c r="E24" s="53"/>
      <c r="F24" s="53"/>
      <c r="G24" s="53"/>
      <c r="H24" s="53"/>
      <c r="I24" s="53"/>
      <c r="J24" s="53"/>
      <c r="K24" s="53"/>
      <c r="L24" s="53"/>
      <c r="M24" s="53"/>
      <c r="N24" s="53"/>
      <c r="O24" s="53"/>
      <c r="P24" s="53"/>
      <c r="Q24" s="53"/>
      <c r="R24" s="53"/>
      <c r="S24" s="53"/>
      <c r="T24" s="53"/>
      <c r="U24" s="53"/>
      <c r="V24" s="53"/>
      <c r="W24" s="53"/>
      <c r="X24" s="53"/>
      <c r="Y24" s="53"/>
      <c r="Z24" s="53"/>
    </row>
    <row r="25" spans="1:26" ht="12" customHeight="1">
      <c r="A25" s="62" t="s">
        <v>44</v>
      </c>
      <c r="B25" s="63"/>
      <c r="C25" s="64" t="s">
        <v>41</v>
      </c>
      <c r="D25" s="67">
        <f>'Proposed Rates'!F277</f>
        <v>0.42</v>
      </c>
      <c r="E25" s="53"/>
      <c r="F25" s="53"/>
      <c r="G25" s="53"/>
      <c r="H25" s="53"/>
      <c r="I25" s="53"/>
      <c r="J25" s="53"/>
      <c r="K25" s="53"/>
      <c r="L25" s="53"/>
      <c r="M25" s="53"/>
      <c r="N25" s="53"/>
      <c r="O25" s="53"/>
      <c r="P25" s="53"/>
      <c r="Q25" s="53"/>
      <c r="R25" s="53"/>
      <c r="S25" s="53"/>
      <c r="T25" s="53"/>
      <c r="U25" s="53"/>
      <c r="V25" s="53"/>
      <c r="W25" s="53"/>
      <c r="X25" s="53"/>
      <c r="Y25" s="53"/>
      <c r="Z25" s="53"/>
    </row>
    <row r="26" spans="1:26" ht="12" customHeight="1">
      <c r="A26" s="62" t="s">
        <v>45</v>
      </c>
      <c r="B26" s="63"/>
      <c r="C26" s="64" t="s">
        <v>46</v>
      </c>
      <c r="D26" s="68">
        <f>'Proposed Rates'!F264</f>
        <v>6.9999999999999994E-5</v>
      </c>
      <c r="E26" s="53"/>
      <c r="F26" s="53"/>
      <c r="G26" s="53"/>
      <c r="H26" s="53"/>
      <c r="I26" s="53"/>
      <c r="J26" s="53"/>
      <c r="K26" s="53"/>
      <c r="L26" s="53"/>
      <c r="M26" s="53"/>
      <c r="N26" s="53"/>
      <c r="O26" s="53"/>
      <c r="P26" s="53"/>
      <c r="Q26" s="53"/>
      <c r="R26" s="53"/>
      <c r="S26" s="53"/>
      <c r="T26" s="53"/>
      <c r="U26" s="53"/>
      <c r="V26" s="53"/>
      <c r="W26" s="53"/>
      <c r="X26" s="53"/>
      <c r="Y26" s="53"/>
      <c r="Z26" s="53"/>
    </row>
    <row r="27" spans="1:26" ht="12" customHeight="1">
      <c r="A27" s="62" t="s">
        <v>47</v>
      </c>
      <c r="B27" s="63"/>
      <c r="C27" s="64" t="s">
        <v>46</v>
      </c>
      <c r="D27" s="66">
        <f>'Proposed Rates'!F37</f>
        <v>-5.9999999999999995E-4</v>
      </c>
      <c r="E27" s="53"/>
      <c r="F27" s="53"/>
      <c r="G27" s="53"/>
      <c r="H27" s="53"/>
      <c r="I27" s="53"/>
      <c r="J27" s="53"/>
      <c r="K27" s="53"/>
      <c r="L27" s="53"/>
      <c r="M27" s="53"/>
      <c r="N27" s="53"/>
      <c r="O27" s="53"/>
      <c r="P27" s="53"/>
      <c r="Q27" s="53"/>
      <c r="R27" s="53"/>
      <c r="S27" s="53"/>
      <c r="T27" s="53"/>
      <c r="U27" s="53"/>
      <c r="V27" s="53"/>
      <c r="W27" s="53"/>
      <c r="X27" s="53"/>
      <c r="Y27" s="53"/>
      <c r="Z27" s="53"/>
    </row>
    <row r="28" spans="1:26" s="585" customFormat="1" ht="24.75" customHeight="1">
      <c r="A28" s="73" t="s">
        <v>433</v>
      </c>
      <c r="B28" s="63"/>
      <c r="C28" s="64" t="s">
        <v>46</v>
      </c>
      <c r="D28" s="66">
        <f>'Proposed Rates'!$F$103</f>
        <v>4.0000000000000002E-4</v>
      </c>
      <c r="E28" s="53"/>
      <c r="F28" s="53"/>
      <c r="G28" s="53"/>
      <c r="H28" s="53"/>
      <c r="I28" s="53"/>
      <c r="J28" s="53"/>
      <c r="K28" s="53"/>
      <c r="L28" s="53"/>
      <c r="M28" s="53"/>
      <c r="N28" s="53"/>
      <c r="O28" s="53"/>
      <c r="P28" s="53"/>
      <c r="Q28" s="53"/>
      <c r="R28" s="53"/>
      <c r="S28" s="53"/>
      <c r="T28" s="53"/>
      <c r="U28" s="53"/>
      <c r="V28" s="53"/>
      <c r="W28" s="53"/>
      <c r="X28" s="53"/>
      <c r="Y28" s="53"/>
      <c r="Z28" s="53"/>
    </row>
    <row r="29" spans="1:26" ht="12" customHeight="1">
      <c r="A29" s="62" t="s">
        <v>48</v>
      </c>
      <c r="B29" s="63"/>
      <c r="C29" s="64" t="s">
        <v>46</v>
      </c>
      <c r="D29" s="66">
        <f>'Proposed Rates'!F142</f>
        <v>4.4000000000000003E-3</v>
      </c>
      <c r="E29" s="53"/>
      <c r="F29" s="53"/>
      <c r="G29" s="53"/>
      <c r="H29" s="53"/>
      <c r="I29" s="53"/>
      <c r="J29" s="53"/>
      <c r="K29" s="53"/>
      <c r="L29" s="53"/>
      <c r="M29" s="53"/>
      <c r="N29" s="53"/>
      <c r="O29" s="53"/>
      <c r="P29" s="53"/>
      <c r="Q29" s="53"/>
      <c r="R29" s="53"/>
      <c r="S29" s="53"/>
      <c r="T29" s="53"/>
      <c r="U29" s="53"/>
      <c r="V29" s="53"/>
      <c r="W29" s="53"/>
      <c r="X29" s="53"/>
      <c r="Y29" s="53"/>
      <c r="Z29" s="53"/>
    </row>
    <row r="30" spans="1:26" ht="12" customHeight="1">
      <c r="A30" s="62" t="s">
        <v>49</v>
      </c>
      <c r="B30" s="63"/>
      <c r="C30" s="64" t="s">
        <v>46</v>
      </c>
      <c r="D30" s="66">
        <f>'Proposed Rates'!F183</f>
        <v>1.38E-2</v>
      </c>
      <c r="E30" s="53"/>
      <c r="F30" s="53"/>
      <c r="G30" s="53"/>
      <c r="H30" s="53"/>
      <c r="I30" s="53"/>
      <c r="J30" s="53"/>
      <c r="K30" s="53"/>
      <c r="L30" s="53"/>
      <c r="M30" s="53"/>
      <c r="N30" s="53"/>
      <c r="O30" s="53"/>
      <c r="P30" s="53"/>
      <c r="Q30" s="53"/>
      <c r="R30" s="53"/>
      <c r="S30" s="53"/>
      <c r="T30" s="53"/>
      <c r="U30" s="53"/>
      <c r="V30" s="53"/>
      <c r="W30" s="53"/>
      <c r="X30" s="53"/>
      <c r="Y30" s="53"/>
      <c r="Z30" s="53"/>
    </row>
    <row r="31" spans="1:26" ht="12" customHeight="1">
      <c r="A31" s="62" t="s">
        <v>50</v>
      </c>
      <c r="B31" s="63"/>
      <c r="C31" s="64" t="s">
        <v>46</v>
      </c>
      <c r="D31" s="66">
        <f>'Proposed Rates'!F198</f>
        <v>7.7999999999999996E-3</v>
      </c>
      <c r="E31" s="53"/>
      <c r="F31" s="53"/>
      <c r="G31" s="53"/>
      <c r="H31" s="53"/>
      <c r="I31" s="53"/>
      <c r="J31" s="53"/>
      <c r="K31" s="53"/>
      <c r="L31" s="53"/>
      <c r="M31" s="53"/>
      <c r="N31" s="53"/>
      <c r="O31" s="53"/>
      <c r="P31" s="53"/>
      <c r="Q31" s="53"/>
      <c r="R31" s="53"/>
      <c r="S31" s="53"/>
      <c r="T31" s="53"/>
      <c r="U31" s="53"/>
      <c r="V31" s="53"/>
      <c r="W31" s="53"/>
      <c r="X31" s="53"/>
      <c r="Y31" s="53"/>
      <c r="Z31" s="53"/>
    </row>
    <row r="32" spans="1:26" ht="6.75" customHeight="1">
      <c r="A32" s="64"/>
      <c r="B32" s="64"/>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15" customHeight="1">
      <c r="A33" s="70" t="s">
        <v>51</v>
      </c>
      <c r="B33" s="63"/>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6.75" customHeight="1">
      <c r="A34" s="59"/>
      <c r="B34" s="64"/>
      <c r="C34" s="64"/>
      <c r="D34" s="69"/>
      <c r="E34" s="53"/>
      <c r="F34" s="53"/>
      <c r="G34" s="53"/>
      <c r="H34" s="53"/>
      <c r="I34" s="53"/>
      <c r="J34" s="53"/>
      <c r="K34" s="53"/>
      <c r="L34" s="53"/>
      <c r="M34" s="53"/>
      <c r="N34" s="53"/>
      <c r="O34" s="53"/>
      <c r="P34" s="53"/>
      <c r="Q34" s="53"/>
      <c r="R34" s="53"/>
      <c r="S34" s="53"/>
      <c r="T34" s="53"/>
      <c r="U34" s="53"/>
      <c r="V34" s="53"/>
      <c r="W34" s="53"/>
      <c r="X34" s="53"/>
      <c r="Y34" s="53"/>
      <c r="Z34" s="53"/>
    </row>
    <row r="35" spans="1:26" ht="12" customHeight="1">
      <c r="A35" s="62" t="s">
        <v>52</v>
      </c>
      <c r="B35" s="63"/>
      <c r="C35" s="64" t="s">
        <v>46</v>
      </c>
      <c r="D35" s="66">
        <v>4.1000000000000003E-3</v>
      </c>
      <c r="E35" s="53"/>
      <c r="F35" s="53"/>
      <c r="G35" s="53"/>
      <c r="H35" s="53"/>
      <c r="I35" s="53"/>
      <c r="J35" s="53"/>
      <c r="K35" s="53"/>
      <c r="L35" s="53"/>
      <c r="M35" s="53"/>
      <c r="N35" s="53"/>
      <c r="O35" s="53"/>
      <c r="P35" s="53"/>
      <c r="Q35" s="53"/>
      <c r="R35" s="53"/>
      <c r="S35" s="53"/>
      <c r="T35" s="53"/>
      <c r="U35" s="53"/>
      <c r="V35" s="53"/>
      <c r="W35" s="53"/>
      <c r="X35" s="53"/>
      <c r="Y35" s="53"/>
      <c r="Z35" s="53"/>
    </row>
    <row r="36" spans="1:26" ht="12" customHeight="1">
      <c r="A36" s="62" t="s">
        <v>53</v>
      </c>
      <c r="B36" s="63"/>
      <c r="C36" s="64" t="s">
        <v>46</v>
      </c>
      <c r="D36" s="66">
        <f>'Proposed Rates'!F213-'2026'!D35</f>
        <v>5.9999999999999984E-4</v>
      </c>
      <c r="E36" s="53"/>
      <c r="F36" s="53"/>
      <c r="G36" s="53"/>
      <c r="H36" s="53"/>
      <c r="I36" s="53"/>
      <c r="J36" s="53"/>
      <c r="K36" s="53"/>
      <c r="L36" s="53"/>
      <c r="M36" s="53"/>
      <c r="N36" s="53"/>
      <c r="O36" s="53"/>
      <c r="P36" s="53"/>
      <c r="Q36" s="53"/>
      <c r="R36" s="53"/>
      <c r="S36" s="53"/>
      <c r="T36" s="53"/>
      <c r="U36" s="53"/>
      <c r="V36" s="53"/>
      <c r="W36" s="53"/>
      <c r="X36" s="53"/>
      <c r="Y36" s="53"/>
      <c r="Z36" s="53"/>
    </row>
    <row r="37" spans="1:26" ht="12" customHeight="1">
      <c r="A37" s="62" t="s">
        <v>54</v>
      </c>
      <c r="B37" s="63"/>
      <c r="C37" s="64" t="s">
        <v>46</v>
      </c>
      <c r="D37" s="66">
        <f>'Proposed Rates'!F226</f>
        <v>5.9999999999999995E-4</v>
      </c>
      <c r="E37" s="53"/>
      <c r="F37" s="53"/>
      <c r="G37" s="53"/>
      <c r="H37" s="53"/>
      <c r="I37" s="53"/>
      <c r="J37" s="53"/>
      <c r="K37" s="53"/>
      <c r="L37" s="53"/>
      <c r="M37" s="53"/>
      <c r="N37" s="53"/>
      <c r="O37" s="53"/>
      <c r="P37" s="53"/>
      <c r="Q37" s="53"/>
      <c r="R37" s="53"/>
      <c r="S37" s="53"/>
      <c r="T37" s="53"/>
      <c r="U37" s="53"/>
      <c r="V37" s="53"/>
      <c r="W37" s="53"/>
      <c r="X37" s="53"/>
      <c r="Y37" s="53"/>
      <c r="Z37" s="53"/>
    </row>
    <row r="38" spans="1:26" ht="12" customHeight="1">
      <c r="A38" s="62" t="s">
        <v>55</v>
      </c>
      <c r="B38" s="63"/>
      <c r="C38" s="64" t="s">
        <v>41</v>
      </c>
      <c r="D38" s="66">
        <f>'Proposed Rates'!F240</f>
        <v>0.25</v>
      </c>
      <c r="E38" s="53"/>
      <c r="F38" s="53"/>
      <c r="G38" s="53"/>
      <c r="H38" s="53"/>
      <c r="I38" s="53"/>
      <c r="J38" s="53"/>
      <c r="K38" s="53"/>
      <c r="L38" s="53"/>
      <c r="M38" s="53"/>
      <c r="N38" s="53"/>
      <c r="O38" s="53"/>
      <c r="P38" s="53"/>
      <c r="Q38" s="53"/>
      <c r="R38" s="53"/>
      <c r="S38" s="53"/>
      <c r="T38" s="53"/>
      <c r="U38" s="53"/>
      <c r="V38" s="53"/>
      <c r="W38" s="53"/>
      <c r="X38" s="53"/>
      <c r="Y38" s="53"/>
      <c r="Z38" s="53"/>
    </row>
    <row r="39" spans="1:26" ht="6" customHeight="1">
      <c r="A39" s="62"/>
      <c r="B39" s="63"/>
      <c r="C39" s="64"/>
      <c r="D39" s="69"/>
      <c r="E39" s="53"/>
      <c r="F39" s="53"/>
      <c r="G39" s="53"/>
      <c r="H39" s="53"/>
      <c r="I39" s="53"/>
      <c r="J39" s="53"/>
      <c r="K39" s="53"/>
      <c r="L39" s="53"/>
      <c r="M39" s="53"/>
      <c r="N39" s="53"/>
      <c r="O39" s="53"/>
      <c r="P39" s="53"/>
      <c r="Q39" s="53"/>
      <c r="R39" s="53"/>
      <c r="S39" s="53"/>
      <c r="T39" s="53"/>
      <c r="U39" s="53"/>
      <c r="V39" s="53"/>
      <c r="W39" s="53"/>
      <c r="X39" s="53"/>
      <c r="Y39" s="53"/>
      <c r="Z39" s="53"/>
    </row>
    <row r="40" spans="1:26" ht="23.25" customHeight="1">
      <c r="A40" s="600" t="str">
        <f t="shared" ref="A40:A45" si="0">A1</f>
        <v>Hydro Ottawa Limited</v>
      </c>
      <c r="B40" s="601"/>
      <c r="C40" s="601"/>
      <c r="D40" s="602"/>
      <c r="E40" s="53"/>
      <c r="F40" s="53"/>
      <c r="G40" s="53"/>
      <c r="H40" s="53"/>
      <c r="I40" s="53"/>
      <c r="J40" s="53"/>
      <c r="K40" s="53"/>
      <c r="L40" s="53"/>
      <c r="M40" s="53"/>
      <c r="N40" s="53"/>
      <c r="O40" s="53"/>
      <c r="P40" s="53"/>
      <c r="Q40" s="53"/>
      <c r="R40" s="53"/>
      <c r="S40" s="53"/>
      <c r="T40" s="53"/>
      <c r="U40" s="53"/>
      <c r="V40" s="53"/>
      <c r="W40" s="53"/>
      <c r="X40" s="53"/>
      <c r="Y40" s="53"/>
      <c r="Z40" s="53"/>
    </row>
    <row r="41" spans="1:26" ht="18" customHeight="1">
      <c r="A41" s="603" t="str">
        <f t="shared" si="0"/>
        <v>PROPOSED - TARIFF OF RATES AND CHARGES</v>
      </c>
      <c r="B41" s="601"/>
      <c r="C41" s="601"/>
      <c r="D41" s="602"/>
      <c r="E41" s="53"/>
      <c r="F41" s="53"/>
      <c r="G41" s="53"/>
      <c r="H41" s="53"/>
      <c r="I41" s="53"/>
      <c r="J41" s="53"/>
      <c r="K41" s="53"/>
      <c r="L41" s="53"/>
      <c r="M41" s="53"/>
      <c r="N41" s="53"/>
      <c r="O41" s="53"/>
      <c r="P41" s="53"/>
      <c r="Q41" s="53"/>
      <c r="R41" s="53"/>
      <c r="S41" s="53"/>
      <c r="T41" s="53"/>
      <c r="U41" s="53"/>
      <c r="V41" s="53"/>
      <c r="W41" s="53"/>
      <c r="X41" s="53"/>
      <c r="Y41" s="53"/>
      <c r="Z41" s="53"/>
    </row>
    <row r="42" spans="1:26" ht="15.75" customHeight="1">
      <c r="A42" s="604" t="str">
        <f t="shared" si="0"/>
        <v>Effective and Implementation Date January 1, 2026</v>
      </c>
      <c r="B42" s="601"/>
      <c r="C42" s="601"/>
      <c r="D42" s="602"/>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5" t="str">
        <f t="shared" si="0"/>
        <v>This schedule supersedes and replaces all previously</v>
      </c>
      <c r="B43" s="601"/>
      <c r="C43" s="601"/>
      <c r="D43" s="602"/>
      <c r="E43" s="53"/>
      <c r="F43" s="53"/>
      <c r="G43" s="53"/>
      <c r="H43" s="53"/>
      <c r="I43" s="53"/>
      <c r="J43" s="53"/>
      <c r="K43" s="53"/>
      <c r="L43" s="53"/>
      <c r="M43" s="53"/>
      <c r="N43" s="53"/>
      <c r="O43" s="53"/>
      <c r="P43" s="53"/>
      <c r="Q43" s="53"/>
      <c r="R43" s="53"/>
      <c r="S43" s="53"/>
      <c r="T43" s="53"/>
      <c r="U43" s="53"/>
      <c r="V43" s="53"/>
      <c r="W43" s="53"/>
      <c r="X43" s="53"/>
      <c r="Y43" s="53"/>
      <c r="Z43" s="53"/>
    </row>
    <row r="44" spans="1:26" ht="11.25" customHeight="1">
      <c r="A44" s="605" t="str">
        <f t="shared" si="0"/>
        <v>approved schedules of Rates, Charges and Loss Factors</v>
      </c>
      <c r="B44" s="601"/>
      <c r="C44" s="601"/>
      <c r="D44" s="602"/>
      <c r="E44" s="53"/>
      <c r="F44" s="53"/>
      <c r="G44" s="53"/>
      <c r="H44" s="53"/>
      <c r="I44" s="53"/>
      <c r="J44" s="53"/>
      <c r="K44" s="53"/>
      <c r="L44" s="53"/>
      <c r="M44" s="53"/>
      <c r="N44" s="53"/>
      <c r="O44" s="53"/>
      <c r="P44" s="53"/>
      <c r="Q44" s="53"/>
      <c r="R44" s="53"/>
      <c r="S44" s="53"/>
      <c r="T44" s="53"/>
      <c r="U44" s="53"/>
      <c r="V44" s="53"/>
      <c r="W44" s="53"/>
      <c r="X44" s="53"/>
      <c r="Y44" s="53"/>
      <c r="Z44" s="53"/>
    </row>
    <row r="45" spans="1:26" ht="11.25" customHeight="1">
      <c r="A45" s="606" t="str">
        <f t="shared" si="0"/>
        <v>EB-2024-0115</v>
      </c>
      <c r="B45" s="601"/>
      <c r="C45" s="601"/>
      <c r="D45" s="602"/>
      <c r="E45" s="53"/>
      <c r="F45" s="53"/>
      <c r="G45" s="53"/>
      <c r="H45" s="53"/>
      <c r="I45" s="53"/>
      <c r="J45" s="53"/>
      <c r="K45" s="53"/>
      <c r="L45" s="53"/>
      <c r="M45" s="53"/>
      <c r="N45" s="53"/>
      <c r="O45" s="53"/>
      <c r="P45" s="53"/>
      <c r="Q45" s="53"/>
      <c r="R45" s="53"/>
      <c r="S45" s="53"/>
      <c r="T45" s="53"/>
      <c r="U45" s="53"/>
      <c r="V45" s="53"/>
      <c r="W45" s="53"/>
      <c r="X45" s="53"/>
      <c r="Y45" s="53"/>
      <c r="Z45" s="53"/>
    </row>
    <row r="46" spans="1:26" ht="18.75" customHeight="1">
      <c r="A46" s="607" t="s">
        <v>56</v>
      </c>
      <c r="B46" s="601"/>
      <c r="C46" s="601"/>
      <c r="D46" s="602"/>
      <c r="E46" s="71"/>
      <c r="F46" s="71"/>
      <c r="G46" s="71"/>
      <c r="H46" s="71"/>
      <c r="I46" s="71"/>
      <c r="J46" s="71"/>
      <c r="K46" s="71"/>
      <c r="L46" s="71"/>
      <c r="M46" s="71"/>
      <c r="N46" s="71"/>
      <c r="O46" s="71"/>
      <c r="P46" s="71"/>
      <c r="Q46" s="71"/>
      <c r="R46" s="71"/>
      <c r="S46" s="71"/>
      <c r="T46" s="71"/>
      <c r="U46" s="71"/>
      <c r="V46" s="71"/>
      <c r="W46" s="71"/>
      <c r="X46" s="71"/>
      <c r="Y46" s="71"/>
      <c r="Z46" s="71"/>
    </row>
    <row r="47" spans="1:26" ht="48" customHeight="1">
      <c r="A47" s="608" t="s">
        <v>57</v>
      </c>
      <c r="B47" s="601"/>
      <c r="C47" s="601"/>
      <c r="D47" s="602"/>
      <c r="E47" s="53"/>
      <c r="F47" s="53"/>
      <c r="G47" s="53"/>
      <c r="H47" s="53"/>
      <c r="I47" s="53"/>
      <c r="J47" s="53"/>
      <c r="K47" s="53"/>
      <c r="L47" s="53"/>
      <c r="M47" s="53"/>
      <c r="N47" s="53"/>
      <c r="O47" s="53"/>
      <c r="P47" s="53"/>
      <c r="Q47" s="53"/>
      <c r="R47" s="53"/>
      <c r="S47" s="53"/>
      <c r="T47" s="53"/>
      <c r="U47" s="53"/>
      <c r="V47" s="53"/>
      <c r="W47" s="53"/>
      <c r="X47" s="53"/>
      <c r="Y47" s="53"/>
      <c r="Z47" s="53"/>
    </row>
    <row r="48" spans="1:26" ht="6.75" customHeight="1">
      <c r="A48" s="54"/>
      <c r="B48" s="54"/>
      <c r="C48" s="54"/>
      <c r="D48" s="55"/>
      <c r="E48" s="53"/>
      <c r="F48" s="53"/>
      <c r="G48" s="53"/>
      <c r="H48" s="53"/>
      <c r="I48" s="53"/>
      <c r="J48" s="53"/>
      <c r="K48" s="53"/>
      <c r="L48" s="53"/>
      <c r="M48" s="53"/>
      <c r="N48" s="53"/>
      <c r="O48" s="53"/>
      <c r="P48" s="53"/>
      <c r="Q48" s="53"/>
      <c r="R48" s="53"/>
      <c r="S48" s="53"/>
      <c r="T48" s="53"/>
      <c r="U48" s="53"/>
      <c r="V48" s="53"/>
      <c r="W48" s="53"/>
      <c r="X48" s="53"/>
      <c r="Y48" s="53"/>
      <c r="Z48" s="53"/>
    </row>
    <row r="49" spans="1:26" ht="11.25" customHeight="1">
      <c r="A49" s="609" t="s">
        <v>34</v>
      </c>
      <c r="B49" s="601"/>
      <c r="C49" s="601"/>
      <c r="D49" s="602"/>
      <c r="E49" s="53"/>
      <c r="F49" s="53"/>
      <c r="G49" s="53"/>
      <c r="H49" s="53"/>
      <c r="I49" s="53"/>
      <c r="J49" s="53"/>
      <c r="K49" s="53"/>
      <c r="L49" s="53"/>
      <c r="M49" s="53"/>
      <c r="N49" s="53"/>
      <c r="O49" s="53"/>
      <c r="P49" s="53"/>
      <c r="Q49" s="53"/>
      <c r="R49" s="53"/>
      <c r="S49" s="53"/>
      <c r="T49" s="53"/>
      <c r="U49" s="53"/>
      <c r="V49" s="53"/>
      <c r="W49" s="53"/>
      <c r="X49" s="53"/>
      <c r="Y49" s="53"/>
      <c r="Z49" s="53"/>
    </row>
    <row r="50" spans="1:26" ht="6.75" customHeight="1">
      <c r="A50" s="56"/>
      <c r="B50" s="57"/>
      <c r="C50" s="57"/>
      <c r="D50" s="58"/>
      <c r="E50" s="53"/>
      <c r="F50" s="53"/>
      <c r="G50" s="53"/>
      <c r="H50" s="53"/>
      <c r="I50" s="53"/>
      <c r="J50" s="53"/>
      <c r="K50" s="53"/>
      <c r="L50" s="53"/>
      <c r="M50" s="53"/>
      <c r="N50" s="53"/>
      <c r="O50" s="53"/>
      <c r="P50" s="53"/>
      <c r="Q50" s="53"/>
      <c r="R50" s="53"/>
      <c r="S50" s="53"/>
      <c r="T50" s="53"/>
      <c r="U50" s="53"/>
      <c r="V50" s="53"/>
      <c r="W50" s="53"/>
      <c r="X50" s="53"/>
      <c r="Y50" s="53"/>
      <c r="Z50" s="53"/>
    </row>
    <row r="51" spans="1:26" ht="36" customHeight="1">
      <c r="A51" s="608" t="s">
        <v>35</v>
      </c>
      <c r="B51" s="601"/>
      <c r="C51" s="601"/>
      <c r="D51" s="602"/>
      <c r="E51" s="53"/>
      <c r="F51" s="53"/>
      <c r="G51" s="53"/>
      <c r="H51" s="53"/>
      <c r="I51" s="53"/>
      <c r="J51" s="53"/>
      <c r="K51" s="53"/>
      <c r="L51" s="53"/>
      <c r="M51" s="53"/>
      <c r="N51" s="53"/>
      <c r="O51" s="53"/>
      <c r="P51" s="53"/>
      <c r="Q51" s="53"/>
      <c r="R51" s="53"/>
      <c r="S51" s="53"/>
      <c r="T51" s="53"/>
      <c r="U51" s="53"/>
      <c r="V51" s="53"/>
      <c r="W51" s="53"/>
      <c r="X51" s="53"/>
      <c r="Y51" s="53"/>
      <c r="Z51" s="53"/>
    </row>
    <row r="52" spans="1:26" ht="6.75" customHeight="1">
      <c r="A52" s="54"/>
      <c r="B52" s="54"/>
      <c r="C52" s="54"/>
      <c r="D52" s="55"/>
      <c r="E52" s="53"/>
      <c r="F52" s="53"/>
      <c r="G52" s="53"/>
      <c r="H52" s="53"/>
      <c r="I52" s="53"/>
      <c r="J52" s="53"/>
      <c r="K52" s="53"/>
      <c r="L52" s="53"/>
      <c r="M52" s="53"/>
      <c r="N52" s="53"/>
      <c r="O52" s="53"/>
      <c r="P52" s="53"/>
      <c r="Q52" s="53"/>
      <c r="R52" s="53"/>
      <c r="S52" s="53"/>
      <c r="T52" s="53"/>
      <c r="U52" s="53"/>
      <c r="V52" s="53"/>
      <c r="W52" s="53"/>
      <c r="X52" s="53"/>
      <c r="Y52" s="53"/>
      <c r="Z52" s="53"/>
    </row>
    <row r="53" spans="1:26" ht="48" customHeight="1">
      <c r="A53" s="608" t="s">
        <v>36</v>
      </c>
      <c r="B53" s="601"/>
      <c r="C53" s="601"/>
      <c r="D53" s="602"/>
      <c r="E53" s="53"/>
      <c r="F53" s="53"/>
      <c r="G53" s="53"/>
      <c r="H53" s="53"/>
      <c r="I53" s="53"/>
      <c r="J53" s="53"/>
      <c r="K53" s="53"/>
      <c r="L53" s="53"/>
      <c r="M53" s="53"/>
      <c r="N53" s="53"/>
      <c r="O53" s="53"/>
      <c r="P53" s="53"/>
      <c r="Q53" s="53"/>
      <c r="R53" s="53"/>
      <c r="S53" s="53"/>
      <c r="T53" s="53"/>
      <c r="U53" s="53"/>
      <c r="V53" s="53"/>
      <c r="W53" s="53"/>
      <c r="X53" s="53"/>
      <c r="Y53" s="53"/>
      <c r="Z53" s="53"/>
    </row>
    <row r="54" spans="1:26" ht="6.75" customHeight="1">
      <c r="A54" s="54"/>
      <c r="B54" s="54"/>
      <c r="C54" s="54"/>
      <c r="D54" s="55"/>
      <c r="E54" s="53"/>
      <c r="F54" s="53"/>
      <c r="G54" s="53"/>
      <c r="H54" s="53"/>
      <c r="I54" s="53"/>
      <c r="J54" s="53"/>
      <c r="K54" s="53"/>
      <c r="L54" s="53"/>
      <c r="M54" s="53"/>
      <c r="N54" s="53"/>
      <c r="O54" s="53"/>
      <c r="P54" s="53"/>
      <c r="Q54" s="53"/>
      <c r="R54" s="53"/>
      <c r="S54" s="53"/>
      <c r="T54" s="53"/>
      <c r="U54" s="53"/>
      <c r="V54" s="53"/>
      <c r="W54" s="53"/>
      <c r="X54" s="53"/>
      <c r="Y54" s="53"/>
      <c r="Z54" s="53"/>
    </row>
    <row r="55" spans="1:26" ht="48" customHeight="1">
      <c r="A55" s="608" t="s">
        <v>37</v>
      </c>
      <c r="B55" s="601"/>
      <c r="C55" s="601"/>
      <c r="D55" s="602"/>
      <c r="E55" s="53"/>
      <c r="F55" s="53"/>
      <c r="G55" s="53"/>
      <c r="H55" s="53"/>
      <c r="I55" s="53"/>
      <c r="J55" s="53"/>
      <c r="K55" s="53"/>
      <c r="L55" s="53"/>
      <c r="M55" s="53"/>
      <c r="N55" s="53"/>
      <c r="O55" s="53"/>
      <c r="P55" s="53"/>
      <c r="Q55" s="53"/>
      <c r="R55" s="53"/>
      <c r="S55" s="53"/>
      <c r="T55" s="53"/>
      <c r="U55" s="53"/>
      <c r="V55" s="53"/>
      <c r="W55" s="53"/>
      <c r="X55" s="53"/>
      <c r="Y55" s="53"/>
      <c r="Z55" s="53"/>
    </row>
    <row r="56" spans="1:26" ht="6.75" customHeight="1">
      <c r="A56" s="54"/>
      <c r="B56" s="54"/>
      <c r="C56" s="54"/>
      <c r="D56" s="55"/>
      <c r="E56" s="53"/>
      <c r="F56" s="53"/>
      <c r="G56" s="53"/>
      <c r="H56" s="53"/>
      <c r="I56" s="53"/>
      <c r="J56" s="53"/>
      <c r="K56" s="53"/>
      <c r="L56" s="53"/>
      <c r="M56" s="53"/>
      <c r="N56" s="53"/>
      <c r="O56" s="53"/>
      <c r="P56" s="53"/>
      <c r="Q56" s="53"/>
      <c r="R56" s="53"/>
      <c r="S56" s="53"/>
      <c r="T56" s="53"/>
      <c r="U56" s="53"/>
      <c r="V56" s="53"/>
      <c r="W56" s="53"/>
      <c r="X56" s="53"/>
      <c r="Y56" s="53"/>
      <c r="Z56" s="53"/>
    </row>
    <row r="57" spans="1:26" ht="36" customHeight="1">
      <c r="A57" s="608" t="s">
        <v>58</v>
      </c>
      <c r="B57" s="601"/>
      <c r="C57" s="601"/>
      <c r="D57" s="602"/>
      <c r="E57" s="53"/>
      <c r="F57" s="53"/>
      <c r="G57" s="53"/>
      <c r="H57" s="53"/>
      <c r="I57" s="53"/>
      <c r="J57" s="53"/>
      <c r="K57" s="53"/>
      <c r="L57" s="53"/>
      <c r="M57" s="53"/>
      <c r="N57" s="53"/>
      <c r="O57" s="53"/>
      <c r="P57" s="53"/>
      <c r="Q57" s="53"/>
      <c r="R57" s="53"/>
      <c r="S57" s="53"/>
      <c r="T57" s="53"/>
      <c r="U57" s="53"/>
      <c r="V57" s="53"/>
      <c r="W57" s="53"/>
      <c r="X57" s="53"/>
      <c r="Y57" s="53"/>
      <c r="Z57" s="53"/>
    </row>
    <row r="58" spans="1:26" ht="6.75" customHeight="1">
      <c r="A58" s="54"/>
      <c r="B58" s="54"/>
      <c r="C58" s="54"/>
      <c r="D58" s="55"/>
      <c r="E58" s="53"/>
      <c r="F58" s="53"/>
      <c r="G58" s="53"/>
      <c r="H58" s="53"/>
      <c r="I58" s="53"/>
      <c r="J58" s="53"/>
      <c r="K58" s="53"/>
      <c r="L58" s="53"/>
      <c r="M58" s="53"/>
      <c r="N58" s="53"/>
      <c r="O58" s="53"/>
      <c r="P58" s="53"/>
      <c r="Q58" s="53"/>
      <c r="R58" s="53"/>
      <c r="S58" s="53"/>
      <c r="T58" s="53"/>
      <c r="U58" s="53"/>
      <c r="V58" s="53"/>
      <c r="W58" s="53"/>
      <c r="X58" s="53"/>
      <c r="Y58" s="53"/>
      <c r="Z58" s="53"/>
    </row>
    <row r="59" spans="1:26" ht="15" customHeight="1">
      <c r="A59" s="70" t="s">
        <v>39</v>
      </c>
      <c r="B59" s="63"/>
      <c r="C59" s="63"/>
      <c r="D59" s="72"/>
      <c r="E59" s="53"/>
      <c r="F59" s="53"/>
      <c r="G59" s="53"/>
      <c r="H59" s="53"/>
      <c r="I59" s="53"/>
      <c r="J59" s="53"/>
      <c r="K59" s="53"/>
      <c r="L59" s="53"/>
      <c r="M59" s="53"/>
      <c r="N59" s="53"/>
      <c r="O59" s="53"/>
      <c r="P59" s="53"/>
      <c r="Q59" s="53"/>
      <c r="R59" s="53"/>
      <c r="S59" s="53"/>
      <c r="T59" s="53"/>
      <c r="U59" s="53"/>
      <c r="V59" s="53"/>
      <c r="W59" s="53"/>
      <c r="X59" s="53"/>
      <c r="Y59" s="53"/>
      <c r="Z59" s="53"/>
    </row>
    <row r="60" spans="1:26" ht="6.75" customHeight="1">
      <c r="A60" s="59"/>
      <c r="B60" s="60"/>
      <c r="C60" s="60"/>
      <c r="D60" s="61"/>
      <c r="E60" s="53"/>
      <c r="F60" s="53"/>
      <c r="G60" s="53"/>
      <c r="H60" s="53"/>
      <c r="I60" s="53"/>
      <c r="J60" s="53"/>
      <c r="K60" s="53"/>
      <c r="L60" s="53"/>
      <c r="M60" s="53"/>
      <c r="N60" s="53"/>
      <c r="O60" s="53"/>
      <c r="P60" s="53"/>
      <c r="Q60" s="53"/>
      <c r="R60" s="53"/>
      <c r="S60" s="53"/>
      <c r="T60" s="53"/>
      <c r="U60" s="53"/>
      <c r="V60" s="53"/>
      <c r="W60" s="53"/>
      <c r="X60" s="53"/>
      <c r="Y60" s="53"/>
      <c r="Z60" s="53"/>
    </row>
    <row r="61" spans="1:26" ht="11.25" customHeight="1">
      <c r="A61" s="62" t="s">
        <v>40</v>
      </c>
      <c r="B61" s="63"/>
      <c r="C61" s="64" t="s">
        <v>41</v>
      </c>
      <c r="D61" s="65">
        <f>'Proposed Rates'!F9</f>
        <v>27.14</v>
      </c>
      <c r="E61" s="53"/>
      <c r="F61" s="53"/>
      <c r="G61" s="53"/>
      <c r="H61" s="53"/>
      <c r="I61" s="53"/>
      <c r="J61" s="53"/>
      <c r="K61" s="53"/>
      <c r="L61" s="53"/>
      <c r="M61" s="53"/>
      <c r="N61" s="53"/>
      <c r="O61" s="53"/>
      <c r="P61" s="53"/>
      <c r="Q61" s="53"/>
      <c r="R61" s="53"/>
      <c r="S61" s="53"/>
      <c r="T61" s="53"/>
      <c r="U61" s="53"/>
      <c r="V61" s="53"/>
      <c r="W61" s="53"/>
      <c r="X61" s="53"/>
      <c r="Y61" s="53"/>
      <c r="Z61" s="53"/>
    </row>
    <row r="62" spans="1:26" ht="11.25" customHeight="1">
      <c r="A62" s="62" t="s">
        <v>44</v>
      </c>
      <c r="B62" s="63"/>
      <c r="C62" s="64" t="s">
        <v>41</v>
      </c>
      <c r="D62" s="67">
        <f>'Proposed Rates'!F278</f>
        <v>0.42</v>
      </c>
      <c r="E62" s="53"/>
      <c r="F62" s="53"/>
      <c r="G62" s="53"/>
      <c r="H62" s="53"/>
      <c r="I62" s="53"/>
      <c r="J62" s="53"/>
      <c r="K62" s="53"/>
      <c r="L62" s="53"/>
      <c r="M62" s="53"/>
      <c r="N62" s="53"/>
      <c r="O62" s="53"/>
      <c r="P62" s="53"/>
      <c r="Q62" s="53"/>
      <c r="R62" s="53"/>
      <c r="S62" s="53"/>
      <c r="T62" s="53"/>
      <c r="U62" s="53"/>
      <c r="V62" s="53"/>
      <c r="W62" s="53"/>
      <c r="X62" s="53"/>
      <c r="Y62" s="53"/>
      <c r="Z62" s="53"/>
    </row>
    <row r="63" spans="1:26" ht="11.25" customHeight="1">
      <c r="A63" s="62" t="s">
        <v>59</v>
      </c>
      <c r="B63" s="63"/>
      <c r="C63" s="64" t="s">
        <v>46</v>
      </c>
      <c r="D63" s="66">
        <f>'Proposed Rates'!F22</f>
        <v>3.5200000000000002E-2</v>
      </c>
      <c r="E63" s="53"/>
      <c r="F63" s="53"/>
      <c r="G63" s="53"/>
      <c r="H63" s="53"/>
      <c r="I63" s="53"/>
      <c r="J63" s="53"/>
      <c r="K63" s="53"/>
      <c r="L63" s="53"/>
      <c r="M63" s="53"/>
      <c r="N63" s="53"/>
      <c r="O63" s="53"/>
      <c r="P63" s="53"/>
      <c r="Q63" s="53"/>
      <c r="R63" s="53"/>
      <c r="S63" s="53"/>
      <c r="T63" s="53"/>
      <c r="U63" s="53"/>
      <c r="V63" s="53"/>
      <c r="W63" s="53"/>
      <c r="X63" s="53"/>
      <c r="Y63" s="53"/>
      <c r="Z63" s="53"/>
    </row>
    <row r="64" spans="1:26" ht="11.25" customHeight="1">
      <c r="A64" s="62" t="s">
        <v>45</v>
      </c>
      <c r="B64" s="63"/>
      <c r="C64" s="64" t="s">
        <v>46</v>
      </c>
      <c r="D64" s="68">
        <f>'Proposed Rates'!F265</f>
        <v>6.0000000000000002E-5</v>
      </c>
      <c r="E64" s="53"/>
      <c r="F64" s="53"/>
      <c r="G64" s="53"/>
      <c r="H64" s="53"/>
      <c r="I64" s="53"/>
      <c r="J64" s="53"/>
      <c r="K64" s="53"/>
      <c r="L64" s="53"/>
      <c r="M64" s="53"/>
      <c r="N64" s="53"/>
      <c r="O64" s="53"/>
      <c r="P64" s="53"/>
      <c r="Q64" s="53"/>
      <c r="R64" s="53"/>
      <c r="S64" s="53"/>
      <c r="T64" s="53"/>
      <c r="U64" s="53"/>
      <c r="V64" s="53"/>
      <c r="W64" s="53"/>
      <c r="X64" s="53"/>
      <c r="Y64" s="53"/>
      <c r="Z64" s="53"/>
    </row>
    <row r="65" spans="1:16384" customFormat="1" ht="11.25" customHeight="1">
      <c r="A65" s="62" t="s">
        <v>47</v>
      </c>
      <c r="B65" s="63"/>
      <c r="C65" s="64" t="s">
        <v>46</v>
      </c>
      <c r="D65" s="66">
        <f>'Proposed Rates'!F38</f>
        <v>-5.0000000000000001E-4</v>
      </c>
      <c r="E65" s="53"/>
      <c r="F65" s="53"/>
      <c r="G65" s="53"/>
      <c r="H65" s="53"/>
      <c r="I65" s="53"/>
      <c r="J65" s="53"/>
      <c r="K65" s="53"/>
      <c r="L65" s="53"/>
      <c r="M65" s="53"/>
      <c r="N65" s="53"/>
      <c r="O65" s="53"/>
      <c r="P65" s="53"/>
      <c r="Q65" s="53"/>
      <c r="R65" s="53"/>
      <c r="S65" s="53"/>
      <c r="T65" s="53"/>
      <c r="U65" s="53"/>
      <c r="V65" s="53"/>
      <c r="W65" s="53"/>
      <c r="X65" s="53"/>
      <c r="Y65" s="53"/>
      <c r="Z65" s="53"/>
    </row>
    <row r="66" spans="1:16384" s="585" customFormat="1" ht="30.75" customHeight="1">
      <c r="A66" s="73" t="s">
        <v>433</v>
      </c>
      <c r="B66" s="63"/>
      <c r="C66" s="64" t="s">
        <v>46</v>
      </c>
      <c r="D66" s="66">
        <f>'Proposed Rates'!$F$103</f>
        <v>4.0000000000000002E-4</v>
      </c>
      <c r="E66" s="73"/>
      <c r="F66" s="63"/>
      <c r="G66" s="64"/>
      <c r="H66" s="66"/>
      <c r="I66" s="73"/>
      <c r="J66" s="63"/>
      <c r="K66" s="64"/>
      <c r="L66" s="66"/>
      <c r="M66" s="73"/>
      <c r="N66" s="63"/>
      <c r="O66" s="64"/>
      <c r="P66" s="66"/>
      <c r="Q66" s="73"/>
      <c r="R66" s="63"/>
      <c r="S66" s="64"/>
      <c r="T66" s="66"/>
      <c r="U66" s="73"/>
      <c r="V66" s="63"/>
      <c r="W66" s="64"/>
      <c r="X66" s="66"/>
      <c r="Y66" s="73"/>
      <c r="Z66" s="63"/>
      <c r="AA66" s="64"/>
      <c r="AB66" s="66"/>
      <c r="AC66" s="73"/>
      <c r="AD66" s="63"/>
      <c r="AE66" s="64"/>
      <c r="AF66" s="66"/>
      <c r="AG66" s="73"/>
      <c r="AH66" s="63"/>
      <c r="AI66" s="64"/>
      <c r="AJ66" s="66"/>
      <c r="AK66" s="73"/>
      <c r="AL66" s="63"/>
      <c r="AM66" s="64"/>
      <c r="AN66" s="66"/>
      <c r="AO66" s="73"/>
      <c r="AP66" s="63"/>
      <c r="AQ66" s="64"/>
      <c r="AR66" s="66"/>
      <c r="AS66" s="73"/>
      <c r="AT66" s="63"/>
      <c r="AU66" s="64"/>
      <c r="AV66" s="66"/>
      <c r="AW66" s="73"/>
      <c r="AX66" s="63"/>
      <c r="AY66" s="64"/>
      <c r="AZ66" s="66"/>
      <c r="BA66" s="73"/>
      <c r="BB66" s="63"/>
      <c r="BC66" s="64"/>
      <c r="BD66" s="66"/>
      <c r="BE66" s="73"/>
      <c r="BF66" s="63"/>
      <c r="BG66" s="64"/>
      <c r="BH66" s="66"/>
      <c r="BI66" s="73"/>
      <c r="BJ66" s="63"/>
      <c r="BK66" s="64"/>
      <c r="BL66" s="66"/>
      <c r="BM66" s="73"/>
      <c r="BN66" s="63"/>
      <c r="BO66" s="64"/>
      <c r="BP66" s="66"/>
      <c r="BQ66" s="73"/>
      <c r="BR66" s="63"/>
      <c r="BS66" s="64"/>
      <c r="BT66" s="66"/>
      <c r="BU66" s="73"/>
      <c r="BV66" s="63"/>
      <c r="BW66" s="64"/>
      <c r="BX66" s="66"/>
      <c r="BY66" s="73"/>
      <c r="BZ66" s="63"/>
      <c r="CA66" s="64"/>
      <c r="CB66" s="66"/>
      <c r="CC66" s="73"/>
      <c r="CD66" s="63"/>
      <c r="CE66" s="64"/>
      <c r="CF66" s="66"/>
      <c r="CG66" s="73"/>
      <c r="CH66" s="63"/>
      <c r="CI66" s="64"/>
      <c r="CJ66" s="66"/>
      <c r="CK66" s="73"/>
      <c r="CL66" s="63"/>
      <c r="CM66" s="64"/>
      <c r="CN66" s="66"/>
      <c r="CO66" s="73"/>
      <c r="CP66" s="63"/>
      <c r="CQ66" s="64"/>
      <c r="CR66" s="66"/>
      <c r="CS66" s="73"/>
      <c r="CT66" s="63"/>
      <c r="CU66" s="64"/>
      <c r="CV66" s="66"/>
      <c r="CW66" s="73"/>
      <c r="CX66" s="63"/>
      <c r="CY66" s="64"/>
      <c r="CZ66" s="66"/>
      <c r="DA66" s="73"/>
      <c r="DB66" s="63"/>
      <c r="DC66" s="64"/>
      <c r="DD66" s="66"/>
      <c r="DE66" s="73"/>
      <c r="DF66" s="63"/>
      <c r="DG66" s="64"/>
      <c r="DH66" s="66"/>
      <c r="DI66" s="73"/>
      <c r="DJ66" s="63"/>
      <c r="DK66" s="64"/>
      <c r="DL66" s="66"/>
      <c r="DM66" s="73"/>
      <c r="DN66" s="63"/>
      <c r="DO66" s="64"/>
      <c r="DP66" s="66"/>
      <c r="DQ66" s="73"/>
      <c r="DR66" s="63"/>
      <c r="DS66" s="64"/>
      <c r="DT66" s="66"/>
      <c r="DU66" s="73"/>
      <c r="DV66" s="63"/>
      <c r="DW66" s="64"/>
      <c r="DX66" s="66"/>
      <c r="DY66" s="73"/>
      <c r="DZ66" s="63"/>
      <c r="EA66" s="64"/>
      <c r="EB66" s="66"/>
      <c r="EC66" s="73"/>
      <c r="ED66" s="63"/>
      <c r="EE66" s="64"/>
      <c r="EF66" s="66"/>
      <c r="EG66" s="73"/>
      <c r="EH66" s="63"/>
      <c r="EI66" s="64"/>
      <c r="EJ66" s="66"/>
      <c r="EK66" s="73"/>
      <c r="EL66" s="63"/>
      <c r="EM66" s="64"/>
      <c r="EN66" s="66"/>
      <c r="EO66" s="73"/>
      <c r="EP66" s="63"/>
      <c r="EQ66" s="64"/>
      <c r="ER66" s="66"/>
      <c r="ES66" s="73"/>
      <c r="ET66" s="63"/>
      <c r="EU66" s="64"/>
      <c r="EV66" s="66"/>
      <c r="EW66" s="73"/>
      <c r="EX66" s="63"/>
      <c r="EY66" s="64"/>
      <c r="EZ66" s="66"/>
      <c r="FA66" s="73"/>
      <c r="FB66" s="63"/>
      <c r="FC66" s="64"/>
      <c r="FD66" s="66"/>
      <c r="FE66" s="73"/>
      <c r="FF66" s="63"/>
      <c r="FG66" s="64"/>
      <c r="FH66" s="66"/>
      <c r="FI66" s="73"/>
      <c r="FJ66" s="63"/>
      <c r="FK66" s="64"/>
      <c r="FL66" s="66"/>
      <c r="FM66" s="73"/>
      <c r="FN66" s="63"/>
      <c r="FO66" s="64"/>
      <c r="FP66" s="66"/>
      <c r="FQ66" s="73"/>
      <c r="FR66" s="63"/>
      <c r="FS66" s="64"/>
      <c r="FT66" s="66"/>
      <c r="FU66" s="73"/>
      <c r="FV66" s="63"/>
      <c r="FW66" s="64"/>
      <c r="FX66" s="66"/>
      <c r="FY66" s="73"/>
      <c r="FZ66" s="63"/>
      <c r="GA66" s="64"/>
      <c r="GB66" s="66"/>
      <c r="GC66" s="73"/>
      <c r="GD66" s="63"/>
      <c r="GE66" s="64"/>
      <c r="GF66" s="66"/>
      <c r="GG66" s="73"/>
      <c r="GH66" s="63"/>
      <c r="GI66" s="64"/>
      <c r="GJ66" s="66"/>
      <c r="GK66" s="73"/>
      <c r="GL66" s="63"/>
      <c r="GM66" s="64"/>
      <c r="GN66" s="66"/>
      <c r="GO66" s="73"/>
      <c r="GP66" s="63"/>
      <c r="GQ66" s="64"/>
      <c r="GR66" s="66"/>
      <c r="GS66" s="73"/>
      <c r="GT66" s="63"/>
      <c r="GU66" s="64"/>
      <c r="GV66" s="66"/>
      <c r="GW66" s="73"/>
      <c r="GX66" s="63"/>
      <c r="GY66" s="64"/>
      <c r="GZ66" s="66"/>
      <c r="HA66" s="73"/>
      <c r="HB66" s="63"/>
      <c r="HC66" s="64"/>
      <c r="HD66" s="66"/>
      <c r="HE66" s="73"/>
      <c r="HF66" s="63"/>
      <c r="HG66" s="64"/>
      <c r="HH66" s="66"/>
      <c r="HI66" s="73"/>
      <c r="HJ66" s="63"/>
      <c r="HK66" s="64"/>
      <c r="HL66" s="66"/>
      <c r="HM66" s="73"/>
      <c r="HN66" s="63"/>
      <c r="HO66" s="64"/>
      <c r="HP66" s="66"/>
      <c r="HQ66" s="73"/>
      <c r="HR66" s="63"/>
      <c r="HS66" s="64"/>
      <c r="HT66" s="66"/>
      <c r="HU66" s="73"/>
      <c r="HV66" s="63"/>
      <c r="HW66" s="64"/>
      <c r="HX66" s="66"/>
      <c r="HY66" s="73"/>
      <c r="HZ66" s="63"/>
      <c r="IA66" s="64"/>
      <c r="IB66" s="66"/>
      <c r="IC66" s="73"/>
      <c r="ID66" s="63"/>
      <c r="IE66" s="64"/>
      <c r="IF66" s="66"/>
      <c r="IG66" s="73"/>
      <c r="IH66" s="63"/>
      <c r="II66" s="64"/>
      <c r="IJ66" s="66"/>
      <c r="IK66" s="73"/>
      <c r="IL66" s="63"/>
      <c r="IM66" s="64"/>
      <c r="IN66" s="66"/>
      <c r="IO66" s="73"/>
      <c r="IP66" s="63"/>
      <c r="IQ66" s="64"/>
      <c r="IR66" s="66"/>
      <c r="IS66" s="73"/>
      <c r="IT66" s="63"/>
      <c r="IU66" s="64"/>
      <c r="IV66" s="66"/>
      <c r="IW66" s="73"/>
      <c r="IX66" s="63"/>
      <c r="IY66" s="64"/>
      <c r="IZ66" s="66"/>
      <c r="JA66" s="73"/>
      <c r="JB66" s="63"/>
      <c r="JC66" s="64"/>
      <c r="JD66" s="66"/>
      <c r="JE66" s="73"/>
      <c r="JF66" s="63"/>
      <c r="JG66" s="64"/>
      <c r="JH66" s="66"/>
      <c r="JI66" s="73"/>
      <c r="JJ66" s="63"/>
      <c r="JK66" s="64"/>
      <c r="JL66" s="66"/>
      <c r="JM66" s="73"/>
      <c r="JN66" s="63"/>
      <c r="JO66" s="64"/>
      <c r="JP66" s="66"/>
      <c r="JQ66" s="73"/>
      <c r="JR66" s="63"/>
      <c r="JS66" s="64"/>
      <c r="JT66" s="66"/>
      <c r="JU66" s="73"/>
      <c r="JV66" s="63"/>
      <c r="JW66" s="64"/>
      <c r="JX66" s="66"/>
      <c r="JY66" s="73"/>
      <c r="JZ66" s="63"/>
      <c r="KA66" s="64"/>
      <c r="KB66" s="66"/>
      <c r="KC66" s="73"/>
      <c r="KD66" s="63"/>
      <c r="KE66" s="64"/>
      <c r="KF66" s="66"/>
      <c r="KG66" s="73"/>
      <c r="KH66" s="63"/>
      <c r="KI66" s="64"/>
      <c r="KJ66" s="66"/>
      <c r="KK66" s="73"/>
      <c r="KL66" s="63"/>
      <c r="KM66" s="64"/>
      <c r="KN66" s="66"/>
      <c r="KO66" s="73"/>
      <c r="KP66" s="63"/>
      <c r="KQ66" s="64"/>
      <c r="KR66" s="66"/>
      <c r="KS66" s="73"/>
      <c r="KT66" s="63"/>
      <c r="KU66" s="64"/>
      <c r="KV66" s="66"/>
      <c r="KW66" s="73"/>
      <c r="KX66" s="63"/>
      <c r="KY66" s="64"/>
      <c r="KZ66" s="66"/>
      <c r="LA66" s="73"/>
      <c r="LB66" s="63"/>
      <c r="LC66" s="64"/>
      <c r="LD66" s="66"/>
      <c r="LE66" s="73"/>
      <c r="LF66" s="63"/>
      <c r="LG66" s="64"/>
      <c r="LH66" s="66"/>
      <c r="LI66" s="73"/>
      <c r="LJ66" s="63"/>
      <c r="LK66" s="64"/>
      <c r="LL66" s="66"/>
      <c r="LM66" s="73"/>
      <c r="LN66" s="63"/>
      <c r="LO66" s="64"/>
      <c r="LP66" s="66"/>
      <c r="LQ66" s="73"/>
      <c r="LR66" s="63"/>
      <c r="LS66" s="64"/>
      <c r="LT66" s="66"/>
      <c r="LU66" s="73"/>
      <c r="LV66" s="63"/>
      <c r="LW66" s="64"/>
      <c r="LX66" s="66"/>
      <c r="LY66" s="73"/>
      <c r="LZ66" s="63"/>
      <c r="MA66" s="64"/>
      <c r="MB66" s="66"/>
      <c r="MC66" s="73"/>
      <c r="MD66" s="63"/>
      <c r="ME66" s="64"/>
      <c r="MF66" s="66"/>
      <c r="MG66" s="73"/>
      <c r="MH66" s="63"/>
      <c r="MI66" s="64"/>
      <c r="MJ66" s="66"/>
      <c r="MK66" s="73"/>
      <c r="ML66" s="63"/>
      <c r="MM66" s="64"/>
      <c r="MN66" s="66"/>
      <c r="MO66" s="73"/>
      <c r="MP66" s="63"/>
      <c r="MQ66" s="64"/>
      <c r="MR66" s="66"/>
      <c r="MS66" s="73"/>
      <c r="MT66" s="63"/>
      <c r="MU66" s="64"/>
      <c r="MV66" s="66"/>
      <c r="MW66" s="73"/>
      <c r="MX66" s="63"/>
      <c r="MY66" s="64"/>
      <c r="MZ66" s="66"/>
      <c r="NA66" s="73"/>
      <c r="NB66" s="63"/>
      <c r="NC66" s="64"/>
      <c r="ND66" s="66"/>
      <c r="NE66" s="73"/>
      <c r="NF66" s="63"/>
      <c r="NG66" s="64"/>
      <c r="NH66" s="66"/>
      <c r="NI66" s="73"/>
      <c r="NJ66" s="63"/>
      <c r="NK66" s="64"/>
      <c r="NL66" s="66"/>
      <c r="NM66" s="73"/>
      <c r="NN66" s="63"/>
      <c r="NO66" s="64"/>
      <c r="NP66" s="66"/>
      <c r="NQ66" s="73"/>
      <c r="NR66" s="63"/>
      <c r="NS66" s="64"/>
      <c r="NT66" s="66"/>
      <c r="NU66" s="73"/>
      <c r="NV66" s="63"/>
      <c r="NW66" s="64"/>
      <c r="NX66" s="66"/>
      <c r="NY66" s="73"/>
      <c r="NZ66" s="63"/>
      <c r="OA66" s="64"/>
      <c r="OB66" s="66"/>
      <c r="OC66" s="73"/>
      <c r="OD66" s="63"/>
      <c r="OE66" s="64"/>
      <c r="OF66" s="66"/>
      <c r="OG66" s="73"/>
      <c r="OH66" s="63"/>
      <c r="OI66" s="64"/>
      <c r="OJ66" s="66"/>
      <c r="OK66" s="73"/>
      <c r="OL66" s="63"/>
      <c r="OM66" s="64"/>
      <c r="ON66" s="66"/>
      <c r="OO66" s="73"/>
      <c r="OP66" s="63"/>
      <c r="OQ66" s="64"/>
      <c r="OR66" s="66"/>
      <c r="OS66" s="73"/>
      <c r="OT66" s="63"/>
      <c r="OU66" s="64"/>
      <c r="OV66" s="66"/>
      <c r="OW66" s="73"/>
      <c r="OX66" s="63"/>
      <c r="OY66" s="64"/>
      <c r="OZ66" s="66"/>
      <c r="PA66" s="73"/>
      <c r="PB66" s="63"/>
      <c r="PC66" s="64"/>
      <c r="PD66" s="66"/>
      <c r="PE66" s="73"/>
      <c r="PF66" s="63"/>
      <c r="PG66" s="64"/>
      <c r="PH66" s="66"/>
      <c r="PI66" s="73"/>
      <c r="PJ66" s="63"/>
      <c r="PK66" s="64"/>
      <c r="PL66" s="66"/>
      <c r="PM66" s="73"/>
      <c r="PN66" s="63"/>
      <c r="PO66" s="64"/>
      <c r="PP66" s="66"/>
      <c r="PQ66" s="73"/>
      <c r="PR66" s="63"/>
      <c r="PS66" s="64"/>
      <c r="PT66" s="66"/>
      <c r="PU66" s="73"/>
      <c r="PV66" s="63"/>
      <c r="PW66" s="64"/>
      <c r="PX66" s="66"/>
      <c r="PY66" s="73"/>
      <c r="PZ66" s="63"/>
      <c r="QA66" s="64"/>
      <c r="QB66" s="66"/>
      <c r="QC66" s="73"/>
      <c r="QD66" s="63"/>
      <c r="QE66" s="64"/>
      <c r="QF66" s="66"/>
      <c r="QG66" s="73"/>
      <c r="QH66" s="63"/>
      <c r="QI66" s="64"/>
      <c r="QJ66" s="66"/>
      <c r="QK66" s="73"/>
      <c r="QL66" s="63"/>
      <c r="QM66" s="64"/>
      <c r="QN66" s="66"/>
      <c r="QO66" s="73"/>
      <c r="QP66" s="63"/>
      <c r="QQ66" s="64"/>
      <c r="QR66" s="66"/>
      <c r="QS66" s="73"/>
      <c r="QT66" s="63"/>
      <c r="QU66" s="64"/>
      <c r="QV66" s="66"/>
      <c r="QW66" s="73"/>
      <c r="QX66" s="63"/>
      <c r="QY66" s="64"/>
      <c r="QZ66" s="66"/>
      <c r="RA66" s="73"/>
      <c r="RB66" s="63"/>
      <c r="RC66" s="64"/>
      <c r="RD66" s="66"/>
      <c r="RE66" s="73"/>
      <c r="RF66" s="63"/>
      <c r="RG66" s="64"/>
      <c r="RH66" s="66"/>
      <c r="RI66" s="73"/>
      <c r="RJ66" s="63"/>
      <c r="RK66" s="64"/>
      <c r="RL66" s="66"/>
      <c r="RM66" s="73"/>
      <c r="RN66" s="63"/>
      <c r="RO66" s="64"/>
      <c r="RP66" s="66"/>
      <c r="RQ66" s="73"/>
      <c r="RR66" s="63"/>
      <c r="RS66" s="64"/>
      <c r="RT66" s="66"/>
      <c r="RU66" s="73"/>
      <c r="RV66" s="63"/>
      <c r="RW66" s="64"/>
      <c r="RX66" s="66"/>
      <c r="RY66" s="73"/>
      <c r="RZ66" s="63"/>
      <c r="SA66" s="64"/>
      <c r="SB66" s="66"/>
      <c r="SC66" s="73"/>
      <c r="SD66" s="63"/>
      <c r="SE66" s="64"/>
      <c r="SF66" s="66"/>
      <c r="SG66" s="73"/>
      <c r="SH66" s="63"/>
      <c r="SI66" s="64"/>
      <c r="SJ66" s="66"/>
      <c r="SK66" s="73"/>
      <c r="SL66" s="63"/>
      <c r="SM66" s="64"/>
      <c r="SN66" s="66"/>
      <c r="SO66" s="73"/>
      <c r="SP66" s="63"/>
      <c r="SQ66" s="64"/>
      <c r="SR66" s="66"/>
      <c r="SS66" s="73"/>
      <c r="ST66" s="63"/>
      <c r="SU66" s="64"/>
      <c r="SV66" s="66"/>
      <c r="SW66" s="73"/>
      <c r="SX66" s="63"/>
      <c r="SY66" s="64"/>
      <c r="SZ66" s="66"/>
      <c r="TA66" s="73"/>
      <c r="TB66" s="63"/>
      <c r="TC66" s="64"/>
      <c r="TD66" s="66"/>
      <c r="TE66" s="73"/>
      <c r="TF66" s="63"/>
      <c r="TG66" s="64"/>
      <c r="TH66" s="66"/>
      <c r="TI66" s="73"/>
      <c r="TJ66" s="63"/>
      <c r="TK66" s="64"/>
      <c r="TL66" s="66"/>
      <c r="TM66" s="73"/>
      <c r="TN66" s="63"/>
      <c r="TO66" s="64"/>
      <c r="TP66" s="66"/>
      <c r="TQ66" s="73"/>
      <c r="TR66" s="63"/>
      <c r="TS66" s="64"/>
      <c r="TT66" s="66"/>
      <c r="TU66" s="73"/>
      <c r="TV66" s="63"/>
      <c r="TW66" s="64"/>
      <c r="TX66" s="66"/>
      <c r="TY66" s="73"/>
      <c r="TZ66" s="63"/>
      <c r="UA66" s="64"/>
      <c r="UB66" s="66"/>
      <c r="UC66" s="73"/>
      <c r="UD66" s="63"/>
      <c r="UE66" s="64"/>
      <c r="UF66" s="66"/>
      <c r="UG66" s="73"/>
      <c r="UH66" s="63"/>
      <c r="UI66" s="64"/>
      <c r="UJ66" s="66"/>
      <c r="UK66" s="73"/>
      <c r="UL66" s="63"/>
      <c r="UM66" s="64"/>
      <c r="UN66" s="66"/>
      <c r="UO66" s="73"/>
      <c r="UP66" s="63"/>
      <c r="UQ66" s="64"/>
      <c r="UR66" s="66"/>
      <c r="US66" s="73"/>
      <c r="UT66" s="63"/>
      <c r="UU66" s="64"/>
      <c r="UV66" s="66"/>
      <c r="UW66" s="73"/>
      <c r="UX66" s="63"/>
      <c r="UY66" s="64"/>
      <c r="UZ66" s="66"/>
      <c r="VA66" s="73"/>
      <c r="VB66" s="63"/>
      <c r="VC66" s="64"/>
      <c r="VD66" s="66"/>
      <c r="VE66" s="73"/>
      <c r="VF66" s="63"/>
      <c r="VG66" s="64"/>
      <c r="VH66" s="66"/>
      <c r="VI66" s="73"/>
      <c r="VJ66" s="63"/>
      <c r="VK66" s="64"/>
      <c r="VL66" s="66"/>
      <c r="VM66" s="73"/>
      <c r="VN66" s="63"/>
      <c r="VO66" s="64"/>
      <c r="VP66" s="66"/>
      <c r="VQ66" s="73"/>
      <c r="VR66" s="63"/>
      <c r="VS66" s="64"/>
      <c r="VT66" s="66"/>
      <c r="VU66" s="73"/>
      <c r="VV66" s="63"/>
      <c r="VW66" s="64"/>
      <c r="VX66" s="66"/>
      <c r="VY66" s="73"/>
      <c r="VZ66" s="63"/>
      <c r="WA66" s="64"/>
      <c r="WB66" s="66"/>
      <c r="WC66" s="73"/>
      <c r="WD66" s="63"/>
      <c r="WE66" s="64"/>
      <c r="WF66" s="66"/>
      <c r="WG66" s="73"/>
      <c r="WH66" s="63"/>
      <c r="WI66" s="64"/>
      <c r="WJ66" s="66"/>
      <c r="WK66" s="73"/>
      <c r="WL66" s="63"/>
      <c r="WM66" s="64"/>
      <c r="WN66" s="66"/>
      <c r="WO66" s="73"/>
      <c r="WP66" s="63"/>
      <c r="WQ66" s="64"/>
      <c r="WR66" s="66"/>
      <c r="WS66" s="73"/>
      <c r="WT66" s="63"/>
      <c r="WU66" s="64"/>
      <c r="WV66" s="66"/>
      <c r="WW66" s="73"/>
      <c r="WX66" s="63"/>
      <c r="WY66" s="64"/>
      <c r="WZ66" s="66"/>
      <c r="XA66" s="73"/>
      <c r="XB66" s="63"/>
      <c r="XC66" s="64"/>
      <c r="XD66" s="66"/>
      <c r="XE66" s="73"/>
      <c r="XF66" s="63"/>
      <c r="XG66" s="64"/>
      <c r="XH66" s="66"/>
      <c r="XI66" s="73"/>
      <c r="XJ66" s="63"/>
      <c r="XK66" s="64"/>
      <c r="XL66" s="66"/>
      <c r="XM66" s="73"/>
      <c r="XN66" s="63"/>
      <c r="XO66" s="64"/>
      <c r="XP66" s="66"/>
      <c r="XQ66" s="73"/>
      <c r="XR66" s="63"/>
      <c r="XS66" s="64"/>
      <c r="XT66" s="66"/>
      <c r="XU66" s="73"/>
      <c r="XV66" s="63"/>
      <c r="XW66" s="64"/>
      <c r="XX66" s="66"/>
      <c r="XY66" s="73"/>
      <c r="XZ66" s="63"/>
      <c r="YA66" s="64"/>
      <c r="YB66" s="66"/>
      <c r="YC66" s="73"/>
      <c r="YD66" s="63"/>
      <c r="YE66" s="64"/>
      <c r="YF66" s="66"/>
      <c r="YG66" s="73"/>
      <c r="YH66" s="63"/>
      <c r="YI66" s="64"/>
      <c r="YJ66" s="66"/>
      <c r="YK66" s="73"/>
      <c r="YL66" s="63"/>
      <c r="YM66" s="64"/>
      <c r="YN66" s="66"/>
      <c r="YO66" s="73"/>
      <c r="YP66" s="63"/>
      <c r="YQ66" s="64"/>
      <c r="YR66" s="66"/>
      <c r="YS66" s="73"/>
      <c r="YT66" s="63"/>
      <c r="YU66" s="64"/>
      <c r="YV66" s="66"/>
      <c r="YW66" s="73"/>
      <c r="YX66" s="63"/>
      <c r="YY66" s="64"/>
      <c r="YZ66" s="66"/>
      <c r="ZA66" s="73"/>
      <c r="ZB66" s="63"/>
      <c r="ZC66" s="64"/>
      <c r="ZD66" s="66"/>
      <c r="ZE66" s="73"/>
      <c r="ZF66" s="63"/>
      <c r="ZG66" s="64"/>
      <c r="ZH66" s="66"/>
      <c r="ZI66" s="73"/>
      <c r="ZJ66" s="63"/>
      <c r="ZK66" s="64"/>
      <c r="ZL66" s="66"/>
      <c r="ZM66" s="73"/>
      <c r="ZN66" s="63"/>
      <c r="ZO66" s="64"/>
      <c r="ZP66" s="66"/>
      <c r="ZQ66" s="73"/>
      <c r="ZR66" s="63"/>
      <c r="ZS66" s="64"/>
      <c r="ZT66" s="66"/>
      <c r="ZU66" s="73"/>
      <c r="ZV66" s="63"/>
      <c r="ZW66" s="64"/>
      <c r="ZX66" s="66"/>
      <c r="ZY66" s="73"/>
      <c r="ZZ66" s="63"/>
      <c r="AAA66" s="64"/>
      <c r="AAB66" s="66"/>
      <c r="AAC66" s="73"/>
      <c r="AAD66" s="63"/>
      <c r="AAE66" s="64"/>
      <c r="AAF66" s="66"/>
      <c r="AAG66" s="73"/>
      <c r="AAH66" s="63"/>
      <c r="AAI66" s="64"/>
      <c r="AAJ66" s="66"/>
      <c r="AAK66" s="73"/>
      <c r="AAL66" s="63"/>
      <c r="AAM66" s="64"/>
      <c r="AAN66" s="66"/>
      <c r="AAO66" s="73"/>
      <c r="AAP66" s="63"/>
      <c r="AAQ66" s="64"/>
      <c r="AAR66" s="66"/>
      <c r="AAS66" s="73"/>
      <c r="AAT66" s="63"/>
      <c r="AAU66" s="64"/>
      <c r="AAV66" s="66"/>
      <c r="AAW66" s="73"/>
      <c r="AAX66" s="63"/>
      <c r="AAY66" s="64"/>
      <c r="AAZ66" s="66"/>
      <c r="ABA66" s="73"/>
      <c r="ABB66" s="63"/>
      <c r="ABC66" s="64"/>
      <c r="ABD66" s="66"/>
      <c r="ABE66" s="73"/>
      <c r="ABF66" s="63"/>
      <c r="ABG66" s="64"/>
      <c r="ABH66" s="66"/>
      <c r="ABI66" s="73"/>
      <c r="ABJ66" s="63"/>
      <c r="ABK66" s="64"/>
      <c r="ABL66" s="66"/>
      <c r="ABM66" s="73"/>
      <c r="ABN66" s="63"/>
      <c r="ABO66" s="64"/>
      <c r="ABP66" s="66"/>
      <c r="ABQ66" s="73"/>
      <c r="ABR66" s="63"/>
      <c r="ABS66" s="64"/>
      <c r="ABT66" s="66"/>
      <c r="ABU66" s="73"/>
      <c r="ABV66" s="63"/>
      <c r="ABW66" s="64"/>
      <c r="ABX66" s="66"/>
      <c r="ABY66" s="73"/>
      <c r="ABZ66" s="63"/>
      <c r="ACA66" s="64"/>
      <c r="ACB66" s="66"/>
      <c r="ACC66" s="73"/>
      <c r="ACD66" s="63"/>
      <c r="ACE66" s="64"/>
      <c r="ACF66" s="66"/>
      <c r="ACG66" s="73"/>
      <c r="ACH66" s="63"/>
      <c r="ACI66" s="64"/>
      <c r="ACJ66" s="66"/>
      <c r="ACK66" s="73"/>
      <c r="ACL66" s="63"/>
      <c r="ACM66" s="64"/>
      <c r="ACN66" s="66"/>
      <c r="ACO66" s="73"/>
      <c r="ACP66" s="63"/>
      <c r="ACQ66" s="64"/>
      <c r="ACR66" s="66"/>
      <c r="ACS66" s="73"/>
      <c r="ACT66" s="63"/>
      <c r="ACU66" s="64"/>
      <c r="ACV66" s="66"/>
      <c r="ACW66" s="73"/>
      <c r="ACX66" s="63"/>
      <c r="ACY66" s="64"/>
      <c r="ACZ66" s="66"/>
      <c r="ADA66" s="73"/>
      <c r="ADB66" s="63"/>
      <c r="ADC66" s="64"/>
      <c r="ADD66" s="66"/>
      <c r="ADE66" s="73"/>
      <c r="ADF66" s="63"/>
      <c r="ADG66" s="64"/>
      <c r="ADH66" s="66"/>
      <c r="ADI66" s="73"/>
      <c r="ADJ66" s="63"/>
      <c r="ADK66" s="64"/>
      <c r="ADL66" s="66"/>
      <c r="ADM66" s="73"/>
      <c r="ADN66" s="63"/>
      <c r="ADO66" s="64"/>
      <c r="ADP66" s="66"/>
      <c r="ADQ66" s="73"/>
      <c r="ADR66" s="63"/>
      <c r="ADS66" s="64"/>
      <c r="ADT66" s="66"/>
      <c r="ADU66" s="73"/>
      <c r="ADV66" s="63"/>
      <c r="ADW66" s="64"/>
      <c r="ADX66" s="66"/>
      <c r="ADY66" s="73"/>
      <c r="ADZ66" s="63"/>
      <c r="AEA66" s="64"/>
      <c r="AEB66" s="66"/>
      <c r="AEC66" s="73"/>
      <c r="AED66" s="63"/>
      <c r="AEE66" s="64"/>
      <c r="AEF66" s="66"/>
      <c r="AEG66" s="73"/>
      <c r="AEH66" s="63"/>
      <c r="AEI66" s="64"/>
      <c r="AEJ66" s="66"/>
      <c r="AEK66" s="73"/>
      <c r="AEL66" s="63"/>
      <c r="AEM66" s="64"/>
      <c r="AEN66" s="66"/>
      <c r="AEO66" s="73"/>
      <c r="AEP66" s="63"/>
      <c r="AEQ66" s="64"/>
      <c r="AER66" s="66"/>
      <c r="AES66" s="73"/>
      <c r="AET66" s="63"/>
      <c r="AEU66" s="64"/>
      <c r="AEV66" s="66"/>
      <c r="AEW66" s="73"/>
      <c r="AEX66" s="63"/>
      <c r="AEY66" s="64"/>
      <c r="AEZ66" s="66"/>
      <c r="AFA66" s="73"/>
      <c r="AFB66" s="63"/>
      <c r="AFC66" s="64"/>
      <c r="AFD66" s="66"/>
      <c r="AFE66" s="73"/>
      <c r="AFF66" s="63"/>
      <c r="AFG66" s="64"/>
      <c r="AFH66" s="66"/>
      <c r="AFI66" s="73"/>
      <c r="AFJ66" s="63"/>
      <c r="AFK66" s="64"/>
      <c r="AFL66" s="66"/>
      <c r="AFM66" s="73"/>
      <c r="AFN66" s="63"/>
      <c r="AFO66" s="64"/>
      <c r="AFP66" s="66"/>
      <c r="AFQ66" s="73"/>
      <c r="AFR66" s="63"/>
      <c r="AFS66" s="64"/>
      <c r="AFT66" s="66"/>
      <c r="AFU66" s="73"/>
      <c r="AFV66" s="63"/>
      <c r="AFW66" s="64"/>
      <c r="AFX66" s="66"/>
      <c r="AFY66" s="73"/>
      <c r="AFZ66" s="63"/>
      <c r="AGA66" s="64"/>
      <c r="AGB66" s="66"/>
      <c r="AGC66" s="73"/>
      <c r="AGD66" s="63"/>
      <c r="AGE66" s="64"/>
      <c r="AGF66" s="66"/>
      <c r="AGG66" s="73"/>
      <c r="AGH66" s="63"/>
      <c r="AGI66" s="64"/>
      <c r="AGJ66" s="66"/>
      <c r="AGK66" s="73"/>
      <c r="AGL66" s="63"/>
      <c r="AGM66" s="64"/>
      <c r="AGN66" s="66"/>
      <c r="AGO66" s="73"/>
      <c r="AGP66" s="63"/>
      <c r="AGQ66" s="64"/>
      <c r="AGR66" s="66"/>
      <c r="AGS66" s="73"/>
      <c r="AGT66" s="63"/>
      <c r="AGU66" s="64"/>
      <c r="AGV66" s="66"/>
      <c r="AGW66" s="73"/>
      <c r="AGX66" s="63"/>
      <c r="AGY66" s="64"/>
      <c r="AGZ66" s="66"/>
      <c r="AHA66" s="73"/>
      <c r="AHB66" s="63"/>
      <c r="AHC66" s="64"/>
      <c r="AHD66" s="66"/>
      <c r="AHE66" s="73"/>
      <c r="AHF66" s="63"/>
      <c r="AHG66" s="64"/>
      <c r="AHH66" s="66"/>
      <c r="AHI66" s="73"/>
      <c r="AHJ66" s="63"/>
      <c r="AHK66" s="64"/>
      <c r="AHL66" s="66"/>
      <c r="AHM66" s="73"/>
      <c r="AHN66" s="63"/>
      <c r="AHO66" s="64"/>
      <c r="AHP66" s="66"/>
      <c r="AHQ66" s="73"/>
      <c r="AHR66" s="63"/>
      <c r="AHS66" s="64"/>
      <c r="AHT66" s="66"/>
      <c r="AHU66" s="73"/>
      <c r="AHV66" s="63"/>
      <c r="AHW66" s="64"/>
      <c r="AHX66" s="66"/>
      <c r="AHY66" s="73"/>
      <c r="AHZ66" s="63"/>
      <c r="AIA66" s="64"/>
      <c r="AIB66" s="66"/>
      <c r="AIC66" s="73"/>
      <c r="AID66" s="63"/>
      <c r="AIE66" s="64"/>
      <c r="AIF66" s="66"/>
      <c r="AIG66" s="73"/>
      <c r="AIH66" s="63"/>
      <c r="AII66" s="64"/>
      <c r="AIJ66" s="66"/>
      <c r="AIK66" s="73"/>
      <c r="AIL66" s="63"/>
      <c r="AIM66" s="64"/>
      <c r="AIN66" s="66"/>
      <c r="AIO66" s="73"/>
      <c r="AIP66" s="63"/>
      <c r="AIQ66" s="64"/>
      <c r="AIR66" s="66"/>
      <c r="AIS66" s="73"/>
      <c r="AIT66" s="63"/>
      <c r="AIU66" s="64"/>
      <c r="AIV66" s="66"/>
      <c r="AIW66" s="73"/>
      <c r="AIX66" s="63"/>
      <c r="AIY66" s="64"/>
      <c r="AIZ66" s="66"/>
      <c r="AJA66" s="73"/>
      <c r="AJB66" s="63"/>
      <c r="AJC66" s="64"/>
      <c r="AJD66" s="66"/>
      <c r="AJE66" s="73"/>
      <c r="AJF66" s="63"/>
      <c r="AJG66" s="64"/>
      <c r="AJH66" s="66"/>
      <c r="AJI66" s="73"/>
      <c r="AJJ66" s="63"/>
      <c r="AJK66" s="64"/>
      <c r="AJL66" s="66"/>
      <c r="AJM66" s="73"/>
      <c r="AJN66" s="63"/>
      <c r="AJO66" s="64"/>
      <c r="AJP66" s="66"/>
      <c r="AJQ66" s="73"/>
      <c r="AJR66" s="63"/>
      <c r="AJS66" s="64"/>
      <c r="AJT66" s="66"/>
      <c r="AJU66" s="73"/>
      <c r="AJV66" s="63"/>
      <c r="AJW66" s="64"/>
      <c r="AJX66" s="66"/>
      <c r="AJY66" s="73"/>
      <c r="AJZ66" s="63"/>
      <c r="AKA66" s="64"/>
      <c r="AKB66" s="66"/>
      <c r="AKC66" s="73"/>
      <c r="AKD66" s="63"/>
      <c r="AKE66" s="64"/>
      <c r="AKF66" s="66"/>
      <c r="AKG66" s="73"/>
      <c r="AKH66" s="63"/>
      <c r="AKI66" s="64"/>
      <c r="AKJ66" s="66"/>
      <c r="AKK66" s="73"/>
      <c r="AKL66" s="63"/>
      <c r="AKM66" s="64"/>
      <c r="AKN66" s="66"/>
      <c r="AKO66" s="73"/>
      <c r="AKP66" s="63"/>
      <c r="AKQ66" s="64"/>
      <c r="AKR66" s="66"/>
      <c r="AKS66" s="73"/>
      <c r="AKT66" s="63"/>
      <c r="AKU66" s="64"/>
      <c r="AKV66" s="66"/>
      <c r="AKW66" s="73"/>
      <c r="AKX66" s="63"/>
      <c r="AKY66" s="64"/>
      <c r="AKZ66" s="66"/>
      <c r="ALA66" s="73"/>
      <c r="ALB66" s="63"/>
      <c r="ALC66" s="64"/>
      <c r="ALD66" s="66"/>
      <c r="ALE66" s="73"/>
      <c r="ALF66" s="63"/>
      <c r="ALG66" s="64"/>
      <c r="ALH66" s="66"/>
      <c r="ALI66" s="73"/>
      <c r="ALJ66" s="63"/>
      <c r="ALK66" s="64"/>
      <c r="ALL66" s="66"/>
      <c r="ALM66" s="73"/>
      <c r="ALN66" s="63"/>
      <c r="ALO66" s="64"/>
      <c r="ALP66" s="66"/>
      <c r="ALQ66" s="73"/>
      <c r="ALR66" s="63"/>
      <c r="ALS66" s="64"/>
      <c r="ALT66" s="66"/>
      <c r="ALU66" s="73"/>
      <c r="ALV66" s="63"/>
      <c r="ALW66" s="64"/>
      <c r="ALX66" s="66"/>
      <c r="ALY66" s="73"/>
      <c r="ALZ66" s="63"/>
      <c r="AMA66" s="64"/>
      <c r="AMB66" s="66"/>
      <c r="AMC66" s="73"/>
      <c r="AMD66" s="63"/>
      <c r="AME66" s="64"/>
      <c r="AMF66" s="66"/>
      <c r="AMG66" s="73"/>
      <c r="AMH66" s="63"/>
      <c r="AMI66" s="64"/>
      <c r="AMJ66" s="66"/>
      <c r="AMK66" s="73"/>
      <c r="AML66" s="63"/>
      <c r="AMM66" s="64"/>
      <c r="AMN66" s="66"/>
      <c r="AMO66" s="73"/>
      <c r="AMP66" s="63"/>
      <c r="AMQ66" s="64"/>
      <c r="AMR66" s="66"/>
      <c r="AMS66" s="73"/>
      <c r="AMT66" s="63"/>
      <c r="AMU66" s="64"/>
      <c r="AMV66" s="66"/>
      <c r="AMW66" s="73"/>
      <c r="AMX66" s="63"/>
      <c r="AMY66" s="64"/>
      <c r="AMZ66" s="66"/>
      <c r="ANA66" s="73"/>
      <c r="ANB66" s="63"/>
      <c r="ANC66" s="64"/>
      <c r="AND66" s="66"/>
      <c r="ANE66" s="73"/>
      <c r="ANF66" s="63"/>
      <c r="ANG66" s="64"/>
      <c r="ANH66" s="66"/>
      <c r="ANI66" s="73"/>
      <c r="ANJ66" s="63"/>
      <c r="ANK66" s="64"/>
      <c r="ANL66" s="66"/>
      <c r="ANM66" s="73"/>
      <c r="ANN66" s="63"/>
      <c r="ANO66" s="64"/>
      <c r="ANP66" s="66"/>
      <c r="ANQ66" s="73"/>
      <c r="ANR66" s="63"/>
      <c r="ANS66" s="64"/>
      <c r="ANT66" s="66"/>
      <c r="ANU66" s="73"/>
      <c r="ANV66" s="63"/>
      <c r="ANW66" s="64"/>
      <c r="ANX66" s="66"/>
      <c r="ANY66" s="73"/>
      <c r="ANZ66" s="63"/>
      <c r="AOA66" s="64"/>
      <c r="AOB66" s="66"/>
      <c r="AOC66" s="73"/>
      <c r="AOD66" s="63"/>
      <c r="AOE66" s="64"/>
      <c r="AOF66" s="66"/>
      <c r="AOG66" s="73"/>
      <c r="AOH66" s="63"/>
      <c r="AOI66" s="64"/>
      <c r="AOJ66" s="66"/>
      <c r="AOK66" s="73"/>
      <c r="AOL66" s="63"/>
      <c r="AOM66" s="64"/>
      <c r="AON66" s="66"/>
      <c r="AOO66" s="73"/>
      <c r="AOP66" s="63"/>
      <c r="AOQ66" s="64"/>
      <c r="AOR66" s="66"/>
      <c r="AOS66" s="73"/>
      <c r="AOT66" s="63"/>
      <c r="AOU66" s="64"/>
      <c r="AOV66" s="66"/>
      <c r="AOW66" s="73"/>
      <c r="AOX66" s="63"/>
      <c r="AOY66" s="64"/>
      <c r="AOZ66" s="66"/>
      <c r="APA66" s="73"/>
      <c r="APB66" s="63"/>
      <c r="APC66" s="64"/>
      <c r="APD66" s="66"/>
      <c r="APE66" s="73"/>
      <c r="APF66" s="63"/>
      <c r="APG66" s="64"/>
      <c r="APH66" s="66"/>
      <c r="API66" s="73"/>
      <c r="APJ66" s="63"/>
      <c r="APK66" s="64"/>
      <c r="APL66" s="66"/>
      <c r="APM66" s="73"/>
      <c r="APN66" s="63"/>
      <c r="APO66" s="64"/>
      <c r="APP66" s="66"/>
      <c r="APQ66" s="73"/>
      <c r="APR66" s="63"/>
      <c r="APS66" s="64"/>
      <c r="APT66" s="66"/>
      <c r="APU66" s="73"/>
      <c r="APV66" s="63"/>
      <c r="APW66" s="64"/>
      <c r="APX66" s="66"/>
      <c r="APY66" s="73"/>
      <c r="APZ66" s="63"/>
      <c r="AQA66" s="64"/>
      <c r="AQB66" s="66"/>
      <c r="AQC66" s="73"/>
      <c r="AQD66" s="63"/>
      <c r="AQE66" s="64"/>
      <c r="AQF66" s="66"/>
      <c r="AQG66" s="73"/>
      <c r="AQH66" s="63"/>
      <c r="AQI66" s="64"/>
      <c r="AQJ66" s="66"/>
      <c r="AQK66" s="73"/>
      <c r="AQL66" s="63"/>
      <c r="AQM66" s="64"/>
      <c r="AQN66" s="66"/>
      <c r="AQO66" s="73"/>
      <c r="AQP66" s="63"/>
      <c r="AQQ66" s="64"/>
      <c r="AQR66" s="66"/>
      <c r="AQS66" s="73"/>
      <c r="AQT66" s="63"/>
      <c r="AQU66" s="64"/>
      <c r="AQV66" s="66"/>
      <c r="AQW66" s="73"/>
      <c r="AQX66" s="63"/>
      <c r="AQY66" s="64"/>
      <c r="AQZ66" s="66"/>
      <c r="ARA66" s="73"/>
      <c r="ARB66" s="63"/>
      <c r="ARC66" s="64"/>
      <c r="ARD66" s="66"/>
      <c r="ARE66" s="73"/>
      <c r="ARF66" s="63"/>
      <c r="ARG66" s="64"/>
      <c r="ARH66" s="66"/>
      <c r="ARI66" s="73"/>
      <c r="ARJ66" s="63"/>
      <c r="ARK66" s="64"/>
      <c r="ARL66" s="66"/>
      <c r="ARM66" s="73"/>
      <c r="ARN66" s="63"/>
      <c r="ARO66" s="64"/>
      <c r="ARP66" s="66"/>
      <c r="ARQ66" s="73"/>
      <c r="ARR66" s="63"/>
      <c r="ARS66" s="64"/>
      <c r="ART66" s="66"/>
      <c r="ARU66" s="73"/>
      <c r="ARV66" s="63"/>
      <c r="ARW66" s="64"/>
      <c r="ARX66" s="66"/>
      <c r="ARY66" s="73"/>
      <c r="ARZ66" s="63"/>
      <c r="ASA66" s="64"/>
      <c r="ASB66" s="66"/>
      <c r="ASC66" s="73"/>
      <c r="ASD66" s="63"/>
      <c r="ASE66" s="64"/>
      <c r="ASF66" s="66"/>
      <c r="ASG66" s="73"/>
      <c r="ASH66" s="63"/>
      <c r="ASI66" s="64"/>
      <c r="ASJ66" s="66"/>
      <c r="ASK66" s="73"/>
      <c r="ASL66" s="63"/>
      <c r="ASM66" s="64"/>
      <c r="ASN66" s="66"/>
      <c r="ASO66" s="73"/>
      <c r="ASP66" s="63"/>
      <c r="ASQ66" s="64"/>
      <c r="ASR66" s="66"/>
      <c r="ASS66" s="73"/>
      <c r="AST66" s="63"/>
      <c r="ASU66" s="64"/>
      <c r="ASV66" s="66"/>
      <c r="ASW66" s="73"/>
      <c r="ASX66" s="63"/>
      <c r="ASY66" s="64"/>
      <c r="ASZ66" s="66"/>
      <c r="ATA66" s="73"/>
      <c r="ATB66" s="63"/>
      <c r="ATC66" s="64"/>
      <c r="ATD66" s="66"/>
      <c r="ATE66" s="73"/>
      <c r="ATF66" s="63"/>
      <c r="ATG66" s="64"/>
      <c r="ATH66" s="66"/>
      <c r="ATI66" s="73"/>
      <c r="ATJ66" s="63"/>
      <c r="ATK66" s="64"/>
      <c r="ATL66" s="66"/>
      <c r="ATM66" s="73"/>
      <c r="ATN66" s="63"/>
      <c r="ATO66" s="64"/>
      <c r="ATP66" s="66"/>
      <c r="ATQ66" s="73"/>
      <c r="ATR66" s="63"/>
      <c r="ATS66" s="64"/>
      <c r="ATT66" s="66"/>
      <c r="ATU66" s="73"/>
      <c r="ATV66" s="63"/>
      <c r="ATW66" s="64"/>
      <c r="ATX66" s="66"/>
      <c r="ATY66" s="73"/>
      <c r="ATZ66" s="63"/>
      <c r="AUA66" s="64"/>
      <c r="AUB66" s="66"/>
      <c r="AUC66" s="73"/>
      <c r="AUD66" s="63"/>
      <c r="AUE66" s="64"/>
      <c r="AUF66" s="66"/>
      <c r="AUG66" s="73"/>
      <c r="AUH66" s="63"/>
      <c r="AUI66" s="64"/>
      <c r="AUJ66" s="66"/>
      <c r="AUK66" s="73"/>
      <c r="AUL66" s="63"/>
      <c r="AUM66" s="64"/>
      <c r="AUN66" s="66"/>
      <c r="AUO66" s="73"/>
      <c r="AUP66" s="63"/>
      <c r="AUQ66" s="64"/>
      <c r="AUR66" s="66"/>
      <c r="AUS66" s="73"/>
      <c r="AUT66" s="63"/>
      <c r="AUU66" s="64"/>
      <c r="AUV66" s="66"/>
      <c r="AUW66" s="73"/>
      <c r="AUX66" s="63"/>
      <c r="AUY66" s="64"/>
      <c r="AUZ66" s="66"/>
      <c r="AVA66" s="73"/>
      <c r="AVB66" s="63"/>
      <c r="AVC66" s="64"/>
      <c r="AVD66" s="66"/>
      <c r="AVE66" s="73"/>
      <c r="AVF66" s="63"/>
      <c r="AVG66" s="64"/>
      <c r="AVH66" s="66"/>
      <c r="AVI66" s="73"/>
      <c r="AVJ66" s="63"/>
      <c r="AVK66" s="64"/>
      <c r="AVL66" s="66"/>
      <c r="AVM66" s="73"/>
      <c r="AVN66" s="63"/>
      <c r="AVO66" s="64"/>
      <c r="AVP66" s="66"/>
      <c r="AVQ66" s="73"/>
      <c r="AVR66" s="63"/>
      <c r="AVS66" s="64"/>
      <c r="AVT66" s="66"/>
      <c r="AVU66" s="73"/>
      <c r="AVV66" s="63"/>
      <c r="AVW66" s="64"/>
      <c r="AVX66" s="66"/>
      <c r="AVY66" s="73"/>
      <c r="AVZ66" s="63"/>
      <c r="AWA66" s="64"/>
      <c r="AWB66" s="66"/>
      <c r="AWC66" s="73"/>
      <c r="AWD66" s="63"/>
      <c r="AWE66" s="64"/>
      <c r="AWF66" s="66"/>
      <c r="AWG66" s="73"/>
      <c r="AWH66" s="63"/>
      <c r="AWI66" s="64"/>
      <c r="AWJ66" s="66"/>
      <c r="AWK66" s="73"/>
      <c r="AWL66" s="63"/>
      <c r="AWM66" s="64"/>
      <c r="AWN66" s="66"/>
      <c r="AWO66" s="73"/>
      <c r="AWP66" s="63"/>
      <c r="AWQ66" s="64"/>
      <c r="AWR66" s="66"/>
      <c r="AWS66" s="73"/>
      <c r="AWT66" s="63"/>
      <c r="AWU66" s="64"/>
      <c r="AWV66" s="66"/>
      <c r="AWW66" s="73"/>
      <c r="AWX66" s="63"/>
      <c r="AWY66" s="64"/>
      <c r="AWZ66" s="66"/>
      <c r="AXA66" s="73"/>
      <c r="AXB66" s="63"/>
      <c r="AXC66" s="64"/>
      <c r="AXD66" s="66"/>
      <c r="AXE66" s="73"/>
      <c r="AXF66" s="63"/>
      <c r="AXG66" s="64"/>
      <c r="AXH66" s="66"/>
      <c r="AXI66" s="73"/>
      <c r="AXJ66" s="63"/>
      <c r="AXK66" s="64"/>
      <c r="AXL66" s="66"/>
      <c r="AXM66" s="73"/>
      <c r="AXN66" s="63"/>
      <c r="AXO66" s="64"/>
      <c r="AXP66" s="66"/>
      <c r="AXQ66" s="73"/>
      <c r="AXR66" s="63"/>
      <c r="AXS66" s="64"/>
      <c r="AXT66" s="66"/>
      <c r="AXU66" s="73"/>
      <c r="AXV66" s="63"/>
      <c r="AXW66" s="64"/>
      <c r="AXX66" s="66"/>
      <c r="AXY66" s="73"/>
      <c r="AXZ66" s="63"/>
      <c r="AYA66" s="64"/>
      <c r="AYB66" s="66"/>
      <c r="AYC66" s="73"/>
      <c r="AYD66" s="63"/>
      <c r="AYE66" s="64"/>
      <c r="AYF66" s="66"/>
      <c r="AYG66" s="73"/>
      <c r="AYH66" s="63"/>
      <c r="AYI66" s="64"/>
      <c r="AYJ66" s="66"/>
      <c r="AYK66" s="73"/>
      <c r="AYL66" s="63"/>
      <c r="AYM66" s="64"/>
      <c r="AYN66" s="66"/>
      <c r="AYO66" s="73"/>
      <c r="AYP66" s="63"/>
      <c r="AYQ66" s="64"/>
      <c r="AYR66" s="66"/>
      <c r="AYS66" s="73"/>
      <c r="AYT66" s="63"/>
      <c r="AYU66" s="64"/>
      <c r="AYV66" s="66"/>
      <c r="AYW66" s="73"/>
      <c r="AYX66" s="63"/>
      <c r="AYY66" s="64"/>
      <c r="AYZ66" s="66"/>
      <c r="AZA66" s="73"/>
      <c r="AZB66" s="63"/>
      <c r="AZC66" s="64"/>
      <c r="AZD66" s="66"/>
      <c r="AZE66" s="73"/>
      <c r="AZF66" s="63"/>
      <c r="AZG66" s="64"/>
      <c r="AZH66" s="66"/>
      <c r="AZI66" s="73"/>
      <c r="AZJ66" s="63"/>
      <c r="AZK66" s="64"/>
      <c r="AZL66" s="66"/>
      <c r="AZM66" s="73"/>
      <c r="AZN66" s="63"/>
      <c r="AZO66" s="64"/>
      <c r="AZP66" s="66"/>
      <c r="AZQ66" s="73"/>
      <c r="AZR66" s="63"/>
      <c r="AZS66" s="64"/>
      <c r="AZT66" s="66"/>
      <c r="AZU66" s="73"/>
      <c r="AZV66" s="63"/>
      <c r="AZW66" s="64"/>
      <c r="AZX66" s="66"/>
      <c r="AZY66" s="73"/>
      <c r="AZZ66" s="63"/>
      <c r="BAA66" s="64"/>
      <c r="BAB66" s="66"/>
      <c r="BAC66" s="73"/>
      <c r="BAD66" s="63"/>
      <c r="BAE66" s="64"/>
      <c r="BAF66" s="66"/>
      <c r="BAG66" s="73"/>
      <c r="BAH66" s="63"/>
      <c r="BAI66" s="64"/>
      <c r="BAJ66" s="66"/>
      <c r="BAK66" s="73"/>
      <c r="BAL66" s="63"/>
      <c r="BAM66" s="64"/>
      <c r="BAN66" s="66"/>
      <c r="BAO66" s="73"/>
      <c r="BAP66" s="63"/>
      <c r="BAQ66" s="64"/>
      <c r="BAR66" s="66"/>
      <c r="BAS66" s="73"/>
      <c r="BAT66" s="63"/>
      <c r="BAU66" s="64"/>
      <c r="BAV66" s="66"/>
      <c r="BAW66" s="73"/>
      <c r="BAX66" s="63"/>
      <c r="BAY66" s="64"/>
      <c r="BAZ66" s="66"/>
      <c r="BBA66" s="73"/>
      <c r="BBB66" s="63"/>
      <c r="BBC66" s="64"/>
      <c r="BBD66" s="66"/>
      <c r="BBE66" s="73"/>
      <c r="BBF66" s="63"/>
      <c r="BBG66" s="64"/>
      <c r="BBH66" s="66"/>
      <c r="BBI66" s="73"/>
      <c r="BBJ66" s="63"/>
      <c r="BBK66" s="64"/>
      <c r="BBL66" s="66"/>
      <c r="BBM66" s="73"/>
      <c r="BBN66" s="63"/>
      <c r="BBO66" s="64"/>
      <c r="BBP66" s="66"/>
      <c r="BBQ66" s="73"/>
      <c r="BBR66" s="63"/>
      <c r="BBS66" s="64"/>
      <c r="BBT66" s="66"/>
      <c r="BBU66" s="73"/>
      <c r="BBV66" s="63"/>
      <c r="BBW66" s="64"/>
      <c r="BBX66" s="66"/>
      <c r="BBY66" s="73"/>
      <c r="BBZ66" s="63"/>
      <c r="BCA66" s="64"/>
      <c r="BCB66" s="66"/>
      <c r="BCC66" s="73"/>
      <c r="BCD66" s="63"/>
      <c r="BCE66" s="64"/>
      <c r="BCF66" s="66"/>
      <c r="BCG66" s="73"/>
      <c r="BCH66" s="63"/>
      <c r="BCI66" s="64"/>
      <c r="BCJ66" s="66"/>
      <c r="BCK66" s="73"/>
      <c r="BCL66" s="63"/>
      <c r="BCM66" s="64"/>
      <c r="BCN66" s="66"/>
      <c r="BCO66" s="73"/>
      <c r="BCP66" s="63"/>
      <c r="BCQ66" s="64"/>
      <c r="BCR66" s="66"/>
      <c r="BCS66" s="73"/>
      <c r="BCT66" s="63"/>
      <c r="BCU66" s="64"/>
      <c r="BCV66" s="66"/>
      <c r="BCW66" s="73"/>
      <c r="BCX66" s="63"/>
      <c r="BCY66" s="64"/>
      <c r="BCZ66" s="66"/>
      <c r="BDA66" s="73"/>
      <c r="BDB66" s="63"/>
      <c r="BDC66" s="64"/>
      <c r="BDD66" s="66"/>
      <c r="BDE66" s="73"/>
      <c r="BDF66" s="63"/>
      <c r="BDG66" s="64"/>
      <c r="BDH66" s="66"/>
      <c r="BDI66" s="73"/>
      <c r="BDJ66" s="63"/>
      <c r="BDK66" s="64"/>
      <c r="BDL66" s="66"/>
      <c r="BDM66" s="73"/>
      <c r="BDN66" s="63"/>
      <c r="BDO66" s="64"/>
      <c r="BDP66" s="66"/>
      <c r="BDQ66" s="73"/>
      <c r="BDR66" s="63"/>
      <c r="BDS66" s="64"/>
      <c r="BDT66" s="66"/>
      <c r="BDU66" s="73"/>
      <c r="BDV66" s="63"/>
      <c r="BDW66" s="64"/>
      <c r="BDX66" s="66"/>
      <c r="BDY66" s="73"/>
      <c r="BDZ66" s="63"/>
      <c r="BEA66" s="64"/>
      <c r="BEB66" s="66"/>
      <c r="BEC66" s="73"/>
      <c r="BED66" s="63"/>
      <c r="BEE66" s="64"/>
      <c r="BEF66" s="66"/>
      <c r="BEG66" s="73"/>
      <c r="BEH66" s="63"/>
      <c r="BEI66" s="64"/>
      <c r="BEJ66" s="66"/>
      <c r="BEK66" s="73"/>
      <c r="BEL66" s="63"/>
      <c r="BEM66" s="64"/>
      <c r="BEN66" s="66"/>
      <c r="BEO66" s="73"/>
      <c r="BEP66" s="63"/>
      <c r="BEQ66" s="64"/>
      <c r="BER66" s="66"/>
      <c r="BES66" s="73"/>
      <c r="BET66" s="63"/>
      <c r="BEU66" s="64"/>
      <c r="BEV66" s="66"/>
      <c r="BEW66" s="73"/>
      <c r="BEX66" s="63"/>
      <c r="BEY66" s="64"/>
      <c r="BEZ66" s="66"/>
      <c r="BFA66" s="73"/>
      <c r="BFB66" s="63"/>
      <c r="BFC66" s="64"/>
      <c r="BFD66" s="66"/>
      <c r="BFE66" s="73"/>
      <c r="BFF66" s="63"/>
      <c r="BFG66" s="64"/>
      <c r="BFH66" s="66"/>
      <c r="BFI66" s="73"/>
      <c r="BFJ66" s="63"/>
      <c r="BFK66" s="64"/>
      <c r="BFL66" s="66"/>
      <c r="BFM66" s="73"/>
      <c r="BFN66" s="63"/>
      <c r="BFO66" s="64"/>
      <c r="BFP66" s="66"/>
      <c r="BFQ66" s="73"/>
      <c r="BFR66" s="63"/>
      <c r="BFS66" s="64"/>
      <c r="BFT66" s="66"/>
      <c r="BFU66" s="73"/>
      <c r="BFV66" s="63"/>
      <c r="BFW66" s="64"/>
      <c r="BFX66" s="66"/>
      <c r="BFY66" s="73"/>
      <c r="BFZ66" s="63"/>
      <c r="BGA66" s="64"/>
      <c r="BGB66" s="66"/>
      <c r="BGC66" s="73"/>
      <c r="BGD66" s="63"/>
      <c r="BGE66" s="64"/>
      <c r="BGF66" s="66"/>
      <c r="BGG66" s="73"/>
      <c r="BGH66" s="63"/>
      <c r="BGI66" s="64"/>
      <c r="BGJ66" s="66"/>
      <c r="BGK66" s="73"/>
      <c r="BGL66" s="63"/>
      <c r="BGM66" s="64"/>
      <c r="BGN66" s="66"/>
      <c r="BGO66" s="73"/>
      <c r="BGP66" s="63"/>
      <c r="BGQ66" s="64"/>
      <c r="BGR66" s="66"/>
      <c r="BGS66" s="73"/>
      <c r="BGT66" s="63"/>
      <c r="BGU66" s="64"/>
      <c r="BGV66" s="66"/>
      <c r="BGW66" s="73"/>
      <c r="BGX66" s="63"/>
      <c r="BGY66" s="64"/>
      <c r="BGZ66" s="66"/>
      <c r="BHA66" s="73"/>
      <c r="BHB66" s="63"/>
      <c r="BHC66" s="64"/>
      <c r="BHD66" s="66"/>
      <c r="BHE66" s="73"/>
      <c r="BHF66" s="63"/>
      <c r="BHG66" s="64"/>
      <c r="BHH66" s="66"/>
      <c r="BHI66" s="73"/>
      <c r="BHJ66" s="63"/>
      <c r="BHK66" s="64"/>
      <c r="BHL66" s="66"/>
      <c r="BHM66" s="73"/>
      <c r="BHN66" s="63"/>
      <c r="BHO66" s="64"/>
      <c r="BHP66" s="66"/>
      <c r="BHQ66" s="73"/>
      <c r="BHR66" s="63"/>
      <c r="BHS66" s="64"/>
      <c r="BHT66" s="66"/>
      <c r="BHU66" s="73"/>
      <c r="BHV66" s="63"/>
      <c r="BHW66" s="64"/>
      <c r="BHX66" s="66"/>
      <c r="BHY66" s="73"/>
      <c r="BHZ66" s="63"/>
      <c r="BIA66" s="64"/>
      <c r="BIB66" s="66"/>
      <c r="BIC66" s="73"/>
      <c r="BID66" s="63"/>
      <c r="BIE66" s="64"/>
      <c r="BIF66" s="66"/>
      <c r="BIG66" s="73"/>
      <c r="BIH66" s="63"/>
      <c r="BII66" s="64"/>
      <c r="BIJ66" s="66"/>
      <c r="BIK66" s="73"/>
      <c r="BIL66" s="63"/>
      <c r="BIM66" s="64"/>
      <c r="BIN66" s="66"/>
      <c r="BIO66" s="73"/>
      <c r="BIP66" s="63"/>
      <c r="BIQ66" s="64"/>
      <c r="BIR66" s="66"/>
      <c r="BIS66" s="73"/>
      <c r="BIT66" s="63"/>
      <c r="BIU66" s="64"/>
      <c r="BIV66" s="66"/>
      <c r="BIW66" s="73"/>
      <c r="BIX66" s="63"/>
      <c r="BIY66" s="64"/>
      <c r="BIZ66" s="66"/>
      <c r="BJA66" s="73"/>
      <c r="BJB66" s="63"/>
      <c r="BJC66" s="64"/>
      <c r="BJD66" s="66"/>
      <c r="BJE66" s="73"/>
      <c r="BJF66" s="63"/>
      <c r="BJG66" s="64"/>
      <c r="BJH66" s="66"/>
      <c r="BJI66" s="73"/>
      <c r="BJJ66" s="63"/>
      <c r="BJK66" s="64"/>
      <c r="BJL66" s="66"/>
      <c r="BJM66" s="73"/>
      <c r="BJN66" s="63"/>
      <c r="BJO66" s="64"/>
      <c r="BJP66" s="66"/>
      <c r="BJQ66" s="73"/>
      <c r="BJR66" s="63"/>
      <c r="BJS66" s="64"/>
      <c r="BJT66" s="66"/>
      <c r="BJU66" s="73"/>
      <c r="BJV66" s="63"/>
      <c r="BJW66" s="64"/>
      <c r="BJX66" s="66"/>
      <c r="BJY66" s="73"/>
      <c r="BJZ66" s="63"/>
      <c r="BKA66" s="64"/>
      <c r="BKB66" s="66"/>
      <c r="BKC66" s="73"/>
      <c r="BKD66" s="63"/>
      <c r="BKE66" s="64"/>
      <c r="BKF66" s="66"/>
      <c r="BKG66" s="73"/>
      <c r="BKH66" s="63"/>
      <c r="BKI66" s="64"/>
      <c r="BKJ66" s="66"/>
      <c r="BKK66" s="73"/>
      <c r="BKL66" s="63"/>
      <c r="BKM66" s="64"/>
      <c r="BKN66" s="66"/>
      <c r="BKO66" s="73"/>
      <c r="BKP66" s="63"/>
      <c r="BKQ66" s="64"/>
      <c r="BKR66" s="66"/>
      <c r="BKS66" s="73"/>
      <c r="BKT66" s="63"/>
      <c r="BKU66" s="64"/>
      <c r="BKV66" s="66"/>
      <c r="BKW66" s="73"/>
      <c r="BKX66" s="63"/>
      <c r="BKY66" s="64"/>
      <c r="BKZ66" s="66"/>
      <c r="BLA66" s="73"/>
      <c r="BLB66" s="63"/>
      <c r="BLC66" s="64"/>
      <c r="BLD66" s="66"/>
      <c r="BLE66" s="73"/>
      <c r="BLF66" s="63"/>
      <c r="BLG66" s="64"/>
      <c r="BLH66" s="66"/>
      <c r="BLI66" s="73"/>
      <c r="BLJ66" s="63"/>
      <c r="BLK66" s="64"/>
      <c r="BLL66" s="66"/>
      <c r="BLM66" s="73"/>
      <c r="BLN66" s="63"/>
      <c r="BLO66" s="64"/>
      <c r="BLP66" s="66"/>
      <c r="BLQ66" s="73"/>
      <c r="BLR66" s="63"/>
      <c r="BLS66" s="64"/>
      <c r="BLT66" s="66"/>
      <c r="BLU66" s="73"/>
      <c r="BLV66" s="63"/>
      <c r="BLW66" s="64"/>
      <c r="BLX66" s="66"/>
      <c r="BLY66" s="73"/>
      <c r="BLZ66" s="63"/>
      <c r="BMA66" s="64"/>
      <c r="BMB66" s="66"/>
      <c r="BMC66" s="73"/>
      <c r="BMD66" s="63"/>
      <c r="BME66" s="64"/>
      <c r="BMF66" s="66"/>
      <c r="BMG66" s="73"/>
      <c r="BMH66" s="63"/>
      <c r="BMI66" s="64"/>
      <c r="BMJ66" s="66"/>
      <c r="BMK66" s="73"/>
      <c r="BML66" s="63"/>
      <c r="BMM66" s="64"/>
      <c r="BMN66" s="66"/>
      <c r="BMO66" s="73"/>
      <c r="BMP66" s="63"/>
      <c r="BMQ66" s="64"/>
      <c r="BMR66" s="66"/>
      <c r="BMS66" s="73"/>
      <c r="BMT66" s="63"/>
      <c r="BMU66" s="64"/>
      <c r="BMV66" s="66"/>
      <c r="BMW66" s="73"/>
      <c r="BMX66" s="63"/>
      <c r="BMY66" s="64"/>
      <c r="BMZ66" s="66"/>
      <c r="BNA66" s="73"/>
      <c r="BNB66" s="63"/>
      <c r="BNC66" s="64"/>
      <c r="BND66" s="66"/>
      <c r="BNE66" s="73"/>
      <c r="BNF66" s="63"/>
      <c r="BNG66" s="64"/>
      <c r="BNH66" s="66"/>
      <c r="BNI66" s="73"/>
      <c r="BNJ66" s="63"/>
      <c r="BNK66" s="64"/>
      <c r="BNL66" s="66"/>
      <c r="BNM66" s="73"/>
      <c r="BNN66" s="63"/>
      <c r="BNO66" s="64"/>
      <c r="BNP66" s="66"/>
      <c r="BNQ66" s="73"/>
      <c r="BNR66" s="63"/>
      <c r="BNS66" s="64"/>
      <c r="BNT66" s="66"/>
      <c r="BNU66" s="73"/>
      <c r="BNV66" s="63"/>
      <c r="BNW66" s="64"/>
      <c r="BNX66" s="66"/>
      <c r="BNY66" s="73"/>
      <c r="BNZ66" s="63"/>
      <c r="BOA66" s="64"/>
      <c r="BOB66" s="66"/>
      <c r="BOC66" s="73"/>
      <c r="BOD66" s="63"/>
      <c r="BOE66" s="64"/>
      <c r="BOF66" s="66"/>
      <c r="BOG66" s="73"/>
      <c r="BOH66" s="63"/>
      <c r="BOI66" s="64"/>
      <c r="BOJ66" s="66"/>
      <c r="BOK66" s="73"/>
      <c r="BOL66" s="63"/>
      <c r="BOM66" s="64"/>
      <c r="BON66" s="66"/>
      <c r="BOO66" s="73"/>
      <c r="BOP66" s="63"/>
      <c r="BOQ66" s="64"/>
      <c r="BOR66" s="66"/>
      <c r="BOS66" s="73"/>
      <c r="BOT66" s="63"/>
      <c r="BOU66" s="64"/>
      <c r="BOV66" s="66"/>
      <c r="BOW66" s="73"/>
      <c r="BOX66" s="63"/>
      <c r="BOY66" s="64"/>
      <c r="BOZ66" s="66"/>
      <c r="BPA66" s="73"/>
      <c r="BPB66" s="63"/>
      <c r="BPC66" s="64"/>
      <c r="BPD66" s="66"/>
      <c r="BPE66" s="73"/>
      <c r="BPF66" s="63"/>
      <c r="BPG66" s="64"/>
      <c r="BPH66" s="66"/>
      <c r="BPI66" s="73"/>
      <c r="BPJ66" s="63"/>
      <c r="BPK66" s="64"/>
      <c r="BPL66" s="66"/>
      <c r="BPM66" s="73"/>
      <c r="BPN66" s="63"/>
      <c r="BPO66" s="64"/>
      <c r="BPP66" s="66"/>
      <c r="BPQ66" s="73"/>
      <c r="BPR66" s="63"/>
      <c r="BPS66" s="64"/>
      <c r="BPT66" s="66"/>
      <c r="BPU66" s="73"/>
      <c r="BPV66" s="63"/>
      <c r="BPW66" s="64"/>
      <c r="BPX66" s="66"/>
      <c r="BPY66" s="73"/>
      <c r="BPZ66" s="63"/>
      <c r="BQA66" s="64"/>
      <c r="BQB66" s="66"/>
      <c r="BQC66" s="73"/>
      <c r="BQD66" s="63"/>
      <c r="BQE66" s="64"/>
      <c r="BQF66" s="66"/>
      <c r="BQG66" s="73"/>
      <c r="BQH66" s="63"/>
      <c r="BQI66" s="64"/>
      <c r="BQJ66" s="66"/>
      <c r="BQK66" s="73"/>
      <c r="BQL66" s="63"/>
      <c r="BQM66" s="64"/>
      <c r="BQN66" s="66"/>
      <c r="BQO66" s="73"/>
      <c r="BQP66" s="63"/>
      <c r="BQQ66" s="64"/>
      <c r="BQR66" s="66"/>
      <c r="BQS66" s="73"/>
      <c r="BQT66" s="63"/>
      <c r="BQU66" s="64"/>
      <c r="BQV66" s="66"/>
      <c r="BQW66" s="73"/>
      <c r="BQX66" s="63"/>
      <c r="BQY66" s="64"/>
      <c r="BQZ66" s="66"/>
      <c r="BRA66" s="73"/>
      <c r="BRB66" s="63"/>
      <c r="BRC66" s="64"/>
      <c r="BRD66" s="66"/>
      <c r="BRE66" s="73"/>
      <c r="BRF66" s="63"/>
      <c r="BRG66" s="64"/>
      <c r="BRH66" s="66"/>
      <c r="BRI66" s="73"/>
      <c r="BRJ66" s="63"/>
      <c r="BRK66" s="64"/>
      <c r="BRL66" s="66"/>
      <c r="BRM66" s="73"/>
      <c r="BRN66" s="63"/>
      <c r="BRO66" s="64"/>
      <c r="BRP66" s="66"/>
      <c r="BRQ66" s="73"/>
      <c r="BRR66" s="63"/>
      <c r="BRS66" s="64"/>
      <c r="BRT66" s="66"/>
      <c r="BRU66" s="73"/>
      <c r="BRV66" s="63"/>
      <c r="BRW66" s="64"/>
      <c r="BRX66" s="66"/>
      <c r="BRY66" s="73"/>
      <c r="BRZ66" s="63"/>
      <c r="BSA66" s="64"/>
      <c r="BSB66" s="66"/>
      <c r="BSC66" s="73"/>
      <c r="BSD66" s="63"/>
      <c r="BSE66" s="64"/>
      <c r="BSF66" s="66"/>
      <c r="BSG66" s="73"/>
      <c r="BSH66" s="63"/>
      <c r="BSI66" s="64"/>
      <c r="BSJ66" s="66"/>
      <c r="BSK66" s="73"/>
      <c r="BSL66" s="63"/>
      <c r="BSM66" s="64"/>
      <c r="BSN66" s="66"/>
      <c r="BSO66" s="73"/>
      <c r="BSP66" s="63"/>
      <c r="BSQ66" s="64"/>
      <c r="BSR66" s="66"/>
      <c r="BSS66" s="73"/>
      <c r="BST66" s="63"/>
      <c r="BSU66" s="64"/>
      <c r="BSV66" s="66"/>
      <c r="BSW66" s="73"/>
      <c r="BSX66" s="63"/>
      <c r="BSY66" s="64"/>
      <c r="BSZ66" s="66"/>
      <c r="BTA66" s="73"/>
      <c r="BTB66" s="63"/>
      <c r="BTC66" s="64"/>
      <c r="BTD66" s="66"/>
      <c r="BTE66" s="73"/>
      <c r="BTF66" s="63"/>
      <c r="BTG66" s="64"/>
      <c r="BTH66" s="66"/>
      <c r="BTI66" s="73"/>
      <c r="BTJ66" s="63"/>
      <c r="BTK66" s="64"/>
      <c r="BTL66" s="66"/>
      <c r="BTM66" s="73"/>
      <c r="BTN66" s="63"/>
      <c r="BTO66" s="64"/>
      <c r="BTP66" s="66"/>
      <c r="BTQ66" s="73"/>
      <c r="BTR66" s="63"/>
      <c r="BTS66" s="64"/>
      <c r="BTT66" s="66"/>
      <c r="BTU66" s="73"/>
      <c r="BTV66" s="63"/>
      <c r="BTW66" s="64"/>
      <c r="BTX66" s="66"/>
      <c r="BTY66" s="73"/>
      <c r="BTZ66" s="63"/>
      <c r="BUA66" s="64"/>
      <c r="BUB66" s="66"/>
      <c r="BUC66" s="73"/>
      <c r="BUD66" s="63"/>
      <c r="BUE66" s="64"/>
      <c r="BUF66" s="66"/>
      <c r="BUG66" s="73"/>
      <c r="BUH66" s="63"/>
      <c r="BUI66" s="64"/>
      <c r="BUJ66" s="66"/>
      <c r="BUK66" s="73"/>
      <c r="BUL66" s="63"/>
      <c r="BUM66" s="64"/>
      <c r="BUN66" s="66"/>
      <c r="BUO66" s="73"/>
      <c r="BUP66" s="63"/>
      <c r="BUQ66" s="64"/>
      <c r="BUR66" s="66"/>
      <c r="BUS66" s="73"/>
      <c r="BUT66" s="63"/>
      <c r="BUU66" s="64"/>
      <c r="BUV66" s="66"/>
      <c r="BUW66" s="73"/>
      <c r="BUX66" s="63"/>
      <c r="BUY66" s="64"/>
      <c r="BUZ66" s="66"/>
      <c r="BVA66" s="73"/>
      <c r="BVB66" s="63"/>
      <c r="BVC66" s="64"/>
      <c r="BVD66" s="66"/>
      <c r="BVE66" s="73"/>
      <c r="BVF66" s="63"/>
      <c r="BVG66" s="64"/>
      <c r="BVH66" s="66"/>
      <c r="BVI66" s="73"/>
      <c r="BVJ66" s="63"/>
      <c r="BVK66" s="64"/>
      <c r="BVL66" s="66"/>
      <c r="BVM66" s="73"/>
      <c r="BVN66" s="63"/>
      <c r="BVO66" s="64"/>
      <c r="BVP66" s="66"/>
      <c r="BVQ66" s="73"/>
      <c r="BVR66" s="63"/>
      <c r="BVS66" s="64"/>
      <c r="BVT66" s="66"/>
      <c r="BVU66" s="73"/>
      <c r="BVV66" s="63"/>
      <c r="BVW66" s="64"/>
      <c r="BVX66" s="66"/>
      <c r="BVY66" s="73"/>
      <c r="BVZ66" s="63"/>
      <c r="BWA66" s="64"/>
      <c r="BWB66" s="66"/>
      <c r="BWC66" s="73"/>
      <c r="BWD66" s="63"/>
      <c r="BWE66" s="64"/>
      <c r="BWF66" s="66"/>
      <c r="BWG66" s="73"/>
      <c r="BWH66" s="63"/>
      <c r="BWI66" s="64"/>
      <c r="BWJ66" s="66"/>
      <c r="BWK66" s="73"/>
      <c r="BWL66" s="63"/>
      <c r="BWM66" s="64"/>
      <c r="BWN66" s="66"/>
      <c r="BWO66" s="73"/>
      <c r="BWP66" s="63"/>
      <c r="BWQ66" s="64"/>
      <c r="BWR66" s="66"/>
      <c r="BWS66" s="73"/>
      <c r="BWT66" s="63"/>
      <c r="BWU66" s="64"/>
      <c r="BWV66" s="66"/>
      <c r="BWW66" s="73"/>
      <c r="BWX66" s="63"/>
      <c r="BWY66" s="64"/>
      <c r="BWZ66" s="66"/>
      <c r="BXA66" s="73"/>
      <c r="BXB66" s="63"/>
      <c r="BXC66" s="64"/>
      <c r="BXD66" s="66"/>
      <c r="BXE66" s="73"/>
      <c r="BXF66" s="63"/>
      <c r="BXG66" s="64"/>
      <c r="BXH66" s="66"/>
      <c r="BXI66" s="73"/>
      <c r="BXJ66" s="63"/>
      <c r="BXK66" s="64"/>
      <c r="BXL66" s="66"/>
      <c r="BXM66" s="73"/>
      <c r="BXN66" s="63"/>
      <c r="BXO66" s="64"/>
      <c r="BXP66" s="66"/>
      <c r="BXQ66" s="73"/>
      <c r="BXR66" s="63"/>
      <c r="BXS66" s="64"/>
      <c r="BXT66" s="66"/>
      <c r="BXU66" s="73"/>
      <c r="BXV66" s="63"/>
      <c r="BXW66" s="64"/>
      <c r="BXX66" s="66"/>
      <c r="BXY66" s="73"/>
      <c r="BXZ66" s="63"/>
      <c r="BYA66" s="64"/>
      <c r="BYB66" s="66"/>
      <c r="BYC66" s="73"/>
      <c r="BYD66" s="63"/>
      <c r="BYE66" s="64"/>
      <c r="BYF66" s="66"/>
      <c r="BYG66" s="73"/>
      <c r="BYH66" s="63"/>
      <c r="BYI66" s="64"/>
      <c r="BYJ66" s="66"/>
      <c r="BYK66" s="73"/>
      <c r="BYL66" s="63"/>
      <c r="BYM66" s="64"/>
      <c r="BYN66" s="66"/>
      <c r="BYO66" s="73"/>
      <c r="BYP66" s="63"/>
      <c r="BYQ66" s="64"/>
      <c r="BYR66" s="66"/>
      <c r="BYS66" s="73"/>
      <c r="BYT66" s="63"/>
      <c r="BYU66" s="64"/>
      <c r="BYV66" s="66"/>
      <c r="BYW66" s="73"/>
      <c r="BYX66" s="63"/>
      <c r="BYY66" s="64"/>
      <c r="BYZ66" s="66"/>
      <c r="BZA66" s="73"/>
      <c r="BZB66" s="63"/>
      <c r="BZC66" s="64"/>
      <c r="BZD66" s="66"/>
      <c r="BZE66" s="73"/>
      <c r="BZF66" s="63"/>
      <c r="BZG66" s="64"/>
      <c r="BZH66" s="66"/>
      <c r="BZI66" s="73"/>
      <c r="BZJ66" s="63"/>
      <c r="BZK66" s="64"/>
      <c r="BZL66" s="66"/>
      <c r="BZM66" s="73"/>
      <c r="BZN66" s="63"/>
      <c r="BZO66" s="64"/>
      <c r="BZP66" s="66"/>
      <c r="BZQ66" s="73"/>
      <c r="BZR66" s="63"/>
      <c r="BZS66" s="64"/>
      <c r="BZT66" s="66"/>
      <c r="BZU66" s="73"/>
      <c r="BZV66" s="63"/>
      <c r="BZW66" s="64"/>
      <c r="BZX66" s="66"/>
      <c r="BZY66" s="73"/>
      <c r="BZZ66" s="63"/>
      <c r="CAA66" s="64"/>
      <c r="CAB66" s="66"/>
      <c r="CAC66" s="73"/>
      <c r="CAD66" s="63"/>
      <c r="CAE66" s="64"/>
      <c r="CAF66" s="66"/>
      <c r="CAG66" s="73"/>
      <c r="CAH66" s="63"/>
      <c r="CAI66" s="64"/>
      <c r="CAJ66" s="66"/>
      <c r="CAK66" s="73"/>
      <c r="CAL66" s="63"/>
      <c r="CAM66" s="64"/>
      <c r="CAN66" s="66"/>
      <c r="CAO66" s="73"/>
      <c r="CAP66" s="63"/>
      <c r="CAQ66" s="64"/>
      <c r="CAR66" s="66"/>
      <c r="CAS66" s="73"/>
      <c r="CAT66" s="63"/>
      <c r="CAU66" s="64"/>
      <c r="CAV66" s="66"/>
      <c r="CAW66" s="73"/>
      <c r="CAX66" s="63"/>
      <c r="CAY66" s="64"/>
      <c r="CAZ66" s="66"/>
      <c r="CBA66" s="73"/>
      <c r="CBB66" s="63"/>
      <c r="CBC66" s="64"/>
      <c r="CBD66" s="66"/>
      <c r="CBE66" s="73"/>
      <c r="CBF66" s="63"/>
      <c r="CBG66" s="64"/>
      <c r="CBH66" s="66"/>
      <c r="CBI66" s="73"/>
      <c r="CBJ66" s="63"/>
      <c r="CBK66" s="64"/>
      <c r="CBL66" s="66"/>
      <c r="CBM66" s="73"/>
      <c r="CBN66" s="63"/>
      <c r="CBO66" s="64"/>
      <c r="CBP66" s="66"/>
      <c r="CBQ66" s="73"/>
      <c r="CBR66" s="63"/>
      <c r="CBS66" s="64"/>
      <c r="CBT66" s="66"/>
      <c r="CBU66" s="73"/>
      <c r="CBV66" s="63"/>
      <c r="CBW66" s="64"/>
      <c r="CBX66" s="66"/>
      <c r="CBY66" s="73"/>
      <c r="CBZ66" s="63"/>
      <c r="CCA66" s="64"/>
      <c r="CCB66" s="66"/>
      <c r="CCC66" s="73"/>
      <c r="CCD66" s="63"/>
      <c r="CCE66" s="64"/>
      <c r="CCF66" s="66"/>
      <c r="CCG66" s="73"/>
      <c r="CCH66" s="63"/>
      <c r="CCI66" s="64"/>
      <c r="CCJ66" s="66"/>
      <c r="CCK66" s="73"/>
      <c r="CCL66" s="63"/>
      <c r="CCM66" s="64"/>
      <c r="CCN66" s="66"/>
      <c r="CCO66" s="73"/>
      <c r="CCP66" s="63"/>
      <c r="CCQ66" s="64"/>
      <c r="CCR66" s="66"/>
      <c r="CCS66" s="73"/>
      <c r="CCT66" s="63"/>
      <c r="CCU66" s="64"/>
      <c r="CCV66" s="66"/>
      <c r="CCW66" s="73"/>
      <c r="CCX66" s="63"/>
      <c r="CCY66" s="64"/>
      <c r="CCZ66" s="66"/>
      <c r="CDA66" s="73"/>
      <c r="CDB66" s="63"/>
      <c r="CDC66" s="64"/>
      <c r="CDD66" s="66"/>
      <c r="CDE66" s="73"/>
      <c r="CDF66" s="63"/>
      <c r="CDG66" s="64"/>
      <c r="CDH66" s="66"/>
      <c r="CDI66" s="73"/>
      <c r="CDJ66" s="63"/>
      <c r="CDK66" s="64"/>
      <c r="CDL66" s="66"/>
      <c r="CDM66" s="73"/>
      <c r="CDN66" s="63"/>
      <c r="CDO66" s="64"/>
      <c r="CDP66" s="66"/>
      <c r="CDQ66" s="73"/>
      <c r="CDR66" s="63"/>
      <c r="CDS66" s="64"/>
      <c r="CDT66" s="66"/>
      <c r="CDU66" s="73"/>
      <c r="CDV66" s="63"/>
      <c r="CDW66" s="64"/>
      <c r="CDX66" s="66"/>
      <c r="CDY66" s="73"/>
      <c r="CDZ66" s="63"/>
      <c r="CEA66" s="64"/>
      <c r="CEB66" s="66"/>
      <c r="CEC66" s="73"/>
      <c r="CED66" s="63"/>
      <c r="CEE66" s="64"/>
      <c r="CEF66" s="66"/>
      <c r="CEG66" s="73"/>
      <c r="CEH66" s="63"/>
      <c r="CEI66" s="64"/>
      <c r="CEJ66" s="66"/>
      <c r="CEK66" s="73"/>
      <c r="CEL66" s="63"/>
      <c r="CEM66" s="64"/>
      <c r="CEN66" s="66"/>
      <c r="CEO66" s="73"/>
      <c r="CEP66" s="63"/>
      <c r="CEQ66" s="64"/>
      <c r="CER66" s="66"/>
      <c r="CES66" s="73"/>
      <c r="CET66" s="63"/>
      <c r="CEU66" s="64"/>
      <c r="CEV66" s="66"/>
      <c r="CEW66" s="73"/>
      <c r="CEX66" s="63"/>
      <c r="CEY66" s="64"/>
      <c r="CEZ66" s="66"/>
      <c r="CFA66" s="73"/>
      <c r="CFB66" s="63"/>
      <c r="CFC66" s="64"/>
      <c r="CFD66" s="66"/>
      <c r="CFE66" s="73"/>
      <c r="CFF66" s="63"/>
      <c r="CFG66" s="64"/>
      <c r="CFH66" s="66"/>
      <c r="CFI66" s="73"/>
      <c r="CFJ66" s="63"/>
      <c r="CFK66" s="64"/>
      <c r="CFL66" s="66"/>
      <c r="CFM66" s="73"/>
      <c r="CFN66" s="63"/>
      <c r="CFO66" s="64"/>
      <c r="CFP66" s="66"/>
      <c r="CFQ66" s="73"/>
      <c r="CFR66" s="63"/>
      <c r="CFS66" s="64"/>
      <c r="CFT66" s="66"/>
      <c r="CFU66" s="73"/>
      <c r="CFV66" s="63"/>
      <c r="CFW66" s="64"/>
      <c r="CFX66" s="66"/>
      <c r="CFY66" s="73"/>
      <c r="CFZ66" s="63"/>
      <c r="CGA66" s="64"/>
      <c r="CGB66" s="66"/>
      <c r="CGC66" s="73"/>
      <c r="CGD66" s="63"/>
      <c r="CGE66" s="64"/>
      <c r="CGF66" s="66"/>
      <c r="CGG66" s="73"/>
      <c r="CGH66" s="63"/>
      <c r="CGI66" s="64"/>
      <c r="CGJ66" s="66"/>
      <c r="CGK66" s="73"/>
      <c r="CGL66" s="63"/>
      <c r="CGM66" s="64"/>
      <c r="CGN66" s="66"/>
      <c r="CGO66" s="73"/>
      <c r="CGP66" s="63"/>
      <c r="CGQ66" s="64"/>
      <c r="CGR66" s="66"/>
      <c r="CGS66" s="73"/>
      <c r="CGT66" s="63"/>
      <c r="CGU66" s="64"/>
      <c r="CGV66" s="66"/>
      <c r="CGW66" s="73"/>
      <c r="CGX66" s="63"/>
      <c r="CGY66" s="64"/>
      <c r="CGZ66" s="66"/>
      <c r="CHA66" s="73"/>
      <c r="CHB66" s="63"/>
      <c r="CHC66" s="64"/>
      <c r="CHD66" s="66"/>
      <c r="CHE66" s="73"/>
      <c r="CHF66" s="63"/>
      <c r="CHG66" s="64"/>
      <c r="CHH66" s="66"/>
      <c r="CHI66" s="73"/>
      <c r="CHJ66" s="63"/>
      <c r="CHK66" s="64"/>
      <c r="CHL66" s="66"/>
      <c r="CHM66" s="73"/>
      <c r="CHN66" s="63"/>
      <c r="CHO66" s="64"/>
      <c r="CHP66" s="66"/>
      <c r="CHQ66" s="73"/>
      <c r="CHR66" s="63"/>
      <c r="CHS66" s="64"/>
      <c r="CHT66" s="66"/>
      <c r="CHU66" s="73"/>
      <c r="CHV66" s="63"/>
      <c r="CHW66" s="64"/>
      <c r="CHX66" s="66"/>
      <c r="CHY66" s="73"/>
      <c r="CHZ66" s="63"/>
      <c r="CIA66" s="64"/>
      <c r="CIB66" s="66"/>
      <c r="CIC66" s="73"/>
      <c r="CID66" s="63"/>
      <c r="CIE66" s="64"/>
      <c r="CIF66" s="66"/>
      <c r="CIG66" s="73"/>
      <c r="CIH66" s="63"/>
      <c r="CII66" s="64"/>
      <c r="CIJ66" s="66"/>
      <c r="CIK66" s="73"/>
      <c r="CIL66" s="63"/>
      <c r="CIM66" s="64"/>
      <c r="CIN66" s="66"/>
      <c r="CIO66" s="73"/>
      <c r="CIP66" s="63"/>
      <c r="CIQ66" s="64"/>
      <c r="CIR66" s="66"/>
      <c r="CIS66" s="73"/>
      <c r="CIT66" s="63"/>
      <c r="CIU66" s="64"/>
      <c r="CIV66" s="66"/>
      <c r="CIW66" s="73"/>
      <c r="CIX66" s="63"/>
      <c r="CIY66" s="64"/>
      <c r="CIZ66" s="66"/>
      <c r="CJA66" s="73"/>
      <c r="CJB66" s="63"/>
      <c r="CJC66" s="64"/>
      <c r="CJD66" s="66"/>
      <c r="CJE66" s="73"/>
      <c r="CJF66" s="63"/>
      <c r="CJG66" s="64"/>
      <c r="CJH66" s="66"/>
      <c r="CJI66" s="73"/>
      <c r="CJJ66" s="63"/>
      <c r="CJK66" s="64"/>
      <c r="CJL66" s="66"/>
      <c r="CJM66" s="73"/>
      <c r="CJN66" s="63"/>
      <c r="CJO66" s="64"/>
      <c r="CJP66" s="66"/>
      <c r="CJQ66" s="73"/>
      <c r="CJR66" s="63"/>
      <c r="CJS66" s="64"/>
      <c r="CJT66" s="66"/>
      <c r="CJU66" s="73"/>
      <c r="CJV66" s="63"/>
      <c r="CJW66" s="64"/>
      <c r="CJX66" s="66"/>
      <c r="CJY66" s="73"/>
      <c r="CJZ66" s="63"/>
      <c r="CKA66" s="64"/>
      <c r="CKB66" s="66"/>
      <c r="CKC66" s="73"/>
      <c r="CKD66" s="63"/>
      <c r="CKE66" s="64"/>
      <c r="CKF66" s="66"/>
      <c r="CKG66" s="73"/>
      <c r="CKH66" s="63"/>
      <c r="CKI66" s="64"/>
      <c r="CKJ66" s="66"/>
      <c r="CKK66" s="73"/>
      <c r="CKL66" s="63"/>
      <c r="CKM66" s="64"/>
      <c r="CKN66" s="66"/>
      <c r="CKO66" s="73"/>
      <c r="CKP66" s="63"/>
      <c r="CKQ66" s="64"/>
      <c r="CKR66" s="66"/>
      <c r="CKS66" s="73"/>
      <c r="CKT66" s="63"/>
      <c r="CKU66" s="64"/>
      <c r="CKV66" s="66"/>
      <c r="CKW66" s="73"/>
      <c r="CKX66" s="63"/>
      <c r="CKY66" s="64"/>
      <c r="CKZ66" s="66"/>
      <c r="CLA66" s="73"/>
      <c r="CLB66" s="63"/>
      <c r="CLC66" s="64"/>
      <c r="CLD66" s="66"/>
      <c r="CLE66" s="73"/>
      <c r="CLF66" s="63"/>
      <c r="CLG66" s="64"/>
      <c r="CLH66" s="66"/>
      <c r="CLI66" s="73"/>
      <c r="CLJ66" s="63"/>
      <c r="CLK66" s="64"/>
      <c r="CLL66" s="66"/>
      <c r="CLM66" s="73"/>
      <c r="CLN66" s="63"/>
      <c r="CLO66" s="64"/>
      <c r="CLP66" s="66"/>
      <c r="CLQ66" s="73"/>
      <c r="CLR66" s="63"/>
      <c r="CLS66" s="64"/>
      <c r="CLT66" s="66"/>
      <c r="CLU66" s="73"/>
      <c r="CLV66" s="63"/>
      <c r="CLW66" s="64"/>
      <c r="CLX66" s="66"/>
      <c r="CLY66" s="73"/>
      <c r="CLZ66" s="63"/>
      <c r="CMA66" s="64"/>
      <c r="CMB66" s="66"/>
      <c r="CMC66" s="73"/>
      <c r="CMD66" s="63"/>
      <c r="CME66" s="64"/>
      <c r="CMF66" s="66"/>
      <c r="CMG66" s="73"/>
      <c r="CMH66" s="63"/>
      <c r="CMI66" s="64"/>
      <c r="CMJ66" s="66"/>
      <c r="CMK66" s="73"/>
      <c r="CML66" s="63"/>
      <c r="CMM66" s="64"/>
      <c r="CMN66" s="66"/>
      <c r="CMO66" s="73"/>
      <c r="CMP66" s="63"/>
      <c r="CMQ66" s="64"/>
      <c r="CMR66" s="66"/>
      <c r="CMS66" s="73"/>
      <c r="CMT66" s="63"/>
      <c r="CMU66" s="64"/>
      <c r="CMV66" s="66"/>
      <c r="CMW66" s="73"/>
      <c r="CMX66" s="63"/>
      <c r="CMY66" s="64"/>
      <c r="CMZ66" s="66"/>
      <c r="CNA66" s="73"/>
      <c r="CNB66" s="63"/>
      <c r="CNC66" s="64"/>
      <c r="CND66" s="66"/>
      <c r="CNE66" s="73"/>
      <c r="CNF66" s="63"/>
      <c r="CNG66" s="64"/>
      <c r="CNH66" s="66"/>
      <c r="CNI66" s="73"/>
      <c r="CNJ66" s="63"/>
      <c r="CNK66" s="64"/>
      <c r="CNL66" s="66"/>
      <c r="CNM66" s="73"/>
      <c r="CNN66" s="63"/>
      <c r="CNO66" s="64"/>
      <c r="CNP66" s="66"/>
      <c r="CNQ66" s="73"/>
      <c r="CNR66" s="63"/>
      <c r="CNS66" s="64"/>
      <c r="CNT66" s="66"/>
      <c r="CNU66" s="73"/>
      <c r="CNV66" s="63"/>
      <c r="CNW66" s="64"/>
      <c r="CNX66" s="66"/>
      <c r="CNY66" s="73"/>
      <c r="CNZ66" s="63"/>
      <c r="COA66" s="64"/>
      <c r="COB66" s="66"/>
      <c r="COC66" s="73"/>
      <c r="COD66" s="63"/>
      <c r="COE66" s="64"/>
      <c r="COF66" s="66"/>
      <c r="COG66" s="73"/>
      <c r="COH66" s="63"/>
      <c r="COI66" s="64"/>
      <c r="COJ66" s="66"/>
      <c r="COK66" s="73"/>
      <c r="COL66" s="63"/>
      <c r="COM66" s="64"/>
      <c r="CON66" s="66"/>
      <c r="COO66" s="73"/>
      <c r="COP66" s="63"/>
      <c r="COQ66" s="64"/>
      <c r="COR66" s="66"/>
      <c r="COS66" s="73"/>
      <c r="COT66" s="63"/>
      <c r="COU66" s="64"/>
      <c r="COV66" s="66"/>
      <c r="COW66" s="73"/>
      <c r="COX66" s="63"/>
      <c r="COY66" s="64"/>
      <c r="COZ66" s="66"/>
      <c r="CPA66" s="73"/>
      <c r="CPB66" s="63"/>
      <c r="CPC66" s="64"/>
      <c r="CPD66" s="66"/>
      <c r="CPE66" s="73"/>
      <c r="CPF66" s="63"/>
      <c r="CPG66" s="64"/>
      <c r="CPH66" s="66"/>
      <c r="CPI66" s="73"/>
      <c r="CPJ66" s="63"/>
      <c r="CPK66" s="64"/>
      <c r="CPL66" s="66"/>
      <c r="CPM66" s="73"/>
      <c r="CPN66" s="63"/>
      <c r="CPO66" s="64"/>
      <c r="CPP66" s="66"/>
      <c r="CPQ66" s="73"/>
      <c r="CPR66" s="63"/>
      <c r="CPS66" s="64"/>
      <c r="CPT66" s="66"/>
      <c r="CPU66" s="73"/>
      <c r="CPV66" s="63"/>
      <c r="CPW66" s="64"/>
      <c r="CPX66" s="66"/>
      <c r="CPY66" s="73"/>
      <c r="CPZ66" s="63"/>
      <c r="CQA66" s="64"/>
      <c r="CQB66" s="66"/>
      <c r="CQC66" s="73"/>
      <c r="CQD66" s="63"/>
      <c r="CQE66" s="64"/>
      <c r="CQF66" s="66"/>
      <c r="CQG66" s="73"/>
      <c r="CQH66" s="63"/>
      <c r="CQI66" s="64"/>
      <c r="CQJ66" s="66"/>
      <c r="CQK66" s="73"/>
      <c r="CQL66" s="63"/>
      <c r="CQM66" s="64"/>
      <c r="CQN66" s="66"/>
      <c r="CQO66" s="73"/>
      <c r="CQP66" s="63"/>
      <c r="CQQ66" s="64"/>
      <c r="CQR66" s="66"/>
      <c r="CQS66" s="73"/>
      <c r="CQT66" s="63"/>
      <c r="CQU66" s="64"/>
      <c r="CQV66" s="66"/>
      <c r="CQW66" s="73"/>
      <c r="CQX66" s="63"/>
      <c r="CQY66" s="64"/>
      <c r="CQZ66" s="66"/>
      <c r="CRA66" s="73"/>
      <c r="CRB66" s="63"/>
      <c r="CRC66" s="64"/>
      <c r="CRD66" s="66"/>
      <c r="CRE66" s="73"/>
      <c r="CRF66" s="63"/>
      <c r="CRG66" s="64"/>
      <c r="CRH66" s="66"/>
      <c r="CRI66" s="73"/>
      <c r="CRJ66" s="63"/>
      <c r="CRK66" s="64"/>
      <c r="CRL66" s="66"/>
      <c r="CRM66" s="73"/>
      <c r="CRN66" s="63"/>
      <c r="CRO66" s="64"/>
      <c r="CRP66" s="66"/>
      <c r="CRQ66" s="73"/>
      <c r="CRR66" s="63"/>
      <c r="CRS66" s="64"/>
      <c r="CRT66" s="66"/>
      <c r="CRU66" s="73"/>
      <c r="CRV66" s="63"/>
      <c r="CRW66" s="64"/>
      <c r="CRX66" s="66"/>
      <c r="CRY66" s="73"/>
      <c r="CRZ66" s="63"/>
      <c r="CSA66" s="64"/>
      <c r="CSB66" s="66"/>
      <c r="CSC66" s="73"/>
      <c r="CSD66" s="63"/>
      <c r="CSE66" s="64"/>
      <c r="CSF66" s="66"/>
      <c r="CSG66" s="73"/>
      <c r="CSH66" s="63"/>
      <c r="CSI66" s="64"/>
      <c r="CSJ66" s="66"/>
      <c r="CSK66" s="73"/>
      <c r="CSL66" s="63"/>
      <c r="CSM66" s="64"/>
      <c r="CSN66" s="66"/>
      <c r="CSO66" s="73"/>
      <c r="CSP66" s="63"/>
      <c r="CSQ66" s="64"/>
      <c r="CSR66" s="66"/>
      <c r="CSS66" s="73"/>
      <c r="CST66" s="63"/>
      <c r="CSU66" s="64"/>
      <c r="CSV66" s="66"/>
      <c r="CSW66" s="73"/>
      <c r="CSX66" s="63"/>
      <c r="CSY66" s="64"/>
      <c r="CSZ66" s="66"/>
      <c r="CTA66" s="73"/>
      <c r="CTB66" s="63"/>
      <c r="CTC66" s="64"/>
      <c r="CTD66" s="66"/>
      <c r="CTE66" s="73"/>
      <c r="CTF66" s="63"/>
      <c r="CTG66" s="64"/>
      <c r="CTH66" s="66"/>
      <c r="CTI66" s="73"/>
      <c r="CTJ66" s="63"/>
      <c r="CTK66" s="64"/>
      <c r="CTL66" s="66"/>
      <c r="CTM66" s="73"/>
      <c r="CTN66" s="63"/>
      <c r="CTO66" s="64"/>
      <c r="CTP66" s="66"/>
      <c r="CTQ66" s="73"/>
      <c r="CTR66" s="63"/>
      <c r="CTS66" s="64"/>
      <c r="CTT66" s="66"/>
      <c r="CTU66" s="73"/>
      <c r="CTV66" s="63"/>
      <c r="CTW66" s="64"/>
      <c r="CTX66" s="66"/>
      <c r="CTY66" s="73"/>
      <c r="CTZ66" s="63"/>
      <c r="CUA66" s="64"/>
      <c r="CUB66" s="66"/>
      <c r="CUC66" s="73"/>
      <c r="CUD66" s="63"/>
      <c r="CUE66" s="64"/>
      <c r="CUF66" s="66"/>
      <c r="CUG66" s="73"/>
      <c r="CUH66" s="63"/>
      <c r="CUI66" s="64"/>
      <c r="CUJ66" s="66"/>
      <c r="CUK66" s="73"/>
      <c r="CUL66" s="63"/>
      <c r="CUM66" s="64"/>
      <c r="CUN66" s="66"/>
      <c r="CUO66" s="73"/>
      <c r="CUP66" s="63"/>
      <c r="CUQ66" s="64"/>
      <c r="CUR66" s="66"/>
      <c r="CUS66" s="73"/>
      <c r="CUT66" s="63"/>
      <c r="CUU66" s="64"/>
      <c r="CUV66" s="66"/>
      <c r="CUW66" s="73"/>
      <c r="CUX66" s="63"/>
      <c r="CUY66" s="64"/>
      <c r="CUZ66" s="66"/>
      <c r="CVA66" s="73"/>
      <c r="CVB66" s="63"/>
      <c r="CVC66" s="64"/>
      <c r="CVD66" s="66"/>
      <c r="CVE66" s="73"/>
      <c r="CVF66" s="63"/>
      <c r="CVG66" s="64"/>
      <c r="CVH66" s="66"/>
      <c r="CVI66" s="73"/>
      <c r="CVJ66" s="63"/>
      <c r="CVK66" s="64"/>
      <c r="CVL66" s="66"/>
      <c r="CVM66" s="73"/>
      <c r="CVN66" s="63"/>
      <c r="CVO66" s="64"/>
      <c r="CVP66" s="66"/>
      <c r="CVQ66" s="73"/>
      <c r="CVR66" s="63"/>
      <c r="CVS66" s="64"/>
      <c r="CVT66" s="66"/>
      <c r="CVU66" s="73"/>
      <c r="CVV66" s="63"/>
      <c r="CVW66" s="64"/>
      <c r="CVX66" s="66"/>
      <c r="CVY66" s="73"/>
      <c r="CVZ66" s="63"/>
      <c r="CWA66" s="64"/>
      <c r="CWB66" s="66"/>
      <c r="CWC66" s="73"/>
      <c r="CWD66" s="63"/>
      <c r="CWE66" s="64"/>
      <c r="CWF66" s="66"/>
      <c r="CWG66" s="73"/>
      <c r="CWH66" s="63"/>
      <c r="CWI66" s="64"/>
      <c r="CWJ66" s="66"/>
      <c r="CWK66" s="73"/>
      <c r="CWL66" s="63"/>
      <c r="CWM66" s="64"/>
      <c r="CWN66" s="66"/>
      <c r="CWO66" s="73"/>
      <c r="CWP66" s="63"/>
      <c r="CWQ66" s="64"/>
      <c r="CWR66" s="66"/>
      <c r="CWS66" s="73"/>
      <c r="CWT66" s="63"/>
      <c r="CWU66" s="64"/>
      <c r="CWV66" s="66"/>
      <c r="CWW66" s="73"/>
      <c r="CWX66" s="63"/>
      <c r="CWY66" s="64"/>
      <c r="CWZ66" s="66"/>
      <c r="CXA66" s="73"/>
      <c r="CXB66" s="63"/>
      <c r="CXC66" s="64"/>
      <c r="CXD66" s="66"/>
      <c r="CXE66" s="73"/>
      <c r="CXF66" s="63"/>
      <c r="CXG66" s="64"/>
      <c r="CXH66" s="66"/>
      <c r="CXI66" s="73"/>
      <c r="CXJ66" s="63"/>
      <c r="CXK66" s="64"/>
      <c r="CXL66" s="66"/>
      <c r="CXM66" s="73"/>
      <c r="CXN66" s="63"/>
      <c r="CXO66" s="64"/>
      <c r="CXP66" s="66"/>
      <c r="CXQ66" s="73"/>
      <c r="CXR66" s="63"/>
      <c r="CXS66" s="64"/>
      <c r="CXT66" s="66"/>
      <c r="CXU66" s="73"/>
      <c r="CXV66" s="63"/>
      <c r="CXW66" s="64"/>
      <c r="CXX66" s="66"/>
      <c r="CXY66" s="73"/>
      <c r="CXZ66" s="63"/>
      <c r="CYA66" s="64"/>
      <c r="CYB66" s="66"/>
      <c r="CYC66" s="73"/>
      <c r="CYD66" s="63"/>
      <c r="CYE66" s="64"/>
      <c r="CYF66" s="66"/>
      <c r="CYG66" s="73"/>
      <c r="CYH66" s="63"/>
      <c r="CYI66" s="64"/>
      <c r="CYJ66" s="66"/>
      <c r="CYK66" s="73"/>
      <c r="CYL66" s="63"/>
      <c r="CYM66" s="64"/>
      <c r="CYN66" s="66"/>
      <c r="CYO66" s="73"/>
      <c r="CYP66" s="63"/>
      <c r="CYQ66" s="64"/>
      <c r="CYR66" s="66"/>
      <c r="CYS66" s="73"/>
      <c r="CYT66" s="63"/>
      <c r="CYU66" s="64"/>
      <c r="CYV66" s="66"/>
      <c r="CYW66" s="73"/>
      <c r="CYX66" s="63"/>
      <c r="CYY66" s="64"/>
      <c r="CYZ66" s="66"/>
      <c r="CZA66" s="73"/>
      <c r="CZB66" s="63"/>
      <c r="CZC66" s="64"/>
      <c r="CZD66" s="66"/>
      <c r="CZE66" s="73"/>
      <c r="CZF66" s="63"/>
      <c r="CZG66" s="64"/>
      <c r="CZH66" s="66"/>
      <c r="CZI66" s="73"/>
      <c r="CZJ66" s="63"/>
      <c r="CZK66" s="64"/>
      <c r="CZL66" s="66"/>
      <c r="CZM66" s="73"/>
      <c r="CZN66" s="63"/>
      <c r="CZO66" s="64"/>
      <c r="CZP66" s="66"/>
      <c r="CZQ66" s="73"/>
      <c r="CZR66" s="63"/>
      <c r="CZS66" s="64"/>
      <c r="CZT66" s="66"/>
      <c r="CZU66" s="73"/>
      <c r="CZV66" s="63"/>
      <c r="CZW66" s="64"/>
      <c r="CZX66" s="66"/>
      <c r="CZY66" s="73"/>
      <c r="CZZ66" s="63"/>
      <c r="DAA66" s="64"/>
      <c r="DAB66" s="66"/>
      <c r="DAC66" s="73"/>
      <c r="DAD66" s="63"/>
      <c r="DAE66" s="64"/>
      <c r="DAF66" s="66"/>
      <c r="DAG66" s="73"/>
      <c r="DAH66" s="63"/>
      <c r="DAI66" s="64"/>
      <c r="DAJ66" s="66"/>
      <c r="DAK66" s="73"/>
      <c r="DAL66" s="63"/>
      <c r="DAM66" s="64"/>
      <c r="DAN66" s="66"/>
      <c r="DAO66" s="73"/>
      <c r="DAP66" s="63"/>
      <c r="DAQ66" s="64"/>
      <c r="DAR66" s="66"/>
      <c r="DAS66" s="73"/>
      <c r="DAT66" s="63"/>
      <c r="DAU66" s="64"/>
      <c r="DAV66" s="66"/>
      <c r="DAW66" s="73"/>
      <c r="DAX66" s="63"/>
      <c r="DAY66" s="64"/>
      <c r="DAZ66" s="66"/>
      <c r="DBA66" s="73"/>
      <c r="DBB66" s="63"/>
      <c r="DBC66" s="64"/>
      <c r="DBD66" s="66"/>
      <c r="DBE66" s="73"/>
      <c r="DBF66" s="63"/>
      <c r="DBG66" s="64"/>
      <c r="DBH66" s="66"/>
      <c r="DBI66" s="73"/>
      <c r="DBJ66" s="63"/>
      <c r="DBK66" s="64"/>
      <c r="DBL66" s="66"/>
      <c r="DBM66" s="73"/>
      <c r="DBN66" s="63"/>
      <c r="DBO66" s="64"/>
      <c r="DBP66" s="66"/>
      <c r="DBQ66" s="73"/>
      <c r="DBR66" s="63"/>
      <c r="DBS66" s="64"/>
      <c r="DBT66" s="66"/>
      <c r="DBU66" s="73"/>
      <c r="DBV66" s="63"/>
      <c r="DBW66" s="64"/>
      <c r="DBX66" s="66"/>
      <c r="DBY66" s="73"/>
      <c r="DBZ66" s="63"/>
      <c r="DCA66" s="64"/>
      <c r="DCB66" s="66"/>
      <c r="DCC66" s="73"/>
      <c r="DCD66" s="63"/>
      <c r="DCE66" s="64"/>
      <c r="DCF66" s="66"/>
      <c r="DCG66" s="73"/>
      <c r="DCH66" s="63"/>
      <c r="DCI66" s="64"/>
      <c r="DCJ66" s="66"/>
      <c r="DCK66" s="73"/>
      <c r="DCL66" s="63"/>
      <c r="DCM66" s="64"/>
      <c r="DCN66" s="66"/>
      <c r="DCO66" s="73"/>
      <c r="DCP66" s="63"/>
      <c r="DCQ66" s="64"/>
      <c r="DCR66" s="66"/>
      <c r="DCS66" s="73"/>
      <c r="DCT66" s="63"/>
      <c r="DCU66" s="64"/>
      <c r="DCV66" s="66"/>
      <c r="DCW66" s="73"/>
      <c r="DCX66" s="63"/>
      <c r="DCY66" s="64"/>
      <c r="DCZ66" s="66"/>
      <c r="DDA66" s="73"/>
      <c r="DDB66" s="63"/>
      <c r="DDC66" s="64"/>
      <c r="DDD66" s="66"/>
      <c r="DDE66" s="73"/>
      <c r="DDF66" s="63"/>
      <c r="DDG66" s="64"/>
      <c r="DDH66" s="66"/>
      <c r="DDI66" s="73"/>
      <c r="DDJ66" s="63"/>
      <c r="DDK66" s="64"/>
      <c r="DDL66" s="66"/>
      <c r="DDM66" s="73"/>
      <c r="DDN66" s="63"/>
      <c r="DDO66" s="64"/>
      <c r="DDP66" s="66"/>
      <c r="DDQ66" s="73"/>
      <c r="DDR66" s="63"/>
      <c r="DDS66" s="64"/>
      <c r="DDT66" s="66"/>
      <c r="DDU66" s="73"/>
      <c r="DDV66" s="63"/>
      <c r="DDW66" s="64"/>
      <c r="DDX66" s="66"/>
      <c r="DDY66" s="73"/>
      <c r="DDZ66" s="63"/>
      <c r="DEA66" s="64"/>
      <c r="DEB66" s="66"/>
      <c r="DEC66" s="73"/>
      <c r="DED66" s="63"/>
      <c r="DEE66" s="64"/>
      <c r="DEF66" s="66"/>
      <c r="DEG66" s="73"/>
      <c r="DEH66" s="63"/>
      <c r="DEI66" s="64"/>
      <c r="DEJ66" s="66"/>
      <c r="DEK66" s="73"/>
      <c r="DEL66" s="63"/>
      <c r="DEM66" s="64"/>
      <c r="DEN66" s="66"/>
      <c r="DEO66" s="73"/>
      <c r="DEP66" s="63"/>
      <c r="DEQ66" s="64"/>
      <c r="DER66" s="66"/>
      <c r="DES66" s="73"/>
      <c r="DET66" s="63"/>
      <c r="DEU66" s="64"/>
      <c r="DEV66" s="66"/>
      <c r="DEW66" s="73"/>
      <c r="DEX66" s="63"/>
      <c r="DEY66" s="64"/>
      <c r="DEZ66" s="66"/>
      <c r="DFA66" s="73"/>
      <c r="DFB66" s="63"/>
      <c r="DFC66" s="64"/>
      <c r="DFD66" s="66"/>
      <c r="DFE66" s="73"/>
      <c r="DFF66" s="63"/>
      <c r="DFG66" s="64"/>
      <c r="DFH66" s="66"/>
      <c r="DFI66" s="73"/>
      <c r="DFJ66" s="63"/>
      <c r="DFK66" s="64"/>
      <c r="DFL66" s="66"/>
      <c r="DFM66" s="73"/>
      <c r="DFN66" s="63"/>
      <c r="DFO66" s="64"/>
      <c r="DFP66" s="66"/>
      <c r="DFQ66" s="73"/>
      <c r="DFR66" s="63"/>
      <c r="DFS66" s="64"/>
      <c r="DFT66" s="66"/>
      <c r="DFU66" s="73"/>
      <c r="DFV66" s="63"/>
      <c r="DFW66" s="64"/>
      <c r="DFX66" s="66"/>
      <c r="DFY66" s="73"/>
      <c r="DFZ66" s="63"/>
      <c r="DGA66" s="64"/>
      <c r="DGB66" s="66"/>
      <c r="DGC66" s="73"/>
      <c r="DGD66" s="63"/>
      <c r="DGE66" s="64"/>
      <c r="DGF66" s="66"/>
      <c r="DGG66" s="73"/>
      <c r="DGH66" s="63"/>
      <c r="DGI66" s="64"/>
      <c r="DGJ66" s="66"/>
      <c r="DGK66" s="73"/>
      <c r="DGL66" s="63"/>
      <c r="DGM66" s="64"/>
      <c r="DGN66" s="66"/>
      <c r="DGO66" s="73"/>
      <c r="DGP66" s="63"/>
      <c r="DGQ66" s="64"/>
      <c r="DGR66" s="66"/>
      <c r="DGS66" s="73"/>
      <c r="DGT66" s="63"/>
      <c r="DGU66" s="64"/>
      <c r="DGV66" s="66"/>
      <c r="DGW66" s="73"/>
      <c r="DGX66" s="63"/>
      <c r="DGY66" s="64"/>
      <c r="DGZ66" s="66"/>
      <c r="DHA66" s="73"/>
      <c r="DHB66" s="63"/>
      <c r="DHC66" s="64"/>
      <c r="DHD66" s="66"/>
      <c r="DHE66" s="73"/>
      <c r="DHF66" s="63"/>
      <c r="DHG66" s="64"/>
      <c r="DHH66" s="66"/>
      <c r="DHI66" s="73"/>
      <c r="DHJ66" s="63"/>
      <c r="DHK66" s="64"/>
      <c r="DHL66" s="66"/>
      <c r="DHM66" s="73"/>
      <c r="DHN66" s="63"/>
      <c r="DHO66" s="64"/>
      <c r="DHP66" s="66"/>
      <c r="DHQ66" s="73"/>
      <c r="DHR66" s="63"/>
      <c r="DHS66" s="64"/>
      <c r="DHT66" s="66"/>
      <c r="DHU66" s="73"/>
      <c r="DHV66" s="63"/>
      <c r="DHW66" s="64"/>
      <c r="DHX66" s="66"/>
      <c r="DHY66" s="73"/>
      <c r="DHZ66" s="63"/>
      <c r="DIA66" s="64"/>
      <c r="DIB66" s="66"/>
      <c r="DIC66" s="73"/>
      <c r="DID66" s="63"/>
      <c r="DIE66" s="64"/>
      <c r="DIF66" s="66"/>
      <c r="DIG66" s="73"/>
      <c r="DIH66" s="63"/>
      <c r="DII66" s="64"/>
      <c r="DIJ66" s="66"/>
      <c r="DIK66" s="73"/>
      <c r="DIL66" s="63"/>
      <c r="DIM66" s="64"/>
      <c r="DIN66" s="66"/>
      <c r="DIO66" s="73"/>
      <c r="DIP66" s="63"/>
      <c r="DIQ66" s="64"/>
      <c r="DIR66" s="66"/>
      <c r="DIS66" s="73"/>
      <c r="DIT66" s="63"/>
      <c r="DIU66" s="64"/>
      <c r="DIV66" s="66"/>
      <c r="DIW66" s="73"/>
      <c r="DIX66" s="63"/>
      <c r="DIY66" s="64"/>
      <c r="DIZ66" s="66"/>
      <c r="DJA66" s="73"/>
      <c r="DJB66" s="63"/>
      <c r="DJC66" s="64"/>
      <c r="DJD66" s="66"/>
      <c r="DJE66" s="73"/>
      <c r="DJF66" s="63"/>
      <c r="DJG66" s="64"/>
      <c r="DJH66" s="66"/>
      <c r="DJI66" s="73"/>
      <c r="DJJ66" s="63"/>
      <c r="DJK66" s="64"/>
      <c r="DJL66" s="66"/>
      <c r="DJM66" s="73"/>
      <c r="DJN66" s="63"/>
      <c r="DJO66" s="64"/>
      <c r="DJP66" s="66"/>
      <c r="DJQ66" s="73"/>
      <c r="DJR66" s="63"/>
      <c r="DJS66" s="64"/>
      <c r="DJT66" s="66"/>
      <c r="DJU66" s="73"/>
      <c r="DJV66" s="63"/>
      <c r="DJW66" s="64"/>
      <c r="DJX66" s="66"/>
      <c r="DJY66" s="73"/>
      <c r="DJZ66" s="63"/>
      <c r="DKA66" s="64"/>
      <c r="DKB66" s="66"/>
      <c r="DKC66" s="73"/>
      <c r="DKD66" s="63"/>
      <c r="DKE66" s="64"/>
      <c r="DKF66" s="66"/>
      <c r="DKG66" s="73"/>
      <c r="DKH66" s="63"/>
      <c r="DKI66" s="64"/>
      <c r="DKJ66" s="66"/>
      <c r="DKK66" s="73"/>
      <c r="DKL66" s="63"/>
      <c r="DKM66" s="64"/>
      <c r="DKN66" s="66"/>
      <c r="DKO66" s="73"/>
      <c r="DKP66" s="63"/>
      <c r="DKQ66" s="64"/>
      <c r="DKR66" s="66"/>
      <c r="DKS66" s="73"/>
      <c r="DKT66" s="63"/>
      <c r="DKU66" s="64"/>
      <c r="DKV66" s="66"/>
      <c r="DKW66" s="73"/>
      <c r="DKX66" s="63"/>
      <c r="DKY66" s="64"/>
      <c r="DKZ66" s="66"/>
      <c r="DLA66" s="73"/>
      <c r="DLB66" s="63"/>
      <c r="DLC66" s="64"/>
      <c r="DLD66" s="66"/>
      <c r="DLE66" s="73"/>
      <c r="DLF66" s="63"/>
      <c r="DLG66" s="64"/>
      <c r="DLH66" s="66"/>
      <c r="DLI66" s="73"/>
      <c r="DLJ66" s="63"/>
      <c r="DLK66" s="64"/>
      <c r="DLL66" s="66"/>
      <c r="DLM66" s="73"/>
      <c r="DLN66" s="63"/>
      <c r="DLO66" s="64"/>
      <c r="DLP66" s="66"/>
      <c r="DLQ66" s="73"/>
      <c r="DLR66" s="63"/>
      <c r="DLS66" s="64"/>
      <c r="DLT66" s="66"/>
      <c r="DLU66" s="73"/>
      <c r="DLV66" s="63"/>
      <c r="DLW66" s="64"/>
      <c r="DLX66" s="66"/>
      <c r="DLY66" s="73"/>
      <c r="DLZ66" s="63"/>
      <c r="DMA66" s="64"/>
      <c r="DMB66" s="66"/>
      <c r="DMC66" s="73"/>
      <c r="DMD66" s="63"/>
      <c r="DME66" s="64"/>
      <c r="DMF66" s="66"/>
      <c r="DMG66" s="73"/>
      <c r="DMH66" s="63"/>
      <c r="DMI66" s="64"/>
      <c r="DMJ66" s="66"/>
      <c r="DMK66" s="73"/>
      <c r="DML66" s="63"/>
      <c r="DMM66" s="64"/>
      <c r="DMN66" s="66"/>
      <c r="DMO66" s="73"/>
      <c r="DMP66" s="63"/>
      <c r="DMQ66" s="64"/>
      <c r="DMR66" s="66"/>
      <c r="DMS66" s="73"/>
      <c r="DMT66" s="63"/>
      <c r="DMU66" s="64"/>
      <c r="DMV66" s="66"/>
      <c r="DMW66" s="73"/>
      <c r="DMX66" s="63"/>
      <c r="DMY66" s="64"/>
      <c r="DMZ66" s="66"/>
      <c r="DNA66" s="73"/>
      <c r="DNB66" s="63"/>
      <c r="DNC66" s="64"/>
      <c r="DND66" s="66"/>
      <c r="DNE66" s="73"/>
      <c r="DNF66" s="63"/>
      <c r="DNG66" s="64"/>
      <c r="DNH66" s="66"/>
      <c r="DNI66" s="73"/>
      <c r="DNJ66" s="63"/>
      <c r="DNK66" s="64"/>
      <c r="DNL66" s="66"/>
      <c r="DNM66" s="73"/>
      <c r="DNN66" s="63"/>
      <c r="DNO66" s="64"/>
      <c r="DNP66" s="66"/>
      <c r="DNQ66" s="73"/>
      <c r="DNR66" s="63"/>
      <c r="DNS66" s="64"/>
      <c r="DNT66" s="66"/>
      <c r="DNU66" s="73"/>
      <c r="DNV66" s="63"/>
      <c r="DNW66" s="64"/>
      <c r="DNX66" s="66"/>
      <c r="DNY66" s="73"/>
      <c r="DNZ66" s="63"/>
      <c r="DOA66" s="64"/>
      <c r="DOB66" s="66"/>
      <c r="DOC66" s="73"/>
      <c r="DOD66" s="63"/>
      <c r="DOE66" s="64"/>
      <c r="DOF66" s="66"/>
      <c r="DOG66" s="73"/>
      <c r="DOH66" s="63"/>
      <c r="DOI66" s="64"/>
      <c r="DOJ66" s="66"/>
      <c r="DOK66" s="73"/>
      <c r="DOL66" s="63"/>
      <c r="DOM66" s="64"/>
      <c r="DON66" s="66"/>
      <c r="DOO66" s="73"/>
      <c r="DOP66" s="63"/>
      <c r="DOQ66" s="64"/>
      <c r="DOR66" s="66"/>
      <c r="DOS66" s="73"/>
      <c r="DOT66" s="63"/>
      <c r="DOU66" s="64"/>
      <c r="DOV66" s="66"/>
      <c r="DOW66" s="73"/>
      <c r="DOX66" s="63"/>
      <c r="DOY66" s="64"/>
      <c r="DOZ66" s="66"/>
      <c r="DPA66" s="73"/>
      <c r="DPB66" s="63"/>
      <c r="DPC66" s="64"/>
      <c r="DPD66" s="66"/>
      <c r="DPE66" s="73"/>
      <c r="DPF66" s="63"/>
      <c r="DPG66" s="64"/>
      <c r="DPH66" s="66"/>
      <c r="DPI66" s="73"/>
      <c r="DPJ66" s="63"/>
      <c r="DPK66" s="64"/>
      <c r="DPL66" s="66"/>
      <c r="DPM66" s="73"/>
      <c r="DPN66" s="63"/>
      <c r="DPO66" s="64"/>
      <c r="DPP66" s="66"/>
      <c r="DPQ66" s="73"/>
      <c r="DPR66" s="63"/>
      <c r="DPS66" s="64"/>
      <c r="DPT66" s="66"/>
      <c r="DPU66" s="73"/>
      <c r="DPV66" s="63"/>
      <c r="DPW66" s="64"/>
      <c r="DPX66" s="66"/>
      <c r="DPY66" s="73"/>
      <c r="DPZ66" s="63"/>
      <c r="DQA66" s="64"/>
      <c r="DQB66" s="66"/>
      <c r="DQC66" s="73"/>
      <c r="DQD66" s="63"/>
      <c r="DQE66" s="64"/>
      <c r="DQF66" s="66"/>
      <c r="DQG66" s="73"/>
      <c r="DQH66" s="63"/>
      <c r="DQI66" s="64"/>
      <c r="DQJ66" s="66"/>
      <c r="DQK66" s="73"/>
      <c r="DQL66" s="63"/>
      <c r="DQM66" s="64"/>
      <c r="DQN66" s="66"/>
      <c r="DQO66" s="73"/>
      <c r="DQP66" s="63"/>
      <c r="DQQ66" s="64"/>
      <c r="DQR66" s="66"/>
      <c r="DQS66" s="73"/>
      <c r="DQT66" s="63"/>
      <c r="DQU66" s="64"/>
      <c r="DQV66" s="66"/>
      <c r="DQW66" s="73"/>
      <c r="DQX66" s="63"/>
      <c r="DQY66" s="64"/>
      <c r="DQZ66" s="66"/>
      <c r="DRA66" s="73"/>
      <c r="DRB66" s="63"/>
      <c r="DRC66" s="64"/>
      <c r="DRD66" s="66"/>
      <c r="DRE66" s="73"/>
      <c r="DRF66" s="63"/>
      <c r="DRG66" s="64"/>
      <c r="DRH66" s="66"/>
      <c r="DRI66" s="73"/>
      <c r="DRJ66" s="63"/>
      <c r="DRK66" s="64"/>
      <c r="DRL66" s="66"/>
      <c r="DRM66" s="73"/>
      <c r="DRN66" s="63"/>
      <c r="DRO66" s="64"/>
      <c r="DRP66" s="66"/>
      <c r="DRQ66" s="73"/>
      <c r="DRR66" s="63"/>
      <c r="DRS66" s="64"/>
      <c r="DRT66" s="66"/>
      <c r="DRU66" s="73"/>
      <c r="DRV66" s="63"/>
      <c r="DRW66" s="64"/>
      <c r="DRX66" s="66"/>
      <c r="DRY66" s="73"/>
      <c r="DRZ66" s="63"/>
      <c r="DSA66" s="64"/>
      <c r="DSB66" s="66"/>
      <c r="DSC66" s="73"/>
      <c r="DSD66" s="63"/>
      <c r="DSE66" s="64"/>
      <c r="DSF66" s="66"/>
      <c r="DSG66" s="73"/>
      <c r="DSH66" s="63"/>
      <c r="DSI66" s="64"/>
      <c r="DSJ66" s="66"/>
      <c r="DSK66" s="73"/>
      <c r="DSL66" s="63"/>
      <c r="DSM66" s="64"/>
      <c r="DSN66" s="66"/>
      <c r="DSO66" s="73"/>
      <c r="DSP66" s="63"/>
      <c r="DSQ66" s="64"/>
      <c r="DSR66" s="66"/>
      <c r="DSS66" s="73"/>
      <c r="DST66" s="63"/>
      <c r="DSU66" s="64"/>
      <c r="DSV66" s="66"/>
      <c r="DSW66" s="73"/>
      <c r="DSX66" s="63"/>
      <c r="DSY66" s="64"/>
      <c r="DSZ66" s="66"/>
      <c r="DTA66" s="73"/>
      <c r="DTB66" s="63"/>
      <c r="DTC66" s="64"/>
      <c r="DTD66" s="66"/>
      <c r="DTE66" s="73"/>
      <c r="DTF66" s="63"/>
      <c r="DTG66" s="64"/>
      <c r="DTH66" s="66"/>
      <c r="DTI66" s="73"/>
      <c r="DTJ66" s="63"/>
      <c r="DTK66" s="64"/>
      <c r="DTL66" s="66"/>
      <c r="DTM66" s="73"/>
      <c r="DTN66" s="63"/>
      <c r="DTO66" s="64"/>
      <c r="DTP66" s="66"/>
      <c r="DTQ66" s="73"/>
      <c r="DTR66" s="63"/>
      <c r="DTS66" s="64"/>
      <c r="DTT66" s="66"/>
      <c r="DTU66" s="73"/>
      <c r="DTV66" s="63"/>
      <c r="DTW66" s="64"/>
      <c r="DTX66" s="66"/>
      <c r="DTY66" s="73"/>
      <c r="DTZ66" s="63"/>
      <c r="DUA66" s="64"/>
      <c r="DUB66" s="66"/>
      <c r="DUC66" s="73"/>
      <c r="DUD66" s="63"/>
      <c r="DUE66" s="64"/>
      <c r="DUF66" s="66"/>
      <c r="DUG66" s="73"/>
      <c r="DUH66" s="63"/>
      <c r="DUI66" s="64"/>
      <c r="DUJ66" s="66"/>
      <c r="DUK66" s="73"/>
      <c r="DUL66" s="63"/>
      <c r="DUM66" s="64"/>
      <c r="DUN66" s="66"/>
      <c r="DUO66" s="73"/>
      <c r="DUP66" s="63"/>
      <c r="DUQ66" s="64"/>
      <c r="DUR66" s="66"/>
      <c r="DUS66" s="73"/>
      <c r="DUT66" s="63"/>
      <c r="DUU66" s="64"/>
      <c r="DUV66" s="66"/>
      <c r="DUW66" s="73"/>
      <c r="DUX66" s="63"/>
      <c r="DUY66" s="64"/>
      <c r="DUZ66" s="66"/>
      <c r="DVA66" s="73"/>
      <c r="DVB66" s="63"/>
      <c r="DVC66" s="64"/>
      <c r="DVD66" s="66"/>
      <c r="DVE66" s="73"/>
      <c r="DVF66" s="63"/>
      <c r="DVG66" s="64"/>
      <c r="DVH66" s="66"/>
      <c r="DVI66" s="73"/>
      <c r="DVJ66" s="63"/>
      <c r="DVK66" s="64"/>
      <c r="DVL66" s="66"/>
      <c r="DVM66" s="73"/>
      <c r="DVN66" s="63"/>
      <c r="DVO66" s="64"/>
      <c r="DVP66" s="66"/>
      <c r="DVQ66" s="73"/>
      <c r="DVR66" s="63"/>
      <c r="DVS66" s="64"/>
      <c r="DVT66" s="66"/>
      <c r="DVU66" s="73"/>
      <c r="DVV66" s="63"/>
      <c r="DVW66" s="64"/>
      <c r="DVX66" s="66"/>
      <c r="DVY66" s="73"/>
      <c r="DVZ66" s="63"/>
      <c r="DWA66" s="64"/>
      <c r="DWB66" s="66"/>
      <c r="DWC66" s="73"/>
      <c r="DWD66" s="63"/>
      <c r="DWE66" s="64"/>
      <c r="DWF66" s="66"/>
      <c r="DWG66" s="73"/>
      <c r="DWH66" s="63"/>
      <c r="DWI66" s="64"/>
      <c r="DWJ66" s="66"/>
      <c r="DWK66" s="73"/>
      <c r="DWL66" s="63"/>
      <c r="DWM66" s="64"/>
      <c r="DWN66" s="66"/>
      <c r="DWO66" s="73"/>
      <c r="DWP66" s="63"/>
      <c r="DWQ66" s="64"/>
      <c r="DWR66" s="66"/>
      <c r="DWS66" s="73"/>
      <c r="DWT66" s="63"/>
      <c r="DWU66" s="64"/>
      <c r="DWV66" s="66"/>
      <c r="DWW66" s="73"/>
      <c r="DWX66" s="63"/>
      <c r="DWY66" s="64"/>
      <c r="DWZ66" s="66"/>
      <c r="DXA66" s="73"/>
      <c r="DXB66" s="63"/>
      <c r="DXC66" s="64"/>
      <c r="DXD66" s="66"/>
      <c r="DXE66" s="73"/>
      <c r="DXF66" s="63"/>
      <c r="DXG66" s="64"/>
      <c r="DXH66" s="66"/>
      <c r="DXI66" s="73"/>
      <c r="DXJ66" s="63"/>
      <c r="DXK66" s="64"/>
      <c r="DXL66" s="66"/>
      <c r="DXM66" s="73"/>
      <c r="DXN66" s="63"/>
      <c r="DXO66" s="64"/>
      <c r="DXP66" s="66"/>
      <c r="DXQ66" s="73"/>
      <c r="DXR66" s="63"/>
      <c r="DXS66" s="64"/>
      <c r="DXT66" s="66"/>
      <c r="DXU66" s="73"/>
      <c r="DXV66" s="63"/>
      <c r="DXW66" s="64"/>
      <c r="DXX66" s="66"/>
      <c r="DXY66" s="73"/>
      <c r="DXZ66" s="63"/>
      <c r="DYA66" s="64"/>
      <c r="DYB66" s="66"/>
      <c r="DYC66" s="73"/>
      <c r="DYD66" s="63"/>
      <c r="DYE66" s="64"/>
      <c r="DYF66" s="66"/>
      <c r="DYG66" s="73"/>
      <c r="DYH66" s="63"/>
      <c r="DYI66" s="64"/>
      <c r="DYJ66" s="66"/>
      <c r="DYK66" s="73"/>
      <c r="DYL66" s="63"/>
      <c r="DYM66" s="64"/>
      <c r="DYN66" s="66"/>
      <c r="DYO66" s="73"/>
      <c r="DYP66" s="63"/>
      <c r="DYQ66" s="64"/>
      <c r="DYR66" s="66"/>
      <c r="DYS66" s="73"/>
      <c r="DYT66" s="63"/>
      <c r="DYU66" s="64"/>
      <c r="DYV66" s="66"/>
      <c r="DYW66" s="73"/>
      <c r="DYX66" s="63"/>
      <c r="DYY66" s="64"/>
      <c r="DYZ66" s="66"/>
      <c r="DZA66" s="73"/>
      <c r="DZB66" s="63"/>
      <c r="DZC66" s="64"/>
      <c r="DZD66" s="66"/>
      <c r="DZE66" s="73"/>
      <c r="DZF66" s="63"/>
      <c r="DZG66" s="64"/>
      <c r="DZH66" s="66"/>
      <c r="DZI66" s="73"/>
      <c r="DZJ66" s="63"/>
      <c r="DZK66" s="64"/>
      <c r="DZL66" s="66"/>
      <c r="DZM66" s="73"/>
      <c r="DZN66" s="63"/>
      <c r="DZO66" s="64"/>
      <c r="DZP66" s="66"/>
      <c r="DZQ66" s="73"/>
      <c r="DZR66" s="63"/>
      <c r="DZS66" s="64"/>
      <c r="DZT66" s="66"/>
      <c r="DZU66" s="73"/>
      <c r="DZV66" s="63"/>
      <c r="DZW66" s="64"/>
      <c r="DZX66" s="66"/>
      <c r="DZY66" s="73"/>
      <c r="DZZ66" s="63"/>
      <c r="EAA66" s="64"/>
      <c r="EAB66" s="66"/>
      <c r="EAC66" s="73"/>
      <c r="EAD66" s="63"/>
      <c r="EAE66" s="64"/>
      <c r="EAF66" s="66"/>
      <c r="EAG66" s="73"/>
      <c r="EAH66" s="63"/>
      <c r="EAI66" s="64"/>
      <c r="EAJ66" s="66"/>
      <c r="EAK66" s="73"/>
      <c r="EAL66" s="63"/>
      <c r="EAM66" s="64"/>
      <c r="EAN66" s="66"/>
      <c r="EAO66" s="73"/>
      <c r="EAP66" s="63"/>
      <c r="EAQ66" s="64"/>
      <c r="EAR66" s="66"/>
      <c r="EAS66" s="73"/>
      <c r="EAT66" s="63"/>
      <c r="EAU66" s="64"/>
      <c r="EAV66" s="66"/>
      <c r="EAW66" s="73"/>
      <c r="EAX66" s="63"/>
      <c r="EAY66" s="64"/>
      <c r="EAZ66" s="66"/>
      <c r="EBA66" s="73"/>
      <c r="EBB66" s="63"/>
      <c r="EBC66" s="64"/>
      <c r="EBD66" s="66"/>
      <c r="EBE66" s="73"/>
      <c r="EBF66" s="63"/>
      <c r="EBG66" s="64"/>
      <c r="EBH66" s="66"/>
      <c r="EBI66" s="73"/>
      <c r="EBJ66" s="63"/>
      <c r="EBK66" s="64"/>
      <c r="EBL66" s="66"/>
      <c r="EBM66" s="73"/>
      <c r="EBN66" s="63"/>
      <c r="EBO66" s="64"/>
      <c r="EBP66" s="66"/>
      <c r="EBQ66" s="73"/>
      <c r="EBR66" s="63"/>
      <c r="EBS66" s="64"/>
      <c r="EBT66" s="66"/>
      <c r="EBU66" s="73"/>
      <c r="EBV66" s="63"/>
      <c r="EBW66" s="64"/>
      <c r="EBX66" s="66"/>
      <c r="EBY66" s="73"/>
      <c r="EBZ66" s="63"/>
      <c r="ECA66" s="64"/>
      <c r="ECB66" s="66"/>
      <c r="ECC66" s="73"/>
      <c r="ECD66" s="63"/>
      <c r="ECE66" s="64"/>
      <c r="ECF66" s="66"/>
      <c r="ECG66" s="73"/>
      <c r="ECH66" s="63"/>
      <c r="ECI66" s="64"/>
      <c r="ECJ66" s="66"/>
      <c r="ECK66" s="73"/>
      <c r="ECL66" s="63"/>
      <c r="ECM66" s="64"/>
      <c r="ECN66" s="66"/>
      <c r="ECO66" s="73"/>
      <c r="ECP66" s="63"/>
      <c r="ECQ66" s="64"/>
      <c r="ECR66" s="66"/>
      <c r="ECS66" s="73"/>
      <c r="ECT66" s="63"/>
      <c r="ECU66" s="64"/>
      <c r="ECV66" s="66"/>
      <c r="ECW66" s="73"/>
      <c r="ECX66" s="63"/>
      <c r="ECY66" s="64"/>
      <c r="ECZ66" s="66"/>
      <c r="EDA66" s="73"/>
      <c r="EDB66" s="63"/>
      <c r="EDC66" s="64"/>
      <c r="EDD66" s="66"/>
      <c r="EDE66" s="73"/>
      <c r="EDF66" s="63"/>
      <c r="EDG66" s="64"/>
      <c r="EDH66" s="66"/>
      <c r="EDI66" s="73"/>
      <c r="EDJ66" s="63"/>
      <c r="EDK66" s="64"/>
      <c r="EDL66" s="66"/>
      <c r="EDM66" s="73"/>
      <c r="EDN66" s="63"/>
      <c r="EDO66" s="64"/>
      <c r="EDP66" s="66"/>
      <c r="EDQ66" s="73"/>
      <c r="EDR66" s="63"/>
      <c r="EDS66" s="64"/>
      <c r="EDT66" s="66"/>
      <c r="EDU66" s="73"/>
      <c r="EDV66" s="63"/>
      <c r="EDW66" s="64"/>
      <c r="EDX66" s="66"/>
      <c r="EDY66" s="73"/>
      <c r="EDZ66" s="63"/>
      <c r="EEA66" s="64"/>
      <c r="EEB66" s="66"/>
      <c r="EEC66" s="73"/>
      <c r="EED66" s="63"/>
      <c r="EEE66" s="64"/>
      <c r="EEF66" s="66"/>
      <c r="EEG66" s="73"/>
      <c r="EEH66" s="63"/>
      <c r="EEI66" s="64"/>
      <c r="EEJ66" s="66"/>
      <c r="EEK66" s="73"/>
      <c r="EEL66" s="63"/>
      <c r="EEM66" s="64"/>
      <c r="EEN66" s="66"/>
      <c r="EEO66" s="73"/>
      <c r="EEP66" s="63"/>
      <c r="EEQ66" s="64"/>
      <c r="EER66" s="66"/>
      <c r="EES66" s="73"/>
      <c r="EET66" s="63"/>
      <c r="EEU66" s="64"/>
      <c r="EEV66" s="66"/>
      <c r="EEW66" s="73"/>
      <c r="EEX66" s="63"/>
      <c r="EEY66" s="64"/>
      <c r="EEZ66" s="66"/>
      <c r="EFA66" s="73"/>
      <c r="EFB66" s="63"/>
      <c r="EFC66" s="64"/>
      <c r="EFD66" s="66"/>
      <c r="EFE66" s="73"/>
      <c r="EFF66" s="63"/>
      <c r="EFG66" s="64"/>
      <c r="EFH66" s="66"/>
      <c r="EFI66" s="73"/>
      <c r="EFJ66" s="63"/>
      <c r="EFK66" s="64"/>
      <c r="EFL66" s="66"/>
      <c r="EFM66" s="73"/>
      <c r="EFN66" s="63"/>
      <c r="EFO66" s="64"/>
      <c r="EFP66" s="66"/>
      <c r="EFQ66" s="73"/>
      <c r="EFR66" s="63"/>
      <c r="EFS66" s="64"/>
      <c r="EFT66" s="66"/>
      <c r="EFU66" s="73"/>
      <c r="EFV66" s="63"/>
      <c r="EFW66" s="64"/>
      <c r="EFX66" s="66"/>
      <c r="EFY66" s="73"/>
      <c r="EFZ66" s="63"/>
      <c r="EGA66" s="64"/>
      <c r="EGB66" s="66"/>
      <c r="EGC66" s="73"/>
      <c r="EGD66" s="63"/>
      <c r="EGE66" s="64"/>
      <c r="EGF66" s="66"/>
      <c r="EGG66" s="73"/>
      <c r="EGH66" s="63"/>
      <c r="EGI66" s="64"/>
      <c r="EGJ66" s="66"/>
      <c r="EGK66" s="73"/>
      <c r="EGL66" s="63"/>
      <c r="EGM66" s="64"/>
      <c r="EGN66" s="66"/>
      <c r="EGO66" s="73"/>
      <c r="EGP66" s="63"/>
      <c r="EGQ66" s="64"/>
      <c r="EGR66" s="66"/>
      <c r="EGS66" s="73"/>
      <c r="EGT66" s="63"/>
      <c r="EGU66" s="64"/>
      <c r="EGV66" s="66"/>
      <c r="EGW66" s="73"/>
      <c r="EGX66" s="63"/>
      <c r="EGY66" s="64"/>
      <c r="EGZ66" s="66"/>
      <c r="EHA66" s="73"/>
      <c r="EHB66" s="63"/>
      <c r="EHC66" s="64"/>
      <c r="EHD66" s="66"/>
      <c r="EHE66" s="73"/>
      <c r="EHF66" s="63"/>
      <c r="EHG66" s="64"/>
      <c r="EHH66" s="66"/>
      <c r="EHI66" s="73"/>
      <c r="EHJ66" s="63"/>
      <c r="EHK66" s="64"/>
      <c r="EHL66" s="66"/>
      <c r="EHM66" s="73"/>
      <c r="EHN66" s="63"/>
      <c r="EHO66" s="64"/>
      <c r="EHP66" s="66"/>
      <c r="EHQ66" s="73"/>
      <c r="EHR66" s="63"/>
      <c r="EHS66" s="64"/>
      <c r="EHT66" s="66"/>
      <c r="EHU66" s="73"/>
      <c r="EHV66" s="63"/>
      <c r="EHW66" s="64"/>
      <c r="EHX66" s="66"/>
      <c r="EHY66" s="73"/>
      <c r="EHZ66" s="63"/>
      <c r="EIA66" s="64"/>
      <c r="EIB66" s="66"/>
      <c r="EIC66" s="73"/>
      <c r="EID66" s="63"/>
      <c r="EIE66" s="64"/>
      <c r="EIF66" s="66"/>
      <c r="EIG66" s="73"/>
      <c r="EIH66" s="63"/>
      <c r="EII66" s="64"/>
      <c r="EIJ66" s="66"/>
      <c r="EIK66" s="73"/>
      <c r="EIL66" s="63"/>
      <c r="EIM66" s="64"/>
      <c r="EIN66" s="66"/>
      <c r="EIO66" s="73"/>
      <c r="EIP66" s="63"/>
      <c r="EIQ66" s="64"/>
      <c r="EIR66" s="66"/>
      <c r="EIS66" s="73"/>
      <c r="EIT66" s="63"/>
      <c r="EIU66" s="64"/>
      <c r="EIV66" s="66"/>
      <c r="EIW66" s="73"/>
      <c r="EIX66" s="63"/>
      <c r="EIY66" s="64"/>
      <c r="EIZ66" s="66"/>
      <c r="EJA66" s="73"/>
      <c r="EJB66" s="63"/>
      <c r="EJC66" s="64"/>
      <c r="EJD66" s="66"/>
      <c r="EJE66" s="73"/>
      <c r="EJF66" s="63"/>
      <c r="EJG66" s="64"/>
      <c r="EJH66" s="66"/>
      <c r="EJI66" s="73"/>
      <c r="EJJ66" s="63"/>
      <c r="EJK66" s="64"/>
      <c r="EJL66" s="66"/>
      <c r="EJM66" s="73"/>
      <c r="EJN66" s="63"/>
      <c r="EJO66" s="64"/>
      <c r="EJP66" s="66"/>
      <c r="EJQ66" s="73"/>
      <c r="EJR66" s="63"/>
      <c r="EJS66" s="64"/>
      <c r="EJT66" s="66"/>
      <c r="EJU66" s="73"/>
      <c r="EJV66" s="63"/>
      <c r="EJW66" s="64"/>
      <c r="EJX66" s="66"/>
      <c r="EJY66" s="73"/>
      <c r="EJZ66" s="63"/>
      <c r="EKA66" s="64"/>
      <c r="EKB66" s="66"/>
      <c r="EKC66" s="73"/>
      <c r="EKD66" s="63"/>
      <c r="EKE66" s="64"/>
      <c r="EKF66" s="66"/>
      <c r="EKG66" s="73"/>
      <c r="EKH66" s="63"/>
      <c r="EKI66" s="64"/>
      <c r="EKJ66" s="66"/>
      <c r="EKK66" s="73"/>
      <c r="EKL66" s="63"/>
      <c r="EKM66" s="64"/>
      <c r="EKN66" s="66"/>
      <c r="EKO66" s="73"/>
      <c r="EKP66" s="63"/>
      <c r="EKQ66" s="64"/>
      <c r="EKR66" s="66"/>
      <c r="EKS66" s="73"/>
      <c r="EKT66" s="63"/>
      <c r="EKU66" s="64"/>
      <c r="EKV66" s="66"/>
      <c r="EKW66" s="73"/>
      <c r="EKX66" s="63"/>
      <c r="EKY66" s="64"/>
      <c r="EKZ66" s="66"/>
      <c r="ELA66" s="73"/>
      <c r="ELB66" s="63"/>
      <c r="ELC66" s="64"/>
      <c r="ELD66" s="66"/>
      <c r="ELE66" s="73"/>
      <c r="ELF66" s="63"/>
      <c r="ELG66" s="64"/>
      <c r="ELH66" s="66"/>
      <c r="ELI66" s="73"/>
      <c r="ELJ66" s="63"/>
      <c r="ELK66" s="64"/>
      <c r="ELL66" s="66"/>
      <c r="ELM66" s="73"/>
      <c r="ELN66" s="63"/>
      <c r="ELO66" s="64"/>
      <c r="ELP66" s="66"/>
      <c r="ELQ66" s="73"/>
      <c r="ELR66" s="63"/>
      <c r="ELS66" s="64"/>
      <c r="ELT66" s="66"/>
      <c r="ELU66" s="73"/>
      <c r="ELV66" s="63"/>
      <c r="ELW66" s="64"/>
      <c r="ELX66" s="66"/>
      <c r="ELY66" s="73"/>
      <c r="ELZ66" s="63"/>
      <c r="EMA66" s="64"/>
      <c r="EMB66" s="66"/>
      <c r="EMC66" s="73"/>
      <c r="EMD66" s="63"/>
      <c r="EME66" s="64"/>
      <c r="EMF66" s="66"/>
      <c r="EMG66" s="73"/>
      <c r="EMH66" s="63"/>
      <c r="EMI66" s="64"/>
      <c r="EMJ66" s="66"/>
      <c r="EMK66" s="73"/>
      <c r="EML66" s="63"/>
      <c r="EMM66" s="64"/>
      <c r="EMN66" s="66"/>
      <c r="EMO66" s="73"/>
      <c r="EMP66" s="63"/>
      <c r="EMQ66" s="64"/>
      <c r="EMR66" s="66"/>
      <c r="EMS66" s="73"/>
      <c r="EMT66" s="63"/>
      <c r="EMU66" s="64"/>
      <c r="EMV66" s="66"/>
      <c r="EMW66" s="73"/>
      <c r="EMX66" s="63"/>
      <c r="EMY66" s="64"/>
      <c r="EMZ66" s="66"/>
      <c r="ENA66" s="73"/>
      <c r="ENB66" s="63"/>
      <c r="ENC66" s="64"/>
      <c r="END66" s="66"/>
      <c r="ENE66" s="73"/>
      <c r="ENF66" s="63"/>
      <c r="ENG66" s="64"/>
      <c r="ENH66" s="66"/>
      <c r="ENI66" s="73"/>
      <c r="ENJ66" s="63"/>
      <c r="ENK66" s="64"/>
      <c r="ENL66" s="66"/>
      <c r="ENM66" s="73"/>
      <c r="ENN66" s="63"/>
      <c r="ENO66" s="64"/>
      <c r="ENP66" s="66"/>
      <c r="ENQ66" s="73"/>
      <c r="ENR66" s="63"/>
      <c r="ENS66" s="64"/>
      <c r="ENT66" s="66"/>
      <c r="ENU66" s="73"/>
      <c r="ENV66" s="63"/>
      <c r="ENW66" s="64"/>
      <c r="ENX66" s="66"/>
      <c r="ENY66" s="73"/>
      <c r="ENZ66" s="63"/>
      <c r="EOA66" s="64"/>
      <c r="EOB66" s="66"/>
      <c r="EOC66" s="73"/>
      <c r="EOD66" s="63"/>
      <c r="EOE66" s="64"/>
      <c r="EOF66" s="66"/>
      <c r="EOG66" s="73"/>
      <c r="EOH66" s="63"/>
      <c r="EOI66" s="64"/>
      <c r="EOJ66" s="66"/>
      <c r="EOK66" s="73"/>
      <c r="EOL66" s="63"/>
      <c r="EOM66" s="64"/>
      <c r="EON66" s="66"/>
      <c r="EOO66" s="73"/>
      <c r="EOP66" s="63"/>
      <c r="EOQ66" s="64"/>
      <c r="EOR66" s="66"/>
      <c r="EOS66" s="73"/>
      <c r="EOT66" s="63"/>
      <c r="EOU66" s="64"/>
      <c r="EOV66" s="66"/>
      <c r="EOW66" s="73"/>
      <c r="EOX66" s="63"/>
      <c r="EOY66" s="64"/>
      <c r="EOZ66" s="66"/>
      <c r="EPA66" s="73"/>
      <c r="EPB66" s="63"/>
      <c r="EPC66" s="64"/>
      <c r="EPD66" s="66"/>
      <c r="EPE66" s="73"/>
      <c r="EPF66" s="63"/>
      <c r="EPG66" s="64"/>
      <c r="EPH66" s="66"/>
      <c r="EPI66" s="73"/>
      <c r="EPJ66" s="63"/>
      <c r="EPK66" s="64"/>
      <c r="EPL66" s="66"/>
      <c r="EPM66" s="73"/>
      <c r="EPN66" s="63"/>
      <c r="EPO66" s="64"/>
      <c r="EPP66" s="66"/>
      <c r="EPQ66" s="73"/>
      <c r="EPR66" s="63"/>
      <c r="EPS66" s="64"/>
      <c r="EPT66" s="66"/>
      <c r="EPU66" s="73"/>
      <c r="EPV66" s="63"/>
      <c r="EPW66" s="64"/>
      <c r="EPX66" s="66"/>
      <c r="EPY66" s="73"/>
      <c r="EPZ66" s="63"/>
      <c r="EQA66" s="64"/>
      <c r="EQB66" s="66"/>
      <c r="EQC66" s="73"/>
      <c r="EQD66" s="63"/>
      <c r="EQE66" s="64"/>
      <c r="EQF66" s="66"/>
      <c r="EQG66" s="73"/>
      <c r="EQH66" s="63"/>
      <c r="EQI66" s="64"/>
      <c r="EQJ66" s="66"/>
      <c r="EQK66" s="73"/>
      <c r="EQL66" s="63"/>
      <c r="EQM66" s="64"/>
      <c r="EQN66" s="66"/>
      <c r="EQO66" s="73"/>
      <c r="EQP66" s="63"/>
      <c r="EQQ66" s="64"/>
      <c r="EQR66" s="66"/>
      <c r="EQS66" s="73"/>
      <c r="EQT66" s="63"/>
      <c r="EQU66" s="64"/>
      <c r="EQV66" s="66"/>
      <c r="EQW66" s="73"/>
      <c r="EQX66" s="63"/>
      <c r="EQY66" s="64"/>
      <c r="EQZ66" s="66"/>
      <c r="ERA66" s="73"/>
      <c r="ERB66" s="63"/>
      <c r="ERC66" s="64"/>
      <c r="ERD66" s="66"/>
      <c r="ERE66" s="73"/>
      <c r="ERF66" s="63"/>
      <c r="ERG66" s="64"/>
      <c r="ERH66" s="66"/>
      <c r="ERI66" s="73"/>
      <c r="ERJ66" s="63"/>
      <c r="ERK66" s="64"/>
      <c r="ERL66" s="66"/>
      <c r="ERM66" s="73"/>
      <c r="ERN66" s="63"/>
      <c r="ERO66" s="64"/>
      <c r="ERP66" s="66"/>
      <c r="ERQ66" s="73"/>
      <c r="ERR66" s="63"/>
      <c r="ERS66" s="64"/>
      <c r="ERT66" s="66"/>
      <c r="ERU66" s="73"/>
      <c r="ERV66" s="63"/>
      <c r="ERW66" s="64"/>
      <c r="ERX66" s="66"/>
      <c r="ERY66" s="73"/>
      <c r="ERZ66" s="63"/>
      <c r="ESA66" s="64"/>
      <c r="ESB66" s="66"/>
      <c r="ESC66" s="73"/>
      <c r="ESD66" s="63"/>
      <c r="ESE66" s="64"/>
      <c r="ESF66" s="66"/>
      <c r="ESG66" s="73"/>
      <c r="ESH66" s="63"/>
      <c r="ESI66" s="64"/>
      <c r="ESJ66" s="66"/>
      <c r="ESK66" s="73"/>
      <c r="ESL66" s="63"/>
      <c r="ESM66" s="64"/>
      <c r="ESN66" s="66"/>
      <c r="ESO66" s="73"/>
      <c r="ESP66" s="63"/>
      <c r="ESQ66" s="64"/>
      <c r="ESR66" s="66"/>
      <c r="ESS66" s="73"/>
      <c r="EST66" s="63"/>
      <c r="ESU66" s="64"/>
      <c r="ESV66" s="66"/>
      <c r="ESW66" s="73"/>
      <c r="ESX66" s="63"/>
      <c r="ESY66" s="64"/>
      <c r="ESZ66" s="66"/>
      <c r="ETA66" s="73"/>
      <c r="ETB66" s="63"/>
      <c r="ETC66" s="64"/>
      <c r="ETD66" s="66"/>
      <c r="ETE66" s="73"/>
      <c r="ETF66" s="63"/>
      <c r="ETG66" s="64"/>
      <c r="ETH66" s="66"/>
      <c r="ETI66" s="73"/>
      <c r="ETJ66" s="63"/>
      <c r="ETK66" s="64"/>
      <c r="ETL66" s="66"/>
      <c r="ETM66" s="73"/>
      <c r="ETN66" s="63"/>
      <c r="ETO66" s="64"/>
      <c r="ETP66" s="66"/>
      <c r="ETQ66" s="73"/>
      <c r="ETR66" s="63"/>
      <c r="ETS66" s="64"/>
      <c r="ETT66" s="66"/>
      <c r="ETU66" s="73"/>
      <c r="ETV66" s="63"/>
      <c r="ETW66" s="64"/>
      <c r="ETX66" s="66"/>
      <c r="ETY66" s="73"/>
      <c r="ETZ66" s="63"/>
      <c r="EUA66" s="64"/>
      <c r="EUB66" s="66"/>
      <c r="EUC66" s="73"/>
      <c r="EUD66" s="63"/>
      <c r="EUE66" s="64"/>
      <c r="EUF66" s="66"/>
      <c r="EUG66" s="73"/>
      <c r="EUH66" s="63"/>
      <c r="EUI66" s="64"/>
      <c r="EUJ66" s="66"/>
      <c r="EUK66" s="73"/>
      <c r="EUL66" s="63"/>
      <c r="EUM66" s="64"/>
      <c r="EUN66" s="66"/>
      <c r="EUO66" s="73"/>
      <c r="EUP66" s="63"/>
      <c r="EUQ66" s="64"/>
      <c r="EUR66" s="66"/>
      <c r="EUS66" s="73"/>
      <c r="EUT66" s="63"/>
      <c r="EUU66" s="64"/>
      <c r="EUV66" s="66"/>
      <c r="EUW66" s="73"/>
      <c r="EUX66" s="63"/>
      <c r="EUY66" s="64"/>
      <c r="EUZ66" s="66"/>
      <c r="EVA66" s="73"/>
      <c r="EVB66" s="63"/>
      <c r="EVC66" s="64"/>
      <c r="EVD66" s="66"/>
      <c r="EVE66" s="73"/>
      <c r="EVF66" s="63"/>
      <c r="EVG66" s="64"/>
      <c r="EVH66" s="66"/>
      <c r="EVI66" s="73"/>
      <c r="EVJ66" s="63"/>
      <c r="EVK66" s="64"/>
      <c r="EVL66" s="66"/>
      <c r="EVM66" s="73"/>
      <c r="EVN66" s="63"/>
      <c r="EVO66" s="64"/>
      <c r="EVP66" s="66"/>
      <c r="EVQ66" s="73"/>
      <c r="EVR66" s="63"/>
      <c r="EVS66" s="64"/>
      <c r="EVT66" s="66"/>
      <c r="EVU66" s="73"/>
      <c r="EVV66" s="63"/>
      <c r="EVW66" s="64"/>
      <c r="EVX66" s="66"/>
      <c r="EVY66" s="73"/>
      <c r="EVZ66" s="63"/>
      <c r="EWA66" s="64"/>
      <c r="EWB66" s="66"/>
      <c r="EWC66" s="73"/>
      <c r="EWD66" s="63"/>
      <c r="EWE66" s="64"/>
      <c r="EWF66" s="66"/>
      <c r="EWG66" s="73"/>
      <c r="EWH66" s="63"/>
      <c r="EWI66" s="64"/>
      <c r="EWJ66" s="66"/>
      <c r="EWK66" s="73"/>
      <c r="EWL66" s="63"/>
      <c r="EWM66" s="64"/>
      <c r="EWN66" s="66"/>
      <c r="EWO66" s="73"/>
      <c r="EWP66" s="63"/>
      <c r="EWQ66" s="64"/>
      <c r="EWR66" s="66"/>
      <c r="EWS66" s="73"/>
      <c r="EWT66" s="63"/>
      <c r="EWU66" s="64"/>
      <c r="EWV66" s="66"/>
      <c r="EWW66" s="73"/>
      <c r="EWX66" s="63"/>
      <c r="EWY66" s="64"/>
      <c r="EWZ66" s="66"/>
      <c r="EXA66" s="73"/>
      <c r="EXB66" s="63"/>
      <c r="EXC66" s="64"/>
      <c r="EXD66" s="66"/>
      <c r="EXE66" s="73"/>
      <c r="EXF66" s="63"/>
      <c r="EXG66" s="64"/>
      <c r="EXH66" s="66"/>
      <c r="EXI66" s="73"/>
      <c r="EXJ66" s="63"/>
      <c r="EXK66" s="64"/>
      <c r="EXL66" s="66"/>
      <c r="EXM66" s="73"/>
      <c r="EXN66" s="63"/>
      <c r="EXO66" s="64"/>
      <c r="EXP66" s="66"/>
      <c r="EXQ66" s="73"/>
      <c r="EXR66" s="63"/>
      <c r="EXS66" s="64"/>
      <c r="EXT66" s="66"/>
      <c r="EXU66" s="73"/>
      <c r="EXV66" s="63"/>
      <c r="EXW66" s="64"/>
      <c r="EXX66" s="66"/>
      <c r="EXY66" s="73"/>
      <c r="EXZ66" s="63"/>
      <c r="EYA66" s="64"/>
      <c r="EYB66" s="66"/>
      <c r="EYC66" s="73"/>
      <c r="EYD66" s="63"/>
      <c r="EYE66" s="64"/>
      <c r="EYF66" s="66"/>
      <c r="EYG66" s="73"/>
      <c r="EYH66" s="63"/>
      <c r="EYI66" s="64"/>
      <c r="EYJ66" s="66"/>
      <c r="EYK66" s="73"/>
      <c r="EYL66" s="63"/>
      <c r="EYM66" s="64"/>
      <c r="EYN66" s="66"/>
      <c r="EYO66" s="73"/>
      <c r="EYP66" s="63"/>
      <c r="EYQ66" s="64"/>
      <c r="EYR66" s="66"/>
      <c r="EYS66" s="73"/>
      <c r="EYT66" s="63"/>
      <c r="EYU66" s="64"/>
      <c r="EYV66" s="66"/>
      <c r="EYW66" s="73"/>
      <c r="EYX66" s="63"/>
      <c r="EYY66" s="64"/>
      <c r="EYZ66" s="66"/>
      <c r="EZA66" s="73"/>
      <c r="EZB66" s="63"/>
      <c r="EZC66" s="64"/>
      <c r="EZD66" s="66"/>
      <c r="EZE66" s="73"/>
      <c r="EZF66" s="63"/>
      <c r="EZG66" s="64"/>
      <c r="EZH66" s="66"/>
      <c r="EZI66" s="73"/>
      <c r="EZJ66" s="63"/>
      <c r="EZK66" s="64"/>
      <c r="EZL66" s="66"/>
      <c r="EZM66" s="73"/>
      <c r="EZN66" s="63"/>
      <c r="EZO66" s="64"/>
      <c r="EZP66" s="66"/>
      <c r="EZQ66" s="73"/>
      <c r="EZR66" s="63"/>
      <c r="EZS66" s="64"/>
      <c r="EZT66" s="66"/>
      <c r="EZU66" s="73"/>
      <c r="EZV66" s="63"/>
      <c r="EZW66" s="64"/>
      <c r="EZX66" s="66"/>
      <c r="EZY66" s="73"/>
      <c r="EZZ66" s="63"/>
      <c r="FAA66" s="64"/>
      <c r="FAB66" s="66"/>
      <c r="FAC66" s="73"/>
      <c r="FAD66" s="63"/>
      <c r="FAE66" s="64"/>
      <c r="FAF66" s="66"/>
      <c r="FAG66" s="73"/>
      <c r="FAH66" s="63"/>
      <c r="FAI66" s="64"/>
      <c r="FAJ66" s="66"/>
      <c r="FAK66" s="73"/>
      <c r="FAL66" s="63"/>
      <c r="FAM66" s="64"/>
      <c r="FAN66" s="66"/>
      <c r="FAO66" s="73"/>
      <c r="FAP66" s="63"/>
      <c r="FAQ66" s="64"/>
      <c r="FAR66" s="66"/>
      <c r="FAS66" s="73"/>
      <c r="FAT66" s="63"/>
      <c r="FAU66" s="64"/>
      <c r="FAV66" s="66"/>
      <c r="FAW66" s="73"/>
      <c r="FAX66" s="63"/>
      <c r="FAY66" s="64"/>
      <c r="FAZ66" s="66"/>
      <c r="FBA66" s="73"/>
      <c r="FBB66" s="63"/>
      <c r="FBC66" s="64"/>
      <c r="FBD66" s="66"/>
      <c r="FBE66" s="73"/>
      <c r="FBF66" s="63"/>
      <c r="FBG66" s="64"/>
      <c r="FBH66" s="66"/>
      <c r="FBI66" s="73"/>
      <c r="FBJ66" s="63"/>
      <c r="FBK66" s="64"/>
      <c r="FBL66" s="66"/>
      <c r="FBM66" s="73"/>
      <c r="FBN66" s="63"/>
      <c r="FBO66" s="64"/>
      <c r="FBP66" s="66"/>
      <c r="FBQ66" s="73"/>
      <c r="FBR66" s="63"/>
      <c r="FBS66" s="64"/>
      <c r="FBT66" s="66"/>
      <c r="FBU66" s="73"/>
      <c r="FBV66" s="63"/>
      <c r="FBW66" s="64"/>
      <c r="FBX66" s="66"/>
      <c r="FBY66" s="73"/>
      <c r="FBZ66" s="63"/>
      <c r="FCA66" s="64"/>
      <c r="FCB66" s="66"/>
      <c r="FCC66" s="73"/>
      <c r="FCD66" s="63"/>
      <c r="FCE66" s="64"/>
      <c r="FCF66" s="66"/>
      <c r="FCG66" s="73"/>
      <c r="FCH66" s="63"/>
      <c r="FCI66" s="64"/>
      <c r="FCJ66" s="66"/>
      <c r="FCK66" s="73"/>
      <c r="FCL66" s="63"/>
      <c r="FCM66" s="64"/>
      <c r="FCN66" s="66"/>
      <c r="FCO66" s="73"/>
      <c r="FCP66" s="63"/>
      <c r="FCQ66" s="64"/>
      <c r="FCR66" s="66"/>
      <c r="FCS66" s="73"/>
      <c r="FCT66" s="63"/>
      <c r="FCU66" s="64"/>
      <c r="FCV66" s="66"/>
      <c r="FCW66" s="73"/>
      <c r="FCX66" s="63"/>
      <c r="FCY66" s="64"/>
      <c r="FCZ66" s="66"/>
      <c r="FDA66" s="73"/>
      <c r="FDB66" s="63"/>
      <c r="FDC66" s="64"/>
      <c r="FDD66" s="66"/>
      <c r="FDE66" s="73"/>
      <c r="FDF66" s="63"/>
      <c r="FDG66" s="64"/>
      <c r="FDH66" s="66"/>
      <c r="FDI66" s="73"/>
      <c r="FDJ66" s="63"/>
      <c r="FDK66" s="64"/>
      <c r="FDL66" s="66"/>
      <c r="FDM66" s="73"/>
      <c r="FDN66" s="63"/>
      <c r="FDO66" s="64"/>
      <c r="FDP66" s="66"/>
      <c r="FDQ66" s="73"/>
      <c r="FDR66" s="63"/>
      <c r="FDS66" s="64"/>
      <c r="FDT66" s="66"/>
      <c r="FDU66" s="73"/>
      <c r="FDV66" s="63"/>
      <c r="FDW66" s="64"/>
      <c r="FDX66" s="66"/>
      <c r="FDY66" s="73"/>
      <c r="FDZ66" s="63"/>
      <c r="FEA66" s="64"/>
      <c r="FEB66" s="66"/>
      <c r="FEC66" s="73"/>
      <c r="FED66" s="63"/>
      <c r="FEE66" s="64"/>
      <c r="FEF66" s="66"/>
      <c r="FEG66" s="73"/>
      <c r="FEH66" s="63"/>
      <c r="FEI66" s="64"/>
      <c r="FEJ66" s="66"/>
      <c r="FEK66" s="73"/>
      <c r="FEL66" s="63"/>
      <c r="FEM66" s="64"/>
      <c r="FEN66" s="66"/>
      <c r="FEO66" s="73"/>
      <c r="FEP66" s="63"/>
      <c r="FEQ66" s="64"/>
      <c r="FER66" s="66"/>
      <c r="FES66" s="73"/>
      <c r="FET66" s="63"/>
      <c r="FEU66" s="64"/>
      <c r="FEV66" s="66"/>
      <c r="FEW66" s="73"/>
      <c r="FEX66" s="63"/>
      <c r="FEY66" s="64"/>
      <c r="FEZ66" s="66"/>
      <c r="FFA66" s="73"/>
      <c r="FFB66" s="63"/>
      <c r="FFC66" s="64"/>
      <c r="FFD66" s="66"/>
      <c r="FFE66" s="73"/>
      <c r="FFF66" s="63"/>
      <c r="FFG66" s="64"/>
      <c r="FFH66" s="66"/>
      <c r="FFI66" s="73"/>
      <c r="FFJ66" s="63"/>
      <c r="FFK66" s="64"/>
      <c r="FFL66" s="66"/>
      <c r="FFM66" s="73"/>
      <c r="FFN66" s="63"/>
      <c r="FFO66" s="64"/>
      <c r="FFP66" s="66"/>
      <c r="FFQ66" s="73"/>
      <c r="FFR66" s="63"/>
      <c r="FFS66" s="64"/>
      <c r="FFT66" s="66"/>
      <c r="FFU66" s="73"/>
      <c r="FFV66" s="63"/>
      <c r="FFW66" s="64"/>
      <c r="FFX66" s="66"/>
      <c r="FFY66" s="73"/>
      <c r="FFZ66" s="63"/>
      <c r="FGA66" s="64"/>
      <c r="FGB66" s="66"/>
      <c r="FGC66" s="73"/>
      <c r="FGD66" s="63"/>
      <c r="FGE66" s="64"/>
      <c r="FGF66" s="66"/>
      <c r="FGG66" s="73"/>
      <c r="FGH66" s="63"/>
      <c r="FGI66" s="64"/>
      <c r="FGJ66" s="66"/>
      <c r="FGK66" s="73"/>
      <c r="FGL66" s="63"/>
      <c r="FGM66" s="64"/>
      <c r="FGN66" s="66"/>
      <c r="FGO66" s="73"/>
      <c r="FGP66" s="63"/>
      <c r="FGQ66" s="64"/>
      <c r="FGR66" s="66"/>
      <c r="FGS66" s="73"/>
      <c r="FGT66" s="63"/>
      <c r="FGU66" s="64"/>
      <c r="FGV66" s="66"/>
      <c r="FGW66" s="73"/>
      <c r="FGX66" s="63"/>
      <c r="FGY66" s="64"/>
      <c r="FGZ66" s="66"/>
      <c r="FHA66" s="73"/>
      <c r="FHB66" s="63"/>
      <c r="FHC66" s="64"/>
      <c r="FHD66" s="66"/>
      <c r="FHE66" s="73"/>
      <c r="FHF66" s="63"/>
      <c r="FHG66" s="64"/>
      <c r="FHH66" s="66"/>
      <c r="FHI66" s="73"/>
      <c r="FHJ66" s="63"/>
      <c r="FHK66" s="64"/>
      <c r="FHL66" s="66"/>
      <c r="FHM66" s="73"/>
      <c r="FHN66" s="63"/>
      <c r="FHO66" s="64"/>
      <c r="FHP66" s="66"/>
      <c r="FHQ66" s="73"/>
      <c r="FHR66" s="63"/>
      <c r="FHS66" s="64"/>
      <c r="FHT66" s="66"/>
      <c r="FHU66" s="73"/>
      <c r="FHV66" s="63"/>
      <c r="FHW66" s="64"/>
      <c r="FHX66" s="66"/>
      <c r="FHY66" s="73"/>
      <c r="FHZ66" s="63"/>
      <c r="FIA66" s="64"/>
      <c r="FIB66" s="66"/>
      <c r="FIC66" s="73"/>
      <c r="FID66" s="63"/>
      <c r="FIE66" s="64"/>
      <c r="FIF66" s="66"/>
      <c r="FIG66" s="73"/>
      <c r="FIH66" s="63"/>
      <c r="FII66" s="64"/>
      <c r="FIJ66" s="66"/>
      <c r="FIK66" s="73"/>
      <c r="FIL66" s="63"/>
      <c r="FIM66" s="64"/>
      <c r="FIN66" s="66"/>
      <c r="FIO66" s="73"/>
      <c r="FIP66" s="63"/>
      <c r="FIQ66" s="64"/>
      <c r="FIR66" s="66"/>
      <c r="FIS66" s="73"/>
      <c r="FIT66" s="63"/>
      <c r="FIU66" s="64"/>
      <c r="FIV66" s="66"/>
      <c r="FIW66" s="73"/>
      <c r="FIX66" s="63"/>
      <c r="FIY66" s="64"/>
      <c r="FIZ66" s="66"/>
      <c r="FJA66" s="73"/>
      <c r="FJB66" s="63"/>
      <c r="FJC66" s="64"/>
      <c r="FJD66" s="66"/>
      <c r="FJE66" s="73"/>
      <c r="FJF66" s="63"/>
      <c r="FJG66" s="64"/>
      <c r="FJH66" s="66"/>
      <c r="FJI66" s="73"/>
      <c r="FJJ66" s="63"/>
      <c r="FJK66" s="64"/>
      <c r="FJL66" s="66"/>
      <c r="FJM66" s="73"/>
      <c r="FJN66" s="63"/>
      <c r="FJO66" s="64"/>
      <c r="FJP66" s="66"/>
      <c r="FJQ66" s="73"/>
      <c r="FJR66" s="63"/>
      <c r="FJS66" s="64"/>
      <c r="FJT66" s="66"/>
      <c r="FJU66" s="73"/>
      <c r="FJV66" s="63"/>
      <c r="FJW66" s="64"/>
      <c r="FJX66" s="66"/>
      <c r="FJY66" s="73"/>
      <c r="FJZ66" s="63"/>
      <c r="FKA66" s="64"/>
      <c r="FKB66" s="66"/>
      <c r="FKC66" s="73"/>
      <c r="FKD66" s="63"/>
      <c r="FKE66" s="64"/>
      <c r="FKF66" s="66"/>
      <c r="FKG66" s="73"/>
      <c r="FKH66" s="63"/>
      <c r="FKI66" s="64"/>
      <c r="FKJ66" s="66"/>
      <c r="FKK66" s="73"/>
      <c r="FKL66" s="63"/>
      <c r="FKM66" s="64"/>
      <c r="FKN66" s="66"/>
      <c r="FKO66" s="73"/>
      <c r="FKP66" s="63"/>
      <c r="FKQ66" s="64"/>
      <c r="FKR66" s="66"/>
      <c r="FKS66" s="73"/>
      <c r="FKT66" s="63"/>
      <c r="FKU66" s="64"/>
      <c r="FKV66" s="66"/>
      <c r="FKW66" s="73"/>
      <c r="FKX66" s="63"/>
      <c r="FKY66" s="64"/>
      <c r="FKZ66" s="66"/>
      <c r="FLA66" s="73"/>
      <c r="FLB66" s="63"/>
      <c r="FLC66" s="64"/>
      <c r="FLD66" s="66"/>
      <c r="FLE66" s="73"/>
      <c r="FLF66" s="63"/>
      <c r="FLG66" s="64"/>
      <c r="FLH66" s="66"/>
      <c r="FLI66" s="73"/>
      <c r="FLJ66" s="63"/>
      <c r="FLK66" s="64"/>
      <c r="FLL66" s="66"/>
      <c r="FLM66" s="73"/>
      <c r="FLN66" s="63"/>
      <c r="FLO66" s="64"/>
      <c r="FLP66" s="66"/>
      <c r="FLQ66" s="73"/>
      <c r="FLR66" s="63"/>
      <c r="FLS66" s="64"/>
      <c r="FLT66" s="66"/>
      <c r="FLU66" s="73"/>
      <c r="FLV66" s="63"/>
      <c r="FLW66" s="64"/>
      <c r="FLX66" s="66"/>
      <c r="FLY66" s="73"/>
      <c r="FLZ66" s="63"/>
      <c r="FMA66" s="64"/>
      <c r="FMB66" s="66"/>
      <c r="FMC66" s="73"/>
      <c r="FMD66" s="63"/>
      <c r="FME66" s="64"/>
      <c r="FMF66" s="66"/>
      <c r="FMG66" s="73"/>
      <c r="FMH66" s="63"/>
      <c r="FMI66" s="64"/>
      <c r="FMJ66" s="66"/>
      <c r="FMK66" s="73"/>
      <c r="FML66" s="63"/>
      <c r="FMM66" s="64"/>
      <c r="FMN66" s="66"/>
      <c r="FMO66" s="73"/>
      <c r="FMP66" s="63"/>
      <c r="FMQ66" s="64"/>
      <c r="FMR66" s="66"/>
      <c r="FMS66" s="73"/>
      <c r="FMT66" s="63"/>
      <c r="FMU66" s="64"/>
      <c r="FMV66" s="66"/>
      <c r="FMW66" s="73"/>
      <c r="FMX66" s="63"/>
      <c r="FMY66" s="64"/>
      <c r="FMZ66" s="66"/>
      <c r="FNA66" s="73"/>
      <c r="FNB66" s="63"/>
      <c r="FNC66" s="64"/>
      <c r="FND66" s="66"/>
      <c r="FNE66" s="73"/>
      <c r="FNF66" s="63"/>
      <c r="FNG66" s="64"/>
      <c r="FNH66" s="66"/>
      <c r="FNI66" s="73"/>
      <c r="FNJ66" s="63"/>
      <c r="FNK66" s="64"/>
      <c r="FNL66" s="66"/>
      <c r="FNM66" s="73"/>
      <c r="FNN66" s="63"/>
      <c r="FNO66" s="64"/>
      <c r="FNP66" s="66"/>
      <c r="FNQ66" s="73"/>
      <c r="FNR66" s="63"/>
      <c r="FNS66" s="64"/>
      <c r="FNT66" s="66"/>
      <c r="FNU66" s="73"/>
      <c r="FNV66" s="63"/>
      <c r="FNW66" s="64"/>
      <c r="FNX66" s="66"/>
      <c r="FNY66" s="73"/>
      <c r="FNZ66" s="63"/>
      <c r="FOA66" s="64"/>
      <c r="FOB66" s="66"/>
      <c r="FOC66" s="73"/>
      <c r="FOD66" s="63"/>
      <c r="FOE66" s="64"/>
      <c r="FOF66" s="66"/>
      <c r="FOG66" s="73"/>
      <c r="FOH66" s="63"/>
      <c r="FOI66" s="64"/>
      <c r="FOJ66" s="66"/>
      <c r="FOK66" s="73"/>
      <c r="FOL66" s="63"/>
      <c r="FOM66" s="64"/>
      <c r="FON66" s="66"/>
      <c r="FOO66" s="73"/>
      <c r="FOP66" s="63"/>
      <c r="FOQ66" s="64"/>
      <c r="FOR66" s="66"/>
      <c r="FOS66" s="73"/>
      <c r="FOT66" s="63"/>
      <c r="FOU66" s="64"/>
      <c r="FOV66" s="66"/>
      <c r="FOW66" s="73"/>
      <c r="FOX66" s="63"/>
      <c r="FOY66" s="64"/>
      <c r="FOZ66" s="66"/>
      <c r="FPA66" s="73"/>
      <c r="FPB66" s="63"/>
      <c r="FPC66" s="64"/>
      <c r="FPD66" s="66"/>
      <c r="FPE66" s="73"/>
      <c r="FPF66" s="63"/>
      <c r="FPG66" s="64"/>
      <c r="FPH66" s="66"/>
      <c r="FPI66" s="73"/>
      <c r="FPJ66" s="63"/>
      <c r="FPK66" s="64"/>
      <c r="FPL66" s="66"/>
      <c r="FPM66" s="73"/>
      <c r="FPN66" s="63"/>
      <c r="FPO66" s="64"/>
      <c r="FPP66" s="66"/>
      <c r="FPQ66" s="73"/>
      <c r="FPR66" s="63"/>
      <c r="FPS66" s="64"/>
      <c r="FPT66" s="66"/>
      <c r="FPU66" s="73"/>
      <c r="FPV66" s="63"/>
      <c r="FPW66" s="64"/>
      <c r="FPX66" s="66"/>
      <c r="FPY66" s="73"/>
      <c r="FPZ66" s="63"/>
      <c r="FQA66" s="64"/>
      <c r="FQB66" s="66"/>
      <c r="FQC66" s="73"/>
      <c r="FQD66" s="63"/>
      <c r="FQE66" s="64"/>
      <c r="FQF66" s="66"/>
      <c r="FQG66" s="73"/>
      <c r="FQH66" s="63"/>
      <c r="FQI66" s="64"/>
      <c r="FQJ66" s="66"/>
      <c r="FQK66" s="73"/>
      <c r="FQL66" s="63"/>
      <c r="FQM66" s="64"/>
      <c r="FQN66" s="66"/>
      <c r="FQO66" s="73"/>
      <c r="FQP66" s="63"/>
      <c r="FQQ66" s="64"/>
      <c r="FQR66" s="66"/>
      <c r="FQS66" s="73"/>
      <c r="FQT66" s="63"/>
      <c r="FQU66" s="64"/>
      <c r="FQV66" s="66"/>
      <c r="FQW66" s="73"/>
      <c r="FQX66" s="63"/>
      <c r="FQY66" s="64"/>
      <c r="FQZ66" s="66"/>
      <c r="FRA66" s="73"/>
      <c r="FRB66" s="63"/>
      <c r="FRC66" s="64"/>
      <c r="FRD66" s="66"/>
      <c r="FRE66" s="73"/>
      <c r="FRF66" s="63"/>
      <c r="FRG66" s="64"/>
      <c r="FRH66" s="66"/>
      <c r="FRI66" s="73"/>
      <c r="FRJ66" s="63"/>
      <c r="FRK66" s="64"/>
      <c r="FRL66" s="66"/>
      <c r="FRM66" s="73"/>
      <c r="FRN66" s="63"/>
      <c r="FRO66" s="64"/>
      <c r="FRP66" s="66"/>
      <c r="FRQ66" s="73"/>
      <c r="FRR66" s="63"/>
      <c r="FRS66" s="64"/>
      <c r="FRT66" s="66"/>
      <c r="FRU66" s="73"/>
      <c r="FRV66" s="63"/>
      <c r="FRW66" s="64"/>
      <c r="FRX66" s="66"/>
      <c r="FRY66" s="73"/>
      <c r="FRZ66" s="63"/>
      <c r="FSA66" s="64"/>
      <c r="FSB66" s="66"/>
      <c r="FSC66" s="73"/>
      <c r="FSD66" s="63"/>
      <c r="FSE66" s="64"/>
      <c r="FSF66" s="66"/>
      <c r="FSG66" s="73"/>
      <c r="FSH66" s="63"/>
      <c r="FSI66" s="64"/>
      <c r="FSJ66" s="66"/>
      <c r="FSK66" s="73"/>
      <c r="FSL66" s="63"/>
      <c r="FSM66" s="64"/>
      <c r="FSN66" s="66"/>
      <c r="FSO66" s="73"/>
      <c r="FSP66" s="63"/>
      <c r="FSQ66" s="64"/>
      <c r="FSR66" s="66"/>
      <c r="FSS66" s="73"/>
      <c r="FST66" s="63"/>
      <c r="FSU66" s="64"/>
      <c r="FSV66" s="66"/>
      <c r="FSW66" s="73"/>
      <c r="FSX66" s="63"/>
      <c r="FSY66" s="64"/>
      <c r="FSZ66" s="66"/>
      <c r="FTA66" s="73"/>
      <c r="FTB66" s="63"/>
      <c r="FTC66" s="64"/>
      <c r="FTD66" s="66"/>
      <c r="FTE66" s="73"/>
      <c r="FTF66" s="63"/>
      <c r="FTG66" s="64"/>
      <c r="FTH66" s="66"/>
      <c r="FTI66" s="73"/>
      <c r="FTJ66" s="63"/>
      <c r="FTK66" s="64"/>
      <c r="FTL66" s="66"/>
      <c r="FTM66" s="73"/>
      <c r="FTN66" s="63"/>
      <c r="FTO66" s="64"/>
      <c r="FTP66" s="66"/>
      <c r="FTQ66" s="73"/>
      <c r="FTR66" s="63"/>
      <c r="FTS66" s="64"/>
      <c r="FTT66" s="66"/>
      <c r="FTU66" s="73"/>
      <c r="FTV66" s="63"/>
      <c r="FTW66" s="64"/>
      <c r="FTX66" s="66"/>
      <c r="FTY66" s="73"/>
      <c r="FTZ66" s="63"/>
      <c r="FUA66" s="64"/>
      <c r="FUB66" s="66"/>
      <c r="FUC66" s="73"/>
      <c r="FUD66" s="63"/>
      <c r="FUE66" s="64"/>
      <c r="FUF66" s="66"/>
      <c r="FUG66" s="73"/>
      <c r="FUH66" s="63"/>
      <c r="FUI66" s="64"/>
      <c r="FUJ66" s="66"/>
      <c r="FUK66" s="73"/>
      <c r="FUL66" s="63"/>
      <c r="FUM66" s="64"/>
      <c r="FUN66" s="66"/>
      <c r="FUO66" s="73"/>
      <c r="FUP66" s="63"/>
      <c r="FUQ66" s="64"/>
      <c r="FUR66" s="66"/>
      <c r="FUS66" s="73"/>
      <c r="FUT66" s="63"/>
      <c r="FUU66" s="64"/>
      <c r="FUV66" s="66"/>
      <c r="FUW66" s="73"/>
      <c r="FUX66" s="63"/>
      <c r="FUY66" s="64"/>
      <c r="FUZ66" s="66"/>
      <c r="FVA66" s="73"/>
      <c r="FVB66" s="63"/>
      <c r="FVC66" s="64"/>
      <c r="FVD66" s="66"/>
      <c r="FVE66" s="73"/>
      <c r="FVF66" s="63"/>
      <c r="FVG66" s="64"/>
      <c r="FVH66" s="66"/>
      <c r="FVI66" s="73"/>
      <c r="FVJ66" s="63"/>
      <c r="FVK66" s="64"/>
      <c r="FVL66" s="66"/>
      <c r="FVM66" s="73"/>
      <c r="FVN66" s="63"/>
      <c r="FVO66" s="64"/>
      <c r="FVP66" s="66"/>
      <c r="FVQ66" s="73"/>
      <c r="FVR66" s="63"/>
      <c r="FVS66" s="64"/>
      <c r="FVT66" s="66"/>
      <c r="FVU66" s="73"/>
      <c r="FVV66" s="63"/>
      <c r="FVW66" s="64"/>
      <c r="FVX66" s="66"/>
      <c r="FVY66" s="73"/>
      <c r="FVZ66" s="63"/>
      <c r="FWA66" s="64"/>
      <c r="FWB66" s="66"/>
      <c r="FWC66" s="73"/>
      <c r="FWD66" s="63"/>
      <c r="FWE66" s="64"/>
      <c r="FWF66" s="66"/>
      <c r="FWG66" s="73"/>
      <c r="FWH66" s="63"/>
      <c r="FWI66" s="64"/>
      <c r="FWJ66" s="66"/>
      <c r="FWK66" s="73"/>
      <c r="FWL66" s="63"/>
      <c r="FWM66" s="64"/>
      <c r="FWN66" s="66"/>
      <c r="FWO66" s="73"/>
      <c r="FWP66" s="63"/>
      <c r="FWQ66" s="64"/>
      <c r="FWR66" s="66"/>
      <c r="FWS66" s="73"/>
      <c r="FWT66" s="63"/>
      <c r="FWU66" s="64"/>
      <c r="FWV66" s="66"/>
      <c r="FWW66" s="73"/>
      <c r="FWX66" s="63"/>
      <c r="FWY66" s="64"/>
      <c r="FWZ66" s="66"/>
      <c r="FXA66" s="73"/>
      <c r="FXB66" s="63"/>
      <c r="FXC66" s="64"/>
      <c r="FXD66" s="66"/>
      <c r="FXE66" s="73"/>
      <c r="FXF66" s="63"/>
      <c r="FXG66" s="64"/>
      <c r="FXH66" s="66"/>
      <c r="FXI66" s="73"/>
      <c r="FXJ66" s="63"/>
      <c r="FXK66" s="64"/>
      <c r="FXL66" s="66"/>
      <c r="FXM66" s="73"/>
      <c r="FXN66" s="63"/>
      <c r="FXO66" s="64"/>
      <c r="FXP66" s="66"/>
      <c r="FXQ66" s="73"/>
      <c r="FXR66" s="63"/>
      <c r="FXS66" s="64"/>
      <c r="FXT66" s="66"/>
      <c r="FXU66" s="73"/>
      <c r="FXV66" s="63"/>
      <c r="FXW66" s="64"/>
      <c r="FXX66" s="66"/>
      <c r="FXY66" s="73"/>
      <c r="FXZ66" s="63"/>
      <c r="FYA66" s="64"/>
      <c r="FYB66" s="66"/>
      <c r="FYC66" s="73"/>
      <c r="FYD66" s="63"/>
      <c r="FYE66" s="64"/>
      <c r="FYF66" s="66"/>
      <c r="FYG66" s="73"/>
      <c r="FYH66" s="63"/>
      <c r="FYI66" s="64"/>
      <c r="FYJ66" s="66"/>
      <c r="FYK66" s="73"/>
      <c r="FYL66" s="63"/>
      <c r="FYM66" s="64"/>
      <c r="FYN66" s="66"/>
      <c r="FYO66" s="73"/>
      <c r="FYP66" s="63"/>
      <c r="FYQ66" s="64"/>
      <c r="FYR66" s="66"/>
      <c r="FYS66" s="73"/>
      <c r="FYT66" s="63"/>
      <c r="FYU66" s="64"/>
      <c r="FYV66" s="66"/>
      <c r="FYW66" s="73"/>
      <c r="FYX66" s="63"/>
      <c r="FYY66" s="64"/>
      <c r="FYZ66" s="66"/>
      <c r="FZA66" s="73"/>
      <c r="FZB66" s="63"/>
      <c r="FZC66" s="64"/>
      <c r="FZD66" s="66"/>
      <c r="FZE66" s="73"/>
      <c r="FZF66" s="63"/>
      <c r="FZG66" s="64"/>
      <c r="FZH66" s="66"/>
      <c r="FZI66" s="73"/>
      <c r="FZJ66" s="63"/>
      <c r="FZK66" s="64"/>
      <c r="FZL66" s="66"/>
      <c r="FZM66" s="73"/>
      <c r="FZN66" s="63"/>
      <c r="FZO66" s="64"/>
      <c r="FZP66" s="66"/>
      <c r="FZQ66" s="73"/>
      <c r="FZR66" s="63"/>
      <c r="FZS66" s="64"/>
      <c r="FZT66" s="66"/>
      <c r="FZU66" s="73"/>
      <c r="FZV66" s="63"/>
      <c r="FZW66" s="64"/>
      <c r="FZX66" s="66"/>
      <c r="FZY66" s="73"/>
      <c r="FZZ66" s="63"/>
      <c r="GAA66" s="64"/>
      <c r="GAB66" s="66"/>
      <c r="GAC66" s="73"/>
      <c r="GAD66" s="63"/>
      <c r="GAE66" s="64"/>
      <c r="GAF66" s="66"/>
      <c r="GAG66" s="73"/>
      <c r="GAH66" s="63"/>
      <c r="GAI66" s="64"/>
      <c r="GAJ66" s="66"/>
      <c r="GAK66" s="73"/>
      <c r="GAL66" s="63"/>
      <c r="GAM66" s="64"/>
      <c r="GAN66" s="66"/>
      <c r="GAO66" s="73"/>
      <c r="GAP66" s="63"/>
      <c r="GAQ66" s="64"/>
      <c r="GAR66" s="66"/>
      <c r="GAS66" s="73"/>
      <c r="GAT66" s="63"/>
      <c r="GAU66" s="64"/>
      <c r="GAV66" s="66"/>
      <c r="GAW66" s="73"/>
      <c r="GAX66" s="63"/>
      <c r="GAY66" s="64"/>
      <c r="GAZ66" s="66"/>
      <c r="GBA66" s="73"/>
      <c r="GBB66" s="63"/>
      <c r="GBC66" s="64"/>
      <c r="GBD66" s="66"/>
      <c r="GBE66" s="73"/>
      <c r="GBF66" s="63"/>
      <c r="GBG66" s="64"/>
      <c r="GBH66" s="66"/>
      <c r="GBI66" s="73"/>
      <c r="GBJ66" s="63"/>
      <c r="GBK66" s="64"/>
      <c r="GBL66" s="66"/>
      <c r="GBM66" s="73"/>
      <c r="GBN66" s="63"/>
      <c r="GBO66" s="64"/>
      <c r="GBP66" s="66"/>
      <c r="GBQ66" s="73"/>
      <c r="GBR66" s="63"/>
      <c r="GBS66" s="64"/>
      <c r="GBT66" s="66"/>
      <c r="GBU66" s="73"/>
      <c r="GBV66" s="63"/>
      <c r="GBW66" s="64"/>
      <c r="GBX66" s="66"/>
      <c r="GBY66" s="73"/>
      <c r="GBZ66" s="63"/>
      <c r="GCA66" s="64"/>
      <c r="GCB66" s="66"/>
      <c r="GCC66" s="73"/>
      <c r="GCD66" s="63"/>
      <c r="GCE66" s="64"/>
      <c r="GCF66" s="66"/>
      <c r="GCG66" s="73"/>
      <c r="GCH66" s="63"/>
      <c r="GCI66" s="64"/>
      <c r="GCJ66" s="66"/>
      <c r="GCK66" s="73"/>
      <c r="GCL66" s="63"/>
      <c r="GCM66" s="64"/>
      <c r="GCN66" s="66"/>
      <c r="GCO66" s="73"/>
      <c r="GCP66" s="63"/>
      <c r="GCQ66" s="64"/>
      <c r="GCR66" s="66"/>
      <c r="GCS66" s="73"/>
      <c r="GCT66" s="63"/>
      <c r="GCU66" s="64"/>
      <c r="GCV66" s="66"/>
      <c r="GCW66" s="73"/>
      <c r="GCX66" s="63"/>
      <c r="GCY66" s="64"/>
      <c r="GCZ66" s="66"/>
      <c r="GDA66" s="73"/>
      <c r="GDB66" s="63"/>
      <c r="GDC66" s="64"/>
      <c r="GDD66" s="66"/>
      <c r="GDE66" s="73"/>
      <c r="GDF66" s="63"/>
      <c r="GDG66" s="64"/>
      <c r="GDH66" s="66"/>
      <c r="GDI66" s="73"/>
      <c r="GDJ66" s="63"/>
      <c r="GDK66" s="64"/>
      <c r="GDL66" s="66"/>
      <c r="GDM66" s="73"/>
      <c r="GDN66" s="63"/>
      <c r="GDO66" s="64"/>
      <c r="GDP66" s="66"/>
      <c r="GDQ66" s="73"/>
      <c r="GDR66" s="63"/>
      <c r="GDS66" s="64"/>
      <c r="GDT66" s="66"/>
      <c r="GDU66" s="73"/>
      <c r="GDV66" s="63"/>
      <c r="GDW66" s="64"/>
      <c r="GDX66" s="66"/>
      <c r="GDY66" s="73"/>
      <c r="GDZ66" s="63"/>
      <c r="GEA66" s="64"/>
      <c r="GEB66" s="66"/>
      <c r="GEC66" s="73"/>
      <c r="GED66" s="63"/>
      <c r="GEE66" s="64"/>
      <c r="GEF66" s="66"/>
      <c r="GEG66" s="73"/>
      <c r="GEH66" s="63"/>
      <c r="GEI66" s="64"/>
      <c r="GEJ66" s="66"/>
      <c r="GEK66" s="73"/>
      <c r="GEL66" s="63"/>
      <c r="GEM66" s="64"/>
      <c r="GEN66" s="66"/>
      <c r="GEO66" s="73"/>
      <c r="GEP66" s="63"/>
      <c r="GEQ66" s="64"/>
      <c r="GER66" s="66"/>
      <c r="GES66" s="73"/>
      <c r="GET66" s="63"/>
      <c r="GEU66" s="64"/>
      <c r="GEV66" s="66"/>
      <c r="GEW66" s="73"/>
      <c r="GEX66" s="63"/>
      <c r="GEY66" s="64"/>
      <c r="GEZ66" s="66"/>
      <c r="GFA66" s="73"/>
      <c r="GFB66" s="63"/>
      <c r="GFC66" s="64"/>
      <c r="GFD66" s="66"/>
      <c r="GFE66" s="73"/>
      <c r="GFF66" s="63"/>
      <c r="GFG66" s="64"/>
      <c r="GFH66" s="66"/>
      <c r="GFI66" s="73"/>
      <c r="GFJ66" s="63"/>
      <c r="GFK66" s="64"/>
      <c r="GFL66" s="66"/>
      <c r="GFM66" s="73"/>
      <c r="GFN66" s="63"/>
      <c r="GFO66" s="64"/>
      <c r="GFP66" s="66"/>
      <c r="GFQ66" s="73"/>
      <c r="GFR66" s="63"/>
      <c r="GFS66" s="64"/>
      <c r="GFT66" s="66"/>
      <c r="GFU66" s="73"/>
      <c r="GFV66" s="63"/>
      <c r="GFW66" s="64"/>
      <c r="GFX66" s="66"/>
      <c r="GFY66" s="73"/>
      <c r="GFZ66" s="63"/>
      <c r="GGA66" s="64"/>
      <c r="GGB66" s="66"/>
      <c r="GGC66" s="73"/>
      <c r="GGD66" s="63"/>
      <c r="GGE66" s="64"/>
      <c r="GGF66" s="66"/>
      <c r="GGG66" s="73"/>
      <c r="GGH66" s="63"/>
      <c r="GGI66" s="64"/>
      <c r="GGJ66" s="66"/>
      <c r="GGK66" s="73"/>
      <c r="GGL66" s="63"/>
      <c r="GGM66" s="64"/>
      <c r="GGN66" s="66"/>
      <c r="GGO66" s="73"/>
      <c r="GGP66" s="63"/>
      <c r="GGQ66" s="64"/>
      <c r="GGR66" s="66"/>
      <c r="GGS66" s="73"/>
      <c r="GGT66" s="63"/>
      <c r="GGU66" s="64"/>
      <c r="GGV66" s="66"/>
      <c r="GGW66" s="73"/>
      <c r="GGX66" s="63"/>
      <c r="GGY66" s="64"/>
      <c r="GGZ66" s="66"/>
      <c r="GHA66" s="73"/>
      <c r="GHB66" s="63"/>
      <c r="GHC66" s="64"/>
      <c r="GHD66" s="66"/>
      <c r="GHE66" s="73"/>
      <c r="GHF66" s="63"/>
      <c r="GHG66" s="64"/>
      <c r="GHH66" s="66"/>
      <c r="GHI66" s="73"/>
      <c r="GHJ66" s="63"/>
      <c r="GHK66" s="64"/>
      <c r="GHL66" s="66"/>
      <c r="GHM66" s="73"/>
      <c r="GHN66" s="63"/>
      <c r="GHO66" s="64"/>
      <c r="GHP66" s="66"/>
      <c r="GHQ66" s="73"/>
      <c r="GHR66" s="63"/>
      <c r="GHS66" s="64"/>
      <c r="GHT66" s="66"/>
      <c r="GHU66" s="73"/>
      <c r="GHV66" s="63"/>
      <c r="GHW66" s="64"/>
      <c r="GHX66" s="66"/>
      <c r="GHY66" s="73"/>
      <c r="GHZ66" s="63"/>
      <c r="GIA66" s="64"/>
      <c r="GIB66" s="66"/>
      <c r="GIC66" s="73"/>
      <c r="GID66" s="63"/>
      <c r="GIE66" s="64"/>
      <c r="GIF66" s="66"/>
      <c r="GIG66" s="73"/>
      <c r="GIH66" s="63"/>
      <c r="GII66" s="64"/>
      <c r="GIJ66" s="66"/>
      <c r="GIK66" s="73"/>
      <c r="GIL66" s="63"/>
      <c r="GIM66" s="64"/>
      <c r="GIN66" s="66"/>
      <c r="GIO66" s="73"/>
      <c r="GIP66" s="63"/>
      <c r="GIQ66" s="64"/>
      <c r="GIR66" s="66"/>
      <c r="GIS66" s="73"/>
      <c r="GIT66" s="63"/>
      <c r="GIU66" s="64"/>
      <c r="GIV66" s="66"/>
      <c r="GIW66" s="73"/>
      <c r="GIX66" s="63"/>
      <c r="GIY66" s="64"/>
      <c r="GIZ66" s="66"/>
      <c r="GJA66" s="73"/>
      <c r="GJB66" s="63"/>
      <c r="GJC66" s="64"/>
      <c r="GJD66" s="66"/>
      <c r="GJE66" s="73"/>
      <c r="GJF66" s="63"/>
      <c r="GJG66" s="64"/>
      <c r="GJH66" s="66"/>
      <c r="GJI66" s="73"/>
      <c r="GJJ66" s="63"/>
      <c r="GJK66" s="64"/>
      <c r="GJL66" s="66"/>
      <c r="GJM66" s="73"/>
      <c r="GJN66" s="63"/>
      <c r="GJO66" s="64"/>
      <c r="GJP66" s="66"/>
      <c r="GJQ66" s="73"/>
      <c r="GJR66" s="63"/>
      <c r="GJS66" s="64"/>
      <c r="GJT66" s="66"/>
      <c r="GJU66" s="73"/>
      <c r="GJV66" s="63"/>
      <c r="GJW66" s="64"/>
      <c r="GJX66" s="66"/>
      <c r="GJY66" s="73"/>
      <c r="GJZ66" s="63"/>
      <c r="GKA66" s="64"/>
      <c r="GKB66" s="66"/>
      <c r="GKC66" s="73"/>
      <c r="GKD66" s="63"/>
      <c r="GKE66" s="64"/>
      <c r="GKF66" s="66"/>
      <c r="GKG66" s="73"/>
      <c r="GKH66" s="63"/>
      <c r="GKI66" s="64"/>
      <c r="GKJ66" s="66"/>
      <c r="GKK66" s="73"/>
      <c r="GKL66" s="63"/>
      <c r="GKM66" s="64"/>
      <c r="GKN66" s="66"/>
      <c r="GKO66" s="73"/>
      <c r="GKP66" s="63"/>
      <c r="GKQ66" s="64"/>
      <c r="GKR66" s="66"/>
      <c r="GKS66" s="73"/>
      <c r="GKT66" s="63"/>
      <c r="GKU66" s="64"/>
      <c r="GKV66" s="66"/>
      <c r="GKW66" s="73"/>
      <c r="GKX66" s="63"/>
      <c r="GKY66" s="64"/>
      <c r="GKZ66" s="66"/>
      <c r="GLA66" s="73"/>
      <c r="GLB66" s="63"/>
      <c r="GLC66" s="64"/>
      <c r="GLD66" s="66"/>
      <c r="GLE66" s="73"/>
      <c r="GLF66" s="63"/>
      <c r="GLG66" s="64"/>
      <c r="GLH66" s="66"/>
      <c r="GLI66" s="73"/>
      <c r="GLJ66" s="63"/>
      <c r="GLK66" s="64"/>
      <c r="GLL66" s="66"/>
      <c r="GLM66" s="73"/>
      <c r="GLN66" s="63"/>
      <c r="GLO66" s="64"/>
      <c r="GLP66" s="66"/>
      <c r="GLQ66" s="73"/>
      <c r="GLR66" s="63"/>
      <c r="GLS66" s="64"/>
      <c r="GLT66" s="66"/>
      <c r="GLU66" s="73"/>
      <c r="GLV66" s="63"/>
      <c r="GLW66" s="64"/>
      <c r="GLX66" s="66"/>
      <c r="GLY66" s="73"/>
      <c r="GLZ66" s="63"/>
      <c r="GMA66" s="64"/>
      <c r="GMB66" s="66"/>
      <c r="GMC66" s="73"/>
      <c r="GMD66" s="63"/>
      <c r="GME66" s="64"/>
      <c r="GMF66" s="66"/>
      <c r="GMG66" s="73"/>
      <c r="GMH66" s="63"/>
      <c r="GMI66" s="64"/>
      <c r="GMJ66" s="66"/>
      <c r="GMK66" s="73"/>
      <c r="GML66" s="63"/>
      <c r="GMM66" s="64"/>
      <c r="GMN66" s="66"/>
      <c r="GMO66" s="73"/>
      <c r="GMP66" s="63"/>
      <c r="GMQ66" s="64"/>
      <c r="GMR66" s="66"/>
      <c r="GMS66" s="73"/>
      <c r="GMT66" s="63"/>
      <c r="GMU66" s="64"/>
      <c r="GMV66" s="66"/>
      <c r="GMW66" s="73"/>
      <c r="GMX66" s="63"/>
      <c r="GMY66" s="64"/>
      <c r="GMZ66" s="66"/>
      <c r="GNA66" s="73"/>
      <c r="GNB66" s="63"/>
      <c r="GNC66" s="64"/>
      <c r="GND66" s="66"/>
      <c r="GNE66" s="73"/>
      <c r="GNF66" s="63"/>
      <c r="GNG66" s="64"/>
      <c r="GNH66" s="66"/>
      <c r="GNI66" s="73"/>
      <c r="GNJ66" s="63"/>
      <c r="GNK66" s="64"/>
      <c r="GNL66" s="66"/>
      <c r="GNM66" s="73"/>
      <c r="GNN66" s="63"/>
      <c r="GNO66" s="64"/>
      <c r="GNP66" s="66"/>
      <c r="GNQ66" s="73"/>
      <c r="GNR66" s="63"/>
      <c r="GNS66" s="64"/>
      <c r="GNT66" s="66"/>
      <c r="GNU66" s="73"/>
      <c r="GNV66" s="63"/>
      <c r="GNW66" s="64"/>
      <c r="GNX66" s="66"/>
      <c r="GNY66" s="73"/>
      <c r="GNZ66" s="63"/>
      <c r="GOA66" s="64"/>
      <c r="GOB66" s="66"/>
      <c r="GOC66" s="73"/>
      <c r="GOD66" s="63"/>
      <c r="GOE66" s="64"/>
      <c r="GOF66" s="66"/>
      <c r="GOG66" s="73"/>
      <c r="GOH66" s="63"/>
      <c r="GOI66" s="64"/>
      <c r="GOJ66" s="66"/>
      <c r="GOK66" s="73"/>
      <c r="GOL66" s="63"/>
      <c r="GOM66" s="64"/>
      <c r="GON66" s="66"/>
      <c r="GOO66" s="73"/>
      <c r="GOP66" s="63"/>
      <c r="GOQ66" s="64"/>
      <c r="GOR66" s="66"/>
      <c r="GOS66" s="73"/>
      <c r="GOT66" s="63"/>
      <c r="GOU66" s="64"/>
      <c r="GOV66" s="66"/>
      <c r="GOW66" s="73"/>
      <c r="GOX66" s="63"/>
      <c r="GOY66" s="64"/>
      <c r="GOZ66" s="66"/>
      <c r="GPA66" s="73"/>
      <c r="GPB66" s="63"/>
      <c r="GPC66" s="64"/>
      <c r="GPD66" s="66"/>
      <c r="GPE66" s="73"/>
      <c r="GPF66" s="63"/>
      <c r="GPG66" s="64"/>
      <c r="GPH66" s="66"/>
      <c r="GPI66" s="73"/>
      <c r="GPJ66" s="63"/>
      <c r="GPK66" s="64"/>
      <c r="GPL66" s="66"/>
      <c r="GPM66" s="73"/>
      <c r="GPN66" s="63"/>
      <c r="GPO66" s="64"/>
      <c r="GPP66" s="66"/>
      <c r="GPQ66" s="73"/>
      <c r="GPR66" s="63"/>
      <c r="GPS66" s="64"/>
      <c r="GPT66" s="66"/>
      <c r="GPU66" s="73"/>
      <c r="GPV66" s="63"/>
      <c r="GPW66" s="64"/>
      <c r="GPX66" s="66"/>
      <c r="GPY66" s="73"/>
      <c r="GPZ66" s="63"/>
      <c r="GQA66" s="64"/>
      <c r="GQB66" s="66"/>
      <c r="GQC66" s="73"/>
      <c r="GQD66" s="63"/>
      <c r="GQE66" s="64"/>
      <c r="GQF66" s="66"/>
      <c r="GQG66" s="73"/>
      <c r="GQH66" s="63"/>
      <c r="GQI66" s="64"/>
      <c r="GQJ66" s="66"/>
      <c r="GQK66" s="73"/>
      <c r="GQL66" s="63"/>
      <c r="GQM66" s="64"/>
      <c r="GQN66" s="66"/>
      <c r="GQO66" s="73"/>
      <c r="GQP66" s="63"/>
      <c r="GQQ66" s="64"/>
      <c r="GQR66" s="66"/>
      <c r="GQS66" s="73"/>
      <c r="GQT66" s="63"/>
      <c r="GQU66" s="64"/>
      <c r="GQV66" s="66"/>
      <c r="GQW66" s="73"/>
      <c r="GQX66" s="63"/>
      <c r="GQY66" s="64"/>
      <c r="GQZ66" s="66"/>
      <c r="GRA66" s="73"/>
      <c r="GRB66" s="63"/>
      <c r="GRC66" s="64"/>
      <c r="GRD66" s="66"/>
      <c r="GRE66" s="73"/>
      <c r="GRF66" s="63"/>
      <c r="GRG66" s="64"/>
      <c r="GRH66" s="66"/>
      <c r="GRI66" s="73"/>
      <c r="GRJ66" s="63"/>
      <c r="GRK66" s="64"/>
      <c r="GRL66" s="66"/>
      <c r="GRM66" s="73"/>
      <c r="GRN66" s="63"/>
      <c r="GRO66" s="64"/>
      <c r="GRP66" s="66"/>
      <c r="GRQ66" s="73"/>
      <c r="GRR66" s="63"/>
      <c r="GRS66" s="64"/>
      <c r="GRT66" s="66"/>
      <c r="GRU66" s="73"/>
      <c r="GRV66" s="63"/>
      <c r="GRW66" s="64"/>
      <c r="GRX66" s="66"/>
      <c r="GRY66" s="73"/>
      <c r="GRZ66" s="63"/>
      <c r="GSA66" s="64"/>
      <c r="GSB66" s="66"/>
      <c r="GSC66" s="73"/>
      <c r="GSD66" s="63"/>
      <c r="GSE66" s="64"/>
      <c r="GSF66" s="66"/>
      <c r="GSG66" s="73"/>
      <c r="GSH66" s="63"/>
      <c r="GSI66" s="64"/>
      <c r="GSJ66" s="66"/>
      <c r="GSK66" s="73"/>
      <c r="GSL66" s="63"/>
      <c r="GSM66" s="64"/>
      <c r="GSN66" s="66"/>
      <c r="GSO66" s="73"/>
      <c r="GSP66" s="63"/>
      <c r="GSQ66" s="64"/>
      <c r="GSR66" s="66"/>
      <c r="GSS66" s="73"/>
      <c r="GST66" s="63"/>
      <c r="GSU66" s="64"/>
      <c r="GSV66" s="66"/>
      <c r="GSW66" s="73"/>
      <c r="GSX66" s="63"/>
      <c r="GSY66" s="64"/>
      <c r="GSZ66" s="66"/>
      <c r="GTA66" s="73"/>
      <c r="GTB66" s="63"/>
      <c r="GTC66" s="64"/>
      <c r="GTD66" s="66"/>
      <c r="GTE66" s="73"/>
      <c r="GTF66" s="63"/>
      <c r="GTG66" s="64"/>
      <c r="GTH66" s="66"/>
      <c r="GTI66" s="73"/>
      <c r="GTJ66" s="63"/>
      <c r="GTK66" s="64"/>
      <c r="GTL66" s="66"/>
      <c r="GTM66" s="73"/>
      <c r="GTN66" s="63"/>
      <c r="GTO66" s="64"/>
      <c r="GTP66" s="66"/>
      <c r="GTQ66" s="73"/>
      <c r="GTR66" s="63"/>
      <c r="GTS66" s="64"/>
      <c r="GTT66" s="66"/>
      <c r="GTU66" s="73"/>
      <c r="GTV66" s="63"/>
      <c r="GTW66" s="64"/>
      <c r="GTX66" s="66"/>
      <c r="GTY66" s="73"/>
      <c r="GTZ66" s="63"/>
      <c r="GUA66" s="64"/>
      <c r="GUB66" s="66"/>
      <c r="GUC66" s="73"/>
      <c r="GUD66" s="63"/>
      <c r="GUE66" s="64"/>
      <c r="GUF66" s="66"/>
      <c r="GUG66" s="73"/>
      <c r="GUH66" s="63"/>
      <c r="GUI66" s="64"/>
      <c r="GUJ66" s="66"/>
      <c r="GUK66" s="73"/>
      <c r="GUL66" s="63"/>
      <c r="GUM66" s="64"/>
      <c r="GUN66" s="66"/>
      <c r="GUO66" s="73"/>
      <c r="GUP66" s="63"/>
      <c r="GUQ66" s="64"/>
      <c r="GUR66" s="66"/>
      <c r="GUS66" s="73"/>
      <c r="GUT66" s="63"/>
      <c r="GUU66" s="64"/>
      <c r="GUV66" s="66"/>
      <c r="GUW66" s="73"/>
      <c r="GUX66" s="63"/>
      <c r="GUY66" s="64"/>
      <c r="GUZ66" s="66"/>
      <c r="GVA66" s="73"/>
      <c r="GVB66" s="63"/>
      <c r="GVC66" s="64"/>
      <c r="GVD66" s="66"/>
      <c r="GVE66" s="73"/>
      <c r="GVF66" s="63"/>
      <c r="GVG66" s="64"/>
      <c r="GVH66" s="66"/>
      <c r="GVI66" s="73"/>
      <c r="GVJ66" s="63"/>
      <c r="GVK66" s="64"/>
      <c r="GVL66" s="66"/>
      <c r="GVM66" s="73"/>
      <c r="GVN66" s="63"/>
      <c r="GVO66" s="64"/>
      <c r="GVP66" s="66"/>
      <c r="GVQ66" s="73"/>
      <c r="GVR66" s="63"/>
      <c r="GVS66" s="64"/>
      <c r="GVT66" s="66"/>
      <c r="GVU66" s="73"/>
      <c r="GVV66" s="63"/>
      <c r="GVW66" s="64"/>
      <c r="GVX66" s="66"/>
      <c r="GVY66" s="73"/>
      <c r="GVZ66" s="63"/>
      <c r="GWA66" s="64"/>
      <c r="GWB66" s="66"/>
      <c r="GWC66" s="73"/>
      <c r="GWD66" s="63"/>
      <c r="GWE66" s="64"/>
      <c r="GWF66" s="66"/>
      <c r="GWG66" s="73"/>
      <c r="GWH66" s="63"/>
      <c r="GWI66" s="64"/>
      <c r="GWJ66" s="66"/>
      <c r="GWK66" s="73"/>
      <c r="GWL66" s="63"/>
      <c r="GWM66" s="64"/>
      <c r="GWN66" s="66"/>
      <c r="GWO66" s="73"/>
      <c r="GWP66" s="63"/>
      <c r="GWQ66" s="64"/>
      <c r="GWR66" s="66"/>
      <c r="GWS66" s="73"/>
      <c r="GWT66" s="63"/>
      <c r="GWU66" s="64"/>
      <c r="GWV66" s="66"/>
      <c r="GWW66" s="73"/>
      <c r="GWX66" s="63"/>
      <c r="GWY66" s="64"/>
      <c r="GWZ66" s="66"/>
      <c r="GXA66" s="73"/>
      <c r="GXB66" s="63"/>
      <c r="GXC66" s="64"/>
      <c r="GXD66" s="66"/>
      <c r="GXE66" s="73"/>
      <c r="GXF66" s="63"/>
      <c r="GXG66" s="64"/>
      <c r="GXH66" s="66"/>
      <c r="GXI66" s="73"/>
      <c r="GXJ66" s="63"/>
      <c r="GXK66" s="64"/>
      <c r="GXL66" s="66"/>
      <c r="GXM66" s="73"/>
      <c r="GXN66" s="63"/>
      <c r="GXO66" s="64"/>
      <c r="GXP66" s="66"/>
      <c r="GXQ66" s="73"/>
      <c r="GXR66" s="63"/>
      <c r="GXS66" s="64"/>
      <c r="GXT66" s="66"/>
      <c r="GXU66" s="73"/>
      <c r="GXV66" s="63"/>
      <c r="GXW66" s="64"/>
      <c r="GXX66" s="66"/>
      <c r="GXY66" s="73"/>
      <c r="GXZ66" s="63"/>
      <c r="GYA66" s="64"/>
      <c r="GYB66" s="66"/>
      <c r="GYC66" s="73"/>
      <c r="GYD66" s="63"/>
      <c r="GYE66" s="64"/>
      <c r="GYF66" s="66"/>
      <c r="GYG66" s="73"/>
      <c r="GYH66" s="63"/>
      <c r="GYI66" s="64"/>
      <c r="GYJ66" s="66"/>
      <c r="GYK66" s="73"/>
      <c r="GYL66" s="63"/>
      <c r="GYM66" s="64"/>
      <c r="GYN66" s="66"/>
      <c r="GYO66" s="73"/>
      <c r="GYP66" s="63"/>
      <c r="GYQ66" s="64"/>
      <c r="GYR66" s="66"/>
      <c r="GYS66" s="73"/>
      <c r="GYT66" s="63"/>
      <c r="GYU66" s="64"/>
      <c r="GYV66" s="66"/>
      <c r="GYW66" s="73"/>
      <c r="GYX66" s="63"/>
      <c r="GYY66" s="64"/>
      <c r="GYZ66" s="66"/>
      <c r="GZA66" s="73"/>
      <c r="GZB66" s="63"/>
      <c r="GZC66" s="64"/>
      <c r="GZD66" s="66"/>
      <c r="GZE66" s="73"/>
      <c r="GZF66" s="63"/>
      <c r="GZG66" s="64"/>
      <c r="GZH66" s="66"/>
      <c r="GZI66" s="73"/>
      <c r="GZJ66" s="63"/>
      <c r="GZK66" s="64"/>
      <c r="GZL66" s="66"/>
      <c r="GZM66" s="73"/>
      <c r="GZN66" s="63"/>
      <c r="GZO66" s="64"/>
      <c r="GZP66" s="66"/>
      <c r="GZQ66" s="73"/>
      <c r="GZR66" s="63"/>
      <c r="GZS66" s="64"/>
      <c r="GZT66" s="66"/>
      <c r="GZU66" s="73"/>
      <c r="GZV66" s="63"/>
      <c r="GZW66" s="64"/>
      <c r="GZX66" s="66"/>
      <c r="GZY66" s="73"/>
      <c r="GZZ66" s="63"/>
      <c r="HAA66" s="64"/>
      <c r="HAB66" s="66"/>
      <c r="HAC66" s="73"/>
      <c r="HAD66" s="63"/>
      <c r="HAE66" s="64"/>
      <c r="HAF66" s="66"/>
      <c r="HAG66" s="73"/>
      <c r="HAH66" s="63"/>
      <c r="HAI66" s="64"/>
      <c r="HAJ66" s="66"/>
      <c r="HAK66" s="73"/>
      <c r="HAL66" s="63"/>
      <c r="HAM66" s="64"/>
      <c r="HAN66" s="66"/>
      <c r="HAO66" s="73"/>
      <c r="HAP66" s="63"/>
      <c r="HAQ66" s="64"/>
      <c r="HAR66" s="66"/>
      <c r="HAS66" s="73"/>
      <c r="HAT66" s="63"/>
      <c r="HAU66" s="64"/>
      <c r="HAV66" s="66"/>
      <c r="HAW66" s="73"/>
      <c r="HAX66" s="63"/>
      <c r="HAY66" s="64"/>
      <c r="HAZ66" s="66"/>
      <c r="HBA66" s="73"/>
      <c r="HBB66" s="63"/>
      <c r="HBC66" s="64"/>
      <c r="HBD66" s="66"/>
      <c r="HBE66" s="73"/>
      <c r="HBF66" s="63"/>
      <c r="HBG66" s="64"/>
      <c r="HBH66" s="66"/>
      <c r="HBI66" s="73"/>
      <c r="HBJ66" s="63"/>
      <c r="HBK66" s="64"/>
      <c r="HBL66" s="66"/>
      <c r="HBM66" s="73"/>
      <c r="HBN66" s="63"/>
      <c r="HBO66" s="64"/>
      <c r="HBP66" s="66"/>
      <c r="HBQ66" s="73"/>
      <c r="HBR66" s="63"/>
      <c r="HBS66" s="64"/>
      <c r="HBT66" s="66"/>
      <c r="HBU66" s="73"/>
      <c r="HBV66" s="63"/>
      <c r="HBW66" s="64"/>
      <c r="HBX66" s="66"/>
      <c r="HBY66" s="73"/>
      <c r="HBZ66" s="63"/>
      <c r="HCA66" s="64"/>
      <c r="HCB66" s="66"/>
      <c r="HCC66" s="73"/>
      <c r="HCD66" s="63"/>
      <c r="HCE66" s="64"/>
      <c r="HCF66" s="66"/>
      <c r="HCG66" s="73"/>
      <c r="HCH66" s="63"/>
      <c r="HCI66" s="64"/>
      <c r="HCJ66" s="66"/>
      <c r="HCK66" s="73"/>
      <c r="HCL66" s="63"/>
      <c r="HCM66" s="64"/>
      <c r="HCN66" s="66"/>
      <c r="HCO66" s="73"/>
      <c r="HCP66" s="63"/>
      <c r="HCQ66" s="64"/>
      <c r="HCR66" s="66"/>
      <c r="HCS66" s="73"/>
      <c r="HCT66" s="63"/>
      <c r="HCU66" s="64"/>
      <c r="HCV66" s="66"/>
      <c r="HCW66" s="73"/>
      <c r="HCX66" s="63"/>
      <c r="HCY66" s="64"/>
      <c r="HCZ66" s="66"/>
      <c r="HDA66" s="73"/>
      <c r="HDB66" s="63"/>
      <c r="HDC66" s="64"/>
      <c r="HDD66" s="66"/>
      <c r="HDE66" s="73"/>
      <c r="HDF66" s="63"/>
      <c r="HDG66" s="64"/>
      <c r="HDH66" s="66"/>
      <c r="HDI66" s="73"/>
      <c r="HDJ66" s="63"/>
      <c r="HDK66" s="64"/>
      <c r="HDL66" s="66"/>
      <c r="HDM66" s="73"/>
      <c r="HDN66" s="63"/>
      <c r="HDO66" s="64"/>
      <c r="HDP66" s="66"/>
      <c r="HDQ66" s="73"/>
      <c r="HDR66" s="63"/>
      <c r="HDS66" s="64"/>
      <c r="HDT66" s="66"/>
      <c r="HDU66" s="73"/>
      <c r="HDV66" s="63"/>
      <c r="HDW66" s="64"/>
      <c r="HDX66" s="66"/>
      <c r="HDY66" s="73"/>
      <c r="HDZ66" s="63"/>
      <c r="HEA66" s="64"/>
      <c r="HEB66" s="66"/>
      <c r="HEC66" s="73"/>
      <c r="HED66" s="63"/>
      <c r="HEE66" s="64"/>
      <c r="HEF66" s="66"/>
      <c r="HEG66" s="73"/>
      <c r="HEH66" s="63"/>
      <c r="HEI66" s="64"/>
      <c r="HEJ66" s="66"/>
      <c r="HEK66" s="73"/>
      <c r="HEL66" s="63"/>
      <c r="HEM66" s="64"/>
      <c r="HEN66" s="66"/>
      <c r="HEO66" s="73"/>
      <c r="HEP66" s="63"/>
      <c r="HEQ66" s="64"/>
      <c r="HER66" s="66"/>
      <c r="HES66" s="73"/>
      <c r="HET66" s="63"/>
      <c r="HEU66" s="64"/>
      <c r="HEV66" s="66"/>
      <c r="HEW66" s="73"/>
      <c r="HEX66" s="63"/>
      <c r="HEY66" s="64"/>
      <c r="HEZ66" s="66"/>
      <c r="HFA66" s="73"/>
      <c r="HFB66" s="63"/>
      <c r="HFC66" s="64"/>
      <c r="HFD66" s="66"/>
      <c r="HFE66" s="73"/>
      <c r="HFF66" s="63"/>
      <c r="HFG66" s="64"/>
      <c r="HFH66" s="66"/>
      <c r="HFI66" s="73"/>
      <c r="HFJ66" s="63"/>
      <c r="HFK66" s="64"/>
      <c r="HFL66" s="66"/>
      <c r="HFM66" s="73"/>
      <c r="HFN66" s="63"/>
      <c r="HFO66" s="64"/>
      <c r="HFP66" s="66"/>
      <c r="HFQ66" s="73"/>
      <c r="HFR66" s="63"/>
      <c r="HFS66" s="64"/>
      <c r="HFT66" s="66"/>
      <c r="HFU66" s="73"/>
      <c r="HFV66" s="63"/>
      <c r="HFW66" s="64"/>
      <c r="HFX66" s="66"/>
      <c r="HFY66" s="73"/>
      <c r="HFZ66" s="63"/>
      <c r="HGA66" s="64"/>
      <c r="HGB66" s="66"/>
      <c r="HGC66" s="73"/>
      <c r="HGD66" s="63"/>
      <c r="HGE66" s="64"/>
      <c r="HGF66" s="66"/>
      <c r="HGG66" s="73"/>
      <c r="HGH66" s="63"/>
      <c r="HGI66" s="64"/>
      <c r="HGJ66" s="66"/>
      <c r="HGK66" s="73"/>
      <c r="HGL66" s="63"/>
      <c r="HGM66" s="64"/>
      <c r="HGN66" s="66"/>
      <c r="HGO66" s="73"/>
      <c r="HGP66" s="63"/>
      <c r="HGQ66" s="64"/>
      <c r="HGR66" s="66"/>
      <c r="HGS66" s="73"/>
      <c r="HGT66" s="63"/>
      <c r="HGU66" s="64"/>
      <c r="HGV66" s="66"/>
      <c r="HGW66" s="73"/>
      <c r="HGX66" s="63"/>
      <c r="HGY66" s="64"/>
      <c r="HGZ66" s="66"/>
      <c r="HHA66" s="73"/>
      <c r="HHB66" s="63"/>
      <c r="HHC66" s="64"/>
      <c r="HHD66" s="66"/>
      <c r="HHE66" s="73"/>
      <c r="HHF66" s="63"/>
      <c r="HHG66" s="64"/>
      <c r="HHH66" s="66"/>
      <c r="HHI66" s="73"/>
      <c r="HHJ66" s="63"/>
      <c r="HHK66" s="64"/>
      <c r="HHL66" s="66"/>
      <c r="HHM66" s="73"/>
      <c r="HHN66" s="63"/>
      <c r="HHO66" s="64"/>
      <c r="HHP66" s="66"/>
      <c r="HHQ66" s="73"/>
      <c r="HHR66" s="63"/>
      <c r="HHS66" s="64"/>
      <c r="HHT66" s="66"/>
      <c r="HHU66" s="73"/>
      <c r="HHV66" s="63"/>
      <c r="HHW66" s="64"/>
      <c r="HHX66" s="66"/>
      <c r="HHY66" s="73"/>
      <c r="HHZ66" s="63"/>
      <c r="HIA66" s="64"/>
      <c r="HIB66" s="66"/>
      <c r="HIC66" s="73"/>
      <c r="HID66" s="63"/>
      <c r="HIE66" s="64"/>
      <c r="HIF66" s="66"/>
      <c r="HIG66" s="73"/>
      <c r="HIH66" s="63"/>
      <c r="HII66" s="64"/>
      <c r="HIJ66" s="66"/>
      <c r="HIK66" s="73"/>
      <c r="HIL66" s="63"/>
      <c r="HIM66" s="64"/>
      <c r="HIN66" s="66"/>
      <c r="HIO66" s="73"/>
      <c r="HIP66" s="63"/>
      <c r="HIQ66" s="64"/>
      <c r="HIR66" s="66"/>
      <c r="HIS66" s="73"/>
      <c r="HIT66" s="63"/>
      <c r="HIU66" s="64"/>
      <c r="HIV66" s="66"/>
      <c r="HIW66" s="73"/>
      <c r="HIX66" s="63"/>
      <c r="HIY66" s="64"/>
      <c r="HIZ66" s="66"/>
      <c r="HJA66" s="73"/>
      <c r="HJB66" s="63"/>
      <c r="HJC66" s="64"/>
      <c r="HJD66" s="66"/>
      <c r="HJE66" s="73"/>
      <c r="HJF66" s="63"/>
      <c r="HJG66" s="64"/>
      <c r="HJH66" s="66"/>
      <c r="HJI66" s="73"/>
      <c r="HJJ66" s="63"/>
      <c r="HJK66" s="64"/>
      <c r="HJL66" s="66"/>
      <c r="HJM66" s="73"/>
      <c r="HJN66" s="63"/>
      <c r="HJO66" s="64"/>
      <c r="HJP66" s="66"/>
      <c r="HJQ66" s="73"/>
      <c r="HJR66" s="63"/>
      <c r="HJS66" s="64"/>
      <c r="HJT66" s="66"/>
      <c r="HJU66" s="73"/>
      <c r="HJV66" s="63"/>
      <c r="HJW66" s="64"/>
      <c r="HJX66" s="66"/>
      <c r="HJY66" s="73"/>
      <c r="HJZ66" s="63"/>
      <c r="HKA66" s="64"/>
      <c r="HKB66" s="66"/>
      <c r="HKC66" s="73"/>
      <c r="HKD66" s="63"/>
      <c r="HKE66" s="64"/>
      <c r="HKF66" s="66"/>
      <c r="HKG66" s="73"/>
      <c r="HKH66" s="63"/>
      <c r="HKI66" s="64"/>
      <c r="HKJ66" s="66"/>
      <c r="HKK66" s="73"/>
      <c r="HKL66" s="63"/>
      <c r="HKM66" s="64"/>
      <c r="HKN66" s="66"/>
      <c r="HKO66" s="73"/>
      <c r="HKP66" s="63"/>
      <c r="HKQ66" s="64"/>
      <c r="HKR66" s="66"/>
      <c r="HKS66" s="73"/>
      <c r="HKT66" s="63"/>
      <c r="HKU66" s="64"/>
      <c r="HKV66" s="66"/>
      <c r="HKW66" s="73"/>
      <c r="HKX66" s="63"/>
      <c r="HKY66" s="64"/>
      <c r="HKZ66" s="66"/>
      <c r="HLA66" s="73"/>
      <c r="HLB66" s="63"/>
      <c r="HLC66" s="64"/>
      <c r="HLD66" s="66"/>
      <c r="HLE66" s="73"/>
      <c r="HLF66" s="63"/>
      <c r="HLG66" s="64"/>
      <c r="HLH66" s="66"/>
      <c r="HLI66" s="73"/>
      <c r="HLJ66" s="63"/>
      <c r="HLK66" s="64"/>
      <c r="HLL66" s="66"/>
      <c r="HLM66" s="73"/>
      <c r="HLN66" s="63"/>
      <c r="HLO66" s="64"/>
      <c r="HLP66" s="66"/>
      <c r="HLQ66" s="73"/>
      <c r="HLR66" s="63"/>
      <c r="HLS66" s="64"/>
      <c r="HLT66" s="66"/>
      <c r="HLU66" s="73"/>
      <c r="HLV66" s="63"/>
      <c r="HLW66" s="64"/>
      <c r="HLX66" s="66"/>
      <c r="HLY66" s="73"/>
      <c r="HLZ66" s="63"/>
      <c r="HMA66" s="64"/>
      <c r="HMB66" s="66"/>
      <c r="HMC66" s="73"/>
      <c r="HMD66" s="63"/>
      <c r="HME66" s="64"/>
      <c r="HMF66" s="66"/>
      <c r="HMG66" s="73"/>
      <c r="HMH66" s="63"/>
      <c r="HMI66" s="64"/>
      <c r="HMJ66" s="66"/>
      <c r="HMK66" s="73"/>
      <c r="HML66" s="63"/>
      <c r="HMM66" s="64"/>
      <c r="HMN66" s="66"/>
      <c r="HMO66" s="73"/>
      <c r="HMP66" s="63"/>
      <c r="HMQ66" s="64"/>
      <c r="HMR66" s="66"/>
      <c r="HMS66" s="73"/>
      <c r="HMT66" s="63"/>
      <c r="HMU66" s="64"/>
      <c r="HMV66" s="66"/>
      <c r="HMW66" s="73"/>
      <c r="HMX66" s="63"/>
      <c r="HMY66" s="64"/>
      <c r="HMZ66" s="66"/>
      <c r="HNA66" s="73"/>
      <c r="HNB66" s="63"/>
      <c r="HNC66" s="64"/>
      <c r="HND66" s="66"/>
      <c r="HNE66" s="73"/>
      <c r="HNF66" s="63"/>
      <c r="HNG66" s="64"/>
      <c r="HNH66" s="66"/>
      <c r="HNI66" s="73"/>
      <c r="HNJ66" s="63"/>
      <c r="HNK66" s="64"/>
      <c r="HNL66" s="66"/>
      <c r="HNM66" s="73"/>
      <c r="HNN66" s="63"/>
      <c r="HNO66" s="64"/>
      <c r="HNP66" s="66"/>
      <c r="HNQ66" s="73"/>
      <c r="HNR66" s="63"/>
      <c r="HNS66" s="64"/>
      <c r="HNT66" s="66"/>
      <c r="HNU66" s="73"/>
      <c r="HNV66" s="63"/>
      <c r="HNW66" s="64"/>
      <c r="HNX66" s="66"/>
      <c r="HNY66" s="73"/>
      <c r="HNZ66" s="63"/>
      <c r="HOA66" s="64"/>
      <c r="HOB66" s="66"/>
      <c r="HOC66" s="73"/>
      <c r="HOD66" s="63"/>
      <c r="HOE66" s="64"/>
      <c r="HOF66" s="66"/>
      <c r="HOG66" s="73"/>
      <c r="HOH66" s="63"/>
      <c r="HOI66" s="64"/>
      <c r="HOJ66" s="66"/>
      <c r="HOK66" s="73"/>
      <c r="HOL66" s="63"/>
      <c r="HOM66" s="64"/>
      <c r="HON66" s="66"/>
      <c r="HOO66" s="73"/>
      <c r="HOP66" s="63"/>
      <c r="HOQ66" s="64"/>
      <c r="HOR66" s="66"/>
      <c r="HOS66" s="73"/>
      <c r="HOT66" s="63"/>
      <c r="HOU66" s="64"/>
      <c r="HOV66" s="66"/>
      <c r="HOW66" s="73"/>
      <c r="HOX66" s="63"/>
      <c r="HOY66" s="64"/>
      <c r="HOZ66" s="66"/>
      <c r="HPA66" s="73"/>
      <c r="HPB66" s="63"/>
      <c r="HPC66" s="64"/>
      <c r="HPD66" s="66"/>
      <c r="HPE66" s="73"/>
      <c r="HPF66" s="63"/>
      <c r="HPG66" s="64"/>
      <c r="HPH66" s="66"/>
      <c r="HPI66" s="73"/>
      <c r="HPJ66" s="63"/>
      <c r="HPK66" s="64"/>
      <c r="HPL66" s="66"/>
      <c r="HPM66" s="73"/>
      <c r="HPN66" s="63"/>
      <c r="HPO66" s="64"/>
      <c r="HPP66" s="66"/>
      <c r="HPQ66" s="73"/>
      <c r="HPR66" s="63"/>
      <c r="HPS66" s="64"/>
      <c r="HPT66" s="66"/>
      <c r="HPU66" s="73"/>
      <c r="HPV66" s="63"/>
      <c r="HPW66" s="64"/>
      <c r="HPX66" s="66"/>
      <c r="HPY66" s="73"/>
      <c r="HPZ66" s="63"/>
      <c r="HQA66" s="64"/>
      <c r="HQB66" s="66"/>
      <c r="HQC66" s="73"/>
      <c r="HQD66" s="63"/>
      <c r="HQE66" s="64"/>
      <c r="HQF66" s="66"/>
      <c r="HQG66" s="73"/>
      <c r="HQH66" s="63"/>
      <c r="HQI66" s="64"/>
      <c r="HQJ66" s="66"/>
      <c r="HQK66" s="73"/>
      <c r="HQL66" s="63"/>
      <c r="HQM66" s="64"/>
      <c r="HQN66" s="66"/>
      <c r="HQO66" s="73"/>
      <c r="HQP66" s="63"/>
      <c r="HQQ66" s="64"/>
      <c r="HQR66" s="66"/>
      <c r="HQS66" s="73"/>
      <c r="HQT66" s="63"/>
      <c r="HQU66" s="64"/>
      <c r="HQV66" s="66"/>
      <c r="HQW66" s="73"/>
      <c r="HQX66" s="63"/>
      <c r="HQY66" s="64"/>
      <c r="HQZ66" s="66"/>
      <c r="HRA66" s="73"/>
      <c r="HRB66" s="63"/>
      <c r="HRC66" s="64"/>
      <c r="HRD66" s="66"/>
      <c r="HRE66" s="73"/>
      <c r="HRF66" s="63"/>
      <c r="HRG66" s="64"/>
      <c r="HRH66" s="66"/>
      <c r="HRI66" s="73"/>
      <c r="HRJ66" s="63"/>
      <c r="HRK66" s="64"/>
      <c r="HRL66" s="66"/>
      <c r="HRM66" s="73"/>
      <c r="HRN66" s="63"/>
      <c r="HRO66" s="64"/>
      <c r="HRP66" s="66"/>
      <c r="HRQ66" s="73"/>
      <c r="HRR66" s="63"/>
      <c r="HRS66" s="64"/>
      <c r="HRT66" s="66"/>
      <c r="HRU66" s="73"/>
      <c r="HRV66" s="63"/>
      <c r="HRW66" s="64"/>
      <c r="HRX66" s="66"/>
      <c r="HRY66" s="73"/>
      <c r="HRZ66" s="63"/>
      <c r="HSA66" s="64"/>
      <c r="HSB66" s="66"/>
      <c r="HSC66" s="73"/>
      <c r="HSD66" s="63"/>
      <c r="HSE66" s="64"/>
      <c r="HSF66" s="66"/>
      <c r="HSG66" s="73"/>
      <c r="HSH66" s="63"/>
      <c r="HSI66" s="64"/>
      <c r="HSJ66" s="66"/>
      <c r="HSK66" s="73"/>
      <c r="HSL66" s="63"/>
      <c r="HSM66" s="64"/>
      <c r="HSN66" s="66"/>
      <c r="HSO66" s="73"/>
      <c r="HSP66" s="63"/>
      <c r="HSQ66" s="64"/>
      <c r="HSR66" s="66"/>
      <c r="HSS66" s="73"/>
      <c r="HST66" s="63"/>
      <c r="HSU66" s="64"/>
      <c r="HSV66" s="66"/>
      <c r="HSW66" s="73"/>
      <c r="HSX66" s="63"/>
      <c r="HSY66" s="64"/>
      <c r="HSZ66" s="66"/>
      <c r="HTA66" s="73"/>
      <c r="HTB66" s="63"/>
      <c r="HTC66" s="64"/>
      <c r="HTD66" s="66"/>
      <c r="HTE66" s="73"/>
      <c r="HTF66" s="63"/>
      <c r="HTG66" s="64"/>
      <c r="HTH66" s="66"/>
      <c r="HTI66" s="73"/>
      <c r="HTJ66" s="63"/>
      <c r="HTK66" s="64"/>
      <c r="HTL66" s="66"/>
      <c r="HTM66" s="73"/>
      <c r="HTN66" s="63"/>
      <c r="HTO66" s="64"/>
      <c r="HTP66" s="66"/>
      <c r="HTQ66" s="73"/>
      <c r="HTR66" s="63"/>
      <c r="HTS66" s="64"/>
      <c r="HTT66" s="66"/>
      <c r="HTU66" s="73"/>
      <c r="HTV66" s="63"/>
      <c r="HTW66" s="64"/>
      <c r="HTX66" s="66"/>
      <c r="HTY66" s="73"/>
      <c r="HTZ66" s="63"/>
      <c r="HUA66" s="64"/>
      <c r="HUB66" s="66"/>
      <c r="HUC66" s="73"/>
      <c r="HUD66" s="63"/>
      <c r="HUE66" s="64"/>
      <c r="HUF66" s="66"/>
      <c r="HUG66" s="73"/>
      <c r="HUH66" s="63"/>
      <c r="HUI66" s="64"/>
      <c r="HUJ66" s="66"/>
      <c r="HUK66" s="73"/>
      <c r="HUL66" s="63"/>
      <c r="HUM66" s="64"/>
      <c r="HUN66" s="66"/>
      <c r="HUO66" s="73"/>
      <c r="HUP66" s="63"/>
      <c r="HUQ66" s="64"/>
      <c r="HUR66" s="66"/>
      <c r="HUS66" s="73"/>
      <c r="HUT66" s="63"/>
      <c r="HUU66" s="64"/>
      <c r="HUV66" s="66"/>
      <c r="HUW66" s="73"/>
      <c r="HUX66" s="63"/>
      <c r="HUY66" s="64"/>
      <c r="HUZ66" s="66"/>
      <c r="HVA66" s="73"/>
      <c r="HVB66" s="63"/>
      <c r="HVC66" s="64"/>
      <c r="HVD66" s="66"/>
      <c r="HVE66" s="73"/>
      <c r="HVF66" s="63"/>
      <c r="HVG66" s="64"/>
      <c r="HVH66" s="66"/>
      <c r="HVI66" s="73"/>
      <c r="HVJ66" s="63"/>
      <c r="HVK66" s="64"/>
      <c r="HVL66" s="66"/>
      <c r="HVM66" s="73"/>
      <c r="HVN66" s="63"/>
      <c r="HVO66" s="64"/>
      <c r="HVP66" s="66"/>
      <c r="HVQ66" s="73"/>
      <c r="HVR66" s="63"/>
      <c r="HVS66" s="64"/>
      <c r="HVT66" s="66"/>
      <c r="HVU66" s="73"/>
      <c r="HVV66" s="63"/>
      <c r="HVW66" s="64"/>
      <c r="HVX66" s="66"/>
      <c r="HVY66" s="73"/>
      <c r="HVZ66" s="63"/>
      <c r="HWA66" s="64"/>
      <c r="HWB66" s="66"/>
      <c r="HWC66" s="73"/>
      <c r="HWD66" s="63"/>
      <c r="HWE66" s="64"/>
      <c r="HWF66" s="66"/>
      <c r="HWG66" s="73"/>
      <c r="HWH66" s="63"/>
      <c r="HWI66" s="64"/>
      <c r="HWJ66" s="66"/>
      <c r="HWK66" s="73"/>
      <c r="HWL66" s="63"/>
      <c r="HWM66" s="64"/>
      <c r="HWN66" s="66"/>
      <c r="HWO66" s="73"/>
      <c r="HWP66" s="63"/>
      <c r="HWQ66" s="64"/>
      <c r="HWR66" s="66"/>
      <c r="HWS66" s="73"/>
      <c r="HWT66" s="63"/>
      <c r="HWU66" s="64"/>
      <c r="HWV66" s="66"/>
      <c r="HWW66" s="73"/>
      <c r="HWX66" s="63"/>
      <c r="HWY66" s="64"/>
      <c r="HWZ66" s="66"/>
      <c r="HXA66" s="73"/>
      <c r="HXB66" s="63"/>
      <c r="HXC66" s="64"/>
      <c r="HXD66" s="66"/>
      <c r="HXE66" s="73"/>
      <c r="HXF66" s="63"/>
      <c r="HXG66" s="64"/>
      <c r="HXH66" s="66"/>
      <c r="HXI66" s="73"/>
      <c r="HXJ66" s="63"/>
      <c r="HXK66" s="64"/>
      <c r="HXL66" s="66"/>
      <c r="HXM66" s="73"/>
      <c r="HXN66" s="63"/>
      <c r="HXO66" s="64"/>
      <c r="HXP66" s="66"/>
      <c r="HXQ66" s="73"/>
      <c r="HXR66" s="63"/>
      <c r="HXS66" s="64"/>
      <c r="HXT66" s="66"/>
      <c r="HXU66" s="73"/>
      <c r="HXV66" s="63"/>
      <c r="HXW66" s="64"/>
      <c r="HXX66" s="66"/>
      <c r="HXY66" s="73"/>
      <c r="HXZ66" s="63"/>
      <c r="HYA66" s="64"/>
      <c r="HYB66" s="66"/>
      <c r="HYC66" s="73"/>
      <c r="HYD66" s="63"/>
      <c r="HYE66" s="64"/>
      <c r="HYF66" s="66"/>
      <c r="HYG66" s="73"/>
      <c r="HYH66" s="63"/>
      <c r="HYI66" s="64"/>
      <c r="HYJ66" s="66"/>
      <c r="HYK66" s="73"/>
      <c r="HYL66" s="63"/>
      <c r="HYM66" s="64"/>
      <c r="HYN66" s="66"/>
      <c r="HYO66" s="73"/>
      <c r="HYP66" s="63"/>
      <c r="HYQ66" s="64"/>
      <c r="HYR66" s="66"/>
      <c r="HYS66" s="73"/>
      <c r="HYT66" s="63"/>
      <c r="HYU66" s="64"/>
      <c r="HYV66" s="66"/>
      <c r="HYW66" s="73"/>
      <c r="HYX66" s="63"/>
      <c r="HYY66" s="64"/>
      <c r="HYZ66" s="66"/>
      <c r="HZA66" s="73"/>
      <c r="HZB66" s="63"/>
      <c r="HZC66" s="64"/>
      <c r="HZD66" s="66"/>
      <c r="HZE66" s="73"/>
      <c r="HZF66" s="63"/>
      <c r="HZG66" s="64"/>
      <c r="HZH66" s="66"/>
      <c r="HZI66" s="73"/>
      <c r="HZJ66" s="63"/>
      <c r="HZK66" s="64"/>
      <c r="HZL66" s="66"/>
      <c r="HZM66" s="73"/>
      <c r="HZN66" s="63"/>
      <c r="HZO66" s="64"/>
      <c r="HZP66" s="66"/>
      <c r="HZQ66" s="73"/>
      <c r="HZR66" s="63"/>
      <c r="HZS66" s="64"/>
      <c r="HZT66" s="66"/>
      <c r="HZU66" s="73"/>
      <c r="HZV66" s="63"/>
      <c r="HZW66" s="64"/>
      <c r="HZX66" s="66"/>
      <c r="HZY66" s="73"/>
      <c r="HZZ66" s="63"/>
      <c r="IAA66" s="64"/>
      <c r="IAB66" s="66"/>
      <c r="IAC66" s="73"/>
      <c r="IAD66" s="63"/>
      <c r="IAE66" s="64"/>
      <c r="IAF66" s="66"/>
      <c r="IAG66" s="73"/>
      <c r="IAH66" s="63"/>
      <c r="IAI66" s="64"/>
      <c r="IAJ66" s="66"/>
      <c r="IAK66" s="73"/>
      <c r="IAL66" s="63"/>
      <c r="IAM66" s="64"/>
      <c r="IAN66" s="66"/>
      <c r="IAO66" s="73"/>
      <c r="IAP66" s="63"/>
      <c r="IAQ66" s="64"/>
      <c r="IAR66" s="66"/>
      <c r="IAS66" s="73"/>
      <c r="IAT66" s="63"/>
      <c r="IAU66" s="64"/>
      <c r="IAV66" s="66"/>
      <c r="IAW66" s="73"/>
      <c r="IAX66" s="63"/>
      <c r="IAY66" s="64"/>
      <c r="IAZ66" s="66"/>
      <c r="IBA66" s="73"/>
      <c r="IBB66" s="63"/>
      <c r="IBC66" s="64"/>
      <c r="IBD66" s="66"/>
      <c r="IBE66" s="73"/>
      <c r="IBF66" s="63"/>
      <c r="IBG66" s="64"/>
      <c r="IBH66" s="66"/>
      <c r="IBI66" s="73"/>
      <c r="IBJ66" s="63"/>
      <c r="IBK66" s="64"/>
      <c r="IBL66" s="66"/>
      <c r="IBM66" s="73"/>
      <c r="IBN66" s="63"/>
      <c r="IBO66" s="64"/>
      <c r="IBP66" s="66"/>
      <c r="IBQ66" s="73"/>
      <c r="IBR66" s="63"/>
      <c r="IBS66" s="64"/>
      <c r="IBT66" s="66"/>
      <c r="IBU66" s="73"/>
      <c r="IBV66" s="63"/>
      <c r="IBW66" s="64"/>
      <c r="IBX66" s="66"/>
      <c r="IBY66" s="73"/>
      <c r="IBZ66" s="63"/>
      <c r="ICA66" s="64"/>
      <c r="ICB66" s="66"/>
      <c r="ICC66" s="73"/>
      <c r="ICD66" s="63"/>
      <c r="ICE66" s="64"/>
      <c r="ICF66" s="66"/>
      <c r="ICG66" s="73"/>
      <c r="ICH66" s="63"/>
      <c r="ICI66" s="64"/>
      <c r="ICJ66" s="66"/>
      <c r="ICK66" s="73"/>
      <c r="ICL66" s="63"/>
      <c r="ICM66" s="64"/>
      <c r="ICN66" s="66"/>
      <c r="ICO66" s="73"/>
      <c r="ICP66" s="63"/>
      <c r="ICQ66" s="64"/>
      <c r="ICR66" s="66"/>
      <c r="ICS66" s="73"/>
      <c r="ICT66" s="63"/>
      <c r="ICU66" s="64"/>
      <c r="ICV66" s="66"/>
      <c r="ICW66" s="73"/>
      <c r="ICX66" s="63"/>
      <c r="ICY66" s="64"/>
      <c r="ICZ66" s="66"/>
      <c r="IDA66" s="73"/>
      <c r="IDB66" s="63"/>
      <c r="IDC66" s="64"/>
      <c r="IDD66" s="66"/>
      <c r="IDE66" s="73"/>
      <c r="IDF66" s="63"/>
      <c r="IDG66" s="64"/>
      <c r="IDH66" s="66"/>
      <c r="IDI66" s="73"/>
      <c r="IDJ66" s="63"/>
      <c r="IDK66" s="64"/>
      <c r="IDL66" s="66"/>
      <c r="IDM66" s="73"/>
      <c r="IDN66" s="63"/>
      <c r="IDO66" s="64"/>
      <c r="IDP66" s="66"/>
      <c r="IDQ66" s="73"/>
      <c r="IDR66" s="63"/>
      <c r="IDS66" s="64"/>
      <c r="IDT66" s="66"/>
      <c r="IDU66" s="73"/>
      <c r="IDV66" s="63"/>
      <c r="IDW66" s="64"/>
      <c r="IDX66" s="66"/>
      <c r="IDY66" s="73"/>
      <c r="IDZ66" s="63"/>
      <c r="IEA66" s="64"/>
      <c r="IEB66" s="66"/>
      <c r="IEC66" s="73"/>
      <c r="IED66" s="63"/>
      <c r="IEE66" s="64"/>
      <c r="IEF66" s="66"/>
      <c r="IEG66" s="73"/>
      <c r="IEH66" s="63"/>
      <c r="IEI66" s="64"/>
      <c r="IEJ66" s="66"/>
      <c r="IEK66" s="73"/>
      <c r="IEL66" s="63"/>
      <c r="IEM66" s="64"/>
      <c r="IEN66" s="66"/>
      <c r="IEO66" s="73"/>
      <c r="IEP66" s="63"/>
      <c r="IEQ66" s="64"/>
      <c r="IER66" s="66"/>
      <c r="IES66" s="73"/>
      <c r="IET66" s="63"/>
      <c r="IEU66" s="64"/>
      <c r="IEV66" s="66"/>
      <c r="IEW66" s="73"/>
      <c r="IEX66" s="63"/>
      <c r="IEY66" s="64"/>
      <c r="IEZ66" s="66"/>
      <c r="IFA66" s="73"/>
      <c r="IFB66" s="63"/>
      <c r="IFC66" s="64"/>
      <c r="IFD66" s="66"/>
      <c r="IFE66" s="73"/>
      <c r="IFF66" s="63"/>
      <c r="IFG66" s="64"/>
      <c r="IFH66" s="66"/>
      <c r="IFI66" s="73"/>
      <c r="IFJ66" s="63"/>
      <c r="IFK66" s="64"/>
      <c r="IFL66" s="66"/>
      <c r="IFM66" s="73"/>
      <c r="IFN66" s="63"/>
      <c r="IFO66" s="64"/>
      <c r="IFP66" s="66"/>
      <c r="IFQ66" s="73"/>
      <c r="IFR66" s="63"/>
      <c r="IFS66" s="64"/>
      <c r="IFT66" s="66"/>
      <c r="IFU66" s="73"/>
      <c r="IFV66" s="63"/>
      <c r="IFW66" s="64"/>
      <c r="IFX66" s="66"/>
      <c r="IFY66" s="73"/>
      <c r="IFZ66" s="63"/>
      <c r="IGA66" s="64"/>
      <c r="IGB66" s="66"/>
      <c r="IGC66" s="73"/>
      <c r="IGD66" s="63"/>
      <c r="IGE66" s="64"/>
      <c r="IGF66" s="66"/>
      <c r="IGG66" s="73"/>
      <c r="IGH66" s="63"/>
      <c r="IGI66" s="64"/>
      <c r="IGJ66" s="66"/>
      <c r="IGK66" s="73"/>
      <c r="IGL66" s="63"/>
      <c r="IGM66" s="64"/>
      <c r="IGN66" s="66"/>
      <c r="IGO66" s="73"/>
      <c r="IGP66" s="63"/>
      <c r="IGQ66" s="64"/>
      <c r="IGR66" s="66"/>
      <c r="IGS66" s="73"/>
      <c r="IGT66" s="63"/>
      <c r="IGU66" s="64"/>
      <c r="IGV66" s="66"/>
      <c r="IGW66" s="73"/>
      <c r="IGX66" s="63"/>
      <c r="IGY66" s="64"/>
      <c r="IGZ66" s="66"/>
      <c r="IHA66" s="73"/>
      <c r="IHB66" s="63"/>
      <c r="IHC66" s="64"/>
      <c r="IHD66" s="66"/>
      <c r="IHE66" s="73"/>
      <c r="IHF66" s="63"/>
      <c r="IHG66" s="64"/>
      <c r="IHH66" s="66"/>
      <c r="IHI66" s="73"/>
      <c r="IHJ66" s="63"/>
      <c r="IHK66" s="64"/>
      <c r="IHL66" s="66"/>
      <c r="IHM66" s="73"/>
      <c r="IHN66" s="63"/>
      <c r="IHO66" s="64"/>
      <c r="IHP66" s="66"/>
      <c r="IHQ66" s="73"/>
      <c r="IHR66" s="63"/>
      <c r="IHS66" s="64"/>
      <c r="IHT66" s="66"/>
      <c r="IHU66" s="73"/>
      <c r="IHV66" s="63"/>
      <c r="IHW66" s="64"/>
      <c r="IHX66" s="66"/>
      <c r="IHY66" s="73"/>
      <c r="IHZ66" s="63"/>
      <c r="IIA66" s="64"/>
      <c r="IIB66" s="66"/>
      <c r="IIC66" s="73"/>
      <c r="IID66" s="63"/>
      <c r="IIE66" s="64"/>
      <c r="IIF66" s="66"/>
      <c r="IIG66" s="73"/>
      <c r="IIH66" s="63"/>
      <c r="III66" s="64"/>
      <c r="IIJ66" s="66"/>
      <c r="IIK66" s="73"/>
      <c r="IIL66" s="63"/>
      <c r="IIM66" s="64"/>
      <c r="IIN66" s="66"/>
      <c r="IIO66" s="73"/>
      <c r="IIP66" s="63"/>
      <c r="IIQ66" s="64"/>
      <c r="IIR66" s="66"/>
      <c r="IIS66" s="73"/>
      <c r="IIT66" s="63"/>
      <c r="IIU66" s="64"/>
      <c r="IIV66" s="66"/>
      <c r="IIW66" s="73"/>
      <c r="IIX66" s="63"/>
      <c r="IIY66" s="64"/>
      <c r="IIZ66" s="66"/>
      <c r="IJA66" s="73"/>
      <c r="IJB66" s="63"/>
      <c r="IJC66" s="64"/>
      <c r="IJD66" s="66"/>
      <c r="IJE66" s="73"/>
      <c r="IJF66" s="63"/>
      <c r="IJG66" s="64"/>
      <c r="IJH66" s="66"/>
      <c r="IJI66" s="73"/>
      <c r="IJJ66" s="63"/>
      <c r="IJK66" s="64"/>
      <c r="IJL66" s="66"/>
      <c r="IJM66" s="73"/>
      <c r="IJN66" s="63"/>
      <c r="IJO66" s="64"/>
      <c r="IJP66" s="66"/>
      <c r="IJQ66" s="73"/>
      <c r="IJR66" s="63"/>
      <c r="IJS66" s="64"/>
      <c r="IJT66" s="66"/>
      <c r="IJU66" s="73"/>
      <c r="IJV66" s="63"/>
      <c r="IJW66" s="64"/>
      <c r="IJX66" s="66"/>
      <c r="IJY66" s="73"/>
      <c r="IJZ66" s="63"/>
      <c r="IKA66" s="64"/>
      <c r="IKB66" s="66"/>
      <c r="IKC66" s="73"/>
      <c r="IKD66" s="63"/>
      <c r="IKE66" s="64"/>
      <c r="IKF66" s="66"/>
      <c r="IKG66" s="73"/>
      <c r="IKH66" s="63"/>
      <c r="IKI66" s="64"/>
      <c r="IKJ66" s="66"/>
      <c r="IKK66" s="73"/>
      <c r="IKL66" s="63"/>
      <c r="IKM66" s="64"/>
      <c r="IKN66" s="66"/>
      <c r="IKO66" s="73"/>
      <c r="IKP66" s="63"/>
      <c r="IKQ66" s="64"/>
      <c r="IKR66" s="66"/>
      <c r="IKS66" s="73"/>
      <c r="IKT66" s="63"/>
      <c r="IKU66" s="64"/>
      <c r="IKV66" s="66"/>
      <c r="IKW66" s="73"/>
      <c r="IKX66" s="63"/>
      <c r="IKY66" s="64"/>
      <c r="IKZ66" s="66"/>
      <c r="ILA66" s="73"/>
      <c r="ILB66" s="63"/>
      <c r="ILC66" s="64"/>
      <c r="ILD66" s="66"/>
      <c r="ILE66" s="73"/>
      <c r="ILF66" s="63"/>
      <c r="ILG66" s="64"/>
      <c r="ILH66" s="66"/>
      <c r="ILI66" s="73"/>
      <c r="ILJ66" s="63"/>
      <c r="ILK66" s="64"/>
      <c r="ILL66" s="66"/>
      <c r="ILM66" s="73"/>
      <c r="ILN66" s="63"/>
      <c r="ILO66" s="64"/>
      <c r="ILP66" s="66"/>
      <c r="ILQ66" s="73"/>
      <c r="ILR66" s="63"/>
      <c r="ILS66" s="64"/>
      <c r="ILT66" s="66"/>
      <c r="ILU66" s="73"/>
      <c r="ILV66" s="63"/>
      <c r="ILW66" s="64"/>
      <c r="ILX66" s="66"/>
      <c r="ILY66" s="73"/>
      <c r="ILZ66" s="63"/>
      <c r="IMA66" s="64"/>
      <c r="IMB66" s="66"/>
      <c r="IMC66" s="73"/>
      <c r="IMD66" s="63"/>
      <c r="IME66" s="64"/>
      <c r="IMF66" s="66"/>
      <c r="IMG66" s="73"/>
      <c r="IMH66" s="63"/>
      <c r="IMI66" s="64"/>
      <c r="IMJ66" s="66"/>
      <c r="IMK66" s="73"/>
      <c r="IML66" s="63"/>
      <c r="IMM66" s="64"/>
      <c r="IMN66" s="66"/>
      <c r="IMO66" s="73"/>
      <c r="IMP66" s="63"/>
      <c r="IMQ66" s="64"/>
      <c r="IMR66" s="66"/>
      <c r="IMS66" s="73"/>
      <c r="IMT66" s="63"/>
      <c r="IMU66" s="64"/>
      <c r="IMV66" s="66"/>
      <c r="IMW66" s="73"/>
      <c r="IMX66" s="63"/>
      <c r="IMY66" s="64"/>
      <c r="IMZ66" s="66"/>
      <c r="INA66" s="73"/>
      <c r="INB66" s="63"/>
      <c r="INC66" s="64"/>
      <c r="IND66" s="66"/>
      <c r="INE66" s="73"/>
      <c r="INF66" s="63"/>
      <c r="ING66" s="64"/>
      <c r="INH66" s="66"/>
      <c r="INI66" s="73"/>
      <c r="INJ66" s="63"/>
      <c r="INK66" s="64"/>
      <c r="INL66" s="66"/>
      <c r="INM66" s="73"/>
      <c r="INN66" s="63"/>
      <c r="INO66" s="64"/>
      <c r="INP66" s="66"/>
      <c r="INQ66" s="73"/>
      <c r="INR66" s="63"/>
      <c r="INS66" s="64"/>
      <c r="INT66" s="66"/>
      <c r="INU66" s="73"/>
      <c r="INV66" s="63"/>
      <c r="INW66" s="64"/>
      <c r="INX66" s="66"/>
      <c r="INY66" s="73"/>
      <c r="INZ66" s="63"/>
      <c r="IOA66" s="64"/>
      <c r="IOB66" s="66"/>
      <c r="IOC66" s="73"/>
      <c r="IOD66" s="63"/>
      <c r="IOE66" s="64"/>
      <c r="IOF66" s="66"/>
      <c r="IOG66" s="73"/>
      <c r="IOH66" s="63"/>
      <c r="IOI66" s="64"/>
      <c r="IOJ66" s="66"/>
      <c r="IOK66" s="73"/>
      <c r="IOL66" s="63"/>
      <c r="IOM66" s="64"/>
      <c r="ION66" s="66"/>
      <c r="IOO66" s="73"/>
      <c r="IOP66" s="63"/>
      <c r="IOQ66" s="64"/>
      <c r="IOR66" s="66"/>
      <c r="IOS66" s="73"/>
      <c r="IOT66" s="63"/>
      <c r="IOU66" s="64"/>
      <c r="IOV66" s="66"/>
      <c r="IOW66" s="73"/>
      <c r="IOX66" s="63"/>
      <c r="IOY66" s="64"/>
      <c r="IOZ66" s="66"/>
      <c r="IPA66" s="73"/>
      <c r="IPB66" s="63"/>
      <c r="IPC66" s="64"/>
      <c r="IPD66" s="66"/>
      <c r="IPE66" s="73"/>
      <c r="IPF66" s="63"/>
      <c r="IPG66" s="64"/>
      <c r="IPH66" s="66"/>
      <c r="IPI66" s="73"/>
      <c r="IPJ66" s="63"/>
      <c r="IPK66" s="64"/>
      <c r="IPL66" s="66"/>
      <c r="IPM66" s="73"/>
      <c r="IPN66" s="63"/>
      <c r="IPO66" s="64"/>
      <c r="IPP66" s="66"/>
      <c r="IPQ66" s="73"/>
      <c r="IPR66" s="63"/>
      <c r="IPS66" s="64"/>
      <c r="IPT66" s="66"/>
      <c r="IPU66" s="73"/>
      <c r="IPV66" s="63"/>
      <c r="IPW66" s="64"/>
      <c r="IPX66" s="66"/>
      <c r="IPY66" s="73"/>
      <c r="IPZ66" s="63"/>
      <c r="IQA66" s="64"/>
      <c r="IQB66" s="66"/>
      <c r="IQC66" s="73"/>
      <c r="IQD66" s="63"/>
      <c r="IQE66" s="64"/>
      <c r="IQF66" s="66"/>
      <c r="IQG66" s="73"/>
      <c r="IQH66" s="63"/>
      <c r="IQI66" s="64"/>
      <c r="IQJ66" s="66"/>
      <c r="IQK66" s="73"/>
      <c r="IQL66" s="63"/>
      <c r="IQM66" s="64"/>
      <c r="IQN66" s="66"/>
      <c r="IQO66" s="73"/>
      <c r="IQP66" s="63"/>
      <c r="IQQ66" s="64"/>
      <c r="IQR66" s="66"/>
      <c r="IQS66" s="73"/>
      <c r="IQT66" s="63"/>
      <c r="IQU66" s="64"/>
      <c r="IQV66" s="66"/>
      <c r="IQW66" s="73"/>
      <c r="IQX66" s="63"/>
      <c r="IQY66" s="64"/>
      <c r="IQZ66" s="66"/>
      <c r="IRA66" s="73"/>
      <c r="IRB66" s="63"/>
      <c r="IRC66" s="64"/>
      <c r="IRD66" s="66"/>
      <c r="IRE66" s="73"/>
      <c r="IRF66" s="63"/>
      <c r="IRG66" s="64"/>
      <c r="IRH66" s="66"/>
      <c r="IRI66" s="73"/>
      <c r="IRJ66" s="63"/>
      <c r="IRK66" s="64"/>
      <c r="IRL66" s="66"/>
      <c r="IRM66" s="73"/>
      <c r="IRN66" s="63"/>
      <c r="IRO66" s="64"/>
      <c r="IRP66" s="66"/>
      <c r="IRQ66" s="73"/>
      <c r="IRR66" s="63"/>
      <c r="IRS66" s="64"/>
      <c r="IRT66" s="66"/>
      <c r="IRU66" s="73"/>
      <c r="IRV66" s="63"/>
      <c r="IRW66" s="64"/>
      <c r="IRX66" s="66"/>
      <c r="IRY66" s="73"/>
      <c r="IRZ66" s="63"/>
      <c r="ISA66" s="64"/>
      <c r="ISB66" s="66"/>
      <c r="ISC66" s="73"/>
      <c r="ISD66" s="63"/>
      <c r="ISE66" s="64"/>
      <c r="ISF66" s="66"/>
      <c r="ISG66" s="73"/>
      <c r="ISH66" s="63"/>
      <c r="ISI66" s="64"/>
      <c r="ISJ66" s="66"/>
      <c r="ISK66" s="73"/>
      <c r="ISL66" s="63"/>
      <c r="ISM66" s="64"/>
      <c r="ISN66" s="66"/>
      <c r="ISO66" s="73"/>
      <c r="ISP66" s="63"/>
      <c r="ISQ66" s="64"/>
      <c r="ISR66" s="66"/>
      <c r="ISS66" s="73"/>
      <c r="IST66" s="63"/>
      <c r="ISU66" s="64"/>
      <c r="ISV66" s="66"/>
      <c r="ISW66" s="73"/>
      <c r="ISX66" s="63"/>
      <c r="ISY66" s="64"/>
      <c r="ISZ66" s="66"/>
      <c r="ITA66" s="73"/>
      <c r="ITB66" s="63"/>
      <c r="ITC66" s="64"/>
      <c r="ITD66" s="66"/>
      <c r="ITE66" s="73"/>
      <c r="ITF66" s="63"/>
      <c r="ITG66" s="64"/>
      <c r="ITH66" s="66"/>
      <c r="ITI66" s="73"/>
      <c r="ITJ66" s="63"/>
      <c r="ITK66" s="64"/>
      <c r="ITL66" s="66"/>
      <c r="ITM66" s="73"/>
      <c r="ITN66" s="63"/>
      <c r="ITO66" s="64"/>
      <c r="ITP66" s="66"/>
      <c r="ITQ66" s="73"/>
      <c r="ITR66" s="63"/>
      <c r="ITS66" s="64"/>
      <c r="ITT66" s="66"/>
      <c r="ITU66" s="73"/>
      <c r="ITV66" s="63"/>
      <c r="ITW66" s="64"/>
      <c r="ITX66" s="66"/>
      <c r="ITY66" s="73"/>
      <c r="ITZ66" s="63"/>
      <c r="IUA66" s="64"/>
      <c r="IUB66" s="66"/>
      <c r="IUC66" s="73"/>
      <c r="IUD66" s="63"/>
      <c r="IUE66" s="64"/>
      <c r="IUF66" s="66"/>
      <c r="IUG66" s="73"/>
      <c r="IUH66" s="63"/>
      <c r="IUI66" s="64"/>
      <c r="IUJ66" s="66"/>
      <c r="IUK66" s="73"/>
      <c r="IUL66" s="63"/>
      <c r="IUM66" s="64"/>
      <c r="IUN66" s="66"/>
      <c r="IUO66" s="73"/>
      <c r="IUP66" s="63"/>
      <c r="IUQ66" s="64"/>
      <c r="IUR66" s="66"/>
      <c r="IUS66" s="73"/>
      <c r="IUT66" s="63"/>
      <c r="IUU66" s="64"/>
      <c r="IUV66" s="66"/>
      <c r="IUW66" s="73"/>
      <c r="IUX66" s="63"/>
      <c r="IUY66" s="64"/>
      <c r="IUZ66" s="66"/>
      <c r="IVA66" s="73"/>
      <c r="IVB66" s="63"/>
      <c r="IVC66" s="64"/>
      <c r="IVD66" s="66"/>
      <c r="IVE66" s="73"/>
      <c r="IVF66" s="63"/>
      <c r="IVG66" s="64"/>
      <c r="IVH66" s="66"/>
      <c r="IVI66" s="73"/>
      <c r="IVJ66" s="63"/>
      <c r="IVK66" s="64"/>
      <c r="IVL66" s="66"/>
      <c r="IVM66" s="73"/>
      <c r="IVN66" s="63"/>
      <c r="IVO66" s="64"/>
      <c r="IVP66" s="66"/>
      <c r="IVQ66" s="73"/>
      <c r="IVR66" s="63"/>
      <c r="IVS66" s="64"/>
      <c r="IVT66" s="66"/>
      <c r="IVU66" s="73"/>
      <c r="IVV66" s="63"/>
      <c r="IVW66" s="64"/>
      <c r="IVX66" s="66"/>
      <c r="IVY66" s="73"/>
      <c r="IVZ66" s="63"/>
      <c r="IWA66" s="64"/>
      <c r="IWB66" s="66"/>
      <c r="IWC66" s="73"/>
      <c r="IWD66" s="63"/>
      <c r="IWE66" s="64"/>
      <c r="IWF66" s="66"/>
      <c r="IWG66" s="73"/>
      <c r="IWH66" s="63"/>
      <c r="IWI66" s="64"/>
      <c r="IWJ66" s="66"/>
      <c r="IWK66" s="73"/>
      <c r="IWL66" s="63"/>
      <c r="IWM66" s="64"/>
      <c r="IWN66" s="66"/>
      <c r="IWO66" s="73"/>
      <c r="IWP66" s="63"/>
      <c r="IWQ66" s="64"/>
      <c r="IWR66" s="66"/>
      <c r="IWS66" s="73"/>
      <c r="IWT66" s="63"/>
      <c r="IWU66" s="64"/>
      <c r="IWV66" s="66"/>
      <c r="IWW66" s="73"/>
      <c r="IWX66" s="63"/>
      <c r="IWY66" s="64"/>
      <c r="IWZ66" s="66"/>
      <c r="IXA66" s="73"/>
      <c r="IXB66" s="63"/>
      <c r="IXC66" s="64"/>
      <c r="IXD66" s="66"/>
      <c r="IXE66" s="73"/>
      <c r="IXF66" s="63"/>
      <c r="IXG66" s="64"/>
      <c r="IXH66" s="66"/>
      <c r="IXI66" s="73"/>
      <c r="IXJ66" s="63"/>
      <c r="IXK66" s="64"/>
      <c r="IXL66" s="66"/>
      <c r="IXM66" s="73"/>
      <c r="IXN66" s="63"/>
      <c r="IXO66" s="64"/>
      <c r="IXP66" s="66"/>
      <c r="IXQ66" s="73"/>
      <c r="IXR66" s="63"/>
      <c r="IXS66" s="64"/>
      <c r="IXT66" s="66"/>
      <c r="IXU66" s="73"/>
      <c r="IXV66" s="63"/>
      <c r="IXW66" s="64"/>
      <c r="IXX66" s="66"/>
      <c r="IXY66" s="73"/>
      <c r="IXZ66" s="63"/>
      <c r="IYA66" s="64"/>
      <c r="IYB66" s="66"/>
      <c r="IYC66" s="73"/>
      <c r="IYD66" s="63"/>
      <c r="IYE66" s="64"/>
      <c r="IYF66" s="66"/>
      <c r="IYG66" s="73"/>
      <c r="IYH66" s="63"/>
      <c r="IYI66" s="64"/>
      <c r="IYJ66" s="66"/>
      <c r="IYK66" s="73"/>
      <c r="IYL66" s="63"/>
      <c r="IYM66" s="64"/>
      <c r="IYN66" s="66"/>
      <c r="IYO66" s="73"/>
      <c r="IYP66" s="63"/>
      <c r="IYQ66" s="64"/>
      <c r="IYR66" s="66"/>
      <c r="IYS66" s="73"/>
      <c r="IYT66" s="63"/>
      <c r="IYU66" s="64"/>
      <c r="IYV66" s="66"/>
      <c r="IYW66" s="73"/>
      <c r="IYX66" s="63"/>
      <c r="IYY66" s="64"/>
      <c r="IYZ66" s="66"/>
      <c r="IZA66" s="73"/>
      <c r="IZB66" s="63"/>
      <c r="IZC66" s="64"/>
      <c r="IZD66" s="66"/>
      <c r="IZE66" s="73"/>
      <c r="IZF66" s="63"/>
      <c r="IZG66" s="64"/>
      <c r="IZH66" s="66"/>
      <c r="IZI66" s="73"/>
      <c r="IZJ66" s="63"/>
      <c r="IZK66" s="64"/>
      <c r="IZL66" s="66"/>
      <c r="IZM66" s="73"/>
      <c r="IZN66" s="63"/>
      <c r="IZO66" s="64"/>
      <c r="IZP66" s="66"/>
      <c r="IZQ66" s="73"/>
      <c r="IZR66" s="63"/>
      <c r="IZS66" s="64"/>
      <c r="IZT66" s="66"/>
      <c r="IZU66" s="73"/>
      <c r="IZV66" s="63"/>
      <c r="IZW66" s="64"/>
      <c r="IZX66" s="66"/>
      <c r="IZY66" s="73"/>
      <c r="IZZ66" s="63"/>
      <c r="JAA66" s="64"/>
      <c r="JAB66" s="66"/>
      <c r="JAC66" s="73"/>
      <c r="JAD66" s="63"/>
      <c r="JAE66" s="64"/>
      <c r="JAF66" s="66"/>
      <c r="JAG66" s="73"/>
      <c r="JAH66" s="63"/>
      <c r="JAI66" s="64"/>
      <c r="JAJ66" s="66"/>
      <c r="JAK66" s="73"/>
      <c r="JAL66" s="63"/>
      <c r="JAM66" s="64"/>
      <c r="JAN66" s="66"/>
      <c r="JAO66" s="73"/>
      <c r="JAP66" s="63"/>
      <c r="JAQ66" s="64"/>
      <c r="JAR66" s="66"/>
      <c r="JAS66" s="73"/>
      <c r="JAT66" s="63"/>
      <c r="JAU66" s="64"/>
      <c r="JAV66" s="66"/>
      <c r="JAW66" s="73"/>
      <c r="JAX66" s="63"/>
      <c r="JAY66" s="64"/>
      <c r="JAZ66" s="66"/>
      <c r="JBA66" s="73"/>
      <c r="JBB66" s="63"/>
      <c r="JBC66" s="64"/>
      <c r="JBD66" s="66"/>
      <c r="JBE66" s="73"/>
      <c r="JBF66" s="63"/>
      <c r="JBG66" s="64"/>
      <c r="JBH66" s="66"/>
      <c r="JBI66" s="73"/>
      <c r="JBJ66" s="63"/>
      <c r="JBK66" s="64"/>
      <c r="JBL66" s="66"/>
      <c r="JBM66" s="73"/>
      <c r="JBN66" s="63"/>
      <c r="JBO66" s="64"/>
      <c r="JBP66" s="66"/>
      <c r="JBQ66" s="73"/>
      <c r="JBR66" s="63"/>
      <c r="JBS66" s="64"/>
      <c r="JBT66" s="66"/>
      <c r="JBU66" s="73"/>
      <c r="JBV66" s="63"/>
      <c r="JBW66" s="64"/>
      <c r="JBX66" s="66"/>
      <c r="JBY66" s="73"/>
      <c r="JBZ66" s="63"/>
      <c r="JCA66" s="64"/>
      <c r="JCB66" s="66"/>
      <c r="JCC66" s="73"/>
      <c r="JCD66" s="63"/>
      <c r="JCE66" s="64"/>
      <c r="JCF66" s="66"/>
      <c r="JCG66" s="73"/>
      <c r="JCH66" s="63"/>
      <c r="JCI66" s="64"/>
      <c r="JCJ66" s="66"/>
      <c r="JCK66" s="73"/>
      <c r="JCL66" s="63"/>
      <c r="JCM66" s="64"/>
      <c r="JCN66" s="66"/>
      <c r="JCO66" s="73"/>
      <c r="JCP66" s="63"/>
      <c r="JCQ66" s="64"/>
      <c r="JCR66" s="66"/>
      <c r="JCS66" s="73"/>
      <c r="JCT66" s="63"/>
      <c r="JCU66" s="64"/>
      <c r="JCV66" s="66"/>
      <c r="JCW66" s="73"/>
      <c r="JCX66" s="63"/>
      <c r="JCY66" s="64"/>
      <c r="JCZ66" s="66"/>
      <c r="JDA66" s="73"/>
      <c r="JDB66" s="63"/>
      <c r="JDC66" s="64"/>
      <c r="JDD66" s="66"/>
      <c r="JDE66" s="73"/>
      <c r="JDF66" s="63"/>
      <c r="JDG66" s="64"/>
      <c r="JDH66" s="66"/>
      <c r="JDI66" s="73"/>
      <c r="JDJ66" s="63"/>
      <c r="JDK66" s="64"/>
      <c r="JDL66" s="66"/>
      <c r="JDM66" s="73"/>
      <c r="JDN66" s="63"/>
      <c r="JDO66" s="64"/>
      <c r="JDP66" s="66"/>
      <c r="JDQ66" s="73"/>
      <c r="JDR66" s="63"/>
      <c r="JDS66" s="64"/>
      <c r="JDT66" s="66"/>
      <c r="JDU66" s="73"/>
      <c r="JDV66" s="63"/>
      <c r="JDW66" s="64"/>
      <c r="JDX66" s="66"/>
      <c r="JDY66" s="73"/>
      <c r="JDZ66" s="63"/>
      <c r="JEA66" s="64"/>
      <c r="JEB66" s="66"/>
      <c r="JEC66" s="73"/>
      <c r="JED66" s="63"/>
      <c r="JEE66" s="64"/>
      <c r="JEF66" s="66"/>
      <c r="JEG66" s="73"/>
      <c r="JEH66" s="63"/>
      <c r="JEI66" s="64"/>
      <c r="JEJ66" s="66"/>
      <c r="JEK66" s="73"/>
      <c r="JEL66" s="63"/>
      <c r="JEM66" s="64"/>
      <c r="JEN66" s="66"/>
      <c r="JEO66" s="73"/>
      <c r="JEP66" s="63"/>
      <c r="JEQ66" s="64"/>
      <c r="JER66" s="66"/>
      <c r="JES66" s="73"/>
      <c r="JET66" s="63"/>
      <c r="JEU66" s="64"/>
      <c r="JEV66" s="66"/>
      <c r="JEW66" s="73"/>
      <c r="JEX66" s="63"/>
      <c r="JEY66" s="64"/>
      <c r="JEZ66" s="66"/>
      <c r="JFA66" s="73"/>
      <c r="JFB66" s="63"/>
      <c r="JFC66" s="64"/>
      <c r="JFD66" s="66"/>
      <c r="JFE66" s="73"/>
      <c r="JFF66" s="63"/>
      <c r="JFG66" s="64"/>
      <c r="JFH66" s="66"/>
      <c r="JFI66" s="73"/>
      <c r="JFJ66" s="63"/>
      <c r="JFK66" s="64"/>
      <c r="JFL66" s="66"/>
      <c r="JFM66" s="73"/>
      <c r="JFN66" s="63"/>
      <c r="JFO66" s="64"/>
      <c r="JFP66" s="66"/>
      <c r="JFQ66" s="73"/>
      <c r="JFR66" s="63"/>
      <c r="JFS66" s="64"/>
      <c r="JFT66" s="66"/>
      <c r="JFU66" s="73"/>
      <c r="JFV66" s="63"/>
      <c r="JFW66" s="64"/>
      <c r="JFX66" s="66"/>
      <c r="JFY66" s="73"/>
      <c r="JFZ66" s="63"/>
      <c r="JGA66" s="64"/>
      <c r="JGB66" s="66"/>
      <c r="JGC66" s="73"/>
      <c r="JGD66" s="63"/>
      <c r="JGE66" s="64"/>
      <c r="JGF66" s="66"/>
      <c r="JGG66" s="73"/>
      <c r="JGH66" s="63"/>
      <c r="JGI66" s="64"/>
      <c r="JGJ66" s="66"/>
      <c r="JGK66" s="73"/>
      <c r="JGL66" s="63"/>
      <c r="JGM66" s="64"/>
      <c r="JGN66" s="66"/>
      <c r="JGO66" s="73"/>
      <c r="JGP66" s="63"/>
      <c r="JGQ66" s="64"/>
      <c r="JGR66" s="66"/>
      <c r="JGS66" s="73"/>
      <c r="JGT66" s="63"/>
      <c r="JGU66" s="64"/>
      <c r="JGV66" s="66"/>
      <c r="JGW66" s="73"/>
      <c r="JGX66" s="63"/>
      <c r="JGY66" s="64"/>
      <c r="JGZ66" s="66"/>
      <c r="JHA66" s="73"/>
      <c r="JHB66" s="63"/>
      <c r="JHC66" s="64"/>
      <c r="JHD66" s="66"/>
      <c r="JHE66" s="73"/>
      <c r="JHF66" s="63"/>
      <c r="JHG66" s="64"/>
      <c r="JHH66" s="66"/>
      <c r="JHI66" s="73"/>
      <c r="JHJ66" s="63"/>
      <c r="JHK66" s="64"/>
      <c r="JHL66" s="66"/>
      <c r="JHM66" s="73"/>
      <c r="JHN66" s="63"/>
      <c r="JHO66" s="64"/>
      <c r="JHP66" s="66"/>
      <c r="JHQ66" s="73"/>
      <c r="JHR66" s="63"/>
      <c r="JHS66" s="64"/>
      <c r="JHT66" s="66"/>
      <c r="JHU66" s="73"/>
      <c r="JHV66" s="63"/>
      <c r="JHW66" s="64"/>
      <c r="JHX66" s="66"/>
      <c r="JHY66" s="73"/>
      <c r="JHZ66" s="63"/>
      <c r="JIA66" s="64"/>
      <c r="JIB66" s="66"/>
      <c r="JIC66" s="73"/>
      <c r="JID66" s="63"/>
      <c r="JIE66" s="64"/>
      <c r="JIF66" s="66"/>
      <c r="JIG66" s="73"/>
      <c r="JIH66" s="63"/>
      <c r="JII66" s="64"/>
      <c r="JIJ66" s="66"/>
      <c r="JIK66" s="73"/>
      <c r="JIL66" s="63"/>
      <c r="JIM66" s="64"/>
      <c r="JIN66" s="66"/>
      <c r="JIO66" s="73"/>
      <c r="JIP66" s="63"/>
      <c r="JIQ66" s="64"/>
      <c r="JIR66" s="66"/>
      <c r="JIS66" s="73"/>
      <c r="JIT66" s="63"/>
      <c r="JIU66" s="64"/>
      <c r="JIV66" s="66"/>
      <c r="JIW66" s="73"/>
      <c r="JIX66" s="63"/>
      <c r="JIY66" s="64"/>
      <c r="JIZ66" s="66"/>
      <c r="JJA66" s="73"/>
      <c r="JJB66" s="63"/>
      <c r="JJC66" s="64"/>
      <c r="JJD66" s="66"/>
      <c r="JJE66" s="73"/>
      <c r="JJF66" s="63"/>
      <c r="JJG66" s="64"/>
      <c r="JJH66" s="66"/>
      <c r="JJI66" s="73"/>
      <c r="JJJ66" s="63"/>
      <c r="JJK66" s="64"/>
      <c r="JJL66" s="66"/>
      <c r="JJM66" s="73"/>
      <c r="JJN66" s="63"/>
      <c r="JJO66" s="64"/>
      <c r="JJP66" s="66"/>
      <c r="JJQ66" s="73"/>
      <c r="JJR66" s="63"/>
      <c r="JJS66" s="64"/>
      <c r="JJT66" s="66"/>
      <c r="JJU66" s="73"/>
      <c r="JJV66" s="63"/>
      <c r="JJW66" s="64"/>
      <c r="JJX66" s="66"/>
      <c r="JJY66" s="73"/>
      <c r="JJZ66" s="63"/>
      <c r="JKA66" s="64"/>
      <c r="JKB66" s="66"/>
      <c r="JKC66" s="73"/>
      <c r="JKD66" s="63"/>
      <c r="JKE66" s="64"/>
      <c r="JKF66" s="66"/>
      <c r="JKG66" s="73"/>
      <c r="JKH66" s="63"/>
      <c r="JKI66" s="64"/>
      <c r="JKJ66" s="66"/>
      <c r="JKK66" s="73"/>
      <c r="JKL66" s="63"/>
      <c r="JKM66" s="64"/>
      <c r="JKN66" s="66"/>
      <c r="JKO66" s="73"/>
      <c r="JKP66" s="63"/>
      <c r="JKQ66" s="64"/>
      <c r="JKR66" s="66"/>
      <c r="JKS66" s="73"/>
      <c r="JKT66" s="63"/>
      <c r="JKU66" s="64"/>
      <c r="JKV66" s="66"/>
      <c r="JKW66" s="73"/>
      <c r="JKX66" s="63"/>
      <c r="JKY66" s="64"/>
      <c r="JKZ66" s="66"/>
      <c r="JLA66" s="73"/>
      <c r="JLB66" s="63"/>
      <c r="JLC66" s="64"/>
      <c r="JLD66" s="66"/>
      <c r="JLE66" s="73"/>
      <c r="JLF66" s="63"/>
      <c r="JLG66" s="64"/>
      <c r="JLH66" s="66"/>
      <c r="JLI66" s="73"/>
      <c r="JLJ66" s="63"/>
      <c r="JLK66" s="64"/>
      <c r="JLL66" s="66"/>
      <c r="JLM66" s="73"/>
      <c r="JLN66" s="63"/>
      <c r="JLO66" s="64"/>
      <c r="JLP66" s="66"/>
      <c r="JLQ66" s="73"/>
      <c r="JLR66" s="63"/>
      <c r="JLS66" s="64"/>
      <c r="JLT66" s="66"/>
      <c r="JLU66" s="73"/>
      <c r="JLV66" s="63"/>
      <c r="JLW66" s="64"/>
      <c r="JLX66" s="66"/>
      <c r="JLY66" s="73"/>
      <c r="JLZ66" s="63"/>
      <c r="JMA66" s="64"/>
      <c r="JMB66" s="66"/>
      <c r="JMC66" s="73"/>
      <c r="JMD66" s="63"/>
      <c r="JME66" s="64"/>
      <c r="JMF66" s="66"/>
      <c r="JMG66" s="73"/>
      <c r="JMH66" s="63"/>
      <c r="JMI66" s="64"/>
      <c r="JMJ66" s="66"/>
      <c r="JMK66" s="73"/>
      <c r="JML66" s="63"/>
      <c r="JMM66" s="64"/>
      <c r="JMN66" s="66"/>
      <c r="JMO66" s="73"/>
      <c r="JMP66" s="63"/>
      <c r="JMQ66" s="64"/>
      <c r="JMR66" s="66"/>
      <c r="JMS66" s="73"/>
      <c r="JMT66" s="63"/>
      <c r="JMU66" s="64"/>
      <c r="JMV66" s="66"/>
      <c r="JMW66" s="73"/>
      <c r="JMX66" s="63"/>
      <c r="JMY66" s="64"/>
      <c r="JMZ66" s="66"/>
      <c r="JNA66" s="73"/>
      <c r="JNB66" s="63"/>
      <c r="JNC66" s="64"/>
      <c r="JND66" s="66"/>
      <c r="JNE66" s="73"/>
      <c r="JNF66" s="63"/>
      <c r="JNG66" s="64"/>
      <c r="JNH66" s="66"/>
      <c r="JNI66" s="73"/>
      <c r="JNJ66" s="63"/>
      <c r="JNK66" s="64"/>
      <c r="JNL66" s="66"/>
      <c r="JNM66" s="73"/>
      <c r="JNN66" s="63"/>
      <c r="JNO66" s="64"/>
      <c r="JNP66" s="66"/>
      <c r="JNQ66" s="73"/>
      <c r="JNR66" s="63"/>
      <c r="JNS66" s="64"/>
      <c r="JNT66" s="66"/>
      <c r="JNU66" s="73"/>
      <c r="JNV66" s="63"/>
      <c r="JNW66" s="64"/>
      <c r="JNX66" s="66"/>
      <c r="JNY66" s="73"/>
      <c r="JNZ66" s="63"/>
      <c r="JOA66" s="64"/>
      <c r="JOB66" s="66"/>
      <c r="JOC66" s="73"/>
      <c r="JOD66" s="63"/>
      <c r="JOE66" s="64"/>
      <c r="JOF66" s="66"/>
      <c r="JOG66" s="73"/>
      <c r="JOH66" s="63"/>
      <c r="JOI66" s="64"/>
      <c r="JOJ66" s="66"/>
      <c r="JOK66" s="73"/>
      <c r="JOL66" s="63"/>
      <c r="JOM66" s="64"/>
      <c r="JON66" s="66"/>
      <c r="JOO66" s="73"/>
      <c r="JOP66" s="63"/>
      <c r="JOQ66" s="64"/>
      <c r="JOR66" s="66"/>
      <c r="JOS66" s="73"/>
      <c r="JOT66" s="63"/>
      <c r="JOU66" s="64"/>
      <c r="JOV66" s="66"/>
      <c r="JOW66" s="73"/>
      <c r="JOX66" s="63"/>
      <c r="JOY66" s="64"/>
      <c r="JOZ66" s="66"/>
      <c r="JPA66" s="73"/>
      <c r="JPB66" s="63"/>
      <c r="JPC66" s="64"/>
      <c r="JPD66" s="66"/>
      <c r="JPE66" s="73"/>
      <c r="JPF66" s="63"/>
      <c r="JPG66" s="64"/>
      <c r="JPH66" s="66"/>
      <c r="JPI66" s="73"/>
      <c r="JPJ66" s="63"/>
      <c r="JPK66" s="64"/>
      <c r="JPL66" s="66"/>
      <c r="JPM66" s="73"/>
      <c r="JPN66" s="63"/>
      <c r="JPO66" s="64"/>
      <c r="JPP66" s="66"/>
      <c r="JPQ66" s="73"/>
      <c r="JPR66" s="63"/>
      <c r="JPS66" s="64"/>
      <c r="JPT66" s="66"/>
      <c r="JPU66" s="73"/>
      <c r="JPV66" s="63"/>
      <c r="JPW66" s="64"/>
      <c r="JPX66" s="66"/>
      <c r="JPY66" s="73"/>
      <c r="JPZ66" s="63"/>
      <c r="JQA66" s="64"/>
      <c r="JQB66" s="66"/>
      <c r="JQC66" s="73"/>
      <c r="JQD66" s="63"/>
      <c r="JQE66" s="64"/>
      <c r="JQF66" s="66"/>
      <c r="JQG66" s="73"/>
      <c r="JQH66" s="63"/>
      <c r="JQI66" s="64"/>
      <c r="JQJ66" s="66"/>
      <c r="JQK66" s="73"/>
      <c r="JQL66" s="63"/>
      <c r="JQM66" s="64"/>
      <c r="JQN66" s="66"/>
      <c r="JQO66" s="73"/>
      <c r="JQP66" s="63"/>
      <c r="JQQ66" s="64"/>
      <c r="JQR66" s="66"/>
      <c r="JQS66" s="73"/>
      <c r="JQT66" s="63"/>
      <c r="JQU66" s="64"/>
      <c r="JQV66" s="66"/>
      <c r="JQW66" s="73"/>
      <c r="JQX66" s="63"/>
      <c r="JQY66" s="64"/>
      <c r="JQZ66" s="66"/>
      <c r="JRA66" s="73"/>
      <c r="JRB66" s="63"/>
      <c r="JRC66" s="64"/>
      <c r="JRD66" s="66"/>
      <c r="JRE66" s="73"/>
      <c r="JRF66" s="63"/>
      <c r="JRG66" s="64"/>
      <c r="JRH66" s="66"/>
      <c r="JRI66" s="73"/>
      <c r="JRJ66" s="63"/>
      <c r="JRK66" s="64"/>
      <c r="JRL66" s="66"/>
      <c r="JRM66" s="73"/>
      <c r="JRN66" s="63"/>
      <c r="JRO66" s="64"/>
      <c r="JRP66" s="66"/>
      <c r="JRQ66" s="73"/>
      <c r="JRR66" s="63"/>
      <c r="JRS66" s="64"/>
      <c r="JRT66" s="66"/>
      <c r="JRU66" s="73"/>
      <c r="JRV66" s="63"/>
      <c r="JRW66" s="64"/>
      <c r="JRX66" s="66"/>
      <c r="JRY66" s="73"/>
      <c r="JRZ66" s="63"/>
      <c r="JSA66" s="64"/>
      <c r="JSB66" s="66"/>
      <c r="JSC66" s="73"/>
      <c r="JSD66" s="63"/>
      <c r="JSE66" s="64"/>
      <c r="JSF66" s="66"/>
      <c r="JSG66" s="73"/>
      <c r="JSH66" s="63"/>
      <c r="JSI66" s="64"/>
      <c r="JSJ66" s="66"/>
      <c r="JSK66" s="73"/>
      <c r="JSL66" s="63"/>
      <c r="JSM66" s="64"/>
      <c r="JSN66" s="66"/>
      <c r="JSO66" s="73"/>
      <c r="JSP66" s="63"/>
      <c r="JSQ66" s="64"/>
      <c r="JSR66" s="66"/>
      <c r="JSS66" s="73"/>
      <c r="JST66" s="63"/>
      <c r="JSU66" s="64"/>
      <c r="JSV66" s="66"/>
      <c r="JSW66" s="73"/>
      <c r="JSX66" s="63"/>
      <c r="JSY66" s="64"/>
      <c r="JSZ66" s="66"/>
      <c r="JTA66" s="73"/>
      <c r="JTB66" s="63"/>
      <c r="JTC66" s="64"/>
      <c r="JTD66" s="66"/>
      <c r="JTE66" s="73"/>
      <c r="JTF66" s="63"/>
      <c r="JTG66" s="64"/>
      <c r="JTH66" s="66"/>
      <c r="JTI66" s="73"/>
      <c r="JTJ66" s="63"/>
      <c r="JTK66" s="64"/>
      <c r="JTL66" s="66"/>
      <c r="JTM66" s="73"/>
      <c r="JTN66" s="63"/>
      <c r="JTO66" s="64"/>
      <c r="JTP66" s="66"/>
      <c r="JTQ66" s="73"/>
      <c r="JTR66" s="63"/>
      <c r="JTS66" s="64"/>
      <c r="JTT66" s="66"/>
      <c r="JTU66" s="73"/>
      <c r="JTV66" s="63"/>
      <c r="JTW66" s="64"/>
      <c r="JTX66" s="66"/>
      <c r="JTY66" s="73"/>
      <c r="JTZ66" s="63"/>
      <c r="JUA66" s="64"/>
      <c r="JUB66" s="66"/>
      <c r="JUC66" s="73"/>
      <c r="JUD66" s="63"/>
      <c r="JUE66" s="64"/>
      <c r="JUF66" s="66"/>
      <c r="JUG66" s="73"/>
      <c r="JUH66" s="63"/>
      <c r="JUI66" s="64"/>
      <c r="JUJ66" s="66"/>
      <c r="JUK66" s="73"/>
      <c r="JUL66" s="63"/>
      <c r="JUM66" s="64"/>
      <c r="JUN66" s="66"/>
      <c r="JUO66" s="73"/>
      <c r="JUP66" s="63"/>
      <c r="JUQ66" s="64"/>
      <c r="JUR66" s="66"/>
      <c r="JUS66" s="73"/>
      <c r="JUT66" s="63"/>
      <c r="JUU66" s="64"/>
      <c r="JUV66" s="66"/>
      <c r="JUW66" s="73"/>
      <c r="JUX66" s="63"/>
      <c r="JUY66" s="64"/>
      <c r="JUZ66" s="66"/>
      <c r="JVA66" s="73"/>
      <c r="JVB66" s="63"/>
      <c r="JVC66" s="64"/>
      <c r="JVD66" s="66"/>
      <c r="JVE66" s="73"/>
      <c r="JVF66" s="63"/>
      <c r="JVG66" s="64"/>
      <c r="JVH66" s="66"/>
      <c r="JVI66" s="73"/>
      <c r="JVJ66" s="63"/>
      <c r="JVK66" s="64"/>
      <c r="JVL66" s="66"/>
      <c r="JVM66" s="73"/>
      <c r="JVN66" s="63"/>
      <c r="JVO66" s="64"/>
      <c r="JVP66" s="66"/>
      <c r="JVQ66" s="73"/>
      <c r="JVR66" s="63"/>
      <c r="JVS66" s="64"/>
      <c r="JVT66" s="66"/>
      <c r="JVU66" s="73"/>
      <c r="JVV66" s="63"/>
      <c r="JVW66" s="64"/>
      <c r="JVX66" s="66"/>
      <c r="JVY66" s="73"/>
      <c r="JVZ66" s="63"/>
      <c r="JWA66" s="64"/>
      <c r="JWB66" s="66"/>
      <c r="JWC66" s="73"/>
      <c r="JWD66" s="63"/>
      <c r="JWE66" s="64"/>
      <c r="JWF66" s="66"/>
      <c r="JWG66" s="73"/>
      <c r="JWH66" s="63"/>
      <c r="JWI66" s="64"/>
      <c r="JWJ66" s="66"/>
      <c r="JWK66" s="73"/>
      <c r="JWL66" s="63"/>
      <c r="JWM66" s="64"/>
      <c r="JWN66" s="66"/>
      <c r="JWO66" s="73"/>
      <c r="JWP66" s="63"/>
      <c r="JWQ66" s="64"/>
      <c r="JWR66" s="66"/>
      <c r="JWS66" s="73"/>
      <c r="JWT66" s="63"/>
      <c r="JWU66" s="64"/>
      <c r="JWV66" s="66"/>
      <c r="JWW66" s="73"/>
      <c r="JWX66" s="63"/>
      <c r="JWY66" s="64"/>
      <c r="JWZ66" s="66"/>
      <c r="JXA66" s="73"/>
      <c r="JXB66" s="63"/>
      <c r="JXC66" s="64"/>
      <c r="JXD66" s="66"/>
      <c r="JXE66" s="73"/>
      <c r="JXF66" s="63"/>
      <c r="JXG66" s="64"/>
      <c r="JXH66" s="66"/>
      <c r="JXI66" s="73"/>
      <c r="JXJ66" s="63"/>
      <c r="JXK66" s="64"/>
      <c r="JXL66" s="66"/>
      <c r="JXM66" s="73"/>
      <c r="JXN66" s="63"/>
      <c r="JXO66" s="64"/>
      <c r="JXP66" s="66"/>
      <c r="JXQ66" s="73"/>
      <c r="JXR66" s="63"/>
      <c r="JXS66" s="64"/>
      <c r="JXT66" s="66"/>
      <c r="JXU66" s="73"/>
      <c r="JXV66" s="63"/>
      <c r="JXW66" s="64"/>
      <c r="JXX66" s="66"/>
      <c r="JXY66" s="73"/>
      <c r="JXZ66" s="63"/>
      <c r="JYA66" s="64"/>
      <c r="JYB66" s="66"/>
      <c r="JYC66" s="73"/>
      <c r="JYD66" s="63"/>
      <c r="JYE66" s="64"/>
      <c r="JYF66" s="66"/>
      <c r="JYG66" s="73"/>
      <c r="JYH66" s="63"/>
      <c r="JYI66" s="64"/>
      <c r="JYJ66" s="66"/>
      <c r="JYK66" s="73"/>
      <c r="JYL66" s="63"/>
      <c r="JYM66" s="64"/>
      <c r="JYN66" s="66"/>
      <c r="JYO66" s="73"/>
      <c r="JYP66" s="63"/>
      <c r="JYQ66" s="64"/>
      <c r="JYR66" s="66"/>
      <c r="JYS66" s="73"/>
      <c r="JYT66" s="63"/>
      <c r="JYU66" s="64"/>
      <c r="JYV66" s="66"/>
      <c r="JYW66" s="73"/>
      <c r="JYX66" s="63"/>
      <c r="JYY66" s="64"/>
      <c r="JYZ66" s="66"/>
      <c r="JZA66" s="73"/>
      <c r="JZB66" s="63"/>
      <c r="JZC66" s="64"/>
      <c r="JZD66" s="66"/>
      <c r="JZE66" s="73"/>
      <c r="JZF66" s="63"/>
      <c r="JZG66" s="64"/>
      <c r="JZH66" s="66"/>
      <c r="JZI66" s="73"/>
      <c r="JZJ66" s="63"/>
      <c r="JZK66" s="64"/>
      <c r="JZL66" s="66"/>
      <c r="JZM66" s="73"/>
      <c r="JZN66" s="63"/>
      <c r="JZO66" s="64"/>
      <c r="JZP66" s="66"/>
      <c r="JZQ66" s="73"/>
      <c r="JZR66" s="63"/>
      <c r="JZS66" s="64"/>
      <c r="JZT66" s="66"/>
      <c r="JZU66" s="73"/>
      <c r="JZV66" s="63"/>
      <c r="JZW66" s="64"/>
      <c r="JZX66" s="66"/>
      <c r="JZY66" s="73"/>
      <c r="JZZ66" s="63"/>
      <c r="KAA66" s="64"/>
      <c r="KAB66" s="66"/>
      <c r="KAC66" s="73"/>
      <c r="KAD66" s="63"/>
      <c r="KAE66" s="64"/>
      <c r="KAF66" s="66"/>
      <c r="KAG66" s="73"/>
      <c r="KAH66" s="63"/>
      <c r="KAI66" s="64"/>
      <c r="KAJ66" s="66"/>
      <c r="KAK66" s="73"/>
      <c r="KAL66" s="63"/>
      <c r="KAM66" s="64"/>
      <c r="KAN66" s="66"/>
      <c r="KAO66" s="73"/>
      <c r="KAP66" s="63"/>
      <c r="KAQ66" s="64"/>
      <c r="KAR66" s="66"/>
      <c r="KAS66" s="73"/>
      <c r="KAT66" s="63"/>
      <c r="KAU66" s="64"/>
      <c r="KAV66" s="66"/>
      <c r="KAW66" s="73"/>
      <c r="KAX66" s="63"/>
      <c r="KAY66" s="64"/>
      <c r="KAZ66" s="66"/>
      <c r="KBA66" s="73"/>
      <c r="KBB66" s="63"/>
      <c r="KBC66" s="64"/>
      <c r="KBD66" s="66"/>
      <c r="KBE66" s="73"/>
      <c r="KBF66" s="63"/>
      <c r="KBG66" s="64"/>
      <c r="KBH66" s="66"/>
      <c r="KBI66" s="73"/>
      <c r="KBJ66" s="63"/>
      <c r="KBK66" s="64"/>
      <c r="KBL66" s="66"/>
      <c r="KBM66" s="73"/>
      <c r="KBN66" s="63"/>
      <c r="KBO66" s="64"/>
      <c r="KBP66" s="66"/>
      <c r="KBQ66" s="73"/>
      <c r="KBR66" s="63"/>
      <c r="KBS66" s="64"/>
      <c r="KBT66" s="66"/>
      <c r="KBU66" s="73"/>
      <c r="KBV66" s="63"/>
      <c r="KBW66" s="64"/>
      <c r="KBX66" s="66"/>
      <c r="KBY66" s="73"/>
      <c r="KBZ66" s="63"/>
      <c r="KCA66" s="64"/>
      <c r="KCB66" s="66"/>
      <c r="KCC66" s="73"/>
      <c r="KCD66" s="63"/>
      <c r="KCE66" s="64"/>
      <c r="KCF66" s="66"/>
      <c r="KCG66" s="73"/>
      <c r="KCH66" s="63"/>
      <c r="KCI66" s="64"/>
      <c r="KCJ66" s="66"/>
      <c r="KCK66" s="73"/>
      <c r="KCL66" s="63"/>
      <c r="KCM66" s="64"/>
      <c r="KCN66" s="66"/>
      <c r="KCO66" s="73"/>
      <c r="KCP66" s="63"/>
      <c r="KCQ66" s="64"/>
      <c r="KCR66" s="66"/>
      <c r="KCS66" s="73"/>
      <c r="KCT66" s="63"/>
      <c r="KCU66" s="64"/>
      <c r="KCV66" s="66"/>
      <c r="KCW66" s="73"/>
      <c r="KCX66" s="63"/>
      <c r="KCY66" s="64"/>
      <c r="KCZ66" s="66"/>
      <c r="KDA66" s="73"/>
      <c r="KDB66" s="63"/>
      <c r="KDC66" s="64"/>
      <c r="KDD66" s="66"/>
      <c r="KDE66" s="73"/>
      <c r="KDF66" s="63"/>
      <c r="KDG66" s="64"/>
      <c r="KDH66" s="66"/>
      <c r="KDI66" s="73"/>
      <c r="KDJ66" s="63"/>
      <c r="KDK66" s="64"/>
      <c r="KDL66" s="66"/>
      <c r="KDM66" s="73"/>
      <c r="KDN66" s="63"/>
      <c r="KDO66" s="64"/>
      <c r="KDP66" s="66"/>
      <c r="KDQ66" s="73"/>
      <c r="KDR66" s="63"/>
      <c r="KDS66" s="64"/>
      <c r="KDT66" s="66"/>
      <c r="KDU66" s="73"/>
      <c r="KDV66" s="63"/>
      <c r="KDW66" s="64"/>
      <c r="KDX66" s="66"/>
      <c r="KDY66" s="73"/>
      <c r="KDZ66" s="63"/>
      <c r="KEA66" s="64"/>
      <c r="KEB66" s="66"/>
      <c r="KEC66" s="73"/>
      <c r="KED66" s="63"/>
      <c r="KEE66" s="64"/>
      <c r="KEF66" s="66"/>
      <c r="KEG66" s="73"/>
      <c r="KEH66" s="63"/>
      <c r="KEI66" s="64"/>
      <c r="KEJ66" s="66"/>
      <c r="KEK66" s="73"/>
      <c r="KEL66" s="63"/>
      <c r="KEM66" s="64"/>
      <c r="KEN66" s="66"/>
      <c r="KEO66" s="73"/>
      <c r="KEP66" s="63"/>
      <c r="KEQ66" s="64"/>
      <c r="KER66" s="66"/>
      <c r="KES66" s="73"/>
      <c r="KET66" s="63"/>
      <c r="KEU66" s="64"/>
      <c r="KEV66" s="66"/>
      <c r="KEW66" s="73"/>
      <c r="KEX66" s="63"/>
      <c r="KEY66" s="64"/>
      <c r="KEZ66" s="66"/>
      <c r="KFA66" s="73"/>
      <c r="KFB66" s="63"/>
      <c r="KFC66" s="64"/>
      <c r="KFD66" s="66"/>
      <c r="KFE66" s="73"/>
      <c r="KFF66" s="63"/>
      <c r="KFG66" s="64"/>
      <c r="KFH66" s="66"/>
      <c r="KFI66" s="73"/>
      <c r="KFJ66" s="63"/>
      <c r="KFK66" s="64"/>
      <c r="KFL66" s="66"/>
      <c r="KFM66" s="73"/>
      <c r="KFN66" s="63"/>
      <c r="KFO66" s="64"/>
      <c r="KFP66" s="66"/>
      <c r="KFQ66" s="73"/>
      <c r="KFR66" s="63"/>
      <c r="KFS66" s="64"/>
      <c r="KFT66" s="66"/>
      <c r="KFU66" s="73"/>
      <c r="KFV66" s="63"/>
      <c r="KFW66" s="64"/>
      <c r="KFX66" s="66"/>
      <c r="KFY66" s="73"/>
      <c r="KFZ66" s="63"/>
      <c r="KGA66" s="64"/>
      <c r="KGB66" s="66"/>
      <c r="KGC66" s="73"/>
      <c r="KGD66" s="63"/>
      <c r="KGE66" s="64"/>
      <c r="KGF66" s="66"/>
      <c r="KGG66" s="73"/>
      <c r="KGH66" s="63"/>
      <c r="KGI66" s="64"/>
      <c r="KGJ66" s="66"/>
      <c r="KGK66" s="73"/>
      <c r="KGL66" s="63"/>
      <c r="KGM66" s="64"/>
      <c r="KGN66" s="66"/>
      <c r="KGO66" s="73"/>
      <c r="KGP66" s="63"/>
      <c r="KGQ66" s="64"/>
      <c r="KGR66" s="66"/>
      <c r="KGS66" s="73"/>
      <c r="KGT66" s="63"/>
      <c r="KGU66" s="64"/>
      <c r="KGV66" s="66"/>
      <c r="KGW66" s="73"/>
      <c r="KGX66" s="63"/>
      <c r="KGY66" s="64"/>
      <c r="KGZ66" s="66"/>
      <c r="KHA66" s="73"/>
      <c r="KHB66" s="63"/>
      <c r="KHC66" s="64"/>
      <c r="KHD66" s="66"/>
      <c r="KHE66" s="73"/>
      <c r="KHF66" s="63"/>
      <c r="KHG66" s="64"/>
      <c r="KHH66" s="66"/>
      <c r="KHI66" s="73"/>
      <c r="KHJ66" s="63"/>
      <c r="KHK66" s="64"/>
      <c r="KHL66" s="66"/>
      <c r="KHM66" s="73"/>
      <c r="KHN66" s="63"/>
      <c r="KHO66" s="64"/>
      <c r="KHP66" s="66"/>
      <c r="KHQ66" s="73"/>
      <c r="KHR66" s="63"/>
      <c r="KHS66" s="64"/>
      <c r="KHT66" s="66"/>
      <c r="KHU66" s="73"/>
      <c r="KHV66" s="63"/>
      <c r="KHW66" s="64"/>
      <c r="KHX66" s="66"/>
      <c r="KHY66" s="73"/>
      <c r="KHZ66" s="63"/>
      <c r="KIA66" s="64"/>
      <c r="KIB66" s="66"/>
      <c r="KIC66" s="73"/>
      <c r="KID66" s="63"/>
      <c r="KIE66" s="64"/>
      <c r="KIF66" s="66"/>
      <c r="KIG66" s="73"/>
      <c r="KIH66" s="63"/>
      <c r="KII66" s="64"/>
      <c r="KIJ66" s="66"/>
      <c r="KIK66" s="73"/>
      <c r="KIL66" s="63"/>
      <c r="KIM66" s="64"/>
      <c r="KIN66" s="66"/>
      <c r="KIO66" s="73"/>
      <c r="KIP66" s="63"/>
      <c r="KIQ66" s="64"/>
      <c r="KIR66" s="66"/>
      <c r="KIS66" s="73"/>
      <c r="KIT66" s="63"/>
      <c r="KIU66" s="64"/>
      <c r="KIV66" s="66"/>
      <c r="KIW66" s="73"/>
      <c r="KIX66" s="63"/>
      <c r="KIY66" s="64"/>
      <c r="KIZ66" s="66"/>
      <c r="KJA66" s="73"/>
      <c r="KJB66" s="63"/>
      <c r="KJC66" s="64"/>
      <c r="KJD66" s="66"/>
      <c r="KJE66" s="73"/>
      <c r="KJF66" s="63"/>
      <c r="KJG66" s="64"/>
      <c r="KJH66" s="66"/>
      <c r="KJI66" s="73"/>
      <c r="KJJ66" s="63"/>
      <c r="KJK66" s="64"/>
      <c r="KJL66" s="66"/>
      <c r="KJM66" s="73"/>
      <c r="KJN66" s="63"/>
      <c r="KJO66" s="64"/>
      <c r="KJP66" s="66"/>
      <c r="KJQ66" s="73"/>
      <c r="KJR66" s="63"/>
      <c r="KJS66" s="64"/>
      <c r="KJT66" s="66"/>
      <c r="KJU66" s="73"/>
      <c r="KJV66" s="63"/>
      <c r="KJW66" s="64"/>
      <c r="KJX66" s="66"/>
      <c r="KJY66" s="73"/>
      <c r="KJZ66" s="63"/>
      <c r="KKA66" s="64"/>
      <c r="KKB66" s="66"/>
      <c r="KKC66" s="73"/>
      <c r="KKD66" s="63"/>
      <c r="KKE66" s="64"/>
      <c r="KKF66" s="66"/>
      <c r="KKG66" s="73"/>
      <c r="KKH66" s="63"/>
      <c r="KKI66" s="64"/>
      <c r="KKJ66" s="66"/>
      <c r="KKK66" s="73"/>
      <c r="KKL66" s="63"/>
      <c r="KKM66" s="64"/>
      <c r="KKN66" s="66"/>
      <c r="KKO66" s="73"/>
      <c r="KKP66" s="63"/>
      <c r="KKQ66" s="64"/>
      <c r="KKR66" s="66"/>
      <c r="KKS66" s="73"/>
      <c r="KKT66" s="63"/>
      <c r="KKU66" s="64"/>
      <c r="KKV66" s="66"/>
      <c r="KKW66" s="73"/>
      <c r="KKX66" s="63"/>
      <c r="KKY66" s="64"/>
      <c r="KKZ66" s="66"/>
      <c r="KLA66" s="73"/>
      <c r="KLB66" s="63"/>
      <c r="KLC66" s="64"/>
      <c r="KLD66" s="66"/>
      <c r="KLE66" s="73"/>
      <c r="KLF66" s="63"/>
      <c r="KLG66" s="64"/>
      <c r="KLH66" s="66"/>
      <c r="KLI66" s="73"/>
      <c r="KLJ66" s="63"/>
      <c r="KLK66" s="64"/>
      <c r="KLL66" s="66"/>
      <c r="KLM66" s="73"/>
      <c r="KLN66" s="63"/>
      <c r="KLO66" s="64"/>
      <c r="KLP66" s="66"/>
      <c r="KLQ66" s="73"/>
      <c r="KLR66" s="63"/>
      <c r="KLS66" s="64"/>
      <c r="KLT66" s="66"/>
      <c r="KLU66" s="73"/>
      <c r="KLV66" s="63"/>
      <c r="KLW66" s="64"/>
      <c r="KLX66" s="66"/>
      <c r="KLY66" s="73"/>
      <c r="KLZ66" s="63"/>
      <c r="KMA66" s="64"/>
      <c r="KMB66" s="66"/>
      <c r="KMC66" s="73"/>
      <c r="KMD66" s="63"/>
      <c r="KME66" s="64"/>
      <c r="KMF66" s="66"/>
      <c r="KMG66" s="73"/>
      <c r="KMH66" s="63"/>
      <c r="KMI66" s="64"/>
      <c r="KMJ66" s="66"/>
      <c r="KMK66" s="73"/>
      <c r="KML66" s="63"/>
      <c r="KMM66" s="64"/>
      <c r="KMN66" s="66"/>
      <c r="KMO66" s="73"/>
      <c r="KMP66" s="63"/>
      <c r="KMQ66" s="64"/>
      <c r="KMR66" s="66"/>
      <c r="KMS66" s="73"/>
      <c r="KMT66" s="63"/>
      <c r="KMU66" s="64"/>
      <c r="KMV66" s="66"/>
      <c r="KMW66" s="73"/>
      <c r="KMX66" s="63"/>
      <c r="KMY66" s="64"/>
      <c r="KMZ66" s="66"/>
      <c r="KNA66" s="73"/>
      <c r="KNB66" s="63"/>
      <c r="KNC66" s="64"/>
      <c r="KND66" s="66"/>
      <c r="KNE66" s="73"/>
      <c r="KNF66" s="63"/>
      <c r="KNG66" s="64"/>
      <c r="KNH66" s="66"/>
      <c r="KNI66" s="73"/>
      <c r="KNJ66" s="63"/>
      <c r="KNK66" s="64"/>
      <c r="KNL66" s="66"/>
      <c r="KNM66" s="73"/>
      <c r="KNN66" s="63"/>
      <c r="KNO66" s="64"/>
      <c r="KNP66" s="66"/>
      <c r="KNQ66" s="73"/>
      <c r="KNR66" s="63"/>
      <c r="KNS66" s="64"/>
      <c r="KNT66" s="66"/>
      <c r="KNU66" s="73"/>
      <c r="KNV66" s="63"/>
      <c r="KNW66" s="64"/>
      <c r="KNX66" s="66"/>
      <c r="KNY66" s="73"/>
      <c r="KNZ66" s="63"/>
      <c r="KOA66" s="64"/>
      <c r="KOB66" s="66"/>
      <c r="KOC66" s="73"/>
      <c r="KOD66" s="63"/>
      <c r="KOE66" s="64"/>
      <c r="KOF66" s="66"/>
      <c r="KOG66" s="73"/>
      <c r="KOH66" s="63"/>
      <c r="KOI66" s="64"/>
      <c r="KOJ66" s="66"/>
      <c r="KOK66" s="73"/>
      <c r="KOL66" s="63"/>
      <c r="KOM66" s="64"/>
      <c r="KON66" s="66"/>
      <c r="KOO66" s="73"/>
      <c r="KOP66" s="63"/>
      <c r="KOQ66" s="64"/>
      <c r="KOR66" s="66"/>
      <c r="KOS66" s="73"/>
      <c r="KOT66" s="63"/>
      <c r="KOU66" s="64"/>
      <c r="KOV66" s="66"/>
      <c r="KOW66" s="73"/>
      <c r="KOX66" s="63"/>
      <c r="KOY66" s="64"/>
      <c r="KOZ66" s="66"/>
      <c r="KPA66" s="73"/>
      <c r="KPB66" s="63"/>
      <c r="KPC66" s="64"/>
      <c r="KPD66" s="66"/>
      <c r="KPE66" s="73"/>
      <c r="KPF66" s="63"/>
      <c r="KPG66" s="64"/>
      <c r="KPH66" s="66"/>
      <c r="KPI66" s="73"/>
      <c r="KPJ66" s="63"/>
      <c r="KPK66" s="64"/>
      <c r="KPL66" s="66"/>
      <c r="KPM66" s="73"/>
      <c r="KPN66" s="63"/>
      <c r="KPO66" s="64"/>
      <c r="KPP66" s="66"/>
      <c r="KPQ66" s="73"/>
      <c r="KPR66" s="63"/>
      <c r="KPS66" s="64"/>
      <c r="KPT66" s="66"/>
      <c r="KPU66" s="73"/>
      <c r="KPV66" s="63"/>
      <c r="KPW66" s="64"/>
      <c r="KPX66" s="66"/>
      <c r="KPY66" s="73"/>
      <c r="KPZ66" s="63"/>
      <c r="KQA66" s="64"/>
      <c r="KQB66" s="66"/>
      <c r="KQC66" s="73"/>
      <c r="KQD66" s="63"/>
      <c r="KQE66" s="64"/>
      <c r="KQF66" s="66"/>
      <c r="KQG66" s="73"/>
      <c r="KQH66" s="63"/>
      <c r="KQI66" s="64"/>
      <c r="KQJ66" s="66"/>
      <c r="KQK66" s="73"/>
      <c r="KQL66" s="63"/>
      <c r="KQM66" s="64"/>
      <c r="KQN66" s="66"/>
      <c r="KQO66" s="73"/>
      <c r="KQP66" s="63"/>
      <c r="KQQ66" s="64"/>
      <c r="KQR66" s="66"/>
      <c r="KQS66" s="73"/>
      <c r="KQT66" s="63"/>
      <c r="KQU66" s="64"/>
      <c r="KQV66" s="66"/>
      <c r="KQW66" s="73"/>
      <c r="KQX66" s="63"/>
      <c r="KQY66" s="64"/>
      <c r="KQZ66" s="66"/>
      <c r="KRA66" s="73"/>
      <c r="KRB66" s="63"/>
      <c r="KRC66" s="64"/>
      <c r="KRD66" s="66"/>
      <c r="KRE66" s="73"/>
      <c r="KRF66" s="63"/>
      <c r="KRG66" s="64"/>
      <c r="KRH66" s="66"/>
      <c r="KRI66" s="73"/>
      <c r="KRJ66" s="63"/>
      <c r="KRK66" s="64"/>
      <c r="KRL66" s="66"/>
      <c r="KRM66" s="73"/>
      <c r="KRN66" s="63"/>
      <c r="KRO66" s="64"/>
      <c r="KRP66" s="66"/>
      <c r="KRQ66" s="73"/>
      <c r="KRR66" s="63"/>
      <c r="KRS66" s="64"/>
      <c r="KRT66" s="66"/>
      <c r="KRU66" s="73"/>
      <c r="KRV66" s="63"/>
      <c r="KRW66" s="64"/>
      <c r="KRX66" s="66"/>
      <c r="KRY66" s="73"/>
      <c r="KRZ66" s="63"/>
      <c r="KSA66" s="64"/>
      <c r="KSB66" s="66"/>
      <c r="KSC66" s="73"/>
      <c r="KSD66" s="63"/>
      <c r="KSE66" s="64"/>
      <c r="KSF66" s="66"/>
      <c r="KSG66" s="73"/>
      <c r="KSH66" s="63"/>
      <c r="KSI66" s="64"/>
      <c r="KSJ66" s="66"/>
      <c r="KSK66" s="73"/>
      <c r="KSL66" s="63"/>
      <c r="KSM66" s="64"/>
      <c r="KSN66" s="66"/>
      <c r="KSO66" s="73"/>
      <c r="KSP66" s="63"/>
      <c r="KSQ66" s="64"/>
      <c r="KSR66" s="66"/>
      <c r="KSS66" s="73"/>
      <c r="KST66" s="63"/>
      <c r="KSU66" s="64"/>
      <c r="KSV66" s="66"/>
      <c r="KSW66" s="73"/>
      <c r="KSX66" s="63"/>
      <c r="KSY66" s="64"/>
      <c r="KSZ66" s="66"/>
      <c r="KTA66" s="73"/>
      <c r="KTB66" s="63"/>
      <c r="KTC66" s="64"/>
      <c r="KTD66" s="66"/>
      <c r="KTE66" s="73"/>
      <c r="KTF66" s="63"/>
      <c r="KTG66" s="64"/>
      <c r="KTH66" s="66"/>
      <c r="KTI66" s="73"/>
      <c r="KTJ66" s="63"/>
      <c r="KTK66" s="64"/>
      <c r="KTL66" s="66"/>
      <c r="KTM66" s="73"/>
      <c r="KTN66" s="63"/>
      <c r="KTO66" s="64"/>
      <c r="KTP66" s="66"/>
      <c r="KTQ66" s="73"/>
      <c r="KTR66" s="63"/>
      <c r="KTS66" s="64"/>
      <c r="KTT66" s="66"/>
      <c r="KTU66" s="73"/>
      <c r="KTV66" s="63"/>
      <c r="KTW66" s="64"/>
      <c r="KTX66" s="66"/>
      <c r="KTY66" s="73"/>
      <c r="KTZ66" s="63"/>
      <c r="KUA66" s="64"/>
      <c r="KUB66" s="66"/>
      <c r="KUC66" s="73"/>
      <c r="KUD66" s="63"/>
      <c r="KUE66" s="64"/>
      <c r="KUF66" s="66"/>
      <c r="KUG66" s="73"/>
      <c r="KUH66" s="63"/>
      <c r="KUI66" s="64"/>
      <c r="KUJ66" s="66"/>
      <c r="KUK66" s="73"/>
      <c r="KUL66" s="63"/>
      <c r="KUM66" s="64"/>
      <c r="KUN66" s="66"/>
      <c r="KUO66" s="73"/>
      <c r="KUP66" s="63"/>
      <c r="KUQ66" s="64"/>
      <c r="KUR66" s="66"/>
      <c r="KUS66" s="73"/>
      <c r="KUT66" s="63"/>
      <c r="KUU66" s="64"/>
      <c r="KUV66" s="66"/>
      <c r="KUW66" s="73"/>
      <c r="KUX66" s="63"/>
      <c r="KUY66" s="64"/>
      <c r="KUZ66" s="66"/>
      <c r="KVA66" s="73"/>
      <c r="KVB66" s="63"/>
      <c r="KVC66" s="64"/>
      <c r="KVD66" s="66"/>
      <c r="KVE66" s="73"/>
      <c r="KVF66" s="63"/>
      <c r="KVG66" s="64"/>
      <c r="KVH66" s="66"/>
      <c r="KVI66" s="73"/>
      <c r="KVJ66" s="63"/>
      <c r="KVK66" s="64"/>
      <c r="KVL66" s="66"/>
      <c r="KVM66" s="73"/>
      <c r="KVN66" s="63"/>
      <c r="KVO66" s="64"/>
      <c r="KVP66" s="66"/>
      <c r="KVQ66" s="73"/>
      <c r="KVR66" s="63"/>
      <c r="KVS66" s="64"/>
      <c r="KVT66" s="66"/>
      <c r="KVU66" s="73"/>
      <c r="KVV66" s="63"/>
      <c r="KVW66" s="64"/>
      <c r="KVX66" s="66"/>
      <c r="KVY66" s="73"/>
      <c r="KVZ66" s="63"/>
      <c r="KWA66" s="64"/>
      <c r="KWB66" s="66"/>
      <c r="KWC66" s="73"/>
      <c r="KWD66" s="63"/>
      <c r="KWE66" s="64"/>
      <c r="KWF66" s="66"/>
      <c r="KWG66" s="73"/>
      <c r="KWH66" s="63"/>
      <c r="KWI66" s="64"/>
      <c r="KWJ66" s="66"/>
      <c r="KWK66" s="73"/>
      <c r="KWL66" s="63"/>
      <c r="KWM66" s="64"/>
      <c r="KWN66" s="66"/>
      <c r="KWO66" s="73"/>
      <c r="KWP66" s="63"/>
      <c r="KWQ66" s="64"/>
      <c r="KWR66" s="66"/>
      <c r="KWS66" s="73"/>
      <c r="KWT66" s="63"/>
      <c r="KWU66" s="64"/>
      <c r="KWV66" s="66"/>
      <c r="KWW66" s="73"/>
      <c r="KWX66" s="63"/>
      <c r="KWY66" s="64"/>
      <c r="KWZ66" s="66"/>
      <c r="KXA66" s="73"/>
      <c r="KXB66" s="63"/>
      <c r="KXC66" s="64"/>
      <c r="KXD66" s="66"/>
      <c r="KXE66" s="73"/>
      <c r="KXF66" s="63"/>
      <c r="KXG66" s="64"/>
      <c r="KXH66" s="66"/>
      <c r="KXI66" s="73"/>
      <c r="KXJ66" s="63"/>
      <c r="KXK66" s="64"/>
      <c r="KXL66" s="66"/>
      <c r="KXM66" s="73"/>
      <c r="KXN66" s="63"/>
      <c r="KXO66" s="64"/>
      <c r="KXP66" s="66"/>
      <c r="KXQ66" s="73"/>
      <c r="KXR66" s="63"/>
      <c r="KXS66" s="64"/>
      <c r="KXT66" s="66"/>
      <c r="KXU66" s="73"/>
      <c r="KXV66" s="63"/>
      <c r="KXW66" s="64"/>
      <c r="KXX66" s="66"/>
      <c r="KXY66" s="73"/>
      <c r="KXZ66" s="63"/>
      <c r="KYA66" s="64"/>
      <c r="KYB66" s="66"/>
      <c r="KYC66" s="73"/>
      <c r="KYD66" s="63"/>
      <c r="KYE66" s="64"/>
      <c r="KYF66" s="66"/>
      <c r="KYG66" s="73"/>
      <c r="KYH66" s="63"/>
      <c r="KYI66" s="64"/>
      <c r="KYJ66" s="66"/>
      <c r="KYK66" s="73"/>
      <c r="KYL66" s="63"/>
      <c r="KYM66" s="64"/>
      <c r="KYN66" s="66"/>
      <c r="KYO66" s="73"/>
      <c r="KYP66" s="63"/>
      <c r="KYQ66" s="64"/>
      <c r="KYR66" s="66"/>
      <c r="KYS66" s="73"/>
      <c r="KYT66" s="63"/>
      <c r="KYU66" s="64"/>
      <c r="KYV66" s="66"/>
      <c r="KYW66" s="73"/>
      <c r="KYX66" s="63"/>
      <c r="KYY66" s="64"/>
      <c r="KYZ66" s="66"/>
      <c r="KZA66" s="73"/>
      <c r="KZB66" s="63"/>
      <c r="KZC66" s="64"/>
      <c r="KZD66" s="66"/>
      <c r="KZE66" s="73"/>
      <c r="KZF66" s="63"/>
      <c r="KZG66" s="64"/>
      <c r="KZH66" s="66"/>
      <c r="KZI66" s="73"/>
      <c r="KZJ66" s="63"/>
      <c r="KZK66" s="64"/>
      <c r="KZL66" s="66"/>
      <c r="KZM66" s="73"/>
      <c r="KZN66" s="63"/>
      <c r="KZO66" s="64"/>
      <c r="KZP66" s="66"/>
      <c r="KZQ66" s="73"/>
      <c r="KZR66" s="63"/>
      <c r="KZS66" s="64"/>
      <c r="KZT66" s="66"/>
      <c r="KZU66" s="73"/>
      <c r="KZV66" s="63"/>
      <c r="KZW66" s="64"/>
      <c r="KZX66" s="66"/>
      <c r="KZY66" s="73"/>
      <c r="KZZ66" s="63"/>
      <c r="LAA66" s="64"/>
      <c r="LAB66" s="66"/>
      <c r="LAC66" s="73"/>
      <c r="LAD66" s="63"/>
      <c r="LAE66" s="64"/>
      <c r="LAF66" s="66"/>
      <c r="LAG66" s="73"/>
      <c r="LAH66" s="63"/>
      <c r="LAI66" s="64"/>
      <c r="LAJ66" s="66"/>
      <c r="LAK66" s="73"/>
      <c r="LAL66" s="63"/>
      <c r="LAM66" s="64"/>
      <c r="LAN66" s="66"/>
      <c r="LAO66" s="73"/>
      <c r="LAP66" s="63"/>
      <c r="LAQ66" s="64"/>
      <c r="LAR66" s="66"/>
      <c r="LAS66" s="73"/>
      <c r="LAT66" s="63"/>
      <c r="LAU66" s="64"/>
      <c r="LAV66" s="66"/>
      <c r="LAW66" s="73"/>
      <c r="LAX66" s="63"/>
      <c r="LAY66" s="64"/>
      <c r="LAZ66" s="66"/>
      <c r="LBA66" s="73"/>
      <c r="LBB66" s="63"/>
      <c r="LBC66" s="64"/>
      <c r="LBD66" s="66"/>
      <c r="LBE66" s="73"/>
      <c r="LBF66" s="63"/>
      <c r="LBG66" s="64"/>
      <c r="LBH66" s="66"/>
      <c r="LBI66" s="73"/>
      <c r="LBJ66" s="63"/>
      <c r="LBK66" s="64"/>
      <c r="LBL66" s="66"/>
      <c r="LBM66" s="73"/>
      <c r="LBN66" s="63"/>
      <c r="LBO66" s="64"/>
      <c r="LBP66" s="66"/>
      <c r="LBQ66" s="73"/>
      <c r="LBR66" s="63"/>
      <c r="LBS66" s="64"/>
      <c r="LBT66" s="66"/>
      <c r="LBU66" s="73"/>
      <c r="LBV66" s="63"/>
      <c r="LBW66" s="64"/>
      <c r="LBX66" s="66"/>
      <c r="LBY66" s="73"/>
      <c r="LBZ66" s="63"/>
      <c r="LCA66" s="64"/>
      <c r="LCB66" s="66"/>
      <c r="LCC66" s="73"/>
      <c r="LCD66" s="63"/>
      <c r="LCE66" s="64"/>
      <c r="LCF66" s="66"/>
      <c r="LCG66" s="73"/>
      <c r="LCH66" s="63"/>
      <c r="LCI66" s="64"/>
      <c r="LCJ66" s="66"/>
      <c r="LCK66" s="73"/>
      <c r="LCL66" s="63"/>
      <c r="LCM66" s="64"/>
      <c r="LCN66" s="66"/>
      <c r="LCO66" s="73"/>
      <c r="LCP66" s="63"/>
      <c r="LCQ66" s="64"/>
      <c r="LCR66" s="66"/>
      <c r="LCS66" s="73"/>
      <c r="LCT66" s="63"/>
      <c r="LCU66" s="64"/>
      <c r="LCV66" s="66"/>
      <c r="LCW66" s="73"/>
      <c r="LCX66" s="63"/>
      <c r="LCY66" s="64"/>
      <c r="LCZ66" s="66"/>
      <c r="LDA66" s="73"/>
      <c r="LDB66" s="63"/>
      <c r="LDC66" s="64"/>
      <c r="LDD66" s="66"/>
      <c r="LDE66" s="73"/>
      <c r="LDF66" s="63"/>
      <c r="LDG66" s="64"/>
      <c r="LDH66" s="66"/>
      <c r="LDI66" s="73"/>
      <c r="LDJ66" s="63"/>
      <c r="LDK66" s="64"/>
      <c r="LDL66" s="66"/>
      <c r="LDM66" s="73"/>
      <c r="LDN66" s="63"/>
      <c r="LDO66" s="64"/>
      <c r="LDP66" s="66"/>
      <c r="LDQ66" s="73"/>
      <c r="LDR66" s="63"/>
      <c r="LDS66" s="64"/>
      <c r="LDT66" s="66"/>
      <c r="LDU66" s="73"/>
      <c r="LDV66" s="63"/>
      <c r="LDW66" s="64"/>
      <c r="LDX66" s="66"/>
      <c r="LDY66" s="73"/>
      <c r="LDZ66" s="63"/>
      <c r="LEA66" s="64"/>
      <c r="LEB66" s="66"/>
      <c r="LEC66" s="73"/>
      <c r="LED66" s="63"/>
      <c r="LEE66" s="64"/>
      <c r="LEF66" s="66"/>
      <c r="LEG66" s="73"/>
      <c r="LEH66" s="63"/>
      <c r="LEI66" s="64"/>
      <c r="LEJ66" s="66"/>
      <c r="LEK66" s="73"/>
      <c r="LEL66" s="63"/>
      <c r="LEM66" s="64"/>
      <c r="LEN66" s="66"/>
      <c r="LEO66" s="73"/>
      <c r="LEP66" s="63"/>
      <c r="LEQ66" s="64"/>
      <c r="LER66" s="66"/>
      <c r="LES66" s="73"/>
      <c r="LET66" s="63"/>
      <c r="LEU66" s="64"/>
      <c r="LEV66" s="66"/>
      <c r="LEW66" s="73"/>
      <c r="LEX66" s="63"/>
      <c r="LEY66" s="64"/>
      <c r="LEZ66" s="66"/>
      <c r="LFA66" s="73"/>
      <c r="LFB66" s="63"/>
      <c r="LFC66" s="64"/>
      <c r="LFD66" s="66"/>
      <c r="LFE66" s="73"/>
      <c r="LFF66" s="63"/>
      <c r="LFG66" s="64"/>
      <c r="LFH66" s="66"/>
      <c r="LFI66" s="73"/>
      <c r="LFJ66" s="63"/>
      <c r="LFK66" s="64"/>
      <c r="LFL66" s="66"/>
      <c r="LFM66" s="73"/>
      <c r="LFN66" s="63"/>
      <c r="LFO66" s="64"/>
      <c r="LFP66" s="66"/>
      <c r="LFQ66" s="73"/>
      <c r="LFR66" s="63"/>
      <c r="LFS66" s="64"/>
      <c r="LFT66" s="66"/>
      <c r="LFU66" s="73"/>
      <c r="LFV66" s="63"/>
      <c r="LFW66" s="64"/>
      <c r="LFX66" s="66"/>
      <c r="LFY66" s="73"/>
      <c r="LFZ66" s="63"/>
      <c r="LGA66" s="64"/>
      <c r="LGB66" s="66"/>
      <c r="LGC66" s="73"/>
      <c r="LGD66" s="63"/>
      <c r="LGE66" s="64"/>
      <c r="LGF66" s="66"/>
      <c r="LGG66" s="73"/>
      <c r="LGH66" s="63"/>
      <c r="LGI66" s="64"/>
      <c r="LGJ66" s="66"/>
      <c r="LGK66" s="73"/>
      <c r="LGL66" s="63"/>
      <c r="LGM66" s="64"/>
      <c r="LGN66" s="66"/>
      <c r="LGO66" s="73"/>
      <c r="LGP66" s="63"/>
      <c r="LGQ66" s="64"/>
      <c r="LGR66" s="66"/>
      <c r="LGS66" s="73"/>
      <c r="LGT66" s="63"/>
      <c r="LGU66" s="64"/>
      <c r="LGV66" s="66"/>
      <c r="LGW66" s="73"/>
      <c r="LGX66" s="63"/>
      <c r="LGY66" s="64"/>
      <c r="LGZ66" s="66"/>
      <c r="LHA66" s="73"/>
      <c r="LHB66" s="63"/>
      <c r="LHC66" s="64"/>
      <c r="LHD66" s="66"/>
      <c r="LHE66" s="73"/>
      <c r="LHF66" s="63"/>
      <c r="LHG66" s="64"/>
      <c r="LHH66" s="66"/>
      <c r="LHI66" s="73"/>
      <c r="LHJ66" s="63"/>
      <c r="LHK66" s="64"/>
      <c r="LHL66" s="66"/>
      <c r="LHM66" s="73"/>
      <c r="LHN66" s="63"/>
      <c r="LHO66" s="64"/>
      <c r="LHP66" s="66"/>
      <c r="LHQ66" s="73"/>
      <c r="LHR66" s="63"/>
      <c r="LHS66" s="64"/>
      <c r="LHT66" s="66"/>
      <c r="LHU66" s="73"/>
      <c r="LHV66" s="63"/>
      <c r="LHW66" s="64"/>
      <c r="LHX66" s="66"/>
      <c r="LHY66" s="73"/>
      <c r="LHZ66" s="63"/>
      <c r="LIA66" s="64"/>
      <c r="LIB66" s="66"/>
      <c r="LIC66" s="73"/>
      <c r="LID66" s="63"/>
      <c r="LIE66" s="64"/>
      <c r="LIF66" s="66"/>
      <c r="LIG66" s="73"/>
      <c r="LIH66" s="63"/>
      <c r="LII66" s="64"/>
      <c r="LIJ66" s="66"/>
      <c r="LIK66" s="73"/>
      <c r="LIL66" s="63"/>
      <c r="LIM66" s="64"/>
      <c r="LIN66" s="66"/>
      <c r="LIO66" s="73"/>
      <c r="LIP66" s="63"/>
      <c r="LIQ66" s="64"/>
      <c r="LIR66" s="66"/>
      <c r="LIS66" s="73"/>
      <c r="LIT66" s="63"/>
      <c r="LIU66" s="64"/>
      <c r="LIV66" s="66"/>
      <c r="LIW66" s="73"/>
      <c r="LIX66" s="63"/>
      <c r="LIY66" s="64"/>
      <c r="LIZ66" s="66"/>
      <c r="LJA66" s="73"/>
      <c r="LJB66" s="63"/>
      <c r="LJC66" s="64"/>
      <c r="LJD66" s="66"/>
      <c r="LJE66" s="73"/>
      <c r="LJF66" s="63"/>
      <c r="LJG66" s="64"/>
      <c r="LJH66" s="66"/>
      <c r="LJI66" s="73"/>
      <c r="LJJ66" s="63"/>
      <c r="LJK66" s="64"/>
      <c r="LJL66" s="66"/>
      <c r="LJM66" s="73"/>
      <c r="LJN66" s="63"/>
      <c r="LJO66" s="64"/>
      <c r="LJP66" s="66"/>
      <c r="LJQ66" s="73"/>
      <c r="LJR66" s="63"/>
      <c r="LJS66" s="64"/>
      <c r="LJT66" s="66"/>
      <c r="LJU66" s="73"/>
      <c r="LJV66" s="63"/>
      <c r="LJW66" s="64"/>
      <c r="LJX66" s="66"/>
      <c r="LJY66" s="73"/>
      <c r="LJZ66" s="63"/>
      <c r="LKA66" s="64"/>
      <c r="LKB66" s="66"/>
      <c r="LKC66" s="73"/>
      <c r="LKD66" s="63"/>
      <c r="LKE66" s="64"/>
      <c r="LKF66" s="66"/>
      <c r="LKG66" s="73"/>
      <c r="LKH66" s="63"/>
      <c r="LKI66" s="64"/>
      <c r="LKJ66" s="66"/>
      <c r="LKK66" s="73"/>
      <c r="LKL66" s="63"/>
      <c r="LKM66" s="64"/>
      <c r="LKN66" s="66"/>
      <c r="LKO66" s="73"/>
      <c r="LKP66" s="63"/>
      <c r="LKQ66" s="64"/>
      <c r="LKR66" s="66"/>
      <c r="LKS66" s="73"/>
      <c r="LKT66" s="63"/>
      <c r="LKU66" s="64"/>
      <c r="LKV66" s="66"/>
      <c r="LKW66" s="73"/>
      <c r="LKX66" s="63"/>
      <c r="LKY66" s="64"/>
      <c r="LKZ66" s="66"/>
      <c r="LLA66" s="73"/>
      <c r="LLB66" s="63"/>
      <c r="LLC66" s="64"/>
      <c r="LLD66" s="66"/>
      <c r="LLE66" s="73"/>
      <c r="LLF66" s="63"/>
      <c r="LLG66" s="64"/>
      <c r="LLH66" s="66"/>
      <c r="LLI66" s="73"/>
      <c r="LLJ66" s="63"/>
      <c r="LLK66" s="64"/>
      <c r="LLL66" s="66"/>
      <c r="LLM66" s="73"/>
      <c r="LLN66" s="63"/>
      <c r="LLO66" s="64"/>
      <c r="LLP66" s="66"/>
      <c r="LLQ66" s="73"/>
      <c r="LLR66" s="63"/>
      <c r="LLS66" s="64"/>
      <c r="LLT66" s="66"/>
      <c r="LLU66" s="73"/>
      <c r="LLV66" s="63"/>
      <c r="LLW66" s="64"/>
      <c r="LLX66" s="66"/>
      <c r="LLY66" s="73"/>
      <c r="LLZ66" s="63"/>
      <c r="LMA66" s="64"/>
      <c r="LMB66" s="66"/>
      <c r="LMC66" s="73"/>
      <c r="LMD66" s="63"/>
      <c r="LME66" s="64"/>
      <c r="LMF66" s="66"/>
      <c r="LMG66" s="73"/>
      <c r="LMH66" s="63"/>
      <c r="LMI66" s="64"/>
      <c r="LMJ66" s="66"/>
      <c r="LMK66" s="73"/>
      <c r="LML66" s="63"/>
      <c r="LMM66" s="64"/>
      <c r="LMN66" s="66"/>
      <c r="LMO66" s="73"/>
      <c r="LMP66" s="63"/>
      <c r="LMQ66" s="64"/>
      <c r="LMR66" s="66"/>
      <c r="LMS66" s="73"/>
      <c r="LMT66" s="63"/>
      <c r="LMU66" s="64"/>
      <c r="LMV66" s="66"/>
      <c r="LMW66" s="73"/>
      <c r="LMX66" s="63"/>
      <c r="LMY66" s="64"/>
      <c r="LMZ66" s="66"/>
      <c r="LNA66" s="73"/>
      <c r="LNB66" s="63"/>
      <c r="LNC66" s="64"/>
      <c r="LND66" s="66"/>
      <c r="LNE66" s="73"/>
      <c r="LNF66" s="63"/>
      <c r="LNG66" s="64"/>
      <c r="LNH66" s="66"/>
      <c r="LNI66" s="73"/>
      <c r="LNJ66" s="63"/>
      <c r="LNK66" s="64"/>
      <c r="LNL66" s="66"/>
      <c r="LNM66" s="73"/>
      <c r="LNN66" s="63"/>
      <c r="LNO66" s="64"/>
      <c r="LNP66" s="66"/>
      <c r="LNQ66" s="73"/>
      <c r="LNR66" s="63"/>
      <c r="LNS66" s="64"/>
      <c r="LNT66" s="66"/>
      <c r="LNU66" s="73"/>
      <c r="LNV66" s="63"/>
      <c r="LNW66" s="64"/>
      <c r="LNX66" s="66"/>
      <c r="LNY66" s="73"/>
      <c r="LNZ66" s="63"/>
      <c r="LOA66" s="64"/>
      <c r="LOB66" s="66"/>
      <c r="LOC66" s="73"/>
      <c r="LOD66" s="63"/>
      <c r="LOE66" s="64"/>
      <c r="LOF66" s="66"/>
      <c r="LOG66" s="73"/>
      <c r="LOH66" s="63"/>
      <c r="LOI66" s="64"/>
      <c r="LOJ66" s="66"/>
      <c r="LOK66" s="73"/>
      <c r="LOL66" s="63"/>
      <c r="LOM66" s="64"/>
      <c r="LON66" s="66"/>
      <c r="LOO66" s="73"/>
      <c r="LOP66" s="63"/>
      <c r="LOQ66" s="64"/>
      <c r="LOR66" s="66"/>
      <c r="LOS66" s="73"/>
      <c r="LOT66" s="63"/>
      <c r="LOU66" s="64"/>
      <c r="LOV66" s="66"/>
      <c r="LOW66" s="73"/>
      <c r="LOX66" s="63"/>
      <c r="LOY66" s="64"/>
      <c r="LOZ66" s="66"/>
      <c r="LPA66" s="73"/>
      <c r="LPB66" s="63"/>
      <c r="LPC66" s="64"/>
      <c r="LPD66" s="66"/>
      <c r="LPE66" s="73"/>
      <c r="LPF66" s="63"/>
      <c r="LPG66" s="64"/>
      <c r="LPH66" s="66"/>
      <c r="LPI66" s="73"/>
      <c r="LPJ66" s="63"/>
      <c r="LPK66" s="64"/>
      <c r="LPL66" s="66"/>
      <c r="LPM66" s="73"/>
      <c r="LPN66" s="63"/>
      <c r="LPO66" s="64"/>
      <c r="LPP66" s="66"/>
      <c r="LPQ66" s="73"/>
      <c r="LPR66" s="63"/>
      <c r="LPS66" s="64"/>
      <c r="LPT66" s="66"/>
      <c r="LPU66" s="73"/>
      <c r="LPV66" s="63"/>
      <c r="LPW66" s="64"/>
      <c r="LPX66" s="66"/>
      <c r="LPY66" s="73"/>
      <c r="LPZ66" s="63"/>
      <c r="LQA66" s="64"/>
      <c r="LQB66" s="66"/>
      <c r="LQC66" s="73"/>
      <c r="LQD66" s="63"/>
      <c r="LQE66" s="64"/>
      <c r="LQF66" s="66"/>
      <c r="LQG66" s="73"/>
      <c r="LQH66" s="63"/>
      <c r="LQI66" s="64"/>
      <c r="LQJ66" s="66"/>
      <c r="LQK66" s="73"/>
      <c r="LQL66" s="63"/>
      <c r="LQM66" s="64"/>
      <c r="LQN66" s="66"/>
      <c r="LQO66" s="73"/>
      <c r="LQP66" s="63"/>
      <c r="LQQ66" s="64"/>
      <c r="LQR66" s="66"/>
      <c r="LQS66" s="73"/>
      <c r="LQT66" s="63"/>
      <c r="LQU66" s="64"/>
      <c r="LQV66" s="66"/>
      <c r="LQW66" s="73"/>
      <c r="LQX66" s="63"/>
      <c r="LQY66" s="64"/>
      <c r="LQZ66" s="66"/>
      <c r="LRA66" s="73"/>
      <c r="LRB66" s="63"/>
      <c r="LRC66" s="64"/>
      <c r="LRD66" s="66"/>
      <c r="LRE66" s="73"/>
      <c r="LRF66" s="63"/>
      <c r="LRG66" s="64"/>
      <c r="LRH66" s="66"/>
      <c r="LRI66" s="73"/>
      <c r="LRJ66" s="63"/>
      <c r="LRK66" s="64"/>
      <c r="LRL66" s="66"/>
      <c r="LRM66" s="73"/>
      <c r="LRN66" s="63"/>
      <c r="LRO66" s="64"/>
      <c r="LRP66" s="66"/>
      <c r="LRQ66" s="73"/>
      <c r="LRR66" s="63"/>
      <c r="LRS66" s="64"/>
      <c r="LRT66" s="66"/>
      <c r="LRU66" s="73"/>
      <c r="LRV66" s="63"/>
      <c r="LRW66" s="64"/>
      <c r="LRX66" s="66"/>
      <c r="LRY66" s="73"/>
      <c r="LRZ66" s="63"/>
      <c r="LSA66" s="64"/>
      <c r="LSB66" s="66"/>
      <c r="LSC66" s="73"/>
      <c r="LSD66" s="63"/>
      <c r="LSE66" s="64"/>
      <c r="LSF66" s="66"/>
      <c r="LSG66" s="73"/>
      <c r="LSH66" s="63"/>
      <c r="LSI66" s="64"/>
      <c r="LSJ66" s="66"/>
      <c r="LSK66" s="73"/>
      <c r="LSL66" s="63"/>
      <c r="LSM66" s="64"/>
      <c r="LSN66" s="66"/>
      <c r="LSO66" s="73"/>
      <c r="LSP66" s="63"/>
      <c r="LSQ66" s="64"/>
      <c r="LSR66" s="66"/>
      <c r="LSS66" s="73"/>
      <c r="LST66" s="63"/>
      <c r="LSU66" s="64"/>
      <c r="LSV66" s="66"/>
      <c r="LSW66" s="73"/>
      <c r="LSX66" s="63"/>
      <c r="LSY66" s="64"/>
      <c r="LSZ66" s="66"/>
      <c r="LTA66" s="73"/>
      <c r="LTB66" s="63"/>
      <c r="LTC66" s="64"/>
      <c r="LTD66" s="66"/>
      <c r="LTE66" s="73"/>
      <c r="LTF66" s="63"/>
      <c r="LTG66" s="64"/>
      <c r="LTH66" s="66"/>
      <c r="LTI66" s="73"/>
      <c r="LTJ66" s="63"/>
      <c r="LTK66" s="64"/>
      <c r="LTL66" s="66"/>
      <c r="LTM66" s="73"/>
      <c r="LTN66" s="63"/>
      <c r="LTO66" s="64"/>
      <c r="LTP66" s="66"/>
      <c r="LTQ66" s="73"/>
      <c r="LTR66" s="63"/>
      <c r="LTS66" s="64"/>
      <c r="LTT66" s="66"/>
      <c r="LTU66" s="73"/>
      <c r="LTV66" s="63"/>
      <c r="LTW66" s="64"/>
      <c r="LTX66" s="66"/>
      <c r="LTY66" s="73"/>
      <c r="LTZ66" s="63"/>
      <c r="LUA66" s="64"/>
      <c r="LUB66" s="66"/>
      <c r="LUC66" s="73"/>
      <c r="LUD66" s="63"/>
      <c r="LUE66" s="64"/>
      <c r="LUF66" s="66"/>
      <c r="LUG66" s="73"/>
      <c r="LUH66" s="63"/>
      <c r="LUI66" s="64"/>
      <c r="LUJ66" s="66"/>
      <c r="LUK66" s="73"/>
      <c r="LUL66" s="63"/>
      <c r="LUM66" s="64"/>
      <c r="LUN66" s="66"/>
      <c r="LUO66" s="73"/>
      <c r="LUP66" s="63"/>
      <c r="LUQ66" s="64"/>
      <c r="LUR66" s="66"/>
      <c r="LUS66" s="73"/>
      <c r="LUT66" s="63"/>
      <c r="LUU66" s="64"/>
      <c r="LUV66" s="66"/>
      <c r="LUW66" s="73"/>
      <c r="LUX66" s="63"/>
      <c r="LUY66" s="64"/>
      <c r="LUZ66" s="66"/>
      <c r="LVA66" s="73"/>
      <c r="LVB66" s="63"/>
      <c r="LVC66" s="64"/>
      <c r="LVD66" s="66"/>
      <c r="LVE66" s="73"/>
      <c r="LVF66" s="63"/>
      <c r="LVG66" s="64"/>
      <c r="LVH66" s="66"/>
      <c r="LVI66" s="73"/>
      <c r="LVJ66" s="63"/>
      <c r="LVK66" s="64"/>
      <c r="LVL66" s="66"/>
      <c r="LVM66" s="73"/>
      <c r="LVN66" s="63"/>
      <c r="LVO66" s="64"/>
      <c r="LVP66" s="66"/>
      <c r="LVQ66" s="73"/>
      <c r="LVR66" s="63"/>
      <c r="LVS66" s="64"/>
      <c r="LVT66" s="66"/>
      <c r="LVU66" s="73"/>
      <c r="LVV66" s="63"/>
      <c r="LVW66" s="64"/>
      <c r="LVX66" s="66"/>
      <c r="LVY66" s="73"/>
      <c r="LVZ66" s="63"/>
      <c r="LWA66" s="64"/>
      <c r="LWB66" s="66"/>
      <c r="LWC66" s="73"/>
      <c r="LWD66" s="63"/>
      <c r="LWE66" s="64"/>
      <c r="LWF66" s="66"/>
      <c r="LWG66" s="73"/>
      <c r="LWH66" s="63"/>
      <c r="LWI66" s="64"/>
      <c r="LWJ66" s="66"/>
      <c r="LWK66" s="73"/>
      <c r="LWL66" s="63"/>
      <c r="LWM66" s="64"/>
      <c r="LWN66" s="66"/>
      <c r="LWO66" s="73"/>
      <c r="LWP66" s="63"/>
      <c r="LWQ66" s="64"/>
      <c r="LWR66" s="66"/>
      <c r="LWS66" s="73"/>
      <c r="LWT66" s="63"/>
      <c r="LWU66" s="64"/>
      <c r="LWV66" s="66"/>
      <c r="LWW66" s="73"/>
      <c r="LWX66" s="63"/>
      <c r="LWY66" s="64"/>
      <c r="LWZ66" s="66"/>
      <c r="LXA66" s="73"/>
      <c r="LXB66" s="63"/>
      <c r="LXC66" s="64"/>
      <c r="LXD66" s="66"/>
      <c r="LXE66" s="73"/>
      <c r="LXF66" s="63"/>
      <c r="LXG66" s="64"/>
      <c r="LXH66" s="66"/>
      <c r="LXI66" s="73"/>
      <c r="LXJ66" s="63"/>
      <c r="LXK66" s="64"/>
      <c r="LXL66" s="66"/>
      <c r="LXM66" s="73"/>
      <c r="LXN66" s="63"/>
      <c r="LXO66" s="64"/>
      <c r="LXP66" s="66"/>
      <c r="LXQ66" s="73"/>
      <c r="LXR66" s="63"/>
      <c r="LXS66" s="64"/>
      <c r="LXT66" s="66"/>
      <c r="LXU66" s="73"/>
      <c r="LXV66" s="63"/>
      <c r="LXW66" s="64"/>
      <c r="LXX66" s="66"/>
      <c r="LXY66" s="73"/>
      <c r="LXZ66" s="63"/>
      <c r="LYA66" s="64"/>
      <c r="LYB66" s="66"/>
      <c r="LYC66" s="73"/>
      <c r="LYD66" s="63"/>
      <c r="LYE66" s="64"/>
      <c r="LYF66" s="66"/>
      <c r="LYG66" s="73"/>
      <c r="LYH66" s="63"/>
      <c r="LYI66" s="64"/>
      <c r="LYJ66" s="66"/>
      <c r="LYK66" s="73"/>
      <c r="LYL66" s="63"/>
      <c r="LYM66" s="64"/>
      <c r="LYN66" s="66"/>
      <c r="LYO66" s="73"/>
      <c r="LYP66" s="63"/>
      <c r="LYQ66" s="64"/>
      <c r="LYR66" s="66"/>
      <c r="LYS66" s="73"/>
      <c r="LYT66" s="63"/>
      <c r="LYU66" s="64"/>
      <c r="LYV66" s="66"/>
      <c r="LYW66" s="73"/>
      <c r="LYX66" s="63"/>
      <c r="LYY66" s="64"/>
      <c r="LYZ66" s="66"/>
      <c r="LZA66" s="73"/>
      <c r="LZB66" s="63"/>
      <c r="LZC66" s="64"/>
      <c r="LZD66" s="66"/>
      <c r="LZE66" s="73"/>
      <c r="LZF66" s="63"/>
      <c r="LZG66" s="64"/>
      <c r="LZH66" s="66"/>
      <c r="LZI66" s="73"/>
      <c r="LZJ66" s="63"/>
      <c r="LZK66" s="64"/>
      <c r="LZL66" s="66"/>
      <c r="LZM66" s="73"/>
      <c r="LZN66" s="63"/>
      <c r="LZO66" s="64"/>
      <c r="LZP66" s="66"/>
      <c r="LZQ66" s="73"/>
      <c r="LZR66" s="63"/>
      <c r="LZS66" s="64"/>
      <c r="LZT66" s="66"/>
      <c r="LZU66" s="73"/>
      <c r="LZV66" s="63"/>
      <c r="LZW66" s="64"/>
      <c r="LZX66" s="66"/>
      <c r="LZY66" s="73"/>
      <c r="LZZ66" s="63"/>
      <c r="MAA66" s="64"/>
      <c r="MAB66" s="66"/>
      <c r="MAC66" s="73"/>
      <c r="MAD66" s="63"/>
      <c r="MAE66" s="64"/>
      <c r="MAF66" s="66"/>
      <c r="MAG66" s="73"/>
      <c r="MAH66" s="63"/>
      <c r="MAI66" s="64"/>
      <c r="MAJ66" s="66"/>
      <c r="MAK66" s="73"/>
      <c r="MAL66" s="63"/>
      <c r="MAM66" s="64"/>
      <c r="MAN66" s="66"/>
      <c r="MAO66" s="73"/>
      <c r="MAP66" s="63"/>
      <c r="MAQ66" s="64"/>
      <c r="MAR66" s="66"/>
      <c r="MAS66" s="73"/>
      <c r="MAT66" s="63"/>
      <c r="MAU66" s="64"/>
      <c r="MAV66" s="66"/>
      <c r="MAW66" s="73"/>
      <c r="MAX66" s="63"/>
      <c r="MAY66" s="64"/>
      <c r="MAZ66" s="66"/>
      <c r="MBA66" s="73"/>
      <c r="MBB66" s="63"/>
      <c r="MBC66" s="64"/>
      <c r="MBD66" s="66"/>
      <c r="MBE66" s="73"/>
      <c r="MBF66" s="63"/>
      <c r="MBG66" s="64"/>
      <c r="MBH66" s="66"/>
      <c r="MBI66" s="73"/>
      <c r="MBJ66" s="63"/>
      <c r="MBK66" s="64"/>
      <c r="MBL66" s="66"/>
      <c r="MBM66" s="73"/>
      <c r="MBN66" s="63"/>
      <c r="MBO66" s="64"/>
      <c r="MBP66" s="66"/>
      <c r="MBQ66" s="73"/>
      <c r="MBR66" s="63"/>
      <c r="MBS66" s="64"/>
      <c r="MBT66" s="66"/>
      <c r="MBU66" s="73"/>
      <c r="MBV66" s="63"/>
      <c r="MBW66" s="64"/>
      <c r="MBX66" s="66"/>
      <c r="MBY66" s="73"/>
      <c r="MBZ66" s="63"/>
      <c r="MCA66" s="64"/>
      <c r="MCB66" s="66"/>
      <c r="MCC66" s="73"/>
      <c r="MCD66" s="63"/>
      <c r="MCE66" s="64"/>
      <c r="MCF66" s="66"/>
      <c r="MCG66" s="73"/>
      <c r="MCH66" s="63"/>
      <c r="MCI66" s="64"/>
      <c r="MCJ66" s="66"/>
      <c r="MCK66" s="73"/>
      <c r="MCL66" s="63"/>
      <c r="MCM66" s="64"/>
      <c r="MCN66" s="66"/>
      <c r="MCO66" s="73"/>
      <c r="MCP66" s="63"/>
      <c r="MCQ66" s="64"/>
      <c r="MCR66" s="66"/>
      <c r="MCS66" s="73"/>
      <c r="MCT66" s="63"/>
      <c r="MCU66" s="64"/>
      <c r="MCV66" s="66"/>
      <c r="MCW66" s="73"/>
      <c r="MCX66" s="63"/>
      <c r="MCY66" s="64"/>
      <c r="MCZ66" s="66"/>
      <c r="MDA66" s="73"/>
      <c r="MDB66" s="63"/>
      <c r="MDC66" s="64"/>
      <c r="MDD66" s="66"/>
      <c r="MDE66" s="73"/>
      <c r="MDF66" s="63"/>
      <c r="MDG66" s="64"/>
      <c r="MDH66" s="66"/>
      <c r="MDI66" s="73"/>
      <c r="MDJ66" s="63"/>
      <c r="MDK66" s="64"/>
      <c r="MDL66" s="66"/>
      <c r="MDM66" s="73"/>
      <c r="MDN66" s="63"/>
      <c r="MDO66" s="64"/>
      <c r="MDP66" s="66"/>
      <c r="MDQ66" s="73"/>
      <c r="MDR66" s="63"/>
      <c r="MDS66" s="64"/>
      <c r="MDT66" s="66"/>
      <c r="MDU66" s="73"/>
      <c r="MDV66" s="63"/>
      <c r="MDW66" s="64"/>
      <c r="MDX66" s="66"/>
      <c r="MDY66" s="73"/>
      <c r="MDZ66" s="63"/>
      <c r="MEA66" s="64"/>
      <c r="MEB66" s="66"/>
      <c r="MEC66" s="73"/>
      <c r="MED66" s="63"/>
      <c r="MEE66" s="64"/>
      <c r="MEF66" s="66"/>
      <c r="MEG66" s="73"/>
      <c r="MEH66" s="63"/>
      <c r="MEI66" s="64"/>
      <c r="MEJ66" s="66"/>
      <c r="MEK66" s="73"/>
      <c r="MEL66" s="63"/>
      <c r="MEM66" s="64"/>
      <c r="MEN66" s="66"/>
      <c r="MEO66" s="73"/>
      <c r="MEP66" s="63"/>
      <c r="MEQ66" s="64"/>
      <c r="MER66" s="66"/>
      <c r="MES66" s="73"/>
      <c r="MET66" s="63"/>
      <c r="MEU66" s="64"/>
      <c r="MEV66" s="66"/>
      <c r="MEW66" s="73"/>
      <c r="MEX66" s="63"/>
      <c r="MEY66" s="64"/>
      <c r="MEZ66" s="66"/>
      <c r="MFA66" s="73"/>
      <c r="MFB66" s="63"/>
      <c r="MFC66" s="64"/>
      <c r="MFD66" s="66"/>
      <c r="MFE66" s="73"/>
      <c r="MFF66" s="63"/>
      <c r="MFG66" s="64"/>
      <c r="MFH66" s="66"/>
      <c r="MFI66" s="73"/>
      <c r="MFJ66" s="63"/>
      <c r="MFK66" s="64"/>
      <c r="MFL66" s="66"/>
      <c r="MFM66" s="73"/>
      <c r="MFN66" s="63"/>
      <c r="MFO66" s="64"/>
      <c r="MFP66" s="66"/>
      <c r="MFQ66" s="73"/>
      <c r="MFR66" s="63"/>
      <c r="MFS66" s="64"/>
      <c r="MFT66" s="66"/>
      <c r="MFU66" s="73"/>
      <c r="MFV66" s="63"/>
      <c r="MFW66" s="64"/>
      <c r="MFX66" s="66"/>
      <c r="MFY66" s="73"/>
      <c r="MFZ66" s="63"/>
      <c r="MGA66" s="64"/>
      <c r="MGB66" s="66"/>
      <c r="MGC66" s="73"/>
      <c r="MGD66" s="63"/>
      <c r="MGE66" s="64"/>
      <c r="MGF66" s="66"/>
      <c r="MGG66" s="73"/>
      <c r="MGH66" s="63"/>
      <c r="MGI66" s="64"/>
      <c r="MGJ66" s="66"/>
      <c r="MGK66" s="73"/>
      <c r="MGL66" s="63"/>
      <c r="MGM66" s="64"/>
      <c r="MGN66" s="66"/>
      <c r="MGO66" s="73"/>
      <c r="MGP66" s="63"/>
      <c r="MGQ66" s="64"/>
      <c r="MGR66" s="66"/>
      <c r="MGS66" s="73"/>
      <c r="MGT66" s="63"/>
      <c r="MGU66" s="64"/>
      <c r="MGV66" s="66"/>
      <c r="MGW66" s="73"/>
      <c r="MGX66" s="63"/>
      <c r="MGY66" s="64"/>
      <c r="MGZ66" s="66"/>
      <c r="MHA66" s="73"/>
      <c r="MHB66" s="63"/>
      <c r="MHC66" s="64"/>
      <c r="MHD66" s="66"/>
      <c r="MHE66" s="73"/>
      <c r="MHF66" s="63"/>
      <c r="MHG66" s="64"/>
      <c r="MHH66" s="66"/>
      <c r="MHI66" s="73"/>
      <c r="MHJ66" s="63"/>
      <c r="MHK66" s="64"/>
      <c r="MHL66" s="66"/>
      <c r="MHM66" s="73"/>
      <c r="MHN66" s="63"/>
      <c r="MHO66" s="64"/>
      <c r="MHP66" s="66"/>
      <c r="MHQ66" s="73"/>
      <c r="MHR66" s="63"/>
      <c r="MHS66" s="64"/>
      <c r="MHT66" s="66"/>
      <c r="MHU66" s="73"/>
      <c r="MHV66" s="63"/>
      <c r="MHW66" s="64"/>
      <c r="MHX66" s="66"/>
      <c r="MHY66" s="73"/>
      <c r="MHZ66" s="63"/>
      <c r="MIA66" s="64"/>
      <c r="MIB66" s="66"/>
      <c r="MIC66" s="73"/>
      <c r="MID66" s="63"/>
      <c r="MIE66" s="64"/>
      <c r="MIF66" s="66"/>
      <c r="MIG66" s="73"/>
      <c r="MIH66" s="63"/>
      <c r="MII66" s="64"/>
      <c r="MIJ66" s="66"/>
      <c r="MIK66" s="73"/>
      <c r="MIL66" s="63"/>
      <c r="MIM66" s="64"/>
      <c r="MIN66" s="66"/>
      <c r="MIO66" s="73"/>
      <c r="MIP66" s="63"/>
      <c r="MIQ66" s="64"/>
      <c r="MIR66" s="66"/>
      <c r="MIS66" s="73"/>
      <c r="MIT66" s="63"/>
      <c r="MIU66" s="64"/>
      <c r="MIV66" s="66"/>
      <c r="MIW66" s="73"/>
      <c r="MIX66" s="63"/>
      <c r="MIY66" s="64"/>
      <c r="MIZ66" s="66"/>
      <c r="MJA66" s="73"/>
      <c r="MJB66" s="63"/>
      <c r="MJC66" s="64"/>
      <c r="MJD66" s="66"/>
      <c r="MJE66" s="73"/>
      <c r="MJF66" s="63"/>
      <c r="MJG66" s="64"/>
      <c r="MJH66" s="66"/>
      <c r="MJI66" s="73"/>
      <c r="MJJ66" s="63"/>
      <c r="MJK66" s="64"/>
      <c r="MJL66" s="66"/>
      <c r="MJM66" s="73"/>
      <c r="MJN66" s="63"/>
      <c r="MJO66" s="64"/>
      <c r="MJP66" s="66"/>
      <c r="MJQ66" s="73"/>
      <c r="MJR66" s="63"/>
      <c r="MJS66" s="64"/>
      <c r="MJT66" s="66"/>
      <c r="MJU66" s="73"/>
      <c r="MJV66" s="63"/>
      <c r="MJW66" s="64"/>
      <c r="MJX66" s="66"/>
      <c r="MJY66" s="73"/>
      <c r="MJZ66" s="63"/>
      <c r="MKA66" s="64"/>
      <c r="MKB66" s="66"/>
      <c r="MKC66" s="73"/>
      <c r="MKD66" s="63"/>
      <c r="MKE66" s="64"/>
      <c r="MKF66" s="66"/>
      <c r="MKG66" s="73"/>
      <c r="MKH66" s="63"/>
      <c r="MKI66" s="64"/>
      <c r="MKJ66" s="66"/>
      <c r="MKK66" s="73"/>
      <c r="MKL66" s="63"/>
      <c r="MKM66" s="64"/>
      <c r="MKN66" s="66"/>
      <c r="MKO66" s="73"/>
      <c r="MKP66" s="63"/>
      <c r="MKQ66" s="64"/>
      <c r="MKR66" s="66"/>
      <c r="MKS66" s="73"/>
      <c r="MKT66" s="63"/>
      <c r="MKU66" s="64"/>
      <c r="MKV66" s="66"/>
      <c r="MKW66" s="73"/>
      <c r="MKX66" s="63"/>
      <c r="MKY66" s="64"/>
      <c r="MKZ66" s="66"/>
      <c r="MLA66" s="73"/>
      <c r="MLB66" s="63"/>
      <c r="MLC66" s="64"/>
      <c r="MLD66" s="66"/>
      <c r="MLE66" s="73"/>
      <c r="MLF66" s="63"/>
      <c r="MLG66" s="64"/>
      <c r="MLH66" s="66"/>
      <c r="MLI66" s="73"/>
      <c r="MLJ66" s="63"/>
      <c r="MLK66" s="64"/>
      <c r="MLL66" s="66"/>
      <c r="MLM66" s="73"/>
      <c r="MLN66" s="63"/>
      <c r="MLO66" s="64"/>
      <c r="MLP66" s="66"/>
      <c r="MLQ66" s="73"/>
      <c r="MLR66" s="63"/>
      <c r="MLS66" s="64"/>
      <c r="MLT66" s="66"/>
      <c r="MLU66" s="73"/>
      <c r="MLV66" s="63"/>
      <c r="MLW66" s="64"/>
      <c r="MLX66" s="66"/>
      <c r="MLY66" s="73"/>
      <c r="MLZ66" s="63"/>
      <c r="MMA66" s="64"/>
      <c r="MMB66" s="66"/>
      <c r="MMC66" s="73"/>
      <c r="MMD66" s="63"/>
      <c r="MME66" s="64"/>
      <c r="MMF66" s="66"/>
      <c r="MMG66" s="73"/>
      <c r="MMH66" s="63"/>
      <c r="MMI66" s="64"/>
      <c r="MMJ66" s="66"/>
      <c r="MMK66" s="73"/>
      <c r="MML66" s="63"/>
      <c r="MMM66" s="64"/>
      <c r="MMN66" s="66"/>
      <c r="MMO66" s="73"/>
      <c r="MMP66" s="63"/>
      <c r="MMQ66" s="64"/>
      <c r="MMR66" s="66"/>
      <c r="MMS66" s="73"/>
      <c r="MMT66" s="63"/>
      <c r="MMU66" s="64"/>
      <c r="MMV66" s="66"/>
      <c r="MMW66" s="73"/>
      <c r="MMX66" s="63"/>
      <c r="MMY66" s="64"/>
      <c r="MMZ66" s="66"/>
      <c r="MNA66" s="73"/>
      <c r="MNB66" s="63"/>
      <c r="MNC66" s="64"/>
      <c r="MND66" s="66"/>
      <c r="MNE66" s="73"/>
      <c r="MNF66" s="63"/>
      <c r="MNG66" s="64"/>
      <c r="MNH66" s="66"/>
      <c r="MNI66" s="73"/>
      <c r="MNJ66" s="63"/>
      <c r="MNK66" s="64"/>
      <c r="MNL66" s="66"/>
      <c r="MNM66" s="73"/>
      <c r="MNN66" s="63"/>
      <c r="MNO66" s="64"/>
      <c r="MNP66" s="66"/>
      <c r="MNQ66" s="73"/>
      <c r="MNR66" s="63"/>
      <c r="MNS66" s="64"/>
      <c r="MNT66" s="66"/>
      <c r="MNU66" s="73"/>
      <c r="MNV66" s="63"/>
      <c r="MNW66" s="64"/>
      <c r="MNX66" s="66"/>
      <c r="MNY66" s="73"/>
      <c r="MNZ66" s="63"/>
      <c r="MOA66" s="64"/>
      <c r="MOB66" s="66"/>
      <c r="MOC66" s="73"/>
      <c r="MOD66" s="63"/>
      <c r="MOE66" s="64"/>
      <c r="MOF66" s="66"/>
      <c r="MOG66" s="73"/>
      <c r="MOH66" s="63"/>
      <c r="MOI66" s="64"/>
      <c r="MOJ66" s="66"/>
      <c r="MOK66" s="73"/>
      <c r="MOL66" s="63"/>
      <c r="MOM66" s="64"/>
      <c r="MON66" s="66"/>
      <c r="MOO66" s="73"/>
      <c r="MOP66" s="63"/>
      <c r="MOQ66" s="64"/>
      <c r="MOR66" s="66"/>
      <c r="MOS66" s="73"/>
      <c r="MOT66" s="63"/>
      <c r="MOU66" s="64"/>
      <c r="MOV66" s="66"/>
      <c r="MOW66" s="73"/>
      <c r="MOX66" s="63"/>
      <c r="MOY66" s="64"/>
      <c r="MOZ66" s="66"/>
      <c r="MPA66" s="73"/>
      <c r="MPB66" s="63"/>
      <c r="MPC66" s="64"/>
      <c r="MPD66" s="66"/>
      <c r="MPE66" s="73"/>
      <c r="MPF66" s="63"/>
      <c r="MPG66" s="64"/>
      <c r="MPH66" s="66"/>
      <c r="MPI66" s="73"/>
      <c r="MPJ66" s="63"/>
      <c r="MPK66" s="64"/>
      <c r="MPL66" s="66"/>
      <c r="MPM66" s="73"/>
      <c r="MPN66" s="63"/>
      <c r="MPO66" s="64"/>
      <c r="MPP66" s="66"/>
      <c r="MPQ66" s="73"/>
      <c r="MPR66" s="63"/>
      <c r="MPS66" s="64"/>
      <c r="MPT66" s="66"/>
      <c r="MPU66" s="73"/>
      <c r="MPV66" s="63"/>
      <c r="MPW66" s="64"/>
      <c r="MPX66" s="66"/>
      <c r="MPY66" s="73"/>
      <c r="MPZ66" s="63"/>
      <c r="MQA66" s="64"/>
      <c r="MQB66" s="66"/>
      <c r="MQC66" s="73"/>
      <c r="MQD66" s="63"/>
      <c r="MQE66" s="64"/>
      <c r="MQF66" s="66"/>
      <c r="MQG66" s="73"/>
      <c r="MQH66" s="63"/>
      <c r="MQI66" s="64"/>
      <c r="MQJ66" s="66"/>
      <c r="MQK66" s="73"/>
      <c r="MQL66" s="63"/>
      <c r="MQM66" s="64"/>
      <c r="MQN66" s="66"/>
      <c r="MQO66" s="73"/>
      <c r="MQP66" s="63"/>
      <c r="MQQ66" s="64"/>
      <c r="MQR66" s="66"/>
      <c r="MQS66" s="73"/>
      <c r="MQT66" s="63"/>
      <c r="MQU66" s="64"/>
      <c r="MQV66" s="66"/>
      <c r="MQW66" s="73"/>
      <c r="MQX66" s="63"/>
      <c r="MQY66" s="64"/>
      <c r="MQZ66" s="66"/>
      <c r="MRA66" s="73"/>
      <c r="MRB66" s="63"/>
      <c r="MRC66" s="64"/>
      <c r="MRD66" s="66"/>
      <c r="MRE66" s="73"/>
      <c r="MRF66" s="63"/>
      <c r="MRG66" s="64"/>
      <c r="MRH66" s="66"/>
      <c r="MRI66" s="73"/>
      <c r="MRJ66" s="63"/>
      <c r="MRK66" s="64"/>
      <c r="MRL66" s="66"/>
      <c r="MRM66" s="73"/>
      <c r="MRN66" s="63"/>
      <c r="MRO66" s="64"/>
      <c r="MRP66" s="66"/>
      <c r="MRQ66" s="73"/>
      <c r="MRR66" s="63"/>
      <c r="MRS66" s="64"/>
      <c r="MRT66" s="66"/>
      <c r="MRU66" s="73"/>
      <c r="MRV66" s="63"/>
      <c r="MRW66" s="64"/>
      <c r="MRX66" s="66"/>
      <c r="MRY66" s="73"/>
      <c r="MRZ66" s="63"/>
      <c r="MSA66" s="64"/>
      <c r="MSB66" s="66"/>
      <c r="MSC66" s="73"/>
      <c r="MSD66" s="63"/>
      <c r="MSE66" s="64"/>
      <c r="MSF66" s="66"/>
      <c r="MSG66" s="73"/>
      <c r="MSH66" s="63"/>
      <c r="MSI66" s="64"/>
      <c r="MSJ66" s="66"/>
      <c r="MSK66" s="73"/>
      <c r="MSL66" s="63"/>
      <c r="MSM66" s="64"/>
      <c r="MSN66" s="66"/>
      <c r="MSO66" s="73"/>
      <c r="MSP66" s="63"/>
      <c r="MSQ66" s="64"/>
      <c r="MSR66" s="66"/>
      <c r="MSS66" s="73"/>
      <c r="MST66" s="63"/>
      <c r="MSU66" s="64"/>
      <c r="MSV66" s="66"/>
      <c r="MSW66" s="73"/>
      <c r="MSX66" s="63"/>
      <c r="MSY66" s="64"/>
      <c r="MSZ66" s="66"/>
      <c r="MTA66" s="73"/>
      <c r="MTB66" s="63"/>
      <c r="MTC66" s="64"/>
      <c r="MTD66" s="66"/>
      <c r="MTE66" s="73"/>
      <c r="MTF66" s="63"/>
      <c r="MTG66" s="64"/>
      <c r="MTH66" s="66"/>
      <c r="MTI66" s="73"/>
      <c r="MTJ66" s="63"/>
      <c r="MTK66" s="64"/>
      <c r="MTL66" s="66"/>
      <c r="MTM66" s="73"/>
      <c r="MTN66" s="63"/>
      <c r="MTO66" s="64"/>
      <c r="MTP66" s="66"/>
      <c r="MTQ66" s="73"/>
      <c r="MTR66" s="63"/>
      <c r="MTS66" s="64"/>
      <c r="MTT66" s="66"/>
      <c r="MTU66" s="73"/>
      <c r="MTV66" s="63"/>
      <c r="MTW66" s="64"/>
      <c r="MTX66" s="66"/>
      <c r="MTY66" s="73"/>
      <c r="MTZ66" s="63"/>
      <c r="MUA66" s="64"/>
      <c r="MUB66" s="66"/>
      <c r="MUC66" s="73"/>
      <c r="MUD66" s="63"/>
      <c r="MUE66" s="64"/>
      <c r="MUF66" s="66"/>
      <c r="MUG66" s="73"/>
      <c r="MUH66" s="63"/>
      <c r="MUI66" s="64"/>
      <c r="MUJ66" s="66"/>
      <c r="MUK66" s="73"/>
      <c r="MUL66" s="63"/>
      <c r="MUM66" s="64"/>
      <c r="MUN66" s="66"/>
      <c r="MUO66" s="73"/>
      <c r="MUP66" s="63"/>
      <c r="MUQ66" s="64"/>
      <c r="MUR66" s="66"/>
      <c r="MUS66" s="73"/>
      <c r="MUT66" s="63"/>
      <c r="MUU66" s="64"/>
      <c r="MUV66" s="66"/>
      <c r="MUW66" s="73"/>
      <c r="MUX66" s="63"/>
      <c r="MUY66" s="64"/>
      <c r="MUZ66" s="66"/>
      <c r="MVA66" s="73"/>
      <c r="MVB66" s="63"/>
      <c r="MVC66" s="64"/>
      <c r="MVD66" s="66"/>
      <c r="MVE66" s="73"/>
      <c r="MVF66" s="63"/>
      <c r="MVG66" s="64"/>
      <c r="MVH66" s="66"/>
      <c r="MVI66" s="73"/>
      <c r="MVJ66" s="63"/>
      <c r="MVK66" s="64"/>
      <c r="MVL66" s="66"/>
      <c r="MVM66" s="73"/>
      <c r="MVN66" s="63"/>
      <c r="MVO66" s="64"/>
      <c r="MVP66" s="66"/>
      <c r="MVQ66" s="73"/>
      <c r="MVR66" s="63"/>
      <c r="MVS66" s="64"/>
      <c r="MVT66" s="66"/>
      <c r="MVU66" s="73"/>
      <c r="MVV66" s="63"/>
      <c r="MVW66" s="64"/>
      <c r="MVX66" s="66"/>
      <c r="MVY66" s="73"/>
      <c r="MVZ66" s="63"/>
      <c r="MWA66" s="64"/>
      <c r="MWB66" s="66"/>
      <c r="MWC66" s="73"/>
      <c r="MWD66" s="63"/>
      <c r="MWE66" s="64"/>
      <c r="MWF66" s="66"/>
      <c r="MWG66" s="73"/>
      <c r="MWH66" s="63"/>
      <c r="MWI66" s="64"/>
      <c r="MWJ66" s="66"/>
      <c r="MWK66" s="73"/>
      <c r="MWL66" s="63"/>
      <c r="MWM66" s="64"/>
      <c r="MWN66" s="66"/>
      <c r="MWO66" s="73"/>
      <c r="MWP66" s="63"/>
      <c r="MWQ66" s="64"/>
      <c r="MWR66" s="66"/>
      <c r="MWS66" s="73"/>
      <c r="MWT66" s="63"/>
      <c r="MWU66" s="64"/>
      <c r="MWV66" s="66"/>
      <c r="MWW66" s="73"/>
      <c r="MWX66" s="63"/>
      <c r="MWY66" s="64"/>
      <c r="MWZ66" s="66"/>
      <c r="MXA66" s="73"/>
      <c r="MXB66" s="63"/>
      <c r="MXC66" s="64"/>
      <c r="MXD66" s="66"/>
      <c r="MXE66" s="73"/>
      <c r="MXF66" s="63"/>
      <c r="MXG66" s="64"/>
      <c r="MXH66" s="66"/>
      <c r="MXI66" s="73"/>
      <c r="MXJ66" s="63"/>
      <c r="MXK66" s="64"/>
      <c r="MXL66" s="66"/>
      <c r="MXM66" s="73"/>
      <c r="MXN66" s="63"/>
      <c r="MXO66" s="64"/>
      <c r="MXP66" s="66"/>
      <c r="MXQ66" s="73"/>
      <c r="MXR66" s="63"/>
      <c r="MXS66" s="64"/>
      <c r="MXT66" s="66"/>
      <c r="MXU66" s="73"/>
      <c r="MXV66" s="63"/>
      <c r="MXW66" s="64"/>
      <c r="MXX66" s="66"/>
      <c r="MXY66" s="73"/>
      <c r="MXZ66" s="63"/>
      <c r="MYA66" s="64"/>
      <c r="MYB66" s="66"/>
      <c r="MYC66" s="73"/>
      <c r="MYD66" s="63"/>
      <c r="MYE66" s="64"/>
      <c r="MYF66" s="66"/>
      <c r="MYG66" s="73"/>
      <c r="MYH66" s="63"/>
      <c r="MYI66" s="64"/>
      <c r="MYJ66" s="66"/>
      <c r="MYK66" s="73"/>
      <c r="MYL66" s="63"/>
      <c r="MYM66" s="64"/>
      <c r="MYN66" s="66"/>
      <c r="MYO66" s="73"/>
      <c r="MYP66" s="63"/>
      <c r="MYQ66" s="64"/>
      <c r="MYR66" s="66"/>
      <c r="MYS66" s="73"/>
      <c r="MYT66" s="63"/>
      <c r="MYU66" s="64"/>
      <c r="MYV66" s="66"/>
      <c r="MYW66" s="73"/>
      <c r="MYX66" s="63"/>
      <c r="MYY66" s="64"/>
      <c r="MYZ66" s="66"/>
      <c r="MZA66" s="73"/>
      <c r="MZB66" s="63"/>
      <c r="MZC66" s="64"/>
      <c r="MZD66" s="66"/>
      <c r="MZE66" s="73"/>
      <c r="MZF66" s="63"/>
      <c r="MZG66" s="64"/>
      <c r="MZH66" s="66"/>
      <c r="MZI66" s="73"/>
      <c r="MZJ66" s="63"/>
      <c r="MZK66" s="64"/>
      <c r="MZL66" s="66"/>
      <c r="MZM66" s="73"/>
      <c r="MZN66" s="63"/>
      <c r="MZO66" s="64"/>
      <c r="MZP66" s="66"/>
      <c r="MZQ66" s="73"/>
      <c r="MZR66" s="63"/>
      <c r="MZS66" s="64"/>
      <c r="MZT66" s="66"/>
      <c r="MZU66" s="73"/>
      <c r="MZV66" s="63"/>
      <c r="MZW66" s="64"/>
      <c r="MZX66" s="66"/>
      <c r="MZY66" s="73"/>
      <c r="MZZ66" s="63"/>
      <c r="NAA66" s="64"/>
      <c r="NAB66" s="66"/>
      <c r="NAC66" s="73"/>
      <c r="NAD66" s="63"/>
      <c r="NAE66" s="64"/>
      <c r="NAF66" s="66"/>
      <c r="NAG66" s="73"/>
      <c r="NAH66" s="63"/>
      <c r="NAI66" s="64"/>
      <c r="NAJ66" s="66"/>
      <c r="NAK66" s="73"/>
      <c r="NAL66" s="63"/>
      <c r="NAM66" s="64"/>
      <c r="NAN66" s="66"/>
      <c r="NAO66" s="73"/>
      <c r="NAP66" s="63"/>
      <c r="NAQ66" s="64"/>
      <c r="NAR66" s="66"/>
      <c r="NAS66" s="73"/>
      <c r="NAT66" s="63"/>
      <c r="NAU66" s="64"/>
      <c r="NAV66" s="66"/>
      <c r="NAW66" s="73"/>
      <c r="NAX66" s="63"/>
      <c r="NAY66" s="64"/>
      <c r="NAZ66" s="66"/>
      <c r="NBA66" s="73"/>
      <c r="NBB66" s="63"/>
      <c r="NBC66" s="64"/>
      <c r="NBD66" s="66"/>
      <c r="NBE66" s="73"/>
      <c r="NBF66" s="63"/>
      <c r="NBG66" s="64"/>
      <c r="NBH66" s="66"/>
      <c r="NBI66" s="73"/>
      <c r="NBJ66" s="63"/>
      <c r="NBK66" s="64"/>
      <c r="NBL66" s="66"/>
      <c r="NBM66" s="73"/>
      <c r="NBN66" s="63"/>
      <c r="NBO66" s="64"/>
      <c r="NBP66" s="66"/>
      <c r="NBQ66" s="73"/>
      <c r="NBR66" s="63"/>
      <c r="NBS66" s="64"/>
      <c r="NBT66" s="66"/>
      <c r="NBU66" s="73"/>
      <c r="NBV66" s="63"/>
      <c r="NBW66" s="64"/>
      <c r="NBX66" s="66"/>
      <c r="NBY66" s="73"/>
      <c r="NBZ66" s="63"/>
      <c r="NCA66" s="64"/>
      <c r="NCB66" s="66"/>
      <c r="NCC66" s="73"/>
      <c r="NCD66" s="63"/>
      <c r="NCE66" s="64"/>
      <c r="NCF66" s="66"/>
      <c r="NCG66" s="73"/>
      <c r="NCH66" s="63"/>
      <c r="NCI66" s="64"/>
      <c r="NCJ66" s="66"/>
      <c r="NCK66" s="73"/>
      <c r="NCL66" s="63"/>
      <c r="NCM66" s="64"/>
      <c r="NCN66" s="66"/>
      <c r="NCO66" s="73"/>
      <c r="NCP66" s="63"/>
      <c r="NCQ66" s="64"/>
      <c r="NCR66" s="66"/>
      <c r="NCS66" s="73"/>
      <c r="NCT66" s="63"/>
      <c r="NCU66" s="64"/>
      <c r="NCV66" s="66"/>
      <c r="NCW66" s="73"/>
      <c r="NCX66" s="63"/>
      <c r="NCY66" s="64"/>
      <c r="NCZ66" s="66"/>
      <c r="NDA66" s="73"/>
      <c r="NDB66" s="63"/>
      <c r="NDC66" s="64"/>
      <c r="NDD66" s="66"/>
      <c r="NDE66" s="73"/>
      <c r="NDF66" s="63"/>
      <c r="NDG66" s="64"/>
      <c r="NDH66" s="66"/>
      <c r="NDI66" s="73"/>
      <c r="NDJ66" s="63"/>
      <c r="NDK66" s="64"/>
      <c r="NDL66" s="66"/>
      <c r="NDM66" s="73"/>
      <c r="NDN66" s="63"/>
      <c r="NDO66" s="64"/>
      <c r="NDP66" s="66"/>
      <c r="NDQ66" s="73"/>
      <c r="NDR66" s="63"/>
      <c r="NDS66" s="64"/>
      <c r="NDT66" s="66"/>
      <c r="NDU66" s="73"/>
      <c r="NDV66" s="63"/>
      <c r="NDW66" s="64"/>
      <c r="NDX66" s="66"/>
      <c r="NDY66" s="73"/>
      <c r="NDZ66" s="63"/>
      <c r="NEA66" s="64"/>
      <c r="NEB66" s="66"/>
      <c r="NEC66" s="73"/>
      <c r="NED66" s="63"/>
      <c r="NEE66" s="64"/>
      <c r="NEF66" s="66"/>
      <c r="NEG66" s="73"/>
      <c r="NEH66" s="63"/>
      <c r="NEI66" s="64"/>
      <c r="NEJ66" s="66"/>
      <c r="NEK66" s="73"/>
      <c r="NEL66" s="63"/>
      <c r="NEM66" s="64"/>
      <c r="NEN66" s="66"/>
      <c r="NEO66" s="73"/>
      <c r="NEP66" s="63"/>
      <c r="NEQ66" s="64"/>
      <c r="NER66" s="66"/>
      <c r="NES66" s="73"/>
      <c r="NET66" s="63"/>
      <c r="NEU66" s="64"/>
      <c r="NEV66" s="66"/>
      <c r="NEW66" s="73"/>
      <c r="NEX66" s="63"/>
      <c r="NEY66" s="64"/>
      <c r="NEZ66" s="66"/>
      <c r="NFA66" s="73"/>
      <c r="NFB66" s="63"/>
      <c r="NFC66" s="64"/>
      <c r="NFD66" s="66"/>
      <c r="NFE66" s="73"/>
      <c r="NFF66" s="63"/>
      <c r="NFG66" s="64"/>
      <c r="NFH66" s="66"/>
      <c r="NFI66" s="73"/>
      <c r="NFJ66" s="63"/>
      <c r="NFK66" s="64"/>
      <c r="NFL66" s="66"/>
      <c r="NFM66" s="73"/>
      <c r="NFN66" s="63"/>
      <c r="NFO66" s="64"/>
      <c r="NFP66" s="66"/>
      <c r="NFQ66" s="73"/>
      <c r="NFR66" s="63"/>
      <c r="NFS66" s="64"/>
      <c r="NFT66" s="66"/>
      <c r="NFU66" s="73"/>
      <c r="NFV66" s="63"/>
      <c r="NFW66" s="64"/>
      <c r="NFX66" s="66"/>
      <c r="NFY66" s="73"/>
      <c r="NFZ66" s="63"/>
      <c r="NGA66" s="64"/>
      <c r="NGB66" s="66"/>
      <c r="NGC66" s="73"/>
      <c r="NGD66" s="63"/>
      <c r="NGE66" s="64"/>
      <c r="NGF66" s="66"/>
      <c r="NGG66" s="73"/>
      <c r="NGH66" s="63"/>
      <c r="NGI66" s="64"/>
      <c r="NGJ66" s="66"/>
      <c r="NGK66" s="73"/>
      <c r="NGL66" s="63"/>
      <c r="NGM66" s="64"/>
      <c r="NGN66" s="66"/>
      <c r="NGO66" s="73"/>
      <c r="NGP66" s="63"/>
      <c r="NGQ66" s="64"/>
      <c r="NGR66" s="66"/>
      <c r="NGS66" s="73"/>
      <c r="NGT66" s="63"/>
      <c r="NGU66" s="64"/>
      <c r="NGV66" s="66"/>
      <c r="NGW66" s="73"/>
      <c r="NGX66" s="63"/>
      <c r="NGY66" s="64"/>
      <c r="NGZ66" s="66"/>
      <c r="NHA66" s="73"/>
      <c r="NHB66" s="63"/>
      <c r="NHC66" s="64"/>
      <c r="NHD66" s="66"/>
      <c r="NHE66" s="73"/>
      <c r="NHF66" s="63"/>
      <c r="NHG66" s="64"/>
      <c r="NHH66" s="66"/>
      <c r="NHI66" s="73"/>
      <c r="NHJ66" s="63"/>
      <c r="NHK66" s="64"/>
      <c r="NHL66" s="66"/>
      <c r="NHM66" s="73"/>
      <c r="NHN66" s="63"/>
      <c r="NHO66" s="64"/>
      <c r="NHP66" s="66"/>
      <c r="NHQ66" s="73"/>
      <c r="NHR66" s="63"/>
      <c r="NHS66" s="64"/>
      <c r="NHT66" s="66"/>
      <c r="NHU66" s="73"/>
      <c r="NHV66" s="63"/>
      <c r="NHW66" s="64"/>
      <c r="NHX66" s="66"/>
      <c r="NHY66" s="73"/>
      <c r="NHZ66" s="63"/>
      <c r="NIA66" s="64"/>
      <c r="NIB66" s="66"/>
      <c r="NIC66" s="73"/>
      <c r="NID66" s="63"/>
      <c r="NIE66" s="64"/>
      <c r="NIF66" s="66"/>
      <c r="NIG66" s="73"/>
      <c r="NIH66" s="63"/>
      <c r="NII66" s="64"/>
      <c r="NIJ66" s="66"/>
      <c r="NIK66" s="73"/>
      <c r="NIL66" s="63"/>
      <c r="NIM66" s="64"/>
      <c r="NIN66" s="66"/>
      <c r="NIO66" s="73"/>
      <c r="NIP66" s="63"/>
      <c r="NIQ66" s="64"/>
      <c r="NIR66" s="66"/>
      <c r="NIS66" s="73"/>
      <c r="NIT66" s="63"/>
      <c r="NIU66" s="64"/>
      <c r="NIV66" s="66"/>
      <c r="NIW66" s="73"/>
      <c r="NIX66" s="63"/>
      <c r="NIY66" s="64"/>
      <c r="NIZ66" s="66"/>
      <c r="NJA66" s="73"/>
      <c r="NJB66" s="63"/>
      <c r="NJC66" s="64"/>
      <c r="NJD66" s="66"/>
      <c r="NJE66" s="73"/>
      <c r="NJF66" s="63"/>
      <c r="NJG66" s="64"/>
      <c r="NJH66" s="66"/>
      <c r="NJI66" s="73"/>
      <c r="NJJ66" s="63"/>
      <c r="NJK66" s="64"/>
      <c r="NJL66" s="66"/>
      <c r="NJM66" s="73"/>
      <c r="NJN66" s="63"/>
      <c r="NJO66" s="64"/>
      <c r="NJP66" s="66"/>
      <c r="NJQ66" s="73"/>
      <c r="NJR66" s="63"/>
      <c r="NJS66" s="64"/>
      <c r="NJT66" s="66"/>
      <c r="NJU66" s="73"/>
      <c r="NJV66" s="63"/>
      <c r="NJW66" s="64"/>
      <c r="NJX66" s="66"/>
      <c r="NJY66" s="73"/>
      <c r="NJZ66" s="63"/>
      <c r="NKA66" s="64"/>
      <c r="NKB66" s="66"/>
      <c r="NKC66" s="73"/>
      <c r="NKD66" s="63"/>
      <c r="NKE66" s="64"/>
      <c r="NKF66" s="66"/>
      <c r="NKG66" s="73"/>
      <c r="NKH66" s="63"/>
      <c r="NKI66" s="64"/>
      <c r="NKJ66" s="66"/>
      <c r="NKK66" s="73"/>
      <c r="NKL66" s="63"/>
      <c r="NKM66" s="64"/>
      <c r="NKN66" s="66"/>
      <c r="NKO66" s="73"/>
      <c r="NKP66" s="63"/>
      <c r="NKQ66" s="64"/>
      <c r="NKR66" s="66"/>
      <c r="NKS66" s="73"/>
      <c r="NKT66" s="63"/>
      <c r="NKU66" s="64"/>
      <c r="NKV66" s="66"/>
      <c r="NKW66" s="73"/>
      <c r="NKX66" s="63"/>
      <c r="NKY66" s="64"/>
      <c r="NKZ66" s="66"/>
      <c r="NLA66" s="73"/>
      <c r="NLB66" s="63"/>
      <c r="NLC66" s="64"/>
      <c r="NLD66" s="66"/>
      <c r="NLE66" s="73"/>
      <c r="NLF66" s="63"/>
      <c r="NLG66" s="64"/>
      <c r="NLH66" s="66"/>
      <c r="NLI66" s="73"/>
      <c r="NLJ66" s="63"/>
      <c r="NLK66" s="64"/>
      <c r="NLL66" s="66"/>
      <c r="NLM66" s="73"/>
      <c r="NLN66" s="63"/>
      <c r="NLO66" s="64"/>
      <c r="NLP66" s="66"/>
      <c r="NLQ66" s="73"/>
      <c r="NLR66" s="63"/>
      <c r="NLS66" s="64"/>
      <c r="NLT66" s="66"/>
      <c r="NLU66" s="73"/>
      <c r="NLV66" s="63"/>
      <c r="NLW66" s="64"/>
      <c r="NLX66" s="66"/>
      <c r="NLY66" s="73"/>
      <c r="NLZ66" s="63"/>
      <c r="NMA66" s="64"/>
      <c r="NMB66" s="66"/>
      <c r="NMC66" s="73"/>
      <c r="NMD66" s="63"/>
      <c r="NME66" s="64"/>
      <c r="NMF66" s="66"/>
      <c r="NMG66" s="73"/>
      <c r="NMH66" s="63"/>
      <c r="NMI66" s="64"/>
      <c r="NMJ66" s="66"/>
      <c r="NMK66" s="73"/>
      <c r="NML66" s="63"/>
      <c r="NMM66" s="64"/>
      <c r="NMN66" s="66"/>
      <c r="NMO66" s="73"/>
      <c r="NMP66" s="63"/>
      <c r="NMQ66" s="64"/>
      <c r="NMR66" s="66"/>
      <c r="NMS66" s="73"/>
      <c r="NMT66" s="63"/>
      <c r="NMU66" s="64"/>
      <c r="NMV66" s="66"/>
      <c r="NMW66" s="73"/>
      <c r="NMX66" s="63"/>
      <c r="NMY66" s="64"/>
      <c r="NMZ66" s="66"/>
      <c r="NNA66" s="73"/>
      <c r="NNB66" s="63"/>
      <c r="NNC66" s="64"/>
      <c r="NND66" s="66"/>
      <c r="NNE66" s="73"/>
      <c r="NNF66" s="63"/>
      <c r="NNG66" s="64"/>
      <c r="NNH66" s="66"/>
      <c r="NNI66" s="73"/>
      <c r="NNJ66" s="63"/>
      <c r="NNK66" s="64"/>
      <c r="NNL66" s="66"/>
      <c r="NNM66" s="73"/>
      <c r="NNN66" s="63"/>
      <c r="NNO66" s="64"/>
      <c r="NNP66" s="66"/>
      <c r="NNQ66" s="73"/>
      <c r="NNR66" s="63"/>
      <c r="NNS66" s="64"/>
      <c r="NNT66" s="66"/>
      <c r="NNU66" s="73"/>
      <c r="NNV66" s="63"/>
      <c r="NNW66" s="64"/>
      <c r="NNX66" s="66"/>
      <c r="NNY66" s="73"/>
      <c r="NNZ66" s="63"/>
      <c r="NOA66" s="64"/>
      <c r="NOB66" s="66"/>
      <c r="NOC66" s="73"/>
      <c r="NOD66" s="63"/>
      <c r="NOE66" s="64"/>
      <c r="NOF66" s="66"/>
      <c r="NOG66" s="73"/>
      <c r="NOH66" s="63"/>
      <c r="NOI66" s="64"/>
      <c r="NOJ66" s="66"/>
      <c r="NOK66" s="73"/>
      <c r="NOL66" s="63"/>
      <c r="NOM66" s="64"/>
      <c r="NON66" s="66"/>
      <c r="NOO66" s="73"/>
      <c r="NOP66" s="63"/>
      <c r="NOQ66" s="64"/>
      <c r="NOR66" s="66"/>
      <c r="NOS66" s="73"/>
      <c r="NOT66" s="63"/>
      <c r="NOU66" s="64"/>
      <c r="NOV66" s="66"/>
      <c r="NOW66" s="73"/>
      <c r="NOX66" s="63"/>
      <c r="NOY66" s="64"/>
      <c r="NOZ66" s="66"/>
      <c r="NPA66" s="73"/>
      <c r="NPB66" s="63"/>
      <c r="NPC66" s="64"/>
      <c r="NPD66" s="66"/>
      <c r="NPE66" s="73"/>
      <c r="NPF66" s="63"/>
      <c r="NPG66" s="64"/>
      <c r="NPH66" s="66"/>
      <c r="NPI66" s="73"/>
      <c r="NPJ66" s="63"/>
      <c r="NPK66" s="64"/>
      <c r="NPL66" s="66"/>
      <c r="NPM66" s="73"/>
      <c r="NPN66" s="63"/>
      <c r="NPO66" s="64"/>
      <c r="NPP66" s="66"/>
      <c r="NPQ66" s="73"/>
      <c r="NPR66" s="63"/>
      <c r="NPS66" s="64"/>
      <c r="NPT66" s="66"/>
      <c r="NPU66" s="73"/>
      <c r="NPV66" s="63"/>
      <c r="NPW66" s="64"/>
      <c r="NPX66" s="66"/>
      <c r="NPY66" s="73"/>
      <c r="NPZ66" s="63"/>
      <c r="NQA66" s="64"/>
      <c r="NQB66" s="66"/>
      <c r="NQC66" s="73"/>
      <c r="NQD66" s="63"/>
      <c r="NQE66" s="64"/>
      <c r="NQF66" s="66"/>
      <c r="NQG66" s="73"/>
      <c r="NQH66" s="63"/>
      <c r="NQI66" s="64"/>
      <c r="NQJ66" s="66"/>
      <c r="NQK66" s="73"/>
      <c r="NQL66" s="63"/>
      <c r="NQM66" s="64"/>
      <c r="NQN66" s="66"/>
      <c r="NQO66" s="73"/>
      <c r="NQP66" s="63"/>
      <c r="NQQ66" s="64"/>
      <c r="NQR66" s="66"/>
      <c r="NQS66" s="73"/>
      <c r="NQT66" s="63"/>
      <c r="NQU66" s="64"/>
      <c r="NQV66" s="66"/>
      <c r="NQW66" s="73"/>
      <c r="NQX66" s="63"/>
      <c r="NQY66" s="64"/>
      <c r="NQZ66" s="66"/>
      <c r="NRA66" s="73"/>
      <c r="NRB66" s="63"/>
      <c r="NRC66" s="64"/>
      <c r="NRD66" s="66"/>
      <c r="NRE66" s="73"/>
      <c r="NRF66" s="63"/>
      <c r="NRG66" s="64"/>
      <c r="NRH66" s="66"/>
      <c r="NRI66" s="73"/>
      <c r="NRJ66" s="63"/>
      <c r="NRK66" s="64"/>
      <c r="NRL66" s="66"/>
      <c r="NRM66" s="73"/>
      <c r="NRN66" s="63"/>
      <c r="NRO66" s="64"/>
      <c r="NRP66" s="66"/>
      <c r="NRQ66" s="73"/>
      <c r="NRR66" s="63"/>
      <c r="NRS66" s="64"/>
      <c r="NRT66" s="66"/>
      <c r="NRU66" s="73"/>
      <c r="NRV66" s="63"/>
      <c r="NRW66" s="64"/>
      <c r="NRX66" s="66"/>
      <c r="NRY66" s="73"/>
      <c r="NRZ66" s="63"/>
      <c r="NSA66" s="64"/>
      <c r="NSB66" s="66"/>
      <c r="NSC66" s="73"/>
      <c r="NSD66" s="63"/>
      <c r="NSE66" s="64"/>
      <c r="NSF66" s="66"/>
      <c r="NSG66" s="73"/>
      <c r="NSH66" s="63"/>
      <c r="NSI66" s="64"/>
      <c r="NSJ66" s="66"/>
      <c r="NSK66" s="73"/>
      <c r="NSL66" s="63"/>
      <c r="NSM66" s="64"/>
      <c r="NSN66" s="66"/>
      <c r="NSO66" s="73"/>
      <c r="NSP66" s="63"/>
      <c r="NSQ66" s="64"/>
      <c r="NSR66" s="66"/>
      <c r="NSS66" s="73"/>
      <c r="NST66" s="63"/>
      <c r="NSU66" s="64"/>
      <c r="NSV66" s="66"/>
      <c r="NSW66" s="73"/>
      <c r="NSX66" s="63"/>
      <c r="NSY66" s="64"/>
      <c r="NSZ66" s="66"/>
      <c r="NTA66" s="73"/>
      <c r="NTB66" s="63"/>
      <c r="NTC66" s="64"/>
      <c r="NTD66" s="66"/>
      <c r="NTE66" s="73"/>
      <c r="NTF66" s="63"/>
      <c r="NTG66" s="64"/>
      <c r="NTH66" s="66"/>
      <c r="NTI66" s="73"/>
      <c r="NTJ66" s="63"/>
      <c r="NTK66" s="64"/>
      <c r="NTL66" s="66"/>
      <c r="NTM66" s="73"/>
      <c r="NTN66" s="63"/>
      <c r="NTO66" s="64"/>
      <c r="NTP66" s="66"/>
      <c r="NTQ66" s="73"/>
      <c r="NTR66" s="63"/>
      <c r="NTS66" s="64"/>
      <c r="NTT66" s="66"/>
      <c r="NTU66" s="73"/>
      <c r="NTV66" s="63"/>
      <c r="NTW66" s="64"/>
      <c r="NTX66" s="66"/>
      <c r="NTY66" s="73"/>
      <c r="NTZ66" s="63"/>
      <c r="NUA66" s="64"/>
      <c r="NUB66" s="66"/>
      <c r="NUC66" s="73"/>
      <c r="NUD66" s="63"/>
      <c r="NUE66" s="64"/>
      <c r="NUF66" s="66"/>
      <c r="NUG66" s="73"/>
      <c r="NUH66" s="63"/>
      <c r="NUI66" s="64"/>
      <c r="NUJ66" s="66"/>
      <c r="NUK66" s="73"/>
      <c r="NUL66" s="63"/>
      <c r="NUM66" s="64"/>
      <c r="NUN66" s="66"/>
      <c r="NUO66" s="73"/>
      <c r="NUP66" s="63"/>
      <c r="NUQ66" s="64"/>
      <c r="NUR66" s="66"/>
      <c r="NUS66" s="73"/>
      <c r="NUT66" s="63"/>
      <c r="NUU66" s="64"/>
      <c r="NUV66" s="66"/>
      <c r="NUW66" s="73"/>
      <c r="NUX66" s="63"/>
      <c r="NUY66" s="64"/>
      <c r="NUZ66" s="66"/>
      <c r="NVA66" s="73"/>
      <c r="NVB66" s="63"/>
      <c r="NVC66" s="64"/>
      <c r="NVD66" s="66"/>
      <c r="NVE66" s="73"/>
      <c r="NVF66" s="63"/>
      <c r="NVG66" s="64"/>
      <c r="NVH66" s="66"/>
      <c r="NVI66" s="73"/>
      <c r="NVJ66" s="63"/>
      <c r="NVK66" s="64"/>
      <c r="NVL66" s="66"/>
      <c r="NVM66" s="73"/>
      <c r="NVN66" s="63"/>
      <c r="NVO66" s="64"/>
      <c r="NVP66" s="66"/>
      <c r="NVQ66" s="73"/>
      <c r="NVR66" s="63"/>
      <c r="NVS66" s="64"/>
      <c r="NVT66" s="66"/>
      <c r="NVU66" s="73"/>
      <c r="NVV66" s="63"/>
      <c r="NVW66" s="64"/>
      <c r="NVX66" s="66"/>
      <c r="NVY66" s="73"/>
      <c r="NVZ66" s="63"/>
      <c r="NWA66" s="64"/>
      <c r="NWB66" s="66"/>
      <c r="NWC66" s="73"/>
      <c r="NWD66" s="63"/>
      <c r="NWE66" s="64"/>
      <c r="NWF66" s="66"/>
      <c r="NWG66" s="73"/>
      <c r="NWH66" s="63"/>
      <c r="NWI66" s="64"/>
      <c r="NWJ66" s="66"/>
      <c r="NWK66" s="73"/>
      <c r="NWL66" s="63"/>
      <c r="NWM66" s="64"/>
      <c r="NWN66" s="66"/>
      <c r="NWO66" s="73"/>
      <c r="NWP66" s="63"/>
      <c r="NWQ66" s="64"/>
      <c r="NWR66" s="66"/>
      <c r="NWS66" s="73"/>
      <c r="NWT66" s="63"/>
      <c r="NWU66" s="64"/>
      <c r="NWV66" s="66"/>
      <c r="NWW66" s="73"/>
      <c r="NWX66" s="63"/>
      <c r="NWY66" s="64"/>
      <c r="NWZ66" s="66"/>
      <c r="NXA66" s="73"/>
      <c r="NXB66" s="63"/>
      <c r="NXC66" s="64"/>
      <c r="NXD66" s="66"/>
      <c r="NXE66" s="73"/>
      <c r="NXF66" s="63"/>
      <c r="NXG66" s="64"/>
      <c r="NXH66" s="66"/>
      <c r="NXI66" s="73"/>
      <c r="NXJ66" s="63"/>
      <c r="NXK66" s="64"/>
      <c r="NXL66" s="66"/>
      <c r="NXM66" s="73"/>
      <c r="NXN66" s="63"/>
      <c r="NXO66" s="64"/>
      <c r="NXP66" s="66"/>
      <c r="NXQ66" s="73"/>
      <c r="NXR66" s="63"/>
      <c r="NXS66" s="64"/>
      <c r="NXT66" s="66"/>
      <c r="NXU66" s="73"/>
      <c r="NXV66" s="63"/>
      <c r="NXW66" s="64"/>
      <c r="NXX66" s="66"/>
      <c r="NXY66" s="73"/>
      <c r="NXZ66" s="63"/>
      <c r="NYA66" s="64"/>
      <c r="NYB66" s="66"/>
      <c r="NYC66" s="73"/>
      <c r="NYD66" s="63"/>
      <c r="NYE66" s="64"/>
      <c r="NYF66" s="66"/>
      <c r="NYG66" s="73"/>
      <c r="NYH66" s="63"/>
      <c r="NYI66" s="64"/>
      <c r="NYJ66" s="66"/>
      <c r="NYK66" s="73"/>
      <c r="NYL66" s="63"/>
      <c r="NYM66" s="64"/>
      <c r="NYN66" s="66"/>
      <c r="NYO66" s="73"/>
      <c r="NYP66" s="63"/>
      <c r="NYQ66" s="64"/>
      <c r="NYR66" s="66"/>
      <c r="NYS66" s="73"/>
      <c r="NYT66" s="63"/>
      <c r="NYU66" s="64"/>
      <c r="NYV66" s="66"/>
      <c r="NYW66" s="73"/>
      <c r="NYX66" s="63"/>
      <c r="NYY66" s="64"/>
      <c r="NYZ66" s="66"/>
      <c r="NZA66" s="73"/>
      <c r="NZB66" s="63"/>
      <c r="NZC66" s="64"/>
      <c r="NZD66" s="66"/>
      <c r="NZE66" s="73"/>
      <c r="NZF66" s="63"/>
      <c r="NZG66" s="64"/>
      <c r="NZH66" s="66"/>
      <c r="NZI66" s="73"/>
      <c r="NZJ66" s="63"/>
      <c r="NZK66" s="64"/>
      <c r="NZL66" s="66"/>
      <c r="NZM66" s="73"/>
      <c r="NZN66" s="63"/>
      <c r="NZO66" s="64"/>
      <c r="NZP66" s="66"/>
      <c r="NZQ66" s="73"/>
      <c r="NZR66" s="63"/>
      <c r="NZS66" s="64"/>
      <c r="NZT66" s="66"/>
      <c r="NZU66" s="73"/>
      <c r="NZV66" s="63"/>
      <c r="NZW66" s="64"/>
      <c r="NZX66" s="66"/>
      <c r="NZY66" s="73"/>
      <c r="NZZ66" s="63"/>
      <c r="OAA66" s="64"/>
      <c r="OAB66" s="66"/>
      <c r="OAC66" s="73"/>
      <c r="OAD66" s="63"/>
      <c r="OAE66" s="64"/>
      <c r="OAF66" s="66"/>
      <c r="OAG66" s="73"/>
      <c r="OAH66" s="63"/>
      <c r="OAI66" s="64"/>
      <c r="OAJ66" s="66"/>
      <c r="OAK66" s="73"/>
      <c r="OAL66" s="63"/>
      <c r="OAM66" s="64"/>
      <c r="OAN66" s="66"/>
      <c r="OAO66" s="73"/>
      <c r="OAP66" s="63"/>
      <c r="OAQ66" s="64"/>
      <c r="OAR66" s="66"/>
      <c r="OAS66" s="73"/>
      <c r="OAT66" s="63"/>
      <c r="OAU66" s="64"/>
      <c r="OAV66" s="66"/>
      <c r="OAW66" s="73"/>
      <c r="OAX66" s="63"/>
      <c r="OAY66" s="64"/>
      <c r="OAZ66" s="66"/>
      <c r="OBA66" s="73"/>
      <c r="OBB66" s="63"/>
      <c r="OBC66" s="64"/>
      <c r="OBD66" s="66"/>
      <c r="OBE66" s="73"/>
      <c r="OBF66" s="63"/>
      <c r="OBG66" s="64"/>
      <c r="OBH66" s="66"/>
      <c r="OBI66" s="73"/>
      <c r="OBJ66" s="63"/>
      <c r="OBK66" s="64"/>
      <c r="OBL66" s="66"/>
      <c r="OBM66" s="73"/>
      <c r="OBN66" s="63"/>
      <c r="OBO66" s="64"/>
      <c r="OBP66" s="66"/>
      <c r="OBQ66" s="73"/>
      <c r="OBR66" s="63"/>
      <c r="OBS66" s="64"/>
      <c r="OBT66" s="66"/>
      <c r="OBU66" s="73"/>
      <c r="OBV66" s="63"/>
      <c r="OBW66" s="64"/>
      <c r="OBX66" s="66"/>
      <c r="OBY66" s="73"/>
      <c r="OBZ66" s="63"/>
      <c r="OCA66" s="64"/>
      <c r="OCB66" s="66"/>
      <c r="OCC66" s="73"/>
      <c r="OCD66" s="63"/>
      <c r="OCE66" s="64"/>
      <c r="OCF66" s="66"/>
      <c r="OCG66" s="73"/>
      <c r="OCH66" s="63"/>
      <c r="OCI66" s="64"/>
      <c r="OCJ66" s="66"/>
      <c r="OCK66" s="73"/>
      <c r="OCL66" s="63"/>
      <c r="OCM66" s="64"/>
      <c r="OCN66" s="66"/>
      <c r="OCO66" s="73"/>
      <c r="OCP66" s="63"/>
      <c r="OCQ66" s="64"/>
      <c r="OCR66" s="66"/>
      <c r="OCS66" s="73"/>
      <c r="OCT66" s="63"/>
      <c r="OCU66" s="64"/>
      <c r="OCV66" s="66"/>
      <c r="OCW66" s="73"/>
      <c r="OCX66" s="63"/>
      <c r="OCY66" s="64"/>
      <c r="OCZ66" s="66"/>
      <c r="ODA66" s="73"/>
      <c r="ODB66" s="63"/>
      <c r="ODC66" s="64"/>
      <c r="ODD66" s="66"/>
      <c r="ODE66" s="73"/>
      <c r="ODF66" s="63"/>
      <c r="ODG66" s="64"/>
      <c r="ODH66" s="66"/>
      <c r="ODI66" s="73"/>
      <c r="ODJ66" s="63"/>
      <c r="ODK66" s="64"/>
      <c r="ODL66" s="66"/>
      <c r="ODM66" s="73"/>
      <c r="ODN66" s="63"/>
      <c r="ODO66" s="64"/>
      <c r="ODP66" s="66"/>
      <c r="ODQ66" s="73"/>
      <c r="ODR66" s="63"/>
      <c r="ODS66" s="64"/>
      <c r="ODT66" s="66"/>
      <c r="ODU66" s="73"/>
      <c r="ODV66" s="63"/>
      <c r="ODW66" s="64"/>
      <c r="ODX66" s="66"/>
      <c r="ODY66" s="73"/>
      <c r="ODZ66" s="63"/>
      <c r="OEA66" s="64"/>
      <c r="OEB66" s="66"/>
      <c r="OEC66" s="73"/>
      <c r="OED66" s="63"/>
      <c r="OEE66" s="64"/>
      <c r="OEF66" s="66"/>
      <c r="OEG66" s="73"/>
      <c r="OEH66" s="63"/>
      <c r="OEI66" s="64"/>
      <c r="OEJ66" s="66"/>
      <c r="OEK66" s="73"/>
      <c r="OEL66" s="63"/>
      <c r="OEM66" s="64"/>
      <c r="OEN66" s="66"/>
      <c r="OEO66" s="73"/>
      <c r="OEP66" s="63"/>
      <c r="OEQ66" s="64"/>
      <c r="OER66" s="66"/>
      <c r="OES66" s="73"/>
      <c r="OET66" s="63"/>
      <c r="OEU66" s="64"/>
      <c r="OEV66" s="66"/>
      <c r="OEW66" s="73"/>
      <c r="OEX66" s="63"/>
      <c r="OEY66" s="64"/>
      <c r="OEZ66" s="66"/>
      <c r="OFA66" s="73"/>
      <c r="OFB66" s="63"/>
      <c r="OFC66" s="64"/>
      <c r="OFD66" s="66"/>
      <c r="OFE66" s="73"/>
      <c r="OFF66" s="63"/>
      <c r="OFG66" s="64"/>
      <c r="OFH66" s="66"/>
      <c r="OFI66" s="73"/>
      <c r="OFJ66" s="63"/>
      <c r="OFK66" s="64"/>
      <c r="OFL66" s="66"/>
      <c r="OFM66" s="73"/>
      <c r="OFN66" s="63"/>
      <c r="OFO66" s="64"/>
      <c r="OFP66" s="66"/>
      <c r="OFQ66" s="73"/>
      <c r="OFR66" s="63"/>
      <c r="OFS66" s="64"/>
      <c r="OFT66" s="66"/>
      <c r="OFU66" s="73"/>
      <c r="OFV66" s="63"/>
      <c r="OFW66" s="64"/>
      <c r="OFX66" s="66"/>
      <c r="OFY66" s="73"/>
      <c r="OFZ66" s="63"/>
      <c r="OGA66" s="64"/>
      <c r="OGB66" s="66"/>
      <c r="OGC66" s="73"/>
      <c r="OGD66" s="63"/>
      <c r="OGE66" s="64"/>
      <c r="OGF66" s="66"/>
      <c r="OGG66" s="73"/>
      <c r="OGH66" s="63"/>
      <c r="OGI66" s="64"/>
      <c r="OGJ66" s="66"/>
      <c r="OGK66" s="73"/>
      <c r="OGL66" s="63"/>
      <c r="OGM66" s="64"/>
      <c r="OGN66" s="66"/>
      <c r="OGO66" s="73"/>
      <c r="OGP66" s="63"/>
      <c r="OGQ66" s="64"/>
      <c r="OGR66" s="66"/>
      <c r="OGS66" s="73"/>
      <c r="OGT66" s="63"/>
      <c r="OGU66" s="64"/>
      <c r="OGV66" s="66"/>
      <c r="OGW66" s="73"/>
      <c r="OGX66" s="63"/>
      <c r="OGY66" s="64"/>
      <c r="OGZ66" s="66"/>
      <c r="OHA66" s="73"/>
      <c r="OHB66" s="63"/>
      <c r="OHC66" s="64"/>
      <c r="OHD66" s="66"/>
      <c r="OHE66" s="73"/>
      <c r="OHF66" s="63"/>
      <c r="OHG66" s="64"/>
      <c r="OHH66" s="66"/>
      <c r="OHI66" s="73"/>
      <c r="OHJ66" s="63"/>
      <c r="OHK66" s="64"/>
      <c r="OHL66" s="66"/>
      <c r="OHM66" s="73"/>
      <c r="OHN66" s="63"/>
      <c r="OHO66" s="64"/>
      <c r="OHP66" s="66"/>
      <c r="OHQ66" s="73"/>
      <c r="OHR66" s="63"/>
      <c r="OHS66" s="64"/>
      <c r="OHT66" s="66"/>
      <c r="OHU66" s="73"/>
      <c r="OHV66" s="63"/>
      <c r="OHW66" s="64"/>
      <c r="OHX66" s="66"/>
      <c r="OHY66" s="73"/>
      <c r="OHZ66" s="63"/>
      <c r="OIA66" s="64"/>
      <c r="OIB66" s="66"/>
      <c r="OIC66" s="73"/>
      <c r="OID66" s="63"/>
      <c r="OIE66" s="64"/>
      <c r="OIF66" s="66"/>
      <c r="OIG66" s="73"/>
      <c r="OIH66" s="63"/>
      <c r="OII66" s="64"/>
      <c r="OIJ66" s="66"/>
      <c r="OIK66" s="73"/>
      <c r="OIL66" s="63"/>
      <c r="OIM66" s="64"/>
      <c r="OIN66" s="66"/>
      <c r="OIO66" s="73"/>
      <c r="OIP66" s="63"/>
      <c r="OIQ66" s="64"/>
      <c r="OIR66" s="66"/>
      <c r="OIS66" s="73"/>
      <c r="OIT66" s="63"/>
      <c r="OIU66" s="64"/>
      <c r="OIV66" s="66"/>
      <c r="OIW66" s="73"/>
      <c r="OIX66" s="63"/>
      <c r="OIY66" s="64"/>
      <c r="OIZ66" s="66"/>
      <c r="OJA66" s="73"/>
      <c r="OJB66" s="63"/>
      <c r="OJC66" s="64"/>
      <c r="OJD66" s="66"/>
      <c r="OJE66" s="73"/>
      <c r="OJF66" s="63"/>
      <c r="OJG66" s="64"/>
      <c r="OJH66" s="66"/>
      <c r="OJI66" s="73"/>
      <c r="OJJ66" s="63"/>
      <c r="OJK66" s="64"/>
      <c r="OJL66" s="66"/>
      <c r="OJM66" s="73"/>
      <c r="OJN66" s="63"/>
      <c r="OJO66" s="64"/>
      <c r="OJP66" s="66"/>
      <c r="OJQ66" s="73"/>
      <c r="OJR66" s="63"/>
      <c r="OJS66" s="64"/>
      <c r="OJT66" s="66"/>
      <c r="OJU66" s="73"/>
      <c r="OJV66" s="63"/>
      <c r="OJW66" s="64"/>
      <c r="OJX66" s="66"/>
      <c r="OJY66" s="73"/>
      <c r="OJZ66" s="63"/>
      <c r="OKA66" s="64"/>
      <c r="OKB66" s="66"/>
      <c r="OKC66" s="73"/>
      <c r="OKD66" s="63"/>
      <c r="OKE66" s="64"/>
      <c r="OKF66" s="66"/>
      <c r="OKG66" s="73"/>
      <c r="OKH66" s="63"/>
      <c r="OKI66" s="64"/>
      <c r="OKJ66" s="66"/>
      <c r="OKK66" s="73"/>
      <c r="OKL66" s="63"/>
      <c r="OKM66" s="64"/>
      <c r="OKN66" s="66"/>
      <c r="OKO66" s="73"/>
      <c r="OKP66" s="63"/>
      <c r="OKQ66" s="64"/>
      <c r="OKR66" s="66"/>
      <c r="OKS66" s="73"/>
      <c r="OKT66" s="63"/>
      <c r="OKU66" s="64"/>
      <c r="OKV66" s="66"/>
      <c r="OKW66" s="73"/>
      <c r="OKX66" s="63"/>
      <c r="OKY66" s="64"/>
      <c r="OKZ66" s="66"/>
      <c r="OLA66" s="73"/>
      <c r="OLB66" s="63"/>
      <c r="OLC66" s="64"/>
      <c r="OLD66" s="66"/>
      <c r="OLE66" s="73"/>
      <c r="OLF66" s="63"/>
      <c r="OLG66" s="64"/>
      <c r="OLH66" s="66"/>
      <c r="OLI66" s="73"/>
      <c r="OLJ66" s="63"/>
      <c r="OLK66" s="64"/>
      <c r="OLL66" s="66"/>
      <c r="OLM66" s="73"/>
      <c r="OLN66" s="63"/>
      <c r="OLO66" s="64"/>
      <c r="OLP66" s="66"/>
      <c r="OLQ66" s="73"/>
      <c r="OLR66" s="63"/>
      <c r="OLS66" s="64"/>
      <c r="OLT66" s="66"/>
      <c r="OLU66" s="73"/>
      <c r="OLV66" s="63"/>
      <c r="OLW66" s="64"/>
      <c r="OLX66" s="66"/>
      <c r="OLY66" s="73"/>
      <c r="OLZ66" s="63"/>
      <c r="OMA66" s="64"/>
      <c r="OMB66" s="66"/>
      <c r="OMC66" s="73"/>
      <c r="OMD66" s="63"/>
      <c r="OME66" s="64"/>
      <c r="OMF66" s="66"/>
      <c r="OMG66" s="73"/>
      <c r="OMH66" s="63"/>
      <c r="OMI66" s="64"/>
      <c r="OMJ66" s="66"/>
      <c r="OMK66" s="73"/>
      <c r="OML66" s="63"/>
      <c r="OMM66" s="64"/>
      <c r="OMN66" s="66"/>
      <c r="OMO66" s="73"/>
      <c r="OMP66" s="63"/>
      <c r="OMQ66" s="64"/>
      <c r="OMR66" s="66"/>
      <c r="OMS66" s="73"/>
      <c r="OMT66" s="63"/>
      <c r="OMU66" s="64"/>
      <c r="OMV66" s="66"/>
      <c r="OMW66" s="73"/>
      <c r="OMX66" s="63"/>
      <c r="OMY66" s="64"/>
      <c r="OMZ66" s="66"/>
      <c r="ONA66" s="73"/>
      <c r="ONB66" s="63"/>
      <c r="ONC66" s="64"/>
      <c r="OND66" s="66"/>
      <c r="ONE66" s="73"/>
      <c r="ONF66" s="63"/>
      <c r="ONG66" s="64"/>
      <c r="ONH66" s="66"/>
      <c r="ONI66" s="73"/>
      <c r="ONJ66" s="63"/>
      <c r="ONK66" s="64"/>
      <c r="ONL66" s="66"/>
      <c r="ONM66" s="73"/>
      <c r="ONN66" s="63"/>
      <c r="ONO66" s="64"/>
      <c r="ONP66" s="66"/>
      <c r="ONQ66" s="73"/>
      <c r="ONR66" s="63"/>
      <c r="ONS66" s="64"/>
      <c r="ONT66" s="66"/>
      <c r="ONU66" s="73"/>
      <c r="ONV66" s="63"/>
      <c r="ONW66" s="64"/>
      <c r="ONX66" s="66"/>
      <c r="ONY66" s="73"/>
      <c r="ONZ66" s="63"/>
      <c r="OOA66" s="64"/>
      <c r="OOB66" s="66"/>
      <c r="OOC66" s="73"/>
      <c r="OOD66" s="63"/>
      <c r="OOE66" s="64"/>
      <c r="OOF66" s="66"/>
      <c r="OOG66" s="73"/>
      <c r="OOH66" s="63"/>
      <c r="OOI66" s="64"/>
      <c r="OOJ66" s="66"/>
      <c r="OOK66" s="73"/>
      <c r="OOL66" s="63"/>
      <c r="OOM66" s="64"/>
      <c r="OON66" s="66"/>
      <c r="OOO66" s="73"/>
      <c r="OOP66" s="63"/>
      <c r="OOQ66" s="64"/>
      <c r="OOR66" s="66"/>
      <c r="OOS66" s="73"/>
      <c r="OOT66" s="63"/>
      <c r="OOU66" s="64"/>
      <c r="OOV66" s="66"/>
      <c r="OOW66" s="73"/>
      <c r="OOX66" s="63"/>
      <c r="OOY66" s="64"/>
      <c r="OOZ66" s="66"/>
      <c r="OPA66" s="73"/>
      <c r="OPB66" s="63"/>
      <c r="OPC66" s="64"/>
      <c r="OPD66" s="66"/>
      <c r="OPE66" s="73"/>
      <c r="OPF66" s="63"/>
      <c r="OPG66" s="64"/>
      <c r="OPH66" s="66"/>
      <c r="OPI66" s="73"/>
      <c r="OPJ66" s="63"/>
      <c r="OPK66" s="64"/>
      <c r="OPL66" s="66"/>
      <c r="OPM66" s="73"/>
      <c r="OPN66" s="63"/>
      <c r="OPO66" s="64"/>
      <c r="OPP66" s="66"/>
      <c r="OPQ66" s="73"/>
      <c r="OPR66" s="63"/>
      <c r="OPS66" s="64"/>
      <c r="OPT66" s="66"/>
      <c r="OPU66" s="73"/>
      <c r="OPV66" s="63"/>
      <c r="OPW66" s="64"/>
      <c r="OPX66" s="66"/>
      <c r="OPY66" s="73"/>
      <c r="OPZ66" s="63"/>
      <c r="OQA66" s="64"/>
      <c r="OQB66" s="66"/>
      <c r="OQC66" s="73"/>
      <c r="OQD66" s="63"/>
      <c r="OQE66" s="64"/>
      <c r="OQF66" s="66"/>
      <c r="OQG66" s="73"/>
      <c r="OQH66" s="63"/>
      <c r="OQI66" s="64"/>
      <c r="OQJ66" s="66"/>
      <c r="OQK66" s="73"/>
      <c r="OQL66" s="63"/>
      <c r="OQM66" s="64"/>
      <c r="OQN66" s="66"/>
      <c r="OQO66" s="73"/>
      <c r="OQP66" s="63"/>
      <c r="OQQ66" s="64"/>
      <c r="OQR66" s="66"/>
      <c r="OQS66" s="73"/>
      <c r="OQT66" s="63"/>
      <c r="OQU66" s="64"/>
      <c r="OQV66" s="66"/>
      <c r="OQW66" s="73"/>
      <c r="OQX66" s="63"/>
      <c r="OQY66" s="64"/>
      <c r="OQZ66" s="66"/>
      <c r="ORA66" s="73"/>
      <c r="ORB66" s="63"/>
      <c r="ORC66" s="64"/>
      <c r="ORD66" s="66"/>
      <c r="ORE66" s="73"/>
      <c r="ORF66" s="63"/>
      <c r="ORG66" s="64"/>
      <c r="ORH66" s="66"/>
      <c r="ORI66" s="73"/>
      <c r="ORJ66" s="63"/>
      <c r="ORK66" s="64"/>
      <c r="ORL66" s="66"/>
      <c r="ORM66" s="73"/>
      <c r="ORN66" s="63"/>
      <c r="ORO66" s="64"/>
      <c r="ORP66" s="66"/>
      <c r="ORQ66" s="73"/>
      <c r="ORR66" s="63"/>
      <c r="ORS66" s="64"/>
      <c r="ORT66" s="66"/>
      <c r="ORU66" s="73"/>
      <c r="ORV66" s="63"/>
      <c r="ORW66" s="64"/>
      <c r="ORX66" s="66"/>
      <c r="ORY66" s="73"/>
      <c r="ORZ66" s="63"/>
      <c r="OSA66" s="64"/>
      <c r="OSB66" s="66"/>
      <c r="OSC66" s="73"/>
      <c r="OSD66" s="63"/>
      <c r="OSE66" s="64"/>
      <c r="OSF66" s="66"/>
      <c r="OSG66" s="73"/>
      <c r="OSH66" s="63"/>
      <c r="OSI66" s="64"/>
      <c r="OSJ66" s="66"/>
      <c r="OSK66" s="73"/>
      <c r="OSL66" s="63"/>
      <c r="OSM66" s="64"/>
      <c r="OSN66" s="66"/>
      <c r="OSO66" s="73"/>
      <c r="OSP66" s="63"/>
      <c r="OSQ66" s="64"/>
      <c r="OSR66" s="66"/>
      <c r="OSS66" s="73"/>
      <c r="OST66" s="63"/>
      <c r="OSU66" s="64"/>
      <c r="OSV66" s="66"/>
      <c r="OSW66" s="73"/>
      <c r="OSX66" s="63"/>
      <c r="OSY66" s="64"/>
      <c r="OSZ66" s="66"/>
      <c r="OTA66" s="73"/>
      <c r="OTB66" s="63"/>
      <c r="OTC66" s="64"/>
      <c r="OTD66" s="66"/>
      <c r="OTE66" s="73"/>
      <c r="OTF66" s="63"/>
      <c r="OTG66" s="64"/>
      <c r="OTH66" s="66"/>
      <c r="OTI66" s="73"/>
      <c r="OTJ66" s="63"/>
      <c r="OTK66" s="64"/>
      <c r="OTL66" s="66"/>
      <c r="OTM66" s="73"/>
      <c r="OTN66" s="63"/>
      <c r="OTO66" s="64"/>
      <c r="OTP66" s="66"/>
      <c r="OTQ66" s="73"/>
      <c r="OTR66" s="63"/>
      <c r="OTS66" s="64"/>
      <c r="OTT66" s="66"/>
      <c r="OTU66" s="73"/>
      <c r="OTV66" s="63"/>
      <c r="OTW66" s="64"/>
      <c r="OTX66" s="66"/>
      <c r="OTY66" s="73"/>
      <c r="OTZ66" s="63"/>
      <c r="OUA66" s="64"/>
      <c r="OUB66" s="66"/>
      <c r="OUC66" s="73"/>
      <c r="OUD66" s="63"/>
      <c r="OUE66" s="64"/>
      <c r="OUF66" s="66"/>
      <c r="OUG66" s="73"/>
      <c r="OUH66" s="63"/>
      <c r="OUI66" s="64"/>
      <c r="OUJ66" s="66"/>
      <c r="OUK66" s="73"/>
      <c r="OUL66" s="63"/>
      <c r="OUM66" s="64"/>
      <c r="OUN66" s="66"/>
      <c r="OUO66" s="73"/>
      <c r="OUP66" s="63"/>
      <c r="OUQ66" s="64"/>
      <c r="OUR66" s="66"/>
      <c r="OUS66" s="73"/>
      <c r="OUT66" s="63"/>
      <c r="OUU66" s="64"/>
      <c r="OUV66" s="66"/>
      <c r="OUW66" s="73"/>
      <c r="OUX66" s="63"/>
      <c r="OUY66" s="64"/>
      <c r="OUZ66" s="66"/>
      <c r="OVA66" s="73"/>
      <c r="OVB66" s="63"/>
      <c r="OVC66" s="64"/>
      <c r="OVD66" s="66"/>
      <c r="OVE66" s="73"/>
      <c r="OVF66" s="63"/>
      <c r="OVG66" s="64"/>
      <c r="OVH66" s="66"/>
      <c r="OVI66" s="73"/>
      <c r="OVJ66" s="63"/>
      <c r="OVK66" s="64"/>
      <c r="OVL66" s="66"/>
      <c r="OVM66" s="73"/>
      <c r="OVN66" s="63"/>
      <c r="OVO66" s="64"/>
      <c r="OVP66" s="66"/>
      <c r="OVQ66" s="73"/>
      <c r="OVR66" s="63"/>
      <c r="OVS66" s="64"/>
      <c r="OVT66" s="66"/>
      <c r="OVU66" s="73"/>
      <c r="OVV66" s="63"/>
      <c r="OVW66" s="64"/>
      <c r="OVX66" s="66"/>
      <c r="OVY66" s="73"/>
      <c r="OVZ66" s="63"/>
      <c r="OWA66" s="64"/>
      <c r="OWB66" s="66"/>
      <c r="OWC66" s="73"/>
      <c r="OWD66" s="63"/>
      <c r="OWE66" s="64"/>
      <c r="OWF66" s="66"/>
      <c r="OWG66" s="73"/>
      <c r="OWH66" s="63"/>
      <c r="OWI66" s="64"/>
      <c r="OWJ66" s="66"/>
      <c r="OWK66" s="73"/>
      <c r="OWL66" s="63"/>
      <c r="OWM66" s="64"/>
      <c r="OWN66" s="66"/>
      <c r="OWO66" s="73"/>
      <c r="OWP66" s="63"/>
      <c r="OWQ66" s="64"/>
      <c r="OWR66" s="66"/>
      <c r="OWS66" s="73"/>
      <c r="OWT66" s="63"/>
      <c r="OWU66" s="64"/>
      <c r="OWV66" s="66"/>
      <c r="OWW66" s="73"/>
      <c r="OWX66" s="63"/>
      <c r="OWY66" s="64"/>
      <c r="OWZ66" s="66"/>
      <c r="OXA66" s="73"/>
      <c r="OXB66" s="63"/>
      <c r="OXC66" s="64"/>
      <c r="OXD66" s="66"/>
      <c r="OXE66" s="73"/>
      <c r="OXF66" s="63"/>
      <c r="OXG66" s="64"/>
      <c r="OXH66" s="66"/>
      <c r="OXI66" s="73"/>
      <c r="OXJ66" s="63"/>
      <c r="OXK66" s="64"/>
      <c r="OXL66" s="66"/>
      <c r="OXM66" s="73"/>
      <c r="OXN66" s="63"/>
      <c r="OXO66" s="64"/>
      <c r="OXP66" s="66"/>
      <c r="OXQ66" s="73"/>
      <c r="OXR66" s="63"/>
      <c r="OXS66" s="64"/>
      <c r="OXT66" s="66"/>
      <c r="OXU66" s="73"/>
      <c r="OXV66" s="63"/>
      <c r="OXW66" s="64"/>
      <c r="OXX66" s="66"/>
      <c r="OXY66" s="73"/>
      <c r="OXZ66" s="63"/>
      <c r="OYA66" s="64"/>
      <c r="OYB66" s="66"/>
      <c r="OYC66" s="73"/>
      <c r="OYD66" s="63"/>
      <c r="OYE66" s="64"/>
      <c r="OYF66" s="66"/>
      <c r="OYG66" s="73"/>
      <c r="OYH66" s="63"/>
      <c r="OYI66" s="64"/>
      <c r="OYJ66" s="66"/>
      <c r="OYK66" s="73"/>
      <c r="OYL66" s="63"/>
      <c r="OYM66" s="64"/>
      <c r="OYN66" s="66"/>
      <c r="OYO66" s="73"/>
      <c r="OYP66" s="63"/>
      <c r="OYQ66" s="64"/>
      <c r="OYR66" s="66"/>
      <c r="OYS66" s="73"/>
      <c r="OYT66" s="63"/>
      <c r="OYU66" s="64"/>
      <c r="OYV66" s="66"/>
      <c r="OYW66" s="73"/>
      <c r="OYX66" s="63"/>
      <c r="OYY66" s="64"/>
      <c r="OYZ66" s="66"/>
      <c r="OZA66" s="73"/>
      <c r="OZB66" s="63"/>
      <c r="OZC66" s="64"/>
      <c r="OZD66" s="66"/>
      <c r="OZE66" s="73"/>
      <c r="OZF66" s="63"/>
      <c r="OZG66" s="64"/>
      <c r="OZH66" s="66"/>
      <c r="OZI66" s="73"/>
      <c r="OZJ66" s="63"/>
      <c r="OZK66" s="64"/>
      <c r="OZL66" s="66"/>
      <c r="OZM66" s="73"/>
      <c r="OZN66" s="63"/>
      <c r="OZO66" s="64"/>
      <c r="OZP66" s="66"/>
      <c r="OZQ66" s="73"/>
      <c r="OZR66" s="63"/>
      <c r="OZS66" s="64"/>
      <c r="OZT66" s="66"/>
      <c r="OZU66" s="73"/>
      <c r="OZV66" s="63"/>
      <c r="OZW66" s="64"/>
      <c r="OZX66" s="66"/>
      <c r="OZY66" s="73"/>
      <c r="OZZ66" s="63"/>
      <c r="PAA66" s="64"/>
      <c r="PAB66" s="66"/>
      <c r="PAC66" s="73"/>
      <c r="PAD66" s="63"/>
      <c r="PAE66" s="64"/>
      <c r="PAF66" s="66"/>
      <c r="PAG66" s="73"/>
      <c r="PAH66" s="63"/>
      <c r="PAI66" s="64"/>
      <c r="PAJ66" s="66"/>
      <c r="PAK66" s="73"/>
      <c r="PAL66" s="63"/>
      <c r="PAM66" s="64"/>
      <c r="PAN66" s="66"/>
      <c r="PAO66" s="73"/>
      <c r="PAP66" s="63"/>
      <c r="PAQ66" s="64"/>
      <c r="PAR66" s="66"/>
      <c r="PAS66" s="73"/>
      <c r="PAT66" s="63"/>
      <c r="PAU66" s="64"/>
      <c r="PAV66" s="66"/>
      <c r="PAW66" s="73"/>
      <c r="PAX66" s="63"/>
      <c r="PAY66" s="64"/>
      <c r="PAZ66" s="66"/>
      <c r="PBA66" s="73"/>
      <c r="PBB66" s="63"/>
      <c r="PBC66" s="64"/>
      <c r="PBD66" s="66"/>
      <c r="PBE66" s="73"/>
      <c r="PBF66" s="63"/>
      <c r="PBG66" s="64"/>
      <c r="PBH66" s="66"/>
      <c r="PBI66" s="73"/>
      <c r="PBJ66" s="63"/>
      <c r="PBK66" s="64"/>
      <c r="PBL66" s="66"/>
      <c r="PBM66" s="73"/>
      <c r="PBN66" s="63"/>
      <c r="PBO66" s="64"/>
      <c r="PBP66" s="66"/>
      <c r="PBQ66" s="73"/>
      <c r="PBR66" s="63"/>
      <c r="PBS66" s="64"/>
      <c r="PBT66" s="66"/>
      <c r="PBU66" s="73"/>
      <c r="PBV66" s="63"/>
      <c r="PBW66" s="64"/>
      <c r="PBX66" s="66"/>
      <c r="PBY66" s="73"/>
      <c r="PBZ66" s="63"/>
      <c r="PCA66" s="64"/>
      <c r="PCB66" s="66"/>
      <c r="PCC66" s="73"/>
      <c r="PCD66" s="63"/>
      <c r="PCE66" s="64"/>
      <c r="PCF66" s="66"/>
      <c r="PCG66" s="73"/>
      <c r="PCH66" s="63"/>
      <c r="PCI66" s="64"/>
      <c r="PCJ66" s="66"/>
      <c r="PCK66" s="73"/>
      <c r="PCL66" s="63"/>
      <c r="PCM66" s="64"/>
      <c r="PCN66" s="66"/>
      <c r="PCO66" s="73"/>
      <c r="PCP66" s="63"/>
      <c r="PCQ66" s="64"/>
      <c r="PCR66" s="66"/>
      <c r="PCS66" s="73"/>
      <c r="PCT66" s="63"/>
      <c r="PCU66" s="64"/>
      <c r="PCV66" s="66"/>
      <c r="PCW66" s="73"/>
      <c r="PCX66" s="63"/>
      <c r="PCY66" s="64"/>
      <c r="PCZ66" s="66"/>
      <c r="PDA66" s="73"/>
      <c r="PDB66" s="63"/>
      <c r="PDC66" s="64"/>
      <c r="PDD66" s="66"/>
      <c r="PDE66" s="73"/>
      <c r="PDF66" s="63"/>
      <c r="PDG66" s="64"/>
      <c r="PDH66" s="66"/>
      <c r="PDI66" s="73"/>
      <c r="PDJ66" s="63"/>
      <c r="PDK66" s="64"/>
      <c r="PDL66" s="66"/>
      <c r="PDM66" s="73"/>
      <c r="PDN66" s="63"/>
      <c r="PDO66" s="64"/>
      <c r="PDP66" s="66"/>
      <c r="PDQ66" s="73"/>
      <c r="PDR66" s="63"/>
      <c r="PDS66" s="64"/>
      <c r="PDT66" s="66"/>
      <c r="PDU66" s="73"/>
      <c r="PDV66" s="63"/>
      <c r="PDW66" s="64"/>
      <c r="PDX66" s="66"/>
      <c r="PDY66" s="73"/>
      <c r="PDZ66" s="63"/>
      <c r="PEA66" s="64"/>
      <c r="PEB66" s="66"/>
      <c r="PEC66" s="73"/>
      <c r="PED66" s="63"/>
      <c r="PEE66" s="64"/>
      <c r="PEF66" s="66"/>
      <c r="PEG66" s="73"/>
      <c r="PEH66" s="63"/>
      <c r="PEI66" s="64"/>
      <c r="PEJ66" s="66"/>
      <c r="PEK66" s="73"/>
      <c r="PEL66" s="63"/>
      <c r="PEM66" s="64"/>
      <c r="PEN66" s="66"/>
      <c r="PEO66" s="73"/>
      <c r="PEP66" s="63"/>
      <c r="PEQ66" s="64"/>
      <c r="PER66" s="66"/>
      <c r="PES66" s="73"/>
      <c r="PET66" s="63"/>
      <c r="PEU66" s="64"/>
      <c r="PEV66" s="66"/>
      <c r="PEW66" s="73"/>
      <c r="PEX66" s="63"/>
      <c r="PEY66" s="64"/>
      <c r="PEZ66" s="66"/>
      <c r="PFA66" s="73"/>
      <c r="PFB66" s="63"/>
      <c r="PFC66" s="64"/>
      <c r="PFD66" s="66"/>
      <c r="PFE66" s="73"/>
      <c r="PFF66" s="63"/>
      <c r="PFG66" s="64"/>
      <c r="PFH66" s="66"/>
      <c r="PFI66" s="73"/>
      <c r="PFJ66" s="63"/>
      <c r="PFK66" s="64"/>
      <c r="PFL66" s="66"/>
      <c r="PFM66" s="73"/>
      <c r="PFN66" s="63"/>
      <c r="PFO66" s="64"/>
      <c r="PFP66" s="66"/>
      <c r="PFQ66" s="73"/>
      <c r="PFR66" s="63"/>
      <c r="PFS66" s="64"/>
      <c r="PFT66" s="66"/>
      <c r="PFU66" s="73"/>
      <c r="PFV66" s="63"/>
      <c r="PFW66" s="64"/>
      <c r="PFX66" s="66"/>
      <c r="PFY66" s="73"/>
      <c r="PFZ66" s="63"/>
      <c r="PGA66" s="64"/>
      <c r="PGB66" s="66"/>
      <c r="PGC66" s="73"/>
      <c r="PGD66" s="63"/>
      <c r="PGE66" s="64"/>
      <c r="PGF66" s="66"/>
      <c r="PGG66" s="73"/>
      <c r="PGH66" s="63"/>
      <c r="PGI66" s="64"/>
      <c r="PGJ66" s="66"/>
      <c r="PGK66" s="73"/>
      <c r="PGL66" s="63"/>
      <c r="PGM66" s="64"/>
      <c r="PGN66" s="66"/>
      <c r="PGO66" s="73"/>
      <c r="PGP66" s="63"/>
      <c r="PGQ66" s="64"/>
      <c r="PGR66" s="66"/>
      <c r="PGS66" s="73"/>
      <c r="PGT66" s="63"/>
      <c r="PGU66" s="64"/>
      <c r="PGV66" s="66"/>
      <c r="PGW66" s="73"/>
      <c r="PGX66" s="63"/>
      <c r="PGY66" s="64"/>
      <c r="PGZ66" s="66"/>
      <c r="PHA66" s="73"/>
      <c r="PHB66" s="63"/>
      <c r="PHC66" s="64"/>
      <c r="PHD66" s="66"/>
      <c r="PHE66" s="73"/>
      <c r="PHF66" s="63"/>
      <c r="PHG66" s="64"/>
      <c r="PHH66" s="66"/>
      <c r="PHI66" s="73"/>
      <c r="PHJ66" s="63"/>
      <c r="PHK66" s="64"/>
      <c r="PHL66" s="66"/>
      <c r="PHM66" s="73"/>
      <c r="PHN66" s="63"/>
      <c r="PHO66" s="64"/>
      <c r="PHP66" s="66"/>
      <c r="PHQ66" s="73"/>
      <c r="PHR66" s="63"/>
      <c r="PHS66" s="64"/>
      <c r="PHT66" s="66"/>
      <c r="PHU66" s="73"/>
      <c r="PHV66" s="63"/>
      <c r="PHW66" s="64"/>
      <c r="PHX66" s="66"/>
      <c r="PHY66" s="73"/>
      <c r="PHZ66" s="63"/>
      <c r="PIA66" s="64"/>
      <c r="PIB66" s="66"/>
      <c r="PIC66" s="73"/>
      <c r="PID66" s="63"/>
      <c r="PIE66" s="64"/>
      <c r="PIF66" s="66"/>
      <c r="PIG66" s="73"/>
      <c r="PIH66" s="63"/>
      <c r="PII66" s="64"/>
      <c r="PIJ66" s="66"/>
      <c r="PIK66" s="73"/>
      <c r="PIL66" s="63"/>
      <c r="PIM66" s="64"/>
      <c r="PIN66" s="66"/>
      <c r="PIO66" s="73"/>
      <c r="PIP66" s="63"/>
      <c r="PIQ66" s="64"/>
      <c r="PIR66" s="66"/>
      <c r="PIS66" s="73"/>
      <c r="PIT66" s="63"/>
      <c r="PIU66" s="64"/>
      <c r="PIV66" s="66"/>
      <c r="PIW66" s="73"/>
      <c r="PIX66" s="63"/>
      <c r="PIY66" s="64"/>
      <c r="PIZ66" s="66"/>
      <c r="PJA66" s="73"/>
      <c r="PJB66" s="63"/>
      <c r="PJC66" s="64"/>
      <c r="PJD66" s="66"/>
      <c r="PJE66" s="73"/>
      <c r="PJF66" s="63"/>
      <c r="PJG66" s="64"/>
      <c r="PJH66" s="66"/>
      <c r="PJI66" s="73"/>
      <c r="PJJ66" s="63"/>
      <c r="PJK66" s="64"/>
      <c r="PJL66" s="66"/>
      <c r="PJM66" s="73"/>
      <c r="PJN66" s="63"/>
      <c r="PJO66" s="64"/>
      <c r="PJP66" s="66"/>
      <c r="PJQ66" s="73"/>
      <c r="PJR66" s="63"/>
      <c r="PJS66" s="64"/>
      <c r="PJT66" s="66"/>
      <c r="PJU66" s="73"/>
      <c r="PJV66" s="63"/>
      <c r="PJW66" s="64"/>
      <c r="PJX66" s="66"/>
      <c r="PJY66" s="73"/>
      <c r="PJZ66" s="63"/>
      <c r="PKA66" s="64"/>
      <c r="PKB66" s="66"/>
      <c r="PKC66" s="73"/>
      <c r="PKD66" s="63"/>
      <c r="PKE66" s="64"/>
      <c r="PKF66" s="66"/>
      <c r="PKG66" s="73"/>
      <c r="PKH66" s="63"/>
      <c r="PKI66" s="64"/>
      <c r="PKJ66" s="66"/>
      <c r="PKK66" s="73"/>
      <c r="PKL66" s="63"/>
      <c r="PKM66" s="64"/>
      <c r="PKN66" s="66"/>
      <c r="PKO66" s="73"/>
      <c r="PKP66" s="63"/>
      <c r="PKQ66" s="64"/>
      <c r="PKR66" s="66"/>
      <c r="PKS66" s="73"/>
      <c r="PKT66" s="63"/>
      <c r="PKU66" s="64"/>
      <c r="PKV66" s="66"/>
      <c r="PKW66" s="73"/>
      <c r="PKX66" s="63"/>
      <c r="PKY66" s="64"/>
      <c r="PKZ66" s="66"/>
      <c r="PLA66" s="73"/>
      <c r="PLB66" s="63"/>
      <c r="PLC66" s="64"/>
      <c r="PLD66" s="66"/>
      <c r="PLE66" s="73"/>
      <c r="PLF66" s="63"/>
      <c r="PLG66" s="64"/>
      <c r="PLH66" s="66"/>
      <c r="PLI66" s="73"/>
      <c r="PLJ66" s="63"/>
      <c r="PLK66" s="64"/>
      <c r="PLL66" s="66"/>
      <c r="PLM66" s="73"/>
      <c r="PLN66" s="63"/>
      <c r="PLO66" s="64"/>
      <c r="PLP66" s="66"/>
      <c r="PLQ66" s="73"/>
      <c r="PLR66" s="63"/>
      <c r="PLS66" s="64"/>
      <c r="PLT66" s="66"/>
      <c r="PLU66" s="73"/>
      <c r="PLV66" s="63"/>
      <c r="PLW66" s="64"/>
      <c r="PLX66" s="66"/>
      <c r="PLY66" s="73"/>
      <c r="PLZ66" s="63"/>
      <c r="PMA66" s="64"/>
      <c r="PMB66" s="66"/>
      <c r="PMC66" s="73"/>
      <c r="PMD66" s="63"/>
      <c r="PME66" s="64"/>
      <c r="PMF66" s="66"/>
      <c r="PMG66" s="73"/>
      <c r="PMH66" s="63"/>
      <c r="PMI66" s="64"/>
      <c r="PMJ66" s="66"/>
      <c r="PMK66" s="73"/>
      <c r="PML66" s="63"/>
      <c r="PMM66" s="64"/>
      <c r="PMN66" s="66"/>
      <c r="PMO66" s="73"/>
      <c r="PMP66" s="63"/>
      <c r="PMQ66" s="64"/>
      <c r="PMR66" s="66"/>
      <c r="PMS66" s="73"/>
      <c r="PMT66" s="63"/>
      <c r="PMU66" s="64"/>
      <c r="PMV66" s="66"/>
      <c r="PMW66" s="73"/>
      <c r="PMX66" s="63"/>
      <c r="PMY66" s="64"/>
      <c r="PMZ66" s="66"/>
      <c r="PNA66" s="73"/>
      <c r="PNB66" s="63"/>
      <c r="PNC66" s="64"/>
      <c r="PND66" s="66"/>
      <c r="PNE66" s="73"/>
      <c r="PNF66" s="63"/>
      <c r="PNG66" s="64"/>
      <c r="PNH66" s="66"/>
      <c r="PNI66" s="73"/>
      <c r="PNJ66" s="63"/>
      <c r="PNK66" s="64"/>
      <c r="PNL66" s="66"/>
      <c r="PNM66" s="73"/>
      <c r="PNN66" s="63"/>
      <c r="PNO66" s="64"/>
      <c r="PNP66" s="66"/>
      <c r="PNQ66" s="73"/>
      <c r="PNR66" s="63"/>
      <c r="PNS66" s="64"/>
      <c r="PNT66" s="66"/>
      <c r="PNU66" s="73"/>
      <c r="PNV66" s="63"/>
      <c r="PNW66" s="64"/>
      <c r="PNX66" s="66"/>
      <c r="PNY66" s="73"/>
      <c r="PNZ66" s="63"/>
      <c r="POA66" s="64"/>
      <c r="POB66" s="66"/>
      <c r="POC66" s="73"/>
      <c r="POD66" s="63"/>
      <c r="POE66" s="64"/>
      <c r="POF66" s="66"/>
      <c r="POG66" s="73"/>
      <c r="POH66" s="63"/>
      <c r="POI66" s="64"/>
      <c r="POJ66" s="66"/>
      <c r="POK66" s="73"/>
      <c r="POL66" s="63"/>
      <c r="POM66" s="64"/>
      <c r="PON66" s="66"/>
      <c r="POO66" s="73"/>
      <c r="POP66" s="63"/>
      <c r="POQ66" s="64"/>
      <c r="POR66" s="66"/>
      <c r="POS66" s="73"/>
      <c r="POT66" s="63"/>
      <c r="POU66" s="64"/>
      <c r="POV66" s="66"/>
      <c r="POW66" s="73"/>
      <c r="POX66" s="63"/>
      <c r="POY66" s="64"/>
      <c r="POZ66" s="66"/>
      <c r="PPA66" s="73"/>
      <c r="PPB66" s="63"/>
      <c r="PPC66" s="64"/>
      <c r="PPD66" s="66"/>
      <c r="PPE66" s="73"/>
      <c r="PPF66" s="63"/>
      <c r="PPG66" s="64"/>
      <c r="PPH66" s="66"/>
      <c r="PPI66" s="73"/>
      <c r="PPJ66" s="63"/>
      <c r="PPK66" s="64"/>
      <c r="PPL66" s="66"/>
      <c r="PPM66" s="73"/>
      <c r="PPN66" s="63"/>
      <c r="PPO66" s="64"/>
      <c r="PPP66" s="66"/>
      <c r="PPQ66" s="73"/>
      <c r="PPR66" s="63"/>
      <c r="PPS66" s="64"/>
      <c r="PPT66" s="66"/>
      <c r="PPU66" s="73"/>
      <c r="PPV66" s="63"/>
      <c r="PPW66" s="64"/>
      <c r="PPX66" s="66"/>
      <c r="PPY66" s="73"/>
      <c r="PPZ66" s="63"/>
      <c r="PQA66" s="64"/>
      <c r="PQB66" s="66"/>
      <c r="PQC66" s="73"/>
      <c r="PQD66" s="63"/>
      <c r="PQE66" s="64"/>
      <c r="PQF66" s="66"/>
      <c r="PQG66" s="73"/>
      <c r="PQH66" s="63"/>
      <c r="PQI66" s="64"/>
      <c r="PQJ66" s="66"/>
      <c r="PQK66" s="73"/>
      <c r="PQL66" s="63"/>
      <c r="PQM66" s="64"/>
      <c r="PQN66" s="66"/>
      <c r="PQO66" s="73"/>
      <c r="PQP66" s="63"/>
      <c r="PQQ66" s="64"/>
      <c r="PQR66" s="66"/>
      <c r="PQS66" s="73"/>
      <c r="PQT66" s="63"/>
      <c r="PQU66" s="64"/>
      <c r="PQV66" s="66"/>
      <c r="PQW66" s="73"/>
      <c r="PQX66" s="63"/>
      <c r="PQY66" s="64"/>
      <c r="PQZ66" s="66"/>
      <c r="PRA66" s="73"/>
      <c r="PRB66" s="63"/>
      <c r="PRC66" s="64"/>
      <c r="PRD66" s="66"/>
      <c r="PRE66" s="73"/>
      <c r="PRF66" s="63"/>
      <c r="PRG66" s="64"/>
      <c r="PRH66" s="66"/>
      <c r="PRI66" s="73"/>
      <c r="PRJ66" s="63"/>
      <c r="PRK66" s="64"/>
      <c r="PRL66" s="66"/>
      <c r="PRM66" s="73"/>
      <c r="PRN66" s="63"/>
      <c r="PRO66" s="64"/>
      <c r="PRP66" s="66"/>
      <c r="PRQ66" s="73"/>
      <c r="PRR66" s="63"/>
      <c r="PRS66" s="64"/>
      <c r="PRT66" s="66"/>
      <c r="PRU66" s="73"/>
      <c r="PRV66" s="63"/>
      <c r="PRW66" s="64"/>
      <c r="PRX66" s="66"/>
      <c r="PRY66" s="73"/>
      <c r="PRZ66" s="63"/>
      <c r="PSA66" s="64"/>
      <c r="PSB66" s="66"/>
      <c r="PSC66" s="73"/>
      <c r="PSD66" s="63"/>
      <c r="PSE66" s="64"/>
      <c r="PSF66" s="66"/>
      <c r="PSG66" s="73"/>
      <c r="PSH66" s="63"/>
      <c r="PSI66" s="64"/>
      <c r="PSJ66" s="66"/>
      <c r="PSK66" s="73"/>
      <c r="PSL66" s="63"/>
      <c r="PSM66" s="64"/>
      <c r="PSN66" s="66"/>
      <c r="PSO66" s="73"/>
      <c r="PSP66" s="63"/>
      <c r="PSQ66" s="64"/>
      <c r="PSR66" s="66"/>
      <c r="PSS66" s="73"/>
      <c r="PST66" s="63"/>
      <c r="PSU66" s="64"/>
      <c r="PSV66" s="66"/>
      <c r="PSW66" s="73"/>
      <c r="PSX66" s="63"/>
      <c r="PSY66" s="64"/>
      <c r="PSZ66" s="66"/>
      <c r="PTA66" s="73"/>
      <c r="PTB66" s="63"/>
      <c r="PTC66" s="64"/>
      <c r="PTD66" s="66"/>
      <c r="PTE66" s="73"/>
      <c r="PTF66" s="63"/>
      <c r="PTG66" s="64"/>
      <c r="PTH66" s="66"/>
      <c r="PTI66" s="73"/>
      <c r="PTJ66" s="63"/>
      <c r="PTK66" s="64"/>
      <c r="PTL66" s="66"/>
      <c r="PTM66" s="73"/>
      <c r="PTN66" s="63"/>
      <c r="PTO66" s="64"/>
      <c r="PTP66" s="66"/>
      <c r="PTQ66" s="73"/>
      <c r="PTR66" s="63"/>
      <c r="PTS66" s="64"/>
      <c r="PTT66" s="66"/>
      <c r="PTU66" s="73"/>
      <c r="PTV66" s="63"/>
      <c r="PTW66" s="64"/>
      <c r="PTX66" s="66"/>
      <c r="PTY66" s="73"/>
      <c r="PTZ66" s="63"/>
      <c r="PUA66" s="64"/>
      <c r="PUB66" s="66"/>
      <c r="PUC66" s="73"/>
      <c r="PUD66" s="63"/>
      <c r="PUE66" s="64"/>
      <c r="PUF66" s="66"/>
      <c r="PUG66" s="73"/>
      <c r="PUH66" s="63"/>
      <c r="PUI66" s="64"/>
      <c r="PUJ66" s="66"/>
      <c r="PUK66" s="73"/>
      <c r="PUL66" s="63"/>
      <c r="PUM66" s="64"/>
      <c r="PUN66" s="66"/>
      <c r="PUO66" s="73"/>
      <c r="PUP66" s="63"/>
      <c r="PUQ66" s="64"/>
      <c r="PUR66" s="66"/>
      <c r="PUS66" s="73"/>
      <c r="PUT66" s="63"/>
      <c r="PUU66" s="64"/>
      <c r="PUV66" s="66"/>
      <c r="PUW66" s="73"/>
      <c r="PUX66" s="63"/>
      <c r="PUY66" s="64"/>
      <c r="PUZ66" s="66"/>
      <c r="PVA66" s="73"/>
      <c r="PVB66" s="63"/>
      <c r="PVC66" s="64"/>
      <c r="PVD66" s="66"/>
      <c r="PVE66" s="73"/>
      <c r="PVF66" s="63"/>
      <c r="PVG66" s="64"/>
      <c r="PVH66" s="66"/>
      <c r="PVI66" s="73"/>
      <c r="PVJ66" s="63"/>
      <c r="PVK66" s="64"/>
      <c r="PVL66" s="66"/>
      <c r="PVM66" s="73"/>
      <c r="PVN66" s="63"/>
      <c r="PVO66" s="64"/>
      <c r="PVP66" s="66"/>
      <c r="PVQ66" s="73"/>
      <c r="PVR66" s="63"/>
      <c r="PVS66" s="64"/>
      <c r="PVT66" s="66"/>
      <c r="PVU66" s="73"/>
      <c r="PVV66" s="63"/>
      <c r="PVW66" s="64"/>
      <c r="PVX66" s="66"/>
      <c r="PVY66" s="73"/>
      <c r="PVZ66" s="63"/>
      <c r="PWA66" s="64"/>
      <c r="PWB66" s="66"/>
      <c r="PWC66" s="73"/>
      <c r="PWD66" s="63"/>
      <c r="PWE66" s="64"/>
      <c r="PWF66" s="66"/>
      <c r="PWG66" s="73"/>
      <c r="PWH66" s="63"/>
      <c r="PWI66" s="64"/>
      <c r="PWJ66" s="66"/>
      <c r="PWK66" s="73"/>
      <c r="PWL66" s="63"/>
      <c r="PWM66" s="64"/>
      <c r="PWN66" s="66"/>
      <c r="PWO66" s="73"/>
      <c r="PWP66" s="63"/>
      <c r="PWQ66" s="64"/>
      <c r="PWR66" s="66"/>
      <c r="PWS66" s="73"/>
      <c r="PWT66" s="63"/>
      <c r="PWU66" s="64"/>
      <c r="PWV66" s="66"/>
      <c r="PWW66" s="73"/>
      <c r="PWX66" s="63"/>
      <c r="PWY66" s="64"/>
      <c r="PWZ66" s="66"/>
      <c r="PXA66" s="73"/>
      <c r="PXB66" s="63"/>
      <c r="PXC66" s="64"/>
      <c r="PXD66" s="66"/>
      <c r="PXE66" s="73"/>
      <c r="PXF66" s="63"/>
      <c r="PXG66" s="64"/>
      <c r="PXH66" s="66"/>
      <c r="PXI66" s="73"/>
      <c r="PXJ66" s="63"/>
      <c r="PXK66" s="64"/>
      <c r="PXL66" s="66"/>
      <c r="PXM66" s="73"/>
      <c r="PXN66" s="63"/>
      <c r="PXO66" s="64"/>
      <c r="PXP66" s="66"/>
      <c r="PXQ66" s="73"/>
      <c r="PXR66" s="63"/>
      <c r="PXS66" s="64"/>
      <c r="PXT66" s="66"/>
      <c r="PXU66" s="73"/>
      <c r="PXV66" s="63"/>
      <c r="PXW66" s="64"/>
      <c r="PXX66" s="66"/>
      <c r="PXY66" s="73"/>
      <c r="PXZ66" s="63"/>
      <c r="PYA66" s="64"/>
      <c r="PYB66" s="66"/>
      <c r="PYC66" s="73"/>
      <c r="PYD66" s="63"/>
      <c r="PYE66" s="64"/>
      <c r="PYF66" s="66"/>
      <c r="PYG66" s="73"/>
      <c r="PYH66" s="63"/>
      <c r="PYI66" s="64"/>
      <c r="PYJ66" s="66"/>
      <c r="PYK66" s="73"/>
      <c r="PYL66" s="63"/>
      <c r="PYM66" s="64"/>
      <c r="PYN66" s="66"/>
      <c r="PYO66" s="73"/>
      <c r="PYP66" s="63"/>
      <c r="PYQ66" s="64"/>
      <c r="PYR66" s="66"/>
      <c r="PYS66" s="73"/>
      <c r="PYT66" s="63"/>
      <c r="PYU66" s="64"/>
      <c r="PYV66" s="66"/>
      <c r="PYW66" s="73"/>
      <c r="PYX66" s="63"/>
      <c r="PYY66" s="64"/>
      <c r="PYZ66" s="66"/>
      <c r="PZA66" s="73"/>
      <c r="PZB66" s="63"/>
      <c r="PZC66" s="64"/>
      <c r="PZD66" s="66"/>
      <c r="PZE66" s="73"/>
      <c r="PZF66" s="63"/>
      <c r="PZG66" s="64"/>
      <c r="PZH66" s="66"/>
      <c r="PZI66" s="73"/>
      <c r="PZJ66" s="63"/>
      <c r="PZK66" s="64"/>
      <c r="PZL66" s="66"/>
      <c r="PZM66" s="73"/>
      <c r="PZN66" s="63"/>
      <c r="PZO66" s="64"/>
      <c r="PZP66" s="66"/>
      <c r="PZQ66" s="73"/>
      <c r="PZR66" s="63"/>
      <c r="PZS66" s="64"/>
      <c r="PZT66" s="66"/>
      <c r="PZU66" s="73"/>
      <c r="PZV66" s="63"/>
      <c r="PZW66" s="64"/>
      <c r="PZX66" s="66"/>
      <c r="PZY66" s="73"/>
      <c r="PZZ66" s="63"/>
      <c r="QAA66" s="64"/>
      <c r="QAB66" s="66"/>
      <c r="QAC66" s="73"/>
      <c r="QAD66" s="63"/>
      <c r="QAE66" s="64"/>
      <c r="QAF66" s="66"/>
      <c r="QAG66" s="73"/>
      <c r="QAH66" s="63"/>
      <c r="QAI66" s="64"/>
      <c r="QAJ66" s="66"/>
      <c r="QAK66" s="73"/>
      <c r="QAL66" s="63"/>
      <c r="QAM66" s="64"/>
      <c r="QAN66" s="66"/>
      <c r="QAO66" s="73"/>
      <c r="QAP66" s="63"/>
      <c r="QAQ66" s="64"/>
      <c r="QAR66" s="66"/>
      <c r="QAS66" s="73"/>
      <c r="QAT66" s="63"/>
      <c r="QAU66" s="64"/>
      <c r="QAV66" s="66"/>
      <c r="QAW66" s="73"/>
      <c r="QAX66" s="63"/>
      <c r="QAY66" s="64"/>
      <c r="QAZ66" s="66"/>
      <c r="QBA66" s="73"/>
      <c r="QBB66" s="63"/>
      <c r="QBC66" s="64"/>
      <c r="QBD66" s="66"/>
      <c r="QBE66" s="73"/>
      <c r="QBF66" s="63"/>
      <c r="QBG66" s="64"/>
      <c r="QBH66" s="66"/>
      <c r="QBI66" s="73"/>
      <c r="QBJ66" s="63"/>
      <c r="QBK66" s="64"/>
      <c r="QBL66" s="66"/>
      <c r="QBM66" s="73"/>
      <c r="QBN66" s="63"/>
      <c r="QBO66" s="64"/>
      <c r="QBP66" s="66"/>
      <c r="QBQ66" s="73"/>
      <c r="QBR66" s="63"/>
      <c r="QBS66" s="64"/>
      <c r="QBT66" s="66"/>
      <c r="QBU66" s="73"/>
      <c r="QBV66" s="63"/>
      <c r="QBW66" s="64"/>
      <c r="QBX66" s="66"/>
      <c r="QBY66" s="73"/>
      <c r="QBZ66" s="63"/>
      <c r="QCA66" s="64"/>
      <c r="QCB66" s="66"/>
      <c r="QCC66" s="73"/>
      <c r="QCD66" s="63"/>
      <c r="QCE66" s="64"/>
      <c r="QCF66" s="66"/>
      <c r="QCG66" s="73"/>
      <c r="QCH66" s="63"/>
      <c r="QCI66" s="64"/>
      <c r="QCJ66" s="66"/>
      <c r="QCK66" s="73"/>
      <c r="QCL66" s="63"/>
      <c r="QCM66" s="64"/>
      <c r="QCN66" s="66"/>
      <c r="QCO66" s="73"/>
      <c r="QCP66" s="63"/>
      <c r="QCQ66" s="64"/>
      <c r="QCR66" s="66"/>
      <c r="QCS66" s="73"/>
      <c r="QCT66" s="63"/>
      <c r="QCU66" s="64"/>
      <c r="QCV66" s="66"/>
      <c r="QCW66" s="73"/>
      <c r="QCX66" s="63"/>
      <c r="QCY66" s="64"/>
      <c r="QCZ66" s="66"/>
      <c r="QDA66" s="73"/>
      <c r="QDB66" s="63"/>
      <c r="QDC66" s="64"/>
      <c r="QDD66" s="66"/>
      <c r="QDE66" s="73"/>
      <c r="QDF66" s="63"/>
      <c r="QDG66" s="64"/>
      <c r="QDH66" s="66"/>
      <c r="QDI66" s="73"/>
      <c r="QDJ66" s="63"/>
      <c r="QDK66" s="64"/>
      <c r="QDL66" s="66"/>
      <c r="QDM66" s="73"/>
      <c r="QDN66" s="63"/>
      <c r="QDO66" s="64"/>
      <c r="QDP66" s="66"/>
      <c r="QDQ66" s="73"/>
      <c r="QDR66" s="63"/>
      <c r="QDS66" s="64"/>
      <c r="QDT66" s="66"/>
      <c r="QDU66" s="73"/>
      <c r="QDV66" s="63"/>
      <c r="QDW66" s="64"/>
      <c r="QDX66" s="66"/>
      <c r="QDY66" s="73"/>
      <c r="QDZ66" s="63"/>
      <c r="QEA66" s="64"/>
      <c r="QEB66" s="66"/>
      <c r="QEC66" s="73"/>
      <c r="QED66" s="63"/>
      <c r="QEE66" s="64"/>
      <c r="QEF66" s="66"/>
      <c r="QEG66" s="73"/>
      <c r="QEH66" s="63"/>
      <c r="QEI66" s="64"/>
      <c r="QEJ66" s="66"/>
      <c r="QEK66" s="73"/>
      <c r="QEL66" s="63"/>
      <c r="QEM66" s="64"/>
      <c r="QEN66" s="66"/>
      <c r="QEO66" s="73"/>
      <c r="QEP66" s="63"/>
      <c r="QEQ66" s="64"/>
      <c r="QER66" s="66"/>
      <c r="QES66" s="73"/>
      <c r="QET66" s="63"/>
      <c r="QEU66" s="64"/>
      <c r="QEV66" s="66"/>
      <c r="QEW66" s="73"/>
      <c r="QEX66" s="63"/>
      <c r="QEY66" s="64"/>
      <c r="QEZ66" s="66"/>
      <c r="QFA66" s="73"/>
      <c r="QFB66" s="63"/>
      <c r="QFC66" s="64"/>
      <c r="QFD66" s="66"/>
      <c r="QFE66" s="73"/>
      <c r="QFF66" s="63"/>
      <c r="QFG66" s="64"/>
      <c r="QFH66" s="66"/>
      <c r="QFI66" s="73"/>
      <c r="QFJ66" s="63"/>
      <c r="QFK66" s="64"/>
      <c r="QFL66" s="66"/>
      <c r="QFM66" s="73"/>
      <c r="QFN66" s="63"/>
      <c r="QFO66" s="64"/>
      <c r="QFP66" s="66"/>
      <c r="QFQ66" s="73"/>
      <c r="QFR66" s="63"/>
      <c r="QFS66" s="64"/>
      <c r="QFT66" s="66"/>
      <c r="QFU66" s="73"/>
      <c r="QFV66" s="63"/>
      <c r="QFW66" s="64"/>
      <c r="QFX66" s="66"/>
      <c r="QFY66" s="73"/>
      <c r="QFZ66" s="63"/>
      <c r="QGA66" s="64"/>
      <c r="QGB66" s="66"/>
      <c r="QGC66" s="73"/>
      <c r="QGD66" s="63"/>
      <c r="QGE66" s="64"/>
      <c r="QGF66" s="66"/>
      <c r="QGG66" s="73"/>
      <c r="QGH66" s="63"/>
      <c r="QGI66" s="64"/>
      <c r="QGJ66" s="66"/>
      <c r="QGK66" s="73"/>
      <c r="QGL66" s="63"/>
      <c r="QGM66" s="64"/>
      <c r="QGN66" s="66"/>
      <c r="QGO66" s="73"/>
      <c r="QGP66" s="63"/>
      <c r="QGQ66" s="64"/>
      <c r="QGR66" s="66"/>
      <c r="QGS66" s="73"/>
      <c r="QGT66" s="63"/>
      <c r="QGU66" s="64"/>
      <c r="QGV66" s="66"/>
      <c r="QGW66" s="73"/>
      <c r="QGX66" s="63"/>
      <c r="QGY66" s="64"/>
      <c r="QGZ66" s="66"/>
      <c r="QHA66" s="73"/>
      <c r="QHB66" s="63"/>
      <c r="QHC66" s="64"/>
      <c r="QHD66" s="66"/>
      <c r="QHE66" s="73"/>
      <c r="QHF66" s="63"/>
      <c r="QHG66" s="64"/>
      <c r="QHH66" s="66"/>
      <c r="QHI66" s="73"/>
      <c r="QHJ66" s="63"/>
      <c r="QHK66" s="64"/>
      <c r="QHL66" s="66"/>
      <c r="QHM66" s="73"/>
      <c r="QHN66" s="63"/>
      <c r="QHO66" s="64"/>
      <c r="QHP66" s="66"/>
      <c r="QHQ66" s="73"/>
      <c r="QHR66" s="63"/>
      <c r="QHS66" s="64"/>
      <c r="QHT66" s="66"/>
      <c r="QHU66" s="73"/>
      <c r="QHV66" s="63"/>
      <c r="QHW66" s="64"/>
      <c r="QHX66" s="66"/>
      <c r="QHY66" s="73"/>
      <c r="QHZ66" s="63"/>
      <c r="QIA66" s="64"/>
      <c r="QIB66" s="66"/>
      <c r="QIC66" s="73"/>
      <c r="QID66" s="63"/>
      <c r="QIE66" s="64"/>
      <c r="QIF66" s="66"/>
      <c r="QIG66" s="73"/>
      <c r="QIH66" s="63"/>
      <c r="QII66" s="64"/>
      <c r="QIJ66" s="66"/>
      <c r="QIK66" s="73"/>
      <c r="QIL66" s="63"/>
      <c r="QIM66" s="64"/>
      <c r="QIN66" s="66"/>
      <c r="QIO66" s="73"/>
      <c r="QIP66" s="63"/>
      <c r="QIQ66" s="64"/>
      <c r="QIR66" s="66"/>
      <c r="QIS66" s="73"/>
      <c r="QIT66" s="63"/>
      <c r="QIU66" s="64"/>
      <c r="QIV66" s="66"/>
      <c r="QIW66" s="73"/>
      <c r="QIX66" s="63"/>
      <c r="QIY66" s="64"/>
      <c r="QIZ66" s="66"/>
      <c r="QJA66" s="73"/>
      <c r="QJB66" s="63"/>
      <c r="QJC66" s="64"/>
      <c r="QJD66" s="66"/>
      <c r="QJE66" s="73"/>
      <c r="QJF66" s="63"/>
      <c r="QJG66" s="64"/>
      <c r="QJH66" s="66"/>
      <c r="QJI66" s="73"/>
      <c r="QJJ66" s="63"/>
      <c r="QJK66" s="64"/>
      <c r="QJL66" s="66"/>
      <c r="QJM66" s="73"/>
      <c r="QJN66" s="63"/>
      <c r="QJO66" s="64"/>
      <c r="QJP66" s="66"/>
      <c r="QJQ66" s="73"/>
      <c r="QJR66" s="63"/>
      <c r="QJS66" s="64"/>
      <c r="QJT66" s="66"/>
      <c r="QJU66" s="73"/>
      <c r="QJV66" s="63"/>
      <c r="QJW66" s="64"/>
      <c r="QJX66" s="66"/>
      <c r="QJY66" s="73"/>
      <c r="QJZ66" s="63"/>
      <c r="QKA66" s="64"/>
      <c r="QKB66" s="66"/>
      <c r="QKC66" s="73"/>
      <c r="QKD66" s="63"/>
      <c r="QKE66" s="64"/>
      <c r="QKF66" s="66"/>
      <c r="QKG66" s="73"/>
      <c r="QKH66" s="63"/>
      <c r="QKI66" s="64"/>
      <c r="QKJ66" s="66"/>
      <c r="QKK66" s="73"/>
      <c r="QKL66" s="63"/>
      <c r="QKM66" s="64"/>
      <c r="QKN66" s="66"/>
      <c r="QKO66" s="73"/>
      <c r="QKP66" s="63"/>
      <c r="QKQ66" s="64"/>
      <c r="QKR66" s="66"/>
      <c r="QKS66" s="73"/>
      <c r="QKT66" s="63"/>
      <c r="QKU66" s="64"/>
      <c r="QKV66" s="66"/>
      <c r="QKW66" s="73"/>
      <c r="QKX66" s="63"/>
      <c r="QKY66" s="64"/>
      <c r="QKZ66" s="66"/>
      <c r="QLA66" s="73"/>
      <c r="QLB66" s="63"/>
      <c r="QLC66" s="64"/>
      <c r="QLD66" s="66"/>
      <c r="QLE66" s="73"/>
      <c r="QLF66" s="63"/>
      <c r="QLG66" s="64"/>
      <c r="QLH66" s="66"/>
      <c r="QLI66" s="73"/>
      <c r="QLJ66" s="63"/>
      <c r="QLK66" s="64"/>
      <c r="QLL66" s="66"/>
      <c r="QLM66" s="73"/>
      <c r="QLN66" s="63"/>
      <c r="QLO66" s="64"/>
      <c r="QLP66" s="66"/>
      <c r="QLQ66" s="73"/>
      <c r="QLR66" s="63"/>
      <c r="QLS66" s="64"/>
      <c r="QLT66" s="66"/>
      <c r="QLU66" s="73"/>
      <c r="QLV66" s="63"/>
      <c r="QLW66" s="64"/>
      <c r="QLX66" s="66"/>
      <c r="QLY66" s="73"/>
      <c r="QLZ66" s="63"/>
      <c r="QMA66" s="64"/>
      <c r="QMB66" s="66"/>
      <c r="QMC66" s="73"/>
      <c r="QMD66" s="63"/>
      <c r="QME66" s="64"/>
      <c r="QMF66" s="66"/>
      <c r="QMG66" s="73"/>
      <c r="QMH66" s="63"/>
      <c r="QMI66" s="64"/>
      <c r="QMJ66" s="66"/>
      <c r="QMK66" s="73"/>
      <c r="QML66" s="63"/>
      <c r="QMM66" s="64"/>
      <c r="QMN66" s="66"/>
      <c r="QMO66" s="73"/>
      <c r="QMP66" s="63"/>
      <c r="QMQ66" s="64"/>
      <c r="QMR66" s="66"/>
      <c r="QMS66" s="73"/>
      <c r="QMT66" s="63"/>
      <c r="QMU66" s="64"/>
      <c r="QMV66" s="66"/>
      <c r="QMW66" s="73"/>
      <c r="QMX66" s="63"/>
      <c r="QMY66" s="64"/>
      <c r="QMZ66" s="66"/>
      <c r="QNA66" s="73"/>
      <c r="QNB66" s="63"/>
      <c r="QNC66" s="64"/>
      <c r="QND66" s="66"/>
      <c r="QNE66" s="73"/>
      <c r="QNF66" s="63"/>
      <c r="QNG66" s="64"/>
      <c r="QNH66" s="66"/>
      <c r="QNI66" s="73"/>
      <c r="QNJ66" s="63"/>
      <c r="QNK66" s="64"/>
      <c r="QNL66" s="66"/>
      <c r="QNM66" s="73"/>
      <c r="QNN66" s="63"/>
      <c r="QNO66" s="64"/>
      <c r="QNP66" s="66"/>
      <c r="QNQ66" s="73"/>
      <c r="QNR66" s="63"/>
      <c r="QNS66" s="64"/>
      <c r="QNT66" s="66"/>
      <c r="QNU66" s="73"/>
      <c r="QNV66" s="63"/>
      <c r="QNW66" s="64"/>
      <c r="QNX66" s="66"/>
      <c r="QNY66" s="73"/>
      <c r="QNZ66" s="63"/>
      <c r="QOA66" s="64"/>
      <c r="QOB66" s="66"/>
      <c r="QOC66" s="73"/>
      <c r="QOD66" s="63"/>
      <c r="QOE66" s="64"/>
      <c r="QOF66" s="66"/>
      <c r="QOG66" s="73"/>
      <c r="QOH66" s="63"/>
      <c r="QOI66" s="64"/>
      <c r="QOJ66" s="66"/>
      <c r="QOK66" s="73"/>
      <c r="QOL66" s="63"/>
      <c r="QOM66" s="64"/>
      <c r="QON66" s="66"/>
      <c r="QOO66" s="73"/>
      <c r="QOP66" s="63"/>
      <c r="QOQ66" s="64"/>
      <c r="QOR66" s="66"/>
      <c r="QOS66" s="73"/>
      <c r="QOT66" s="63"/>
      <c r="QOU66" s="64"/>
      <c r="QOV66" s="66"/>
      <c r="QOW66" s="73"/>
      <c r="QOX66" s="63"/>
      <c r="QOY66" s="64"/>
      <c r="QOZ66" s="66"/>
      <c r="QPA66" s="73"/>
      <c r="QPB66" s="63"/>
      <c r="QPC66" s="64"/>
      <c r="QPD66" s="66"/>
      <c r="QPE66" s="73"/>
      <c r="QPF66" s="63"/>
      <c r="QPG66" s="64"/>
      <c r="QPH66" s="66"/>
      <c r="QPI66" s="73"/>
      <c r="QPJ66" s="63"/>
      <c r="QPK66" s="64"/>
      <c r="QPL66" s="66"/>
      <c r="QPM66" s="73"/>
      <c r="QPN66" s="63"/>
      <c r="QPO66" s="64"/>
      <c r="QPP66" s="66"/>
      <c r="QPQ66" s="73"/>
      <c r="QPR66" s="63"/>
      <c r="QPS66" s="64"/>
      <c r="QPT66" s="66"/>
      <c r="QPU66" s="73"/>
      <c r="QPV66" s="63"/>
      <c r="QPW66" s="64"/>
      <c r="QPX66" s="66"/>
      <c r="QPY66" s="73"/>
      <c r="QPZ66" s="63"/>
      <c r="QQA66" s="64"/>
      <c r="QQB66" s="66"/>
      <c r="QQC66" s="73"/>
      <c r="QQD66" s="63"/>
      <c r="QQE66" s="64"/>
      <c r="QQF66" s="66"/>
      <c r="QQG66" s="73"/>
      <c r="QQH66" s="63"/>
      <c r="QQI66" s="64"/>
      <c r="QQJ66" s="66"/>
      <c r="QQK66" s="73"/>
      <c r="QQL66" s="63"/>
      <c r="QQM66" s="64"/>
      <c r="QQN66" s="66"/>
      <c r="QQO66" s="73"/>
      <c r="QQP66" s="63"/>
      <c r="QQQ66" s="64"/>
      <c r="QQR66" s="66"/>
      <c r="QQS66" s="73"/>
      <c r="QQT66" s="63"/>
      <c r="QQU66" s="64"/>
      <c r="QQV66" s="66"/>
      <c r="QQW66" s="73"/>
      <c r="QQX66" s="63"/>
      <c r="QQY66" s="64"/>
      <c r="QQZ66" s="66"/>
      <c r="QRA66" s="73"/>
      <c r="QRB66" s="63"/>
      <c r="QRC66" s="64"/>
      <c r="QRD66" s="66"/>
      <c r="QRE66" s="73"/>
      <c r="QRF66" s="63"/>
      <c r="QRG66" s="64"/>
      <c r="QRH66" s="66"/>
      <c r="QRI66" s="73"/>
      <c r="QRJ66" s="63"/>
      <c r="QRK66" s="64"/>
      <c r="QRL66" s="66"/>
      <c r="QRM66" s="73"/>
      <c r="QRN66" s="63"/>
      <c r="QRO66" s="64"/>
      <c r="QRP66" s="66"/>
      <c r="QRQ66" s="73"/>
      <c r="QRR66" s="63"/>
      <c r="QRS66" s="64"/>
      <c r="QRT66" s="66"/>
      <c r="QRU66" s="73"/>
      <c r="QRV66" s="63"/>
      <c r="QRW66" s="64"/>
      <c r="QRX66" s="66"/>
      <c r="QRY66" s="73"/>
      <c r="QRZ66" s="63"/>
      <c r="QSA66" s="64"/>
      <c r="QSB66" s="66"/>
      <c r="QSC66" s="73"/>
      <c r="QSD66" s="63"/>
      <c r="QSE66" s="64"/>
      <c r="QSF66" s="66"/>
      <c r="QSG66" s="73"/>
      <c r="QSH66" s="63"/>
      <c r="QSI66" s="64"/>
      <c r="QSJ66" s="66"/>
      <c r="QSK66" s="73"/>
      <c r="QSL66" s="63"/>
      <c r="QSM66" s="64"/>
      <c r="QSN66" s="66"/>
      <c r="QSO66" s="73"/>
      <c r="QSP66" s="63"/>
      <c r="QSQ66" s="64"/>
      <c r="QSR66" s="66"/>
      <c r="QSS66" s="73"/>
      <c r="QST66" s="63"/>
      <c r="QSU66" s="64"/>
      <c r="QSV66" s="66"/>
      <c r="QSW66" s="73"/>
      <c r="QSX66" s="63"/>
      <c r="QSY66" s="64"/>
      <c r="QSZ66" s="66"/>
      <c r="QTA66" s="73"/>
      <c r="QTB66" s="63"/>
      <c r="QTC66" s="64"/>
      <c r="QTD66" s="66"/>
      <c r="QTE66" s="73"/>
      <c r="QTF66" s="63"/>
      <c r="QTG66" s="64"/>
      <c r="QTH66" s="66"/>
      <c r="QTI66" s="73"/>
      <c r="QTJ66" s="63"/>
      <c r="QTK66" s="64"/>
      <c r="QTL66" s="66"/>
      <c r="QTM66" s="73"/>
      <c r="QTN66" s="63"/>
      <c r="QTO66" s="64"/>
      <c r="QTP66" s="66"/>
      <c r="QTQ66" s="73"/>
      <c r="QTR66" s="63"/>
      <c r="QTS66" s="64"/>
      <c r="QTT66" s="66"/>
      <c r="QTU66" s="73"/>
      <c r="QTV66" s="63"/>
      <c r="QTW66" s="64"/>
      <c r="QTX66" s="66"/>
      <c r="QTY66" s="73"/>
      <c r="QTZ66" s="63"/>
      <c r="QUA66" s="64"/>
      <c r="QUB66" s="66"/>
      <c r="QUC66" s="73"/>
      <c r="QUD66" s="63"/>
      <c r="QUE66" s="64"/>
      <c r="QUF66" s="66"/>
      <c r="QUG66" s="73"/>
      <c r="QUH66" s="63"/>
      <c r="QUI66" s="64"/>
      <c r="QUJ66" s="66"/>
      <c r="QUK66" s="73"/>
      <c r="QUL66" s="63"/>
      <c r="QUM66" s="64"/>
      <c r="QUN66" s="66"/>
      <c r="QUO66" s="73"/>
      <c r="QUP66" s="63"/>
      <c r="QUQ66" s="64"/>
      <c r="QUR66" s="66"/>
      <c r="QUS66" s="73"/>
      <c r="QUT66" s="63"/>
      <c r="QUU66" s="64"/>
      <c r="QUV66" s="66"/>
      <c r="QUW66" s="73"/>
      <c r="QUX66" s="63"/>
      <c r="QUY66" s="64"/>
      <c r="QUZ66" s="66"/>
      <c r="QVA66" s="73"/>
      <c r="QVB66" s="63"/>
      <c r="QVC66" s="64"/>
      <c r="QVD66" s="66"/>
      <c r="QVE66" s="73"/>
      <c r="QVF66" s="63"/>
      <c r="QVG66" s="64"/>
      <c r="QVH66" s="66"/>
      <c r="QVI66" s="73"/>
      <c r="QVJ66" s="63"/>
      <c r="QVK66" s="64"/>
      <c r="QVL66" s="66"/>
      <c r="QVM66" s="73"/>
      <c r="QVN66" s="63"/>
      <c r="QVO66" s="64"/>
      <c r="QVP66" s="66"/>
      <c r="QVQ66" s="73"/>
      <c r="QVR66" s="63"/>
      <c r="QVS66" s="64"/>
      <c r="QVT66" s="66"/>
      <c r="QVU66" s="73"/>
      <c r="QVV66" s="63"/>
      <c r="QVW66" s="64"/>
      <c r="QVX66" s="66"/>
      <c r="QVY66" s="73"/>
      <c r="QVZ66" s="63"/>
      <c r="QWA66" s="64"/>
      <c r="QWB66" s="66"/>
      <c r="QWC66" s="73"/>
      <c r="QWD66" s="63"/>
      <c r="QWE66" s="64"/>
      <c r="QWF66" s="66"/>
      <c r="QWG66" s="73"/>
      <c r="QWH66" s="63"/>
      <c r="QWI66" s="64"/>
      <c r="QWJ66" s="66"/>
      <c r="QWK66" s="73"/>
      <c r="QWL66" s="63"/>
      <c r="QWM66" s="64"/>
      <c r="QWN66" s="66"/>
      <c r="QWO66" s="73"/>
      <c r="QWP66" s="63"/>
      <c r="QWQ66" s="64"/>
      <c r="QWR66" s="66"/>
      <c r="QWS66" s="73"/>
      <c r="QWT66" s="63"/>
      <c r="QWU66" s="64"/>
      <c r="QWV66" s="66"/>
      <c r="QWW66" s="73"/>
      <c r="QWX66" s="63"/>
      <c r="QWY66" s="64"/>
      <c r="QWZ66" s="66"/>
      <c r="QXA66" s="73"/>
      <c r="QXB66" s="63"/>
      <c r="QXC66" s="64"/>
      <c r="QXD66" s="66"/>
      <c r="QXE66" s="73"/>
      <c r="QXF66" s="63"/>
      <c r="QXG66" s="64"/>
      <c r="QXH66" s="66"/>
      <c r="QXI66" s="73"/>
      <c r="QXJ66" s="63"/>
      <c r="QXK66" s="64"/>
      <c r="QXL66" s="66"/>
      <c r="QXM66" s="73"/>
      <c r="QXN66" s="63"/>
      <c r="QXO66" s="64"/>
      <c r="QXP66" s="66"/>
      <c r="QXQ66" s="73"/>
      <c r="QXR66" s="63"/>
      <c r="QXS66" s="64"/>
      <c r="QXT66" s="66"/>
      <c r="QXU66" s="73"/>
      <c r="QXV66" s="63"/>
      <c r="QXW66" s="64"/>
      <c r="QXX66" s="66"/>
      <c r="QXY66" s="73"/>
      <c r="QXZ66" s="63"/>
      <c r="QYA66" s="64"/>
      <c r="QYB66" s="66"/>
      <c r="QYC66" s="73"/>
      <c r="QYD66" s="63"/>
      <c r="QYE66" s="64"/>
      <c r="QYF66" s="66"/>
      <c r="QYG66" s="73"/>
      <c r="QYH66" s="63"/>
      <c r="QYI66" s="64"/>
      <c r="QYJ66" s="66"/>
      <c r="QYK66" s="73"/>
      <c r="QYL66" s="63"/>
      <c r="QYM66" s="64"/>
      <c r="QYN66" s="66"/>
      <c r="QYO66" s="73"/>
      <c r="QYP66" s="63"/>
      <c r="QYQ66" s="64"/>
      <c r="QYR66" s="66"/>
      <c r="QYS66" s="73"/>
      <c r="QYT66" s="63"/>
      <c r="QYU66" s="64"/>
      <c r="QYV66" s="66"/>
      <c r="QYW66" s="73"/>
      <c r="QYX66" s="63"/>
      <c r="QYY66" s="64"/>
      <c r="QYZ66" s="66"/>
      <c r="QZA66" s="73"/>
      <c r="QZB66" s="63"/>
      <c r="QZC66" s="64"/>
      <c r="QZD66" s="66"/>
      <c r="QZE66" s="73"/>
      <c r="QZF66" s="63"/>
      <c r="QZG66" s="64"/>
      <c r="QZH66" s="66"/>
      <c r="QZI66" s="73"/>
      <c r="QZJ66" s="63"/>
      <c r="QZK66" s="64"/>
      <c r="QZL66" s="66"/>
      <c r="QZM66" s="73"/>
      <c r="QZN66" s="63"/>
      <c r="QZO66" s="64"/>
      <c r="QZP66" s="66"/>
      <c r="QZQ66" s="73"/>
      <c r="QZR66" s="63"/>
      <c r="QZS66" s="64"/>
      <c r="QZT66" s="66"/>
      <c r="QZU66" s="73"/>
      <c r="QZV66" s="63"/>
      <c r="QZW66" s="64"/>
      <c r="QZX66" s="66"/>
      <c r="QZY66" s="73"/>
      <c r="QZZ66" s="63"/>
      <c r="RAA66" s="64"/>
      <c r="RAB66" s="66"/>
      <c r="RAC66" s="73"/>
      <c r="RAD66" s="63"/>
      <c r="RAE66" s="64"/>
      <c r="RAF66" s="66"/>
      <c r="RAG66" s="73"/>
      <c r="RAH66" s="63"/>
      <c r="RAI66" s="64"/>
      <c r="RAJ66" s="66"/>
      <c r="RAK66" s="73"/>
      <c r="RAL66" s="63"/>
      <c r="RAM66" s="64"/>
      <c r="RAN66" s="66"/>
      <c r="RAO66" s="73"/>
      <c r="RAP66" s="63"/>
      <c r="RAQ66" s="64"/>
      <c r="RAR66" s="66"/>
      <c r="RAS66" s="73"/>
      <c r="RAT66" s="63"/>
      <c r="RAU66" s="64"/>
      <c r="RAV66" s="66"/>
      <c r="RAW66" s="73"/>
      <c r="RAX66" s="63"/>
      <c r="RAY66" s="64"/>
      <c r="RAZ66" s="66"/>
      <c r="RBA66" s="73"/>
      <c r="RBB66" s="63"/>
      <c r="RBC66" s="64"/>
      <c r="RBD66" s="66"/>
      <c r="RBE66" s="73"/>
      <c r="RBF66" s="63"/>
      <c r="RBG66" s="64"/>
      <c r="RBH66" s="66"/>
      <c r="RBI66" s="73"/>
      <c r="RBJ66" s="63"/>
      <c r="RBK66" s="64"/>
      <c r="RBL66" s="66"/>
      <c r="RBM66" s="73"/>
      <c r="RBN66" s="63"/>
      <c r="RBO66" s="64"/>
      <c r="RBP66" s="66"/>
      <c r="RBQ66" s="73"/>
      <c r="RBR66" s="63"/>
      <c r="RBS66" s="64"/>
      <c r="RBT66" s="66"/>
      <c r="RBU66" s="73"/>
      <c r="RBV66" s="63"/>
      <c r="RBW66" s="64"/>
      <c r="RBX66" s="66"/>
      <c r="RBY66" s="73"/>
      <c r="RBZ66" s="63"/>
      <c r="RCA66" s="64"/>
      <c r="RCB66" s="66"/>
      <c r="RCC66" s="73"/>
      <c r="RCD66" s="63"/>
      <c r="RCE66" s="64"/>
      <c r="RCF66" s="66"/>
      <c r="RCG66" s="73"/>
      <c r="RCH66" s="63"/>
      <c r="RCI66" s="64"/>
      <c r="RCJ66" s="66"/>
      <c r="RCK66" s="73"/>
      <c r="RCL66" s="63"/>
      <c r="RCM66" s="64"/>
      <c r="RCN66" s="66"/>
      <c r="RCO66" s="73"/>
      <c r="RCP66" s="63"/>
      <c r="RCQ66" s="64"/>
      <c r="RCR66" s="66"/>
      <c r="RCS66" s="73"/>
      <c r="RCT66" s="63"/>
      <c r="RCU66" s="64"/>
      <c r="RCV66" s="66"/>
      <c r="RCW66" s="73"/>
      <c r="RCX66" s="63"/>
      <c r="RCY66" s="64"/>
      <c r="RCZ66" s="66"/>
      <c r="RDA66" s="73"/>
      <c r="RDB66" s="63"/>
      <c r="RDC66" s="64"/>
      <c r="RDD66" s="66"/>
      <c r="RDE66" s="73"/>
      <c r="RDF66" s="63"/>
      <c r="RDG66" s="64"/>
      <c r="RDH66" s="66"/>
      <c r="RDI66" s="73"/>
      <c r="RDJ66" s="63"/>
      <c r="RDK66" s="64"/>
      <c r="RDL66" s="66"/>
      <c r="RDM66" s="73"/>
      <c r="RDN66" s="63"/>
      <c r="RDO66" s="64"/>
      <c r="RDP66" s="66"/>
      <c r="RDQ66" s="73"/>
      <c r="RDR66" s="63"/>
      <c r="RDS66" s="64"/>
      <c r="RDT66" s="66"/>
      <c r="RDU66" s="73"/>
      <c r="RDV66" s="63"/>
      <c r="RDW66" s="64"/>
      <c r="RDX66" s="66"/>
      <c r="RDY66" s="73"/>
      <c r="RDZ66" s="63"/>
      <c r="REA66" s="64"/>
      <c r="REB66" s="66"/>
      <c r="REC66" s="73"/>
      <c r="RED66" s="63"/>
      <c r="REE66" s="64"/>
      <c r="REF66" s="66"/>
      <c r="REG66" s="73"/>
      <c r="REH66" s="63"/>
      <c r="REI66" s="64"/>
      <c r="REJ66" s="66"/>
      <c r="REK66" s="73"/>
      <c r="REL66" s="63"/>
      <c r="REM66" s="64"/>
      <c r="REN66" s="66"/>
      <c r="REO66" s="73"/>
      <c r="REP66" s="63"/>
      <c r="REQ66" s="64"/>
      <c r="RER66" s="66"/>
      <c r="RES66" s="73"/>
      <c r="RET66" s="63"/>
      <c r="REU66" s="64"/>
      <c r="REV66" s="66"/>
      <c r="REW66" s="73"/>
      <c r="REX66" s="63"/>
      <c r="REY66" s="64"/>
      <c r="REZ66" s="66"/>
      <c r="RFA66" s="73"/>
      <c r="RFB66" s="63"/>
      <c r="RFC66" s="64"/>
      <c r="RFD66" s="66"/>
      <c r="RFE66" s="73"/>
      <c r="RFF66" s="63"/>
      <c r="RFG66" s="64"/>
      <c r="RFH66" s="66"/>
      <c r="RFI66" s="73"/>
      <c r="RFJ66" s="63"/>
      <c r="RFK66" s="64"/>
      <c r="RFL66" s="66"/>
      <c r="RFM66" s="73"/>
      <c r="RFN66" s="63"/>
      <c r="RFO66" s="64"/>
      <c r="RFP66" s="66"/>
      <c r="RFQ66" s="73"/>
      <c r="RFR66" s="63"/>
      <c r="RFS66" s="64"/>
      <c r="RFT66" s="66"/>
      <c r="RFU66" s="73"/>
      <c r="RFV66" s="63"/>
      <c r="RFW66" s="64"/>
      <c r="RFX66" s="66"/>
      <c r="RFY66" s="73"/>
      <c r="RFZ66" s="63"/>
      <c r="RGA66" s="64"/>
      <c r="RGB66" s="66"/>
      <c r="RGC66" s="73"/>
      <c r="RGD66" s="63"/>
      <c r="RGE66" s="64"/>
      <c r="RGF66" s="66"/>
      <c r="RGG66" s="73"/>
      <c r="RGH66" s="63"/>
      <c r="RGI66" s="64"/>
      <c r="RGJ66" s="66"/>
      <c r="RGK66" s="73"/>
      <c r="RGL66" s="63"/>
      <c r="RGM66" s="64"/>
      <c r="RGN66" s="66"/>
      <c r="RGO66" s="73"/>
      <c r="RGP66" s="63"/>
      <c r="RGQ66" s="64"/>
      <c r="RGR66" s="66"/>
      <c r="RGS66" s="73"/>
      <c r="RGT66" s="63"/>
      <c r="RGU66" s="64"/>
      <c r="RGV66" s="66"/>
      <c r="RGW66" s="73"/>
      <c r="RGX66" s="63"/>
      <c r="RGY66" s="64"/>
      <c r="RGZ66" s="66"/>
      <c r="RHA66" s="73"/>
      <c r="RHB66" s="63"/>
      <c r="RHC66" s="64"/>
      <c r="RHD66" s="66"/>
      <c r="RHE66" s="73"/>
      <c r="RHF66" s="63"/>
      <c r="RHG66" s="64"/>
      <c r="RHH66" s="66"/>
      <c r="RHI66" s="73"/>
      <c r="RHJ66" s="63"/>
      <c r="RHK66" s="64"/>
      <c r="RHL66" s="66"/>
      <c r="RHM66" s="73"/>
      <c r="RHN66" s="63"/>
      <c r="RHO66" s="64"/>
      <c r="RHP66" s="66"/>
      <c r="RHQ66" s="73"/>
      <c r="RHR66" s="63"/>
      <c r="RHS66" s="64"/>
      <c r="RHT66" s="66"/>
      <c r="RHU66" s="73"/>
      <c r="RHV66" s="63"/>
      <c r="RHW66" s="64"/>
      <c r="RHX66" s="66"/>
      <c r="RHY66" s="73"/>
      <c r="RHZ66" s="63"/>
      <c r="RIA66" s="64"/>
      <c r="RIB66" s="66"/>
      <c r="RIC66" s="73"/>
      <c r="RID66" s="63"/>
      <c r="RIE66" s="64"/>
      <c r="RIF66" s="66"/>
      <c r="RIG66" s="73"/>
      <c r="RIH66" s="63"/>
      <c r="RII66" s="64"/>
      <c r="RIJ66" s="66"/>
      <c r="RIK66" s="73"/>
      <c r="RIL66" s="63"/>
      <c r="RIM66" s="64"/>
      <c r="RIN66" s="66"/>
      <c r="RIO66" s="73"/>
      <c r="RIP66" s="63"/>
      <c r="RIQ66" s="64"/>
      <c r="RIR66" s="66"/>
      <c r="RIS66" s="73"/>
      <c r="RIT66" s="63"/>
      <c r="RIU66" s="64"/>
      <c r="RIV66" s="66"/>
      <c r="RIW66" s="73"/>
      <c r="RIX66" s="63"/>
      <c r="RIY66" s="64"/>
      <c r="RIZ66" s="66"/>
      <c r="RJA66" s="73"/>
      <c r="RJB66" s="63"/>
      <c r="RJC66" s="64"/>
      <c r="RJD66" s="66"/>
      <c r="RJE66" s="73"/>
      <c r="RJF66" s="63"/>
      <c r="RJG66" s="64"/>
      <c r="RJH66" s="66"/>
      <c r="RJI66" s="73"/>
      <c r="RJJ66" s="63"/>
      <c r="RJK66" s="64"/>
      <c r="RJL66" s="66"/>
      <c r="RJM66" s="73"/>
      <c r="RJN66" s="63"/>
      <c r="RJO66" s="64"/>
      <c r="RJP66" s="66"/>
      <c r="RJQ66" s="73"/>
      <c r="RJR66" s="63"/>
      <c r="RJS66" s="64"/>
      <c r="RJT66" s="66"/>
      <c r="RJU66" s="73"/>
      <c r="RJV66" s="63"/>
      <c r="RJW66" s="64"/>
      <c r="RJX66" s="66"/>
      <c r="RJY66" s="73"/>
      <c r="RJZ66" s="63"/>
      <c r="RKA66" s="64"/>
      <c r="RKB66" s="66"/>
      <c r="RKC66" s="73"/>
      <c r="RKD66" s="63"/>
      <c r="RKE66" s="64"/>
      <c r="RKF66" s="66"/>
      <c r="RKG66" s="73"/>
      <c r="RKH66" s="63"/>
      <c r="RKI66" s="64"/>
      <c r="RKJ66" s="66"/>
      <c r="RKK66" s="73"/>
      <c r="RKL66" s="63"/>
      <c r="RKM66" s="64"/>
      <c r="RKN66" s="66"/>
      <c r="RKO66" s="73"/>
      <c r="RKP66" s="63"/>
      <c r="RKQ66" s="64"/>
      <c r="RKR66" s="66"/>
      <c r="RKS66" s="73"/>
      <c r="RKT66" s="63"/>
      <c r="RKU66" s="64"/>
      <c r="RKV66" s="66"/>
      <c r="RKW66" s="73"/>
      <c r="RKX66" s="63"/>
      <c r="RKY66" s="64"/>
      <c r="RKZ66" s="66"/>
      <c r="RLA66" s="73"/>
      <c r="RLB66" s="63"/>
      <c r="RLC66" s="64"/>
      <c r="RLD66" s="66"/>
      <c r="RLE66" s="73"/>
      <c r="RLF66" s="63"/>
      <c r="RLG66" s="64"/>
      <c r="RLH66" s="66"/>
      <c r="RLI66" s="73"/>
      <c r="RLJ66" s="63"/>
      <c r="RLK66" s="64"/>
      <c r="RLL66" s="66"/>
      <c r="RLM66" s="73"/>
      <c r="RLN66" s="63"/>
      <c r="RLO66" s="64"/>
      <c r="RLP66" s="66"/>
      <c r="RLQ66" s="73"/>
      <c r="RLR66" s="63"/>
      <c r="RLS66" s="64"/>
      <c r="RLT66" s="66"/>
      <c r="RLU66" s="73"/>
      <c r="RLV66" s="63"/>
      <c r="RLW66" s="64"/>
      <c r="RLX66" s="66"/>
      <c r="RLY66" s="73"/>
      <c r="RLZ66" s="63"/>
      <c r="RMA66" s="64"/>
      <c r="RMB66" s="66"/>
      <c r="RMC66" s="73"/>
      <c r="RMD66" s="63"/>
      <c r="RME66" s="64"/>
      <c r="RMF66" s="66"/>
      <c r="RMG66" s="73"/>
      <c r="RMH66" s="63"/>
      <c r="RMI66" s="64"/>
      <c r="RMJ66" s="66"/>
      <c r="RMK66" s="73"/>
      <c r="RML66" s="63"/>
      <c r="RMM66" s="64"/>
      <c r="RMN66" s="66"/>
      <c r="RMO66" s="73"/>
      <c r="RMP66" s="63"/>
      <c r="RMQ66" s="64"/>
      <c r="RMR66" s="66"/>
      <c r="RMS66" s="73"/>
      <c r="RMT66" s="63"/>
      <c r="RMU66" s="64"/>
      <c r="RMV66" s="66"/>
      <c r="RMW66" s="73"/>
      <c r="RMX66" s="63"/>
      <c r="RMY66" s="64"/>
      <c r="RMZ66" s="66"/>
      <c r="RNA66" s="73"/>
      <c r="RNB66" s="63"/>
      <c r="RNC66" s="64"/>
      <c r="RND66" s="66"/>
      <c r="RNE66" s="73"/>
      <c r="RNF66" s="63"/>
      <c r="RNG66" s="64"/>
      <c r="RNH66" s="66"/>
      <c r="RNI66" s="73"/>
      <c r="RNJ66" s="63"/>
      <c r="RNK66" s="64"/>
      <c r="RNL66" s="66"/>
      <c r="RNM66" s="73"/>
      <c r="RNN66" s="63"/>
      <c r="RNO66" s="64"/>
      <c r="RNP66" s="66"/>
      <c r="RNQ66" s="73"/>
      <c r="RNR66" s="63"/>
      <c r="RNS66" s="64"/>
      <c r="RNT66" s="66"/>
      <c r="RNU66" s="73"/>
      <c r="RNV66" s="63"/>
      <c r="RNW66" s="64"/>
      <c r="RNX66" s="66"/>
      <c r="RNY66" s="73"/>
      <c r="RNZ66" s="63"/>
      <c r="ROA66" s="64"/>
      <c r="ROB66" s="66"/>
      <c r="ROC66" s="73"/>
      <c r="ROD66" s="63"/>
      <c r="ROE66" s="64"/>
      <c r="ROF66" s="66"/>
      <c r="ROG66" s="73"/>
      <c r="ROH66" s="63"/>
      <c r="ROI66" s="64"/>
      <c r="ROJ66" s="66"/>
      <c r="ROK66" s="73"/>
      <c r="ROL66" s="63"/>
      <c r="ROM66" s="64"/>
      <c r="RON66" s="66"/>
      <c r="ROO66" s="73"/>
      <c r="ROP66" s="63"/>
      <c r="ROQ66" s="64"/>
      <c r="ROR66" s="66"/>
      <c r="ROS66" s="73"/>
      <c r="ROT66" s="63"/>
      <c r="ROU66" s="64"/>
      <c r="ROV66" s="66"/>
      <c r="ROW66" s="73"/>
      <c r="ROX66" s="63"/>
      <c r="ROY66" s="64"/>
      <c r="ROZ66" s="66"/>
      <c r="RPA66" s="73"/>
      <c r="RPB66" s="63"/>
      <c r="RPC66" s="64"/>
      <c r="RPD66" s="66"/>
      <c r="RPE66" s="73"/>
      <c r="RPF66" s="63"/>
      <c r="RPG66" s="64"/>
      <c r="RPH66" s="66"/>
      <c r="RPI66" s="73"/>
      <c r="RPJ66" s="63"/>
      <c r="RPK66" s="64"/>
      <c r="RPL66" s="66"/>
      <c r="RPM66" s="73"/>
      <c r="RPN66" s="63"/>
      <c r="RPO66" s="64"/>
      <c r="RPP66" s="66"/>
      <c r="RPQ66" s="73"/>
      <c r="RPR66" s="63"/>
      <c r="RPS66" s="64"/>
      <c r="RPT66" s="66"/>
      <c r="RPU66" s="73"/>
      <c r="RPV66" s="63"/>
      <c r="RPW66" s="64"/>
      <c r="RPX66" s="66"/>
      <c r="RPY66" s="73"/>
      <c r="RPZ66" s="63"/>
      <c r="RQA66" s="64"/>
      <c r="RQB66" s="66"/>
      <c r="RQC66" s="73"/>
      <c r="RQD66" s="63"/>
      <c r="RQE66" s="64"/>
      <c r="RQF66" s="66"/>
      <c r="RQG66" s="73"/>
      <c r="RQH66" s="63"/>
      <c r="RQI66" s="64"/>
      <c r="RQJ66" s="66"/>
      <c r="RQK66" s="73"/>
      <c r="RQL66" s="63"/>
      <c r="RQM66" s="64"/>
      <c r="RQN66" s="66"/>
      <c r="RQO66" s="73"/>
      <c r="RQP66" s="63"/>
      <c r="RQQ66" s="64"/>
      <c r="RQR66" s="66"/>
      <c r="RQS66" s="73"/>
      <c r="RQT66" s="63"/>
      <c r="RQU66" s="64"/>
      <c r="RQV66" s="66"/>
      <c r="RQW66" s="73"/>
      <c r="RQX66" s="63"/>
      <c r="RQY66" s="64"/>
      <c r="RQZ66" s="66"/>
      <c r="RRA66" s="73"/>
      <c r="RRB66" s="63"/>
      <c r="RRC66" s="64"/>
      <c r="RRD66" s="66"/>
      <c r="RRE66" s="73"/>
      <c r="RRF66" s="63"/>
      <c r="RRG66" s="64"/>
      <c r="RRH66" s="66"/>
      <c r="RRI66" s="73"/>
      <c r="RRJ66" s="63"/>
      <c r="RRK66" s="64"/>
      <c r="RRL66" s="66"/>
      <c r="RRM66" s="73"/>
      <c r="RRN66" s="63"/>
      <c r="RRO66" s="64"/>
      <c r="RRP66" s="66"/>
      <c r="RRQ66" s="73"/>
      <c r="RRR66" s="63"/>
      <c r="RRS66" s="64"/>
      <c r="RRT66" s="66"/>
      <c r="RRU66" s="73"/>
      <c r="RRV66" s="63"/>
      <c r="RRW66" s="64"/>
      <c r="RRX66" s="66"/>
      <c r="RRY66" s="73"/>
      <c r="RRZ66" s="63"/>
      <c r="RSA66" s="64"/>
      <c r="RSB66" s="66"/>
      <c r="RSC66" s="73"/>
      <c r="RSD66" s="63"/>
      <c r="RSE66" s="64"/>
      <c r="RSF66" s="66"/>
      <c r="RSG66" s="73"/>
      <c r="RSH66" s="63"/>
      <c r="RSI66" s="64"/>
      <c r="RSJ66" s="66"/>
      <c r="RSK66" s="73"/>
      <c r="RSL66" s="63"/>
      <c r="RSM66" s="64"/>
      <c r="RSN66" s="66"/>
      <c r="RSO66" s="73"/>
      <c r="RSP66" s="63"/>
      <c r="RSQ66" s="64"/>
      <c r="RSR66" s="66"/>
      <c r="RSS66" s="73"/>
      <c r="RST66" s="63"/>
      <c r="RSU66" s="64"/>
      <c r="RSV66" s="66"/>
      <c r="RSW66" s="73"/>
      <c r="RSX66" s="63"/>
      <c r="RSY66" s="64"/>
      <c r="RSZ66" s="66"/>
      <c r="RTA66" s="73"/>
      <c r="RTB66" s="63"/>
      <c r="RTC66" s="64"/>
      <c r="RTD66" s="66"/>
      <c r="RTE66" s="73"/>
      <c r="RTF66" s="63"/>
      <c r="RTG66" s="64"/>
      <c r="RTH66" s="66"/>
      <c r="RTI66" s="73"/>
      <c r="RTJ66" s="63"/>
      <c r="RTK66" s="64"/>
      <c r="RTL66" s="66"/>
      <c r="RTM66" s="73"/>
      <c r="RTN66" s="63"/>
      <c r="RTO66" s="64"/>
      <c r="RTP66" s="66"/>
      <c r="RTQ66" s="73"/>
      <c r="RTR66" s="63"/>
      <c r="RTS66" s="64"/>
      <c r="RTT66" s="66"/>
      <c r="RTU66" s="73"/>
      <c r="RTV66" s="63"/>
      <c r="RTW66" s="64"/>
      <c r="RTX66" s="66"/>
      <c r="RTY66" s="73"/>
      <c r="RTZ66" s="63"/>
      <c r="RUA66" s="64"/>
      <c r="RUB66" s="66"/>
      <c r="RUC66" s="73"/>
      <c r="RUD66" s="63"/>
      <c r="RUE66" s="64"/>
      <c r="RUF66" s="66"/>
      <c r="RUG66" s="73"/>
      <c r="RUH66" s="63"/>
      <c r="RUI66" s="64"/>
      <c r="RUJ66" s="66"/>
      <c r="RUK66" s="73"/>
      <c r="RUL66" s="63"/>
      <c r="RUM66" s="64"/>
      <c r="RUN66" s="66"/>
      <c r="RUO66" s="73"/>
      <c r="RUP66" s="63"/>
      <c r="RUQ66" s="64"/>
      <c r="RUR66" s="66"/>
      <c r="RUS66" s="73"/>
      <c r="RUT66" s="63"/>
      <c r="RUU66" s="64"/>
      <c r="RUV66" s="66"/>
      <c r="RUW66" s="73"/>
      <c r="RUX66" s="63"/>
      <c r="RUY66" s="64"/>
      <c r="RUZ66" s="66"/>
      <c r="RVA66" s="73"/>
      <c r="RVB66" s="63"/>
      <c r="RVC66" s="64"/>
      <c r="RVD66" s="66"/>
      <c r="RVE66" s="73"/>
      <c r="RVF66" s="63"/>
      <c r="RVG66" s="64"/>
      <c r="RVH66" s="66"/>
      <c r="RVI66" s="73"/>
      <c r="RVJ66" s="63"/>
      <c r="RVK66" s="64"/>
      <c r="RVL66" s="66"/>
      <c r="RVM66" s="73"/>
      <c r="RVN66" s="63"/>
      <c r="RVO66" s="64"/>
      <c r="RVP66" s="66"/>
      <c r="RVQ66" s="73"/>
      <c r="RVR66" s="63"/>
      <c r="RVS66" s="64"/>
      <c r="RVT66" s="66"/>
      <c r="RVU66" s="73"/>
      <c r="RVV66" s="63"/>
      <c r="RVW66" s="64"/>
      <c r="RVX66" s="66"/>
      <c r="RVY66" s="73"/>
      <c r="RVZ66" s="63"/>
      <c r="RWA66" s="64"/>
      <c r="RWB66" s="66"/>
      <c r="RWC66" s="73"/>
      <c r="RWD66" s="63"/>
      <c r="RWE66" s="64"/>
      <c r="RWF66" s="66"/>
      <c r="RWG66" s="73"/>
      <c r="RWH66" s="63"/>
      <c r="RWI66" s="64"/>
      <c r="RWJ66" s="66"/>
      <c r="RWK66" s="73"/>
      <c r="RWL66" s="63"/>
      <c r="RWM66" s="64"/>
      <c r="RWN66" s="66"/>
      <c r="RWO66" s="73"/>
      <c r="RWP66" s="63"/>
      <c r="RWQ66" s="64"/>
      <c r="RWR66" s="66"/>
      <c r="RWS66" s="73"/>
      <c r="RWT66" s="63"/>
      <c r="RWU66" s="64"/>
      <c r="RWV66" s="66"/>
      <c r="RWW66" s="73"/>
      <c r="RWX66" s="63"/>
      <c r="RWY66" s="64"/>
      <c r="RWZ66" s="66"/>
      <c r="RXA66" s="73"/>
      <c r="RXB66" s="63"/>
      <c r="RXC66" s="64"/>
      <c r="RXD66" s="66"/>
      <c r="RXE66" s="73"/>
      <c r="RXF66" s="63"/>
      <c r="RXG66" s="64"/>
      <c r="RXH66" s="66"/>
      <c r="RXI66" s="73"/>
      <c r="RXJ66" s="63"/>
      <c r="RXK66" s="64"/>
      <c r="RXL66" s="66"/>
      <c r="RXM66" s="73"/>
      <c r="RXN66" s="63"/>
      <c r="RXO66" s="64"/>
      <c r="RXP66" s="66"/>
      <c r="RXQ66" s="73"/>
      <c r="RXR66" s="63"/>
      <c r="RXS66" s="64"/>
      <c r="RXT66" s="66"/>
      <c r="RXU66" s="73"/>
      <c r="RXV66" s="63"/>
      <c r="RXW66" s="64"/>
      <c r="RXX66" s="66"/>
      <c r="RXY66" s="73"/>
      <c r="RXZ66" s="63"/>
      <c r="RYA66" s="64"/>
      <c r="RYB66" s="66"/>
      <c r="RYC66" s="73"/>
      <c r="RYD66" s="63"/>
      <c r="RYE66" s="64"/>
      <c r="RYF66" s="66"/>
      <c r="RYG66" s="73"/>
      <c r="RYH66" s="63"/>
      <c r="RYI66" s="64"/>
      <c r="RYJ66" s="66"/>
      <c r="RYK66" s="73"/>
      <c r="RYL66" s="63"/>
      <c r="RYM66" s="64"/>
      <c r="RYN66" s="66"/>
      <c r="RYO66" s="73"/>
      <c r="RYP66" s="63"/>
      <c r="RYQ66" s="64"/>
      <c r="RYR66" s="66"/>
      <c r="RYS66" s="73"/>
      <c r="RYT66" s="63"/>
      <c r="RYU66" s="64"/>
      <c r="RYV66" s="66"/>
      <c r="RYW66" s="73"/>
      <c r="RYX66" s="63"/>
      <c r="RYY66" s="64"/>
      <c r="RYZ66" s="66"/>
      <c r="RZA66" s="73"/>
      <c r="RZB66" s="63"/>
      <c r="RZC66" s="64"/>
      <c r="RZD66" s="66"/>
      <c r="RZE66" s="73"/>
      <c r="RZF66" s="63"/>
      <c r="RZG66" s="64"/>
      <c r="RZH66" s="66"/>
      <c r="RZI66" s="73"/>
      <c r="RZJ66" s="63"/>
      <c r="RZK66" s="64"/>
      <c r="RZL66" s="66"/>
      <c r="RZM66" s="73"/>
      <c r="RZN66" s="63"/>
      <c r="RZO66" s="64"/>
      <c r="RZP66" s="66"/>
      <c r="RZQ66" s="73"/>
      <c r="RZR66" s="63"/>
      <c r="RZS66" s="64"/>
      <c r="RZT66" s="66"/>
      <c r="RZU66" s="73"/>
      <c r="RZV66" s="63"/>
      <c r="RZW66" s="64"/>
      <c r="RZX66" s="66"/>
      <c r="RZY66" s="73"/>
      <c r="RZZ66" s="63"/>
      <c r="SAA66" s="64"/>
      <c r="SAB66" s="66"/>
      <c r="SAC66" s="73"/>
      <c r="SAD66" s="63"/>
      <c r="SAE66" s="64"/>
      <c r="SAF66" s="66"/>
      <c r="SAG66" s="73"/>
      <c r="SAH66" s="63"/>
      <c r="SAI66" s="64"/>
      <c r="SAJ66" s="66"/>
      <c r="SAK66" s="73"/>
      <c r="SAL66" s="63"/>
      <c r="SAM66" s="64"/>
      <c r="SAN66" s="66"/>
      <c r="SAO66" s="73"/>
      <c r="SAP66" s="63"/>
      <c r="SAQ66" s="64"/>
      <c r="SAR66" s="66"/>
      <c r="SAS66" s="73"/>
      <c r="SAT66" s="63"/>
      <c r="SAU66" s="64"/>
      <c r="SAV66" s="66"/>
      <c r="SAW66" s="73"/>
      <c r="SAX66" s="63"/>
      <c r="SAY66" s="64"/>
      <c r="SAZ66" s="66"/>
      <c r="SBA66" s="73"/>
      <c r="SBB66" s="63"/>
      <c r="SBC66" s="64"/>
      <c r="SBD66" s="66"/>
      <c r="SBE66" s="73"/>
      <c r="SBF66" s="63"/>
      <c r="SBG66" s="64"/>
      <c r="SBH66" s="66"/>
      <c r="SBI66" s="73"/>
      <c r="SBJ66" s="63"/>
      <c r="SBK66" s="64"/>
      <c r="SBL66" s="66"/>
      <c r="SBM66" s="73"/>
      <c r="SBN66" s="63"/>
      <c r="SBO66" s="64"/>
      <c r="SBP66" s="66"/>
      <c r="SBQ66" s="73"/>
      <c r="SBR66" s="63"/>
      <c r="SBS66" s="64"/>
      <c r="SBT66" s="66"/>
      <c r="SBU66" s="73"/>
      <c r="SBV66" s="63"/>
      <c r="SBW66" s="64"/>
      <c r="SBX66" s="66"/>
      <c r="SBY66" s="73"/>
      <c r="SBZ66" s="63"/>
      <c r="SCA66" s="64"/>
      <c r="SCB66" s="66"/>
      <c r="SCC66" s="73"/>
      <c r="SCD66" s="63"/>
      <c r="SCE66" s="64"/>
      <c r="SCF66" s="66"/>
      <c r="SCG66" s="73"/>
      <c r="SCH66" s="63"/>
      <c r="SCI66" s="64"/>
      <c r="SCJ66" s="66"/>
      <c r="SCK66" s="73"/>
      <c r="SCL66" s="63"/>
      <c r="SCM66" s="64"/>
      <c r="SCN66" s="66"/>
      <c r="SCO66" s="73"/>
      <c r="SCP66" s="63"/>
      <c r="SCQ66" s="64"/>
      <c r="SCR66" s="66"/>
      <c r="SCS66" s="73"/>
      <c r="SCT66" s="63"/>
      <c r="SCU66" s="64"/>
      <c r="SCV66" s="66"/>
      <c r="SCW66" s="73"/>
      <c r="SCX66" s="63"/>
      <c r="SCY66" s="64"/>
      <c r="SCZ66" s="66"/>
      <c r="SDA66" s="73"/>
      <c r="SDB66" s="63"/>
      <c r="SDC66" s="64"/>
      <c r="SDD66" s="66"/>
      <c r="SDE66" s="73"/>
      <c r="SDF66" s="63"/>
      <c r="SDG66" s="64"/>
      <c r="SDH66" s="66"/>
      <c r="SDI66" s="73"/>
      <c r="SDJ66" s="63"/>
      <c r="SDK66" s="64"/>
      <c r="SDL66" s="66"/>
      <c r="SDM66" s="73"/>
      <c r="SDN66" s="63"/>
      <c r="SDO66" s="64"/>
      <c r="SDP66" s="66"/>
      <c r="SDQ66" s="73"/>
      <c r="SDR66" s="63"/>
      <c r="SDS66" s="64"/>
      <c r="SDT66" s="66"/>
      <c r="SDU66" s="73"/>
      <c r="SDV66" s="63"/>
      <c r="SDW66" s="64"/>
      <c r="SDX66" s="66"/>
      <c r="SDY66" s="73"/>
      <c r="SDZ66" s="63"/>
      <c r="SEA66" s="64"/>
      <c r="SEB66" s="66"/>
      <c r="SEC66" s="73"/>
      <c r="SED66" s="63"/>
      <c r="SEE66" s="64"/>
      <c r="SEF66" s="66"/>
      <c r="SEG66" s="73"/>
      <c r="SEH66" s="63"/>
      <c r="SEI66" s="64"/>
      <c r="SEJ66" s="66"/>
      <c r="SEK66" s="73"/>
      <c r="SEL66" s="63"/>
      <c r="SEM66" s="64"/>
      <c r="SEN66" s="66"/>
      <c r="SEO66" s="73"/>
      <c r="SEP66" s="63"/>
      <c r="SEQ66" s="64"/>
      <c r="SER66" s="66"/>
      <c r="SES66" s="73"/>
      <c r="SET66" s="63"/>
      <c r="SEU66" s="64"/>
      <c r="SEV66" s="66"/>
      <c r="SEW66" s="73"/>
      <c r="SEX66" s="63"/>
      <c r="SEY66" s="64"/>
      <c r="SEZ66" s="66"/>
      <c r="SFA66" s="73"/>
      <c r="SFB66" s="63"/>
      <c r="SFC66" s="64"/>
      <c r="SFD66" s="66"/>
      <c r="SFE66" s="73"/>
      <c r="SFF66" s="63"/>
      <c r="SFG66" s="64"/>
      <c r="SFH66" s="66"/>
      <c r="SFI66" s="73"/>
      <c r="SFJ66" s="63"/>
      <c r="SFK66" s="64"/>
      <c r="SFL66" s="66"/>
      <c r="SFM66" s="73"/>
      <c r="SFN66" s="63"/>
      <c r="SFO66" s="64"/>
      <c r="SFP66" s="66"/>
      <c r="SFQ66" s="73"/>
      <c r="SFR66" s="63"/>
      <c r="SFS66" s="64"/>
      <c r="SFT66" s="66"/>
      <c r="SFU66" s="73"/>
      <c r="SFV66" s="63"/>
      <c r="SFW66" s="64"/>
      <c r="SFX66" s="66"/>
      <c r="SFY66" s="73"/>
      <c r="SFZ66" s="63"/>
      <c r="SGA66" s="64"/>
      <c r="SGB66" s="66"/>
      <c r="SGC66" s="73"/>
      <c r="SGD66" s="63"/>
      <c r="SGE66" s="64"/>
      <c r="SGF66" s="66"/>
      <c r="SGG66" s="73"/>
      <c r="SGH66" s="63"/>
      <c r="SGI66" s="64"/>
      <c r="SGJ66" s="66"/>
      <c r="SGK66" s="73"/>
      <c r="SGL66" s="63"/>
      <c r="SGM66" s="64"/>
      <c r="SGN66" s="66"/>
      <c r="SGO66" s="73"/>
      <c r="SGP66" s="63"/>
      <c r="SGQ66" s="64"/>
      <c r="SGR66" s="66"/>
      <c r="SGS66" s="73"/>
      <c r="SGT66" s="63"/>
      <c r="SGU66" s="64"/>
      <c r="SGV66" s="66"/>
      <c r="SGW66" s="73"/>
      <c r="SGX66" s="63"/>
      <c r="SGY66" s="64"/>
      <c r="SGZ66" s="66"/>
      <c r="SHA66" s="73"/>
      <c r="SHB66" s="63"/>
      <c r="SHC66" s="64"/>
      <c r="SHD66" s="66"/>
      <c r="SHE66" s="73"/>
      <c r="SHF66" s="63"/>
      <c r="SHG66" s="64"/>
      <c r="SHH66" s="66"/>
      <c r="SHI66" s="73"/>
      <c r="SHJ66" s="63"/>
      <c r="SHK66" s="64"/>
      <c r="SHL66" s="66"/>
      <c r="SHM66" s="73"/>
      <c r="SHN66" s="63"/>
      <c r="SHO66" s="64"/>
      <c r="SHP66" s="66"/>
      <c r="SHQ66" s="73"/>
      <c r="SHR66" s="63"/>
      <c r="SHS66" s="64"/>
      <c r="SHT66" s="66"/>
      <c r="SHU66" s="73"/>
      <c r="SHV66" s="63"/>
      <c r="SHW66" s="64"/>
      <c r="SHX66" s="66"/>
      <c r="SHY66" s="73"/>
      <c r="SHZ66" s="63"/>
      <c r="SIA66" s="64"/>
      <c r="SIB66" s="66"/>
      <c r="SIC66" s="73"/>
      <c r="SID66" s="63"/>
      <c r="SIE66" s="64"/>
      <c r="SIF66" s="66"/>
      <c r="SIG66" s="73"/>
      <c r="SIH66" s="63"/>
      <c r="SII66" s="64"/>
      <c r="SIJ66" s="66"/>
      <c r="SIK66" s="73"/>
      <c r="SIL66" s="63"/>
      <c r="SIM66" s="64"/>
      <c r="SIN66" s="66"/>
      <c r="SIO66" s="73"/>
      <c r="SIP66" s="63"/>
      <c r="SIQ66" s="64"/>
      <c r="SIR66" s="66"/>
      <c r="SIS66" s="73"/>
      <c r="SIT66" s="63"/>
      <c r="SIU66" s="64"/>
      <c r="SIV66" s="66"/>
      <c r="SIW66" s="73"/>
      <c r="SIX66" s="63"/>
      <c r="SIY66" s="64"/>
      <c r="SIZ66" s="66"/>
      <c r="SJA66" s="73"/>
      <c r="SJB66" s="63"/>
      <c r="SJC66" s="64"/>
      <c r="SJD66" s="66"/>
      <c r="SJE66" s="73"/>
      <c r="SJF66" s="63"/>
      <c r="SJG66" s="64"/>
      <c r="SJH66" s="66"/>
      <c r="SJI66" s="73"/>
      <c r="SJJ66" s="63"/>
      <c r="SJK66" s="64"/>
      <c r="SJL66" s="66"/>
      <c r="SJM66" s="73"/>
      <c r="SJN66" s="63"/>
      <c r="SJO66" s="64"/>
      <c r="SJP66" s="66"/>
      <c r="SJQ66" s="73"/>
      <c r="SJR66" s="63"/>
      <c r="SJS66" s="64"/>
      <c r="SJT66" s="66"/>
      <c r="SJU66" s="73"/>
      <c r="SJV66" s="63"/>
      <c r="SJW66" s="64"/>
      <c r="SJX66" s="66"/>
      <c r="SJY66" s="73"/>
      <c r="SJZ66" s="63"/>
      <c r="SKA66" s="64"/>
      <c r="SKB66" s="66"/>
      <c r="SKC66" s="73"/>
      <c r="SKD66" s="63"/>
      <c r="SKE66" s="64"/>
      <c r="SKF66" s="66"/>
      <c r="SKG66" s="73"/>
      <c r="SKH66" s="63"/>
      <c r="SKI66" s="64"/>
      <c r="SKJ66" s="66"/>
      <c r="SKK66" s="73"/>
      <c r="SKL66" s="63"/>
      <c r="SKM66" s="64"/>
      <c r="SKN66" s="66"/>
      <c r="SKO66" s="73"/>
      <c r="SKP66" s="63"/>
      <c r="SKQ66" s="64"/>
      <c r="SKR66" s="66"/>
      <c r="SKS66" s="73"/>
      <c r="SKT66" s="63"/>
      <c r="SKU66" s="64"/>
      <c r="SKV66" s="66"/>
      <c r="SKW66" s="73"/>
      <c r="SKX66" s="63"/>
      <c r="SKY66" s="64"/>
      <c r="SKZ66" s="66"/>
      <c r="SLA66" s="73"/>
      <c r="SLB66" s="63"/>
      <c r="SLC66" s="64"/>
      <c r="SLD66" s="66"/>
      <c r="SLE66" s="73"/>
      <c r="SLF66" s="63"/>
      <c r="SLG66" s="64"/>
      <c r="SLH66" s="66"/>
      <c r="SLI66" s="73"/>
      <c r="SLJ66" s="63"/>
      <c r="SLK66" s="64"/>
      <c r="SLL66" s="66"/>
      <c r="SLM66" s="73"/>
      <c r="SLN66" s="63"/>
      <c r="SLO66" s="64"/>
      <c r="SLP66" s="66"/>
      <c r="SLQ66" s="73"/>
      <c r="SLR66" s="63"/>
      <c r="SLS66" s="64"/>
      <c r="SLT66" s="66"/>
      <c r="SLU66" s="73"/>
      <c r="SLV66" s="63"/>
      <c r="SLW66" s="64"/>
      <c r="SLX66" s="66"/>
      <c r="SLY66" s="73"/>
      <c r="SLZ66" s="63"/>
      <c r="SMA66" s="64"/>
      <c r="SMB66" s="66"/>
      <c r="SMC66" s="73"/>
      <c r="SMD66" s="63"/>
      <c r="SME66" s="64"/>
      <c r="SMF66" s="66"/>
      <c r="SMG66" s="73"/>
      <c r="SMH66" s="63"/>
      <c r="SMI66" s="64"/>
      <c r="SMJ66" s="66"/>
      <c r="SMK66" s="73"/>
      <c r="SML66" s="63"/>
      <c r="SMM66" s="64"/>
      <c r="SMN66" s="66"/>
      <c r="SMO66" s="73"/>
      <c r="SMP66" s="63"/>
      <c r="SMQ66" s="64"/>
      <c r="SMR66" s="66"/>
      <c r="SMS66" s="73"/>
      <c r="SMT66" s="63"/>
      <c r="SMU66" s="64"/>
      <c r="SMV66" s="66"/>
      <c r="SMW66" s="73"/>
      <c r="SMX66" s="63"/>
      <c r="SMY66" s="64"/>
      <c r="SMZ66" s="66"/>
      <c r="SNA66" s="73"/>
      <c r="SNB66" s="63"/>
      <c r="SNC66" s="64"/>
      <c r="SND66" s="66"/>
      <c r="SNE66" s="73"/>
      <c r="SNF66" s="63"/>
      <c r="SNG66" s="64"/>
      <c r="SNH66" s="66"/>
      <c r="SNI66" s="73"/>
      <c r="SNJ66" s="63"/>
      <c r="SNK66" s="64"/>
      <c r="SNL66" s="66"/>
      <c r="SNM66" s="73"/>
      <c r="SNN66" s="63"/>
      <c r="SNO66" s="64"/>
      <c r="SNP66" s="66"/>
      <c r="SNQ66" s="73"/>
      <c r="SNR66" s="63"/>
      <c r="SNS66" s="64"/>
      <c r="SNT66" s="66"/>
      <c r="SNU66" s="73"/>
      <c r="SNV66" s="63"/>
      <c r="SNW66" s="64"/>
      <c r="SNX66" s="66"/>
      <c r="SNY66" s="73"/>
      <c r="SNZ66" s="63"/>
      <c r="SOA66" s="64"/>
      <c r="SOB66" s="66"/>
      <c r="SOC66" s="73"/>
      <c r="SOD66" s="63"/>
      <c r="SOE66" s="64"/>
      <c r="SOF66" s="66"/>
      <c r="SOG66" s="73"/>
      <c r="SOH66" s="63"/>
      <c r="SOI66" s="64"/>
      <c r="SOJ66" s="66"/>
      <c r="SOK66" s="73"/>
      <c r="SOL66" s="63"/>
      <c r="SOM66" s="64"/>
      <c r="SON66" s="66"/>
      <c r="SOO66" s="73"/>
      <c r="SOP66" s="63"/>
      <c r="SOQ66" s="64"/>
      <c r="SOR66" s="66"/>
      <c r="SOS66" s="73"/>
      <c r="SOT66" s="63"/>
      <c r="SOU66" s="64"/>
      <c r="SOV66" s="66"/>
      <c r="SOW66" s="73"/>
      <c r="SOX66" s="63"/>
      <c r="SOY66" s="64"/>
      <c r="SOZ66" s="66"/>
      <c r="SPA66" s="73"/>
      <c r="SPB66" s="63"/>
      <c r="SPC66" s="64"/>
      <c r="SPD66" s="66"/>
      <c r="SPE66" s="73"/>
      <c r="SPF66" s="63"/>
      <c r="SPG66" s="64"/>
      <c r="SPH66" s="66"/>
      <c r="SPI66" s="73"/>
      <c r="SPJ66" s="63"/>
      <c r="SPK66" s="64"/>
      <c r="SPL66" s="66"/>
      <c r="SPM66" s="73"/>
      <c r="SPN66" s="63"/>
      <c r="SPO66" s="64"/>
      <c r="SPP66" s="66"/>
      <c r="SPQ66" s="73"/>
      <c r="SPR66" s="63"/>
      <c r="SPS66" s="64"/>
      <c r="SPT66" s="66"/>
      <c r="SPU66" s="73"/>
      <c r="SPV66" s="63"/>
      <c r="SPW66" s="64"/>
      <c r="SPX66" s="66"/>
      <c r="SPY66" s="73"/>
      <c r="SPZ66" s="63"/>
      <c r="SQA66" s="64"/>
      <c r="SQB66" s="66"/>
      <c r="SQC66" s="73"/>
      <c r="SQD66" s="63"/>
      <c r="SQE66" s="64"/>
      <c r="SQF66" s="66"/>
      <c r="SQG66" s="73"/>
      <c r="SQH66" s="63"/>
      <c r="SQI66" s="64"/>
      <c r="SQJ66" s="66"/>
      <c r="SQK66" s="73"/>
      <c r="SQL66" s="63"/>
      <c r="SQM66" s="64"/>
      <c r="SQN66" s="66"/>
      <c r="SQO66" s="73"/>
      <c r="SQP66" s="63"/>
      <c r="SQQ66" s="64"/>
      <c r="SQR66" s="66"/>
      <c r="SQS66" s="73"/>
      <c r="SQT66" s="63"/>
      <c r="SQU66" s="64"/>
      <c r="SQV66" s="66"/>
      <c r="SQW66" s="73"/>
      <c r="SQX66" s="63"/>
      <c r="SQY66" s="64"/>
      <c r="SQZ66" s="66"/>
      <c r="SRA66" s="73"/>
      <c r="SRB66" s="63"/>
      <c r="SRC66" s="64"/>
      <c r="SRD66" s="66"/>
      <c r="SRE66" s="73"/>
      <c r="SRF66" s="63"/>
      <c r="SRG66" s="64"/>
      <c r="SRH66" s="66"/>
      <c r="SRI66" s="73"/>
      <c r="SRJ66" s="63"/>
      <c r="SRK66" s="64"/>
      <c r="SRL66" s="66"/>
      <c r="SRM66" s="73"/>
      <c r="SRN66" s="63"/>
      <c r="SRO66" s="64"/>
      <c r="SRP66" s="66"/>
      <c r="SRQ66" s="73"/>
      <c r="SRR66" s="63"/>
      <c r="SRS66" s="64"/>
      <c r="SRT66" s="66"/>
      <c r="SRU66" s="73"/>
      <c r="SRV66" s="63"/>
      <c r="SRW66" s="64"/>
      <c r="SRX66" s="66"/>
      <c r="SRY66" s="73"/>
      <c r="SRZ66" s="63"/>
      <c r="SSA66" s="64"/>
      <c r="SSB66" s="66"/>
      <c r="SSC66" s="73"/>
      <c r="SSD66" s="63"/>
      <c r="SSE66" s="64"/>
      <c r="SSF66" s="66"/>
      <c r="SSG66" s="73"/>
      <c r="SSH66" s="63"/>
      <c r="SSI66" s="64"/>
      <c r="SSJ66" s="66"/>
      <c r="SSK66" s="73"/>
      <c r="SSL66" s="63"/>
      <c r="SSM66" s="64"/>
      <c r="SSN66" s="66"/>
      <c r="SSO66" s="73"/>
      <c r="SSP66" s="63"/>
      <c r="SSQ66" s="64"/>
      <c r="SSR66" s="66"/>
      <c r="SSS66" s="73"/>
      <c r="SST66" s="63"/>
      <c r="SSU66" s="64"/>
      <c r="SSV66" s="66"/>
      <c r="SSW66" s="73"/>
      <c r="SSX66" s="63"/>
      <c r="SSY66" s="64"/>
      <c r="SSZ66" s="66"/>
      <c r="STA66" s="73"/>
      <c r="STB66" s="63"/>
      <c r="STC66" s="64"/>
      <c r="STD66" s="66"/>
      <c r="STE66" s="73"/>
      <c r="STF66" s="63"/>
      <c r="STG66" s="64"/>
      <c r="STH66" s="66"/>
      <c r="STI66" s="73"/>
      <c r="STJ66" s="63"/>
      <c r="STK66" s="64"/>
      <c r="STL66" s="66"/>
      <c r="STM66" s="73"/>
      <c r="STN66" s="63"/>
      <c r="STO66" s="64"/>
      <c r="STP66" s="66"/>
      <c r="STQ66" s="73"/>
      <c r="STR66" s="63"/>
      <c r="STS66" s="64"/>
      <c r="STT66" s="66"/>
      <c r="STU66" s="73"/>
      <c r="STV66" s="63"/>
      <c r="STW66" s="64"/>
      <c r="STX66" s="66"/>
      <c r="STY66" s="73"/>
      <c r="STZ66" s="63"/>
      <c r="SUA66" s="64"/>
      <c r="SUB66" s="66"/>
      <c r="SUC66" s="73"/>
      <c r="SUD66" s="63"/>
      <c r="SUE66" s="64"/>
      <c r="SUF66" s="66"/>
      <c r="SUG66" s="73"/>
      <c r="SUH66" s="63"/>
      <c r="SUI66" s="64"/>
      <c r="SUJ66" s="66"/>
      <c r="SUK66" s="73"/>
      <c r="SUL66" s="63"/>
      <c r="SUM66" s="64"/>
      <c r="SUN66" s="66"/>
      <c r="SUO66" s="73"/>
      <c r="SUP66" s="63"/>
      <c r="SUQ66" s="64"/>
      <c r="SUR66" s="66"/>
      <c r="SUS66" s="73"/>
      <c r="SUT66" s="63"/>
      <c r="SUU66" s="64"/>
      <c r="SUV66" s="66"/>
      <c r="SUW66" s="73"/>
      <c r="SUX66" s="63"/>
      <c r="SUY66" s="64"/>
      <c r="SUZ66" s="66"/>
      <c r="SVA66" s="73"/>
      <c r="SVB66" s="63"/>
      <c r="SVC66" s="64"/>
      <c r="SVD66" s="66"/>
      <c r="SVE66" s="73"/>
      <c r="SVF66" s="63"/>
      <c r="SVG66" s="64"/>
      <c r="SVH66" s="66"/>
      <c r="SVI66" s="73"/>
      <c r="SVJ66" s="63"/>
      <c r="SVK66" s="64"/>
      <c r="SVL66" s="66"/>
      <c r="SVM66" s="73"/>
      <c r="SVN66" s="63"/>
      <c r="SVO66" s="64"/>
      <c r="SVP66" s="66"/>
      <c r="SVQ66" s="73"/>
      <c r="SVR66" s="63"/>
      <c r="SVS66" s="64"/>
      <c r="SVT66" s="66"/>
      <c r="SVU66" s="73"/>
      <c r="SVV66" s="63"/>
      <c r="SVW66" s="64"/>
      <c r="SVX66" s="66"/>
      <c r="SVY66" s="73"/>
      <c r="SVZ66" s="63"/>
      <c r="SWA66" s="64"/>
      <c r="SWB66" s="66"/>
      <c r="SWC66" s="73"/>
      <c r="SWD66" s="63"/>
      <c r="SWE66" s="64"/>
      <c r="SWF66" s="66"/>
      <c r="SWG66" s="73"/>
      <c r="SWH66" s="63"/>
      <c r="SWI66" s="64"/>
      <c r="SWJ66" s="66"/>
      <c r="SWK66" s="73"/>
      <c r="SWL66" s="63"/>
      <c r="SWM66" s="64"/>
      <c r="SWN66" s="66"/>
      <c r="SWO66" s="73"/>
      <c r="SWP66" s="63"/>
      <c r="SWQ66" s="64"/>
      <c r="SWR66" s="66"/>
      <c r="SWS66" s="73"/>
      <c r="SWT66" s="63"/>
      <c r="SWU66" s="64"/>
      <c r="SWV66" s="66"/>
      <c r="SWW66" s="73"/>
      <c r="SWX66" s="63"/>
      <c r="SWY66" s="64"/>
      <c r="SWZ66" s="66"/>
      <c r="SXA66" s="73"/>
      <c r="SXB66" s="63"/>
      <c r="SXC66" s="64"/>
      <c r="SXD66" s="66"/>
      <c r="SXE66" s="73"/>
      <c r="SXF66" s="63"/>
      <c r="SXG66" s="64"/>
      <c r="SXH66" s="66"/>
      <c r="SXI66" s="73"/>
      <c r="SXJ66" s="63"/>
      <c r="SXK66" s="64"/>
      <c r="SXL66" s="66"/>
      <c r="SXM66" s="73"/>
      <c r="SXN66" s="63"/>
      <c r="SXO66" s="64"/>
      <c r="SXP66" s="66"/>
      <c r="SXQ66" s="73"/>
      <c r="SXR66" s="63"/>
      <c r="SXS66" s="64"/>
      <c r="SXT66" s="66"/>
      <c r="SXU66" s="73"/>
      <c r="SXV66" s="63"/>
      <c r="SXW66" s="64"/>
      <c r="SXX66" s="66"/>
      <c r="SXY66" s="73"/>
      <c r="SXZ66" s="63"/>
      <c r="SYA66" s="64"/>
      <c r="SYB66" s="66"/>
      <c r="SYC66" s="73"/>
      <c r="SYD66" s="63"/>
      <c r="SYE66" s="64"/>
      <c r="SYF66" s="66"/>
      <c r="SYG66" s="73"/>
      <c r="SYH66" s="63"/>
      <c r="SYI66" s="64"/>
      <c r="SYJ66" s="66"/>
      <c r="SYK66" s="73"/>
      <c r="SYL66" s="63"/>
      <c r="SYM66" s="64"/>
      <c r="SYN66" s="66"/>
      <c r="SYO66" s="73"/>
      <c r="SYP66" s="63"/>
      <c r="SYQ66" s="64"/>
      <c r="SYR66" s="66"/>
      <c r="SYS66" s="73"/>
      <c r="SYT66" s="63"/>
      <c r="SYU66" s="64"/>
      <c r="SYV66" s="66"/>
      <c r="SYW66" s="73"/>
      <c r="SYX66" s="63"/>
      <c r="SYY66" s="64"/>
      <c r="SYZ66" s="66"/>
      <c r="SZA66" s="73"/>
      <c r="SZB66" s="63"/>
      <c r="SZC66" s="64"/>
      <c r="SZD66" s="66"/>
      <c r="SZE66" s="73"/>
      <c r="SZF66" s="63"/>
      <c r="SZG66" s="64"/>
      <c r="SZH66" s="66"/>
      <c r="SZI66" s="73"/>
      <c r="SZJ66" s="63"/>
      <c r="SZK66" s="64"/>
      <c r="SZL66" s="66"/>
      <c r="SZM66" s="73"/>
      <c r="SZN66" s="63"/>
      <c r="SZO66" s="64"/>
      <c r="SZP66" s="66"/>
      <c r="SZQ66" s="73"/>
      <c r="SZR66" s="63"/>
      <c r="SZS66" s="64"/>
      <c r="SZT66" s="66"/>
      <c r="SZU66" s="73"/>
      <c r="SZV66" s="63"/>
      <c r="SZW66" s="64"/>
      <c r="SZX66" s="66"/>
      <c r="SZY66" s="73"/>
      <c r="SZZ66" s="63"/>
      <c r="TAA66" s="64"/>
      <c r="TAB66" s="66"/>
      <c r="TAC66" s="73"/>
      <c r="TAD66" s="63"/>
      <c r="TAE66" s="64"/>
      <c r="TAF66" s="66"/>
      <c r="TAG66" s="73"/>
      <c r="TAH66" s="63"/>
      <c r="TAI66" s="64"/>
      <c r="TAJ66" s="66"/>
      <c r="TAK66" s="73"/>
      <c r="TAL66" s="63"/>
      <c r="TAM66" s="64"/>
      <c r="TAN66" s="66"/>
      <c r="TAO66" s="73"/>
      <c r="TAP66" s="63"/>
      <c r="TAQ66" s="64"/>
      <c r="TAR66" s="66"/>
      <c r="TAS66" s="73"/>
      <c r="TAT66" s="63"/>
      <c r="TAU66" s="64"/>
      <c r="TAV66" s="66"/>
      <c r="TAW66" s="73"/>
      <c r="TAX66" s="63"/>
      <c r="TAY66" s="64"/>
      <c r="TAZ66" s="66"/>
      <c r="TBA66" s="73"/>
      <c r="TBB66" s="63"/>
      <c r="TBC66" s="64"/>
      <c r="TBD66" s="66"/>
      <c r="TBE66" s="73"/>
      <c r="TBF66" s="63"/>
      <c r="TBG66" s="64"/>
      <c r="TBH66" s="66"/>
      <c r="TBI66" s="73"/>
      <c r="TBJ66" s="63"/>
      <c r="TBK66" s="64"/>
      <c r="TBL66" s="66"/>
      <c r="TBM66" s="73"/>
      <c r="TBN66" s="63"/>
      <c r="TBO66" s="64"/>
      <c r="TBP66" s="66"/>
      <c r="TBQ66" s="73"/>
      <c r="TBR66" s="63"/>
      <c r="TBS66" s="64"/>
      <c r="TBT66" s="66"/>
      <c r="TBU66" s="73"/>
      <c r="TBV66" s="63"/>
      <c r="TBW66" s="64"/>
      <c r="TBX66" s="66"/>
      <c r="TBY66" s="73"/>
      <c r="TBZ66" s="63"/>
      <c r="TCA66" s="64"/>
      <c r="TCB66" s="66"/>
      <c r="TCC66" s="73"/>
      <c r="TCD66" s="63"/>
      <c r="TCE66" s="64"/>
      <c r="TCF66" s="66"/>
      <c r="TCG66" s="73"/>
      <c r="TCH66" s="63"/>
      <c r="TCI66" s="64"/>
      <c r="TCJ66" s="66"/>
      <c r="TCK66" s="73"/>
      <c r="TCL66" s="63"/>
      <c r="TCM66" s="64"/>
      <c r="TCN66" s="66"/>
      <c r="TCO66" s="73"/>
      <c r="TCP66" s="63"/>
      <c r="TCQ66" s="64"/>
      <c r="TCR66" s="66"/>
      <c r="TCS66" s="73"/>
      <c r="TCT66" s="63"/>
      <c r="TCU66" s="64"/>
      <c r="TCV66" s="66"/>
      <c r="TCW66" s="73"/>
      <c r="TCX66" s="63"/>
      <c r="TCY66" s="64"/>
      <c r="TCZ66" s="66"/>
      <c r="TDA66" s="73"/>
      <c r="TDB66" s="63"/>
      <c r="TDC66" s="64"/>
      <c r="TDD66" s="66"/>
      <c r="TDE66" s="73"/>
      <c r="TDF66" s="63"/>
      <c r="TDG66" s="64"/>
      <c r="TDH66" s="66"/>
      <c r="TDI66" s="73"/>
      <c r="TDJ66" s="63"/>
      <c r="TDK66" s="64"/>
      <c r="TDL66" s="66"/>
      <c r="TDM66" s="73"/>
      <c r="TDN66" s="63"/>
      <c r="TDO66" s="64"/>
      <c r="TDP66" s="66"/>
      <c r="TDQ66" s="73"/>
      <c r="TDR66" s="63"/>
      <c r="TDS66" s="64"/>
      <c r="TDT66" s="66"/>
      <c r="TDU66" s="73"/>
      <c r="TDV66" s="63"/>
      <c r="TDW66" s="64"/>
      <c r="TDX66" s="66"/>
      <c r="TDY66" s="73"/>
      <c r="TDZ66" s="63"/>
      <c r="TEA66" s="64"/>
      <c r="TEB66" s="66"/>
      <c r="TEC66" s="73"/>
      <c r="TED66" s="63"/>
      <c r="TEE66" s="64"/>
      <c r="TEF66" s="66"/>
      <c r="TEG66" s="73"/>
      <c r="TEH66" s="63"/>
      <c r="TEI66" s="64"/>
      <c r="TEJ66" s="66"/>
      <c r="TEK66" s="73"/>
      <c r="TEL66" s="63"/>
      <c r="TEM66" s="64"/>
      <c r="TEN66" s="66"/>
      <c r="TEO66" s="73"/>
      <c r="TEP66" s="63"/>
      <c r="TEQ66" s="64"/>
      <c r="TER66" s="66"/>
      <c r="TES66" s="73"/>
      <c r="TET66" s="63"/>
      <c r="TEU66" s="64"/>
      <c r="TEV66" s="66"/>
      <c r="TEW66" s="73"/>
      <c r="TEX66" s="63"/>
      <c r="TEY66" s="64"/>
      <c r="TEZ66" s="66"/>
      <c r="TFA66" s="73"/>
      <c r="TFB66" s="63"/>
      <c r="TFC66" s="64"/>
      <c r="TFD66" s="66"/>
      <c r="TFE66" s="73"/>
      <c r="TFF66" s="63"/>
      <c r="TFG66" s="64"/>
      <c r="TFH66" s="66"/>
      <c r="TFI66" s="73"/>
      <c r="TFJ66" s="63"/>
      <c r="TFK66" s="64"/>
      <c r="TFL66" s="66"/>
      <c r="TFM66" s="73"/>
      <c r="TFN66" s="63"/>
      <c r="TFO66" s="64"/>
      <c r="TFP66" s="66"/>
      <c r="TFQ66" s="73"/>
      <c r="TFR66" s="63"/>
      <c r="TFS66" s="64"/>
      <c r="TFT66" s="66"/>
      <c r="TFU66" s="73"/>
      <c r="TFV66" s="63"/>
      <c r="TFW66" s="64"/>
      <c r="TFX66" s="66"/>
      <c r="TFY66" s="73"/>
      <c r="TFZ66" s="63"/>
      <c r="TGA66" s="64"/>
      <c r="TGB66" s="66"/>
      <c r="TGC66" s="73"/>
      <c r="TGD66" s="63"/>
      <c r="TGE66" s="64"/>
      <c r="TGF66" s="66"/>
      <c r="TGG66" s="73"/>
      <c r="TGH66" s="63"/>
      <c r="TGI66" s="64"/>
      <c r="TGJ66" s="66"/>
      <c r="TGK66" s="73"/>
      <c r="TGL66" s="63"/>
      <c r="TGM66" s="64"/>
      <c r="TGN66" s="66"/>
      <c r="TGO66" s="73"/>
      <c r="TGP66" s="63"/>
      <c r="TGQ66" s="64"/>
      <c r="TGR66" s="66"/>
      <c r="TGS66" s="73"/>
      <c r="TGT66" s="63"/>
      <c r="TGU66" s="64"/>
      <c r="TGV66" s="66"/>
      <c r="TGW66" s="73"/>
      <c r="TGX66" s="63"/>
      <c r="TGY66" s="64"/>
      <c r="TGZ66" s="66"/>
      <c r="THA66" s="73"/>
      <c r="THB66" s="63"/>
      <c r="THC66" s="64"/>
      <c r="THD66" s="66"/>
      <c r="THE66" s="73"/>
      <c r="THF66" s="63"/>
      <c r="THG66" s="64"/>
      <c r="THH66" s="66"/>
      <c r="THI66" s="73"/>
      <c r="THJ66" s="63"/>
      <c r="THK66" s="64"/>
      <c r="THL66" s="66"/>
      <c r="THM66" s="73"/>
      <c r="THN66" s="63"/>
      <c r="THO66" s="64"/>
      <c r="THP66" s="66"/>
      <c r="THQ66" s="73"/>
      <c r="THR66" s="63"/>
      <c r="THS66" s="64"/>
      <c r="THT66" s="66"/>
      <c r="THU66" s="73"/>
      <c r="THV66" s="63"/>
      <c r="THW66" s="64"/>
      <c r="THX66" s="66"/>
      <c r="THY66" s="73"/>
      <c r="THZ66" s="63"/>
      <c r="TIA66" s="64"/>
      <c r="TIB66" s="66"/>
      <c r="TIC66" s="73"/>
      <c r="TID66" s="63"/>
      <c r="TIE66" s="64"/>
      <c r="TIF66" s="66"/>
      <c r="TIG66" s="73"/>
      <c r="TIH66" s="63"/>
      <c r="TII66" s="64"/>
      <c r="TIJ66" s="66"/>
      <c r="TIK66" s="73"/>
      <c r="TIL66" s="63"/>
      <c r="TIM66" s="64"/>
      <c r="TIN66" s="66"/>
      <c r="TIO66" s="73"/>
      <c r="TIP66" s="63"/>
      <c r="TIQ66" s="64"/>
      <c r="TIR66" s="66"/>
      <c r="TIS66" s="73"/>
      <c r="TIT66" s="63"/>
      <c r="TIU66" s="64"/>
      <c r="TIV66" s="66"/>
      <c r="TIW66" s="73"/>
      <c r="TIX66" s="63"/>
      <c r="TIY66" s="64"/>
      <c r="TIZ66" s="66"/>
      <c r="TJA66" s="73"/>
      <c r="TJB66" s="63"/>
      <c r="TJC66" s="64"/>
      <c r="TJD66" s="66"/>
      <c r="TJE66" s="73"/>
      <c r="TJF66" s="63"/>
      <c r="TJG66" s="64"/>
      <c r="TJH66" s="66"/>
      <c r="TJI66" s="73"/>
      <c r="TJJ66" s="63"/>
      <c r="TJK66" s="64"/>
      <c r="TJL66" s="66"/>
      <c r="TJM66" s="73"/>
      <c r="TJN66" s="63"/>
      <c r="TJO66" s="64"/>
      <c r="TJP66" s="66"/>
      <c r="TJQ66" s="73"/>
      <c r="TJR66" s="63"/>
      <c r="TJS66" s="64"/>
      <c r="TJT66" s="66"/>
      <c r="TJU66" s="73"/>
      <c r="TJV66" s="63"/>
      <c r="TJW66" s="64"/>
      <c r="TJX66" s="66"/>
      <c r="TJY66" s="73"/>
      <c r="TJZ66" s="63"/>
      <c r="TKA66" s="64"/>
      <c r="TKB66" s="66"/>
      <c r="TKC66" s="73"/>
      <c r="TKD66" s="63"/>
      <c r="TKE66" s="64"/>
      <c r="TKF66" s="66"/>
      <c r="TKG66" s="73"/>
      <c r="TKH66" s="63"/>
      <c r="TKI66" s="64"/>
      <c r="TKJ66" s="66"/>
      <c r="TKK66" s="73"/>
      <c r="TKL66" s="63"/>
      <c r="TKM66" s="64"/>
      <c r="TKN66" s="66"/>
      <c r="TKO66" s="73"/>
      <c r="TKP66" s="63"/>
      <c r="TKQ66" s="64"/>
      <c r="TKR66" s="66"/>
      <c r="TKS66" s="73"/>
      <c r="TKT66" s="63"/>
      <c r="TKU66" s="64"/>
      <c r="TKV66" s="66"/>
      <c r="TKW66" s="73"/>
      <c r="TKX66" s="63"/>
      <c r="TKY66" s="64"/>
      <c r="TKZ66" s="66"/>
      <c r="TLA66" s="73"/>
      <c r="TLB66" s="63"/>
      <c r="TLC66" s="64"/>
      <c r="TLD66" s="66"/>
      <c r="TLE66" s="73"/>
      <c r="TLF66" s="63"/>
      <c r="TLG66" s="64"/>
      <c r="TLH66" s="66"/>
      <c r="TLI66" s="73"/>
      <c r="TLJ66" s="63"/>
      <c r="TLK66" s="64"/>
      <c r="TLL66" s="66"/>
      <c r="TLM66" s="73"/>
      <c r="TLN66" s="63"/>
      <c r="TLO66" s="64"/>
      <c r="TLP66" s="66"/>
      <c r="TLQ66" s="73"/>
      <c r="TLR66" s="63"/>
      <c r="TLS66" s="64"/>
      <c r="TLT66" s="66"/>
      <c r="TLU66" s="73"/>
      <c r="TLV66" s="63"/>
      <c r="TLW66" s="64"/>
      <c r="TLX66" s="66"/>
      <c r="TLY66" s="73"/>
      <c r="TLZ66" s="63"/>
      <c r="TMA66" s="64"/>
      <c r="TMB66" s="66"/>
      <c r="TMC66" s="73"/>
      <c r="TMD66" s="63"/>
      <c r="TME66" s="64"/>
      <c r="TMF66" s="66"/>
      <c r="TMG66" s="73"/>
      <c r="TMH66" s="63"/>
      <c r="TMI66" s="64"/>
      <c r="TMJ66" s="66"/>
      <c r="TMK66" s="73"/>
      <c r="TML66" s="63"/>
      <c r="TMM66" s="64"/>
      <c r="TMN66" s="66"/>
      <c r="TMO66" s="73"/>
      <c r="TMP66" s="63"/>
      <c r="TMQ66" s="64"/>
      <c r="TMR66" s="66"/>
      <c r="TMS66" s="73"/>
      <c r="TMT66" s="63"/>
      <c r="TMU66" s="64"/>
      <c r="TMV66" s="66"/>
      <c r="TMW66" s="73"/>
      <c r="TMX66" s="63"/>
      <c r="TMY66" s="64"/>
      <c r="TMZ66" s="66"/>
      <c r="TNA66" s="73"/>
      <c r="TNB66" s="63"/>
      <c r="TNC66" s="64"/>
      <c r="TND66" s="66"/>
      <c r="TNE66" s="73"/>
      <c r="TNF66" s="63"/>
      <c r="TNG66" s="64"/>
      <c r="TNH66" s="66"/>
      <c r="TNI66" s="73"/>
      <c r="TNJ66" s="63"/>
      <c r="TNK66" s="64"/>
      <c r="TNL66" s="66"/>
      <c r="TNM66" s="73"/>
      <c r="TNN66" s="63"/>
      <c r="TNO66" s="64"/>
      <c r="TNP66" s="66"/>
      <c r="TNQ66" s="73"/>
      <c r="TNR66" s="63"/>
      <c r="TNS66" s="64"/>
      <c r="TNT66" s="66"/>
      <c r="TNU66" s="73"/>
      <c r="TNV66" s="63"/>
      <c r="TNW66" s="64"/>
      <c r="TNX66" s="66"/>
      <c r="TNY66" s="73"/>
      <c r="TNZ66" s="63"/>
      <c r="TOA66" s="64"/>
      <c r="TOB66" s="66"/>
      <c r="TOC66" s="73"/>
      <c r="TOD66" s="63"/>
      <c r="TOE66" s="64"/>
      <c r="TOF66" s="66"/>
      <c r="TOG66" s="73"/>
      <c r="TOH66" s="63"/>
      <c r="TOI66" s="64"/>
      <c r="TOJ66" s="66"/>
      <c r="TOK66" s="73"/>
      <c r="TOL66" s="63"/>
      <c r="TOM66" s="64"/>
      <c r="TON66" s="66"/>
      <c r="TOO66" s="73"/>
      <c r="TOP66" s="63"/>
      <c r="TOQ66" s="64"/>
      <c r="TOR66" s="66"/>
      <c r="TOS66" s="73"/>
      <c r="TOT66" s="63"/>
      <c r="TOU66" s="64"/>
      <c r="TOV66" s="66"/>
      <c r="TOW66" s="73"/>
      <c r="TOX66" s="63"/>
      <c r="TOY66" s="64"/>
      <c r="TOZ66" s="66"/>
      <c r="TPA66" s="73"/>
      <c r="TPB66" s="63"/>
      <c r="TPC66" s="64"/>
      <c r="TPD66" s="66"/>
      <c r="TPE66" s="73"/>
      <c r="TPF66" s="63"/>
      <c r="TPG66" s="64"/>
      <c r="TPH66" s="66"/>
      <c r="TPI66" s="73"/>
      <c r="TPJ66" s="63"/>
      <c r="TPK66" s="64"/>
      <c r="TPL66" s="66"/>
      <c r="TPM66" s="73"/>
      <c r="TPN66" s="63"/>
      <c r="TPO66" s="64"/>
      <c r="TPP66" s="66"/>
      <c r="TPQ66" s="73"/>
      <c r="TPR66" s="63"/>
      <c r="TPS66" s="64"/>
      <c r="TPT66" s="66"/>
      <c r="TPU66" s="73"/>
      <c r="TPV66" s="63"/>
      <c r="TPW66" s="64"/>
      <c r="TPX66" s="66"/>
      <c r="TPY66" s="73"/>
      <c r="TPZ66" s="63"/>
      <c r="TQA66" s="64"/>
      <c r="TQB66" s="66"/>
      <c r="TQC66" s="73"/>
      <c r="TQD66" s="63"/>
      <c r="TQE66" s="64"/>
      <c r="TQF66" s="66"/>
      <c r="TQG66" s="73"/>
      <c r="TQH66" s="63"/>
      <c r="TQI66" s="64"/>
      <c r="TQJ66" s="66"/>
      <c r="TQK66" s="73"/>
      <c r="TQL66" s="63"/>
      <c r="TQM66" s="64"/>
      <c r="TQN66" s="66"/>
      <c r="TQO66" s="73"/>
      <c r="TQP66" s="63"/>
      <c r="TQQ66" s="64"/>
      <c r="TQR66" s="66"/>
      <c r="TQS66" s="73"/>
      <c r="TQT66" s="63"/>
      <c r="TQU66" s="64"/>
      <c r="TQV66" s="66"/>
      <c r="TQW66" s="73"/>
      <c r="TQX66" s="63"/>
      <c r="TQY66" s="64"/>
      <c r="TQZ66" s="66"/>
      <c r="TRA66" s="73"/>
      <c r="TRB66" s="63"/>
      <c r="TRC66" s="64"/>
      <c r="TRD66" s="66"/>
      <c r="TRE66" s="73"/>
      <c r="TRF66" s="63"/>
      <c r="TRG66" s="64"/>
      <c r="TRH66" s="66"/>
      <c r="TRI66" s="73"/>
      <c r="TRJ66" s="63"/>
      <c r="TRK66" s="64"/>
      <c r="TRL66" s="66"/>
      <c r="TRM66" s="73"/>
      <c r="TRN66" s="63"/>
      <c r="TRO66" s="64"/>
      <c r="TRP66" s="66"/>
      <c r="TRQ66" s="73"/>
      <c r="TRR66" s="63"/>
      <c r="TRS66" s="64"/>
      <c r="TRT66" s="66"/>
      <c r="TRU66" s="73"/>
      <c r="TRV66" s="63"/>
      <c r="TRW66" s="64"/>
      <c r="TRX66" s="66"/>
      <c r="TRY66" s="73"/>
      <c r="TRZ66" s="63"/>
      <c r="TSA66" s="64"/>
      <c r="TSB66" s="66"/>
      <c r="TSC66" s="73"/>
      <c r="TSD66" s="63"/>
      <c r="TSE66" s="64"/>
      <c r="TSF66" s="66"/>
      <c r="TSG66" s="73"/>
      <c r="TSH66" s="63"/>
      <c r="TSI66" s="64"/>
      <c r="TSJ66" s="66"/>
      <c r="TSK66" s="73"/>
      <c r="TSL66" s="63"/>
      <c r="TSM66" s="64"/>
      <c r="TSN66" s="66"/>
      <c r="TSO66" s="73"/>
      <c r="TSP66" s="63"/>
      <c r="TSQ66" s="64"/>
      <c r="TSR66" s="66"/>
      <c r="TSS66" s="73"/>
      <c r="TST66" s="63"/>
      <c r="TSU66" s="64"/>
      <c r="TSV66" s="66"/>
      <c r="TSW66" s="73"/>
      <c r="TSX66" s="63"/>
      <c r="TSY66" s="64"/>
      <c r="TSZ66" s="66"/>
      <c r="TTA66" s="73"/>
      <c r="TTB66" s="63"/>
      <c r="TTC66" s="64"/>
      <c r="TTD66" s="66"/>
      <c r="TTE66" s="73"/>
      <c r="TTF66" s="63"/>
      <c r="TTG66" s="64"/>
      <c r="TTH66" s="66"/>
      <c r="TTI66" s="73"/>
      <c r="TTJ66" s="63"/>
      <c r="TTK66" s="64"/>
      <c r="TTL66" s="66"/>
      <c r="TTM66" s="73"/>
      <c r="TTN66" s="63"/>
      <c r="TTO66" s="64"/>
      <c r="TTP66" s="66"/>
      <c r="TTQ66" s="73"/>
      <c r="TTR66" s="63"/>
      <c r="TTS66" s="64"/>
      <c r="TTT66" s="66"/>
      <c r="TTU66" s="73"/>
      <c r="TTV66" s="63"/>
      <c r="TTW66" s="64"/>
      <c r="TTX66" s="66"/>
      <c r="TTY66" s="73"/>
      <c r="TTZ66" s="63"/>
      <c r="TUA66" s="64"/>
      <c r="TUB66" s="66"/>
      <c r="TUC66" s="73"/>
      <c r="TUD66" s="63"/>
      <c r="TUE66" s="64"/>
      <c r="TUF66" s="66"/>
      <c r="TUG66" s="73"/>
      <c r="TUH66" s="63"/>
      <c r="TUI66" s="64"/>
      <c r="TUJ66" s="66"/>
      <c r="TUK66" s="73"/>
      <c r="TUL66" s="63"/>
      <c r="TUM66" s="64"/>
      <c r="TUN66" s="66"/>
      <c r="TUO66" s="73"/>
      <c r="TUP66" s="63"/>
      <c r="TUQ66" s="64"/>
      <c r="TUR66" s="66"/>
      <c r="TUS66" s="73"/>
      <c r="TUT66" s="63"/>
      <c r="TUU66" s="64"/>
      <c r="TUV66" s="66"/>
      <c r="TUW66" s="73"/>
      <c r="TUX66" s="63"/>
      <c r="TUY66" s="64"/>
      <c r="TUZ66" s="66"/>
      <c r="TVA66" s="73"/>
      <c r="TVB66" s="63"/>
      <c r="TVC66" s="64"/>
      <c r="TVD66" s="66"/>
      <c r="TVE66" s="73"/>
      <c r="TVF66" s="63"/>
      <c r="TVG66" s="64"/>
      <c r="TVH66" s="66"/>
      <c r="TVI66" s="73"/>
      <c r="TVJ66" s="63"/>
      <c r="TVK66" s="64"/>
      <c r="TVL66" s="66"/>
      <c r="TVM66" s="73"/>
      <c r="TVN66" s="63"/>
      <c r="TVO66" s="64"/>
      <c r="TVP66" s="66"/>
      <c r="TVQ66" s="73"/>
      <c r="TVR66" s="63"/>
      <c r="TVS66" s="64"/>
      <c r="TVT66" s="66"/>
      <c r="TVU66" s="73"/>
      <c r="TVV66" s="63"/>
      <c r="TVW66" s="64"/>
      <c r="TVX66" s="66"/>
      <c r="TVY66" s="73"/>
      <c r="TVZ66" s="63"/>
      <c r="TWA66" s="64"/>
      <c r="TWB66" s="66"/>
      <c r="TWC66" s="73"/>
      <c r="TWD66" s="63"/>
      <c r="TWE66" s="64"/>
      <c r="TWF66" s="66"/>
      <c r="TWG66" s="73"/>
      <c r="TWH66" s="63"/>
      <c r="TWI66" s="64"/>
      <c r="TWJ66" s="66"/>
      <c r="TWK66" s="73"/>
      <c r="TWL66" s="63"/>
      <c r="TWM66" s="64"/>
      <c r="TWN66" s="66"/>
      <c r="TWO66" s="73"/>
      <c r="TWP66" s="63"/>
      <c r="TWQ66" s="64"/>
      <c r="TWR66" s="66"/>
      <c r="TWS66" s="73"/>
      <c r="TWT66" s="63"/>
      <c r="TWU66" s="64"/>
      <c r="TWV66" s="66"/>
      <c r="TWW66" s="73"/>
      <c r="TWX66" s="63"/>
      <c r="TWY66" s="64"/>
      <c r="TWZ66" s="66"/>
      <c r="TXA66" s="73"/>
      <c r="TXB66" s="63"/>
      <c r="TXC66" s="64"/>
      <c r="TXD66" s="66"/>
      <c r="TXE66" s="73"/>
      <c r="TXF66" s="63"/>
      <c r="TXG66" s="64"/>
      <c r="TXH66" s="66"/>
      <c r="TXI66" s="73"/>
      <c r="TXJ66" s="63"/>
      <c r="TXK66" s="64"/>
      <c r="TXL66" s="66"/>
      <c r="TXM66" s="73"/>
      <c r="TXN66" s="63"/>
      <c r="TXO66" s="64"/>
      <c r="TXP66" s="66"/>
      <c r="TXQ66" s="73"/>
      <c r="TXR66" s="63"/>
      <c r="TXS66" s="64"/>
      <c r="TXT66" s="66"/>
      <c r="TXU66" s="73"/>
      <c r="TXV66" s="63"/>
      <c r="TXW66" s="64"/>
      <c r="TXX66" s="66"/>
      <c r="TXY66" s="73"/>
      <c r="TXZ66" s="63"/>
      <c r="TYA66" s="64"/>
      <c r="TYB66" s="66"/>
      <c r="TYC66" s="73"/>
      <c r="TYD66" s="63"/>
      <c r="TYE66" s="64"/>
      <c r="TYF66" s="66"/>
      <c r="TYG66" s="73"/>
      <c r="TYH66" s="63"/>
      <c r="TYI66" s="64"/>
      <c r="TYJ66" s="66"/>
      <c r="TYK66" s="73"/>
      <c r="TYL66" s="63"/>
      <c r="TYM66" s="64"/>
      <c r="TYN66" s="66"/>
      <c r="TYO66" s="73"/>
      <c r="TYP66" s="63"/>
      <c r="TYQ66" s="64"/>
      <c r="TYR66" s="66"/>
      <c r="TYS66" s="73"/>
      <c r="TYT66" s="63"/>
      <c r="TYU66" s="64"/>
      <c r="TYV66" s="66"/>
      <c r="TYW66" s="73"/>
      <c r="TYX66" s="63"/>
      <c r="TYY66" s="64"/>
      <c r="TYZ66" s="66"/>
      <c r="TZA66" s="73"/>
      <c r="TZB66" s="63"/>
      <c r="TZC66" s="64"/>
      <c r="TZD66" s="66"/>
      <c r="TZE66" s="73"/>
      <c r="TZF66" s="63"/>
      <c r="TZG66" s="64"/>
      <c r="TZH66" s="66"/>
      <c r="TZI66" s="73"/>
      <c r="TZJ66" s="63"/>
      <c r="TZK66" s="64"/>
      <c r="TZL66" s="66"/>
      <c r="TZM66" s="73"/>
      <c r="TZN66" s="63"/>
      <c r="TZO66" s="64"/>
      <c r="TZP66" s="66"/>
      <c r="TZQ66" s="73"/>
      <c r="TZR66" s="63"/>
      <c r="TZS66" s="64"/>
      <c r="TZT66" s="66"/>
      <c r="TZU66" s="73"/>
      <c r="TZV66" s="63"/>
      <c r="TZW66" s="64"/>
      <c r="TZX66" s="66"/>
      <c r="TZY66" s="73"/>
      <c r="TZZ66" s="63"/>
      <c r="UAA66" s="64"/>
      <c r="UAB66" s="66"/>
      <c r="UAC66" s="73"/>
      <c r="UAD66" s="63"/>
      <c r="UAE66" s="64"/>
      <c r="UAF66" s="66"/>
      <c r="UAG66" s="73"/>
      <c r="UAH66" s="63"/>
      <c r="UAI66" s="64"/>
      <c r="UAJ66" s="66"/>
      <c r="UAK66" s="73"/>
      <c r="UAL66" s="63"/>
      <c r="UAM66" s="64"/>
      <c r="UAN66" s="66"/>
      <c r="UAO66" s="73"/>
      <c r="UAP66" s="63"/>
      <c r="UAQ66" s="64"/>
      <c r="UAR66" s="66"/>
      <c r="UAS66" s="73"/>
      <c r="UAT66" s="63"/>
      <c r="UAU66" s="64"/>
      <c r="UAV66" s="66"/>
      <c r="UAW66" s="73"/>
      <c r="UAX66" s="63"/>
      <c r="UAY66" s="64"/>
      <c r="UAZ66" s="66"/>
      <c r="UBA66" s="73"/>
      <c r="UBB66" s="63"/>
      <c r="UBC66" s="64"/>
      <c r="UBD66" s="66"/>
      <c r="UBE66" s="73"/>
      <c r="UBF66" s="63"/>
      <c r="UBG66" s="64"/>
      <c r="UBH66" s="66"/>
      <c r="UBI66" s="73"/>
      <c r="UBJ66" s="63"/>
      <c r="UBK66" s="64"/>
      <c r="UBL66" s="66"/>
      <c r="UBM66" s="73"/>
      <c r="UBN66" s="63"/>
      <c r="UBO66" s="64"/>
      <c r="UBP66" s="66"/>
      <c r="UBQ66" s="73"/>
      <c r="UBR66" s="63"/>
      <c r="UBS66" s="64"/>
      <c r="UBT66" s="66"/>
      <c r="UBU66" s="73"/>
      <c r="UBV66" s="63"/>
      <c r="UBW66" s="64"/>
      <c r="UBX66" s="66"/>
      <c r="UBY66" s="73"/>
      <c r="UBZ66" s="63"/>
      <c r="UCA66" s="64"/>
      <c r="UCB66" s="66"/>
      <c r="UCC66" s="73"/>
      <c r="UCD66" s="63"/>
      <c r="UCE66" s="64"/>
      <c r="UCF66" s="66"/>
      <c r="UCG66" s="73"/>
      <c r="UCH66" s="63"/>
      <c r="UCI66" s="64"/>
      <c r="UCJ66" s="66"/>
      <c r="UCK66" s="73"/>
      <c r="UCL66" s="63"/>
      <c r="UCM66" s="64"/>
      <c r="UCN66" s="66"/>
      <c r="UCO66" s="73"/>
      <c r="UCP66" s="63"/>
      <c r="UCQ66" s="64"/>
      <c r="UCR66" s="66"/>
      <c r="UCS66" s="73"/>
      <c r="UCT66" s="63"/>
      <c r="UCU66" s="64"/>
      <c r="UCV66" s="66"/>
      <c r="UCW66" s="73"/>
      <c r="UCX66" s="63"/>
      <c r="UCY66" s="64"/>
      <c r="UCZ66" s="66"/>
      <c r="UDA66" s="73"/>
      <c r="UDB66" s="63"/>
      <c r="UDC66" s="64"/>
      <c r="UDD66" s="66"/>
      <c r="UDE66" s="73"/>
      <c r="UDF66" s="63"/>
      <c r="UDG66" s="64"/>
      <c r="UDH66" s="66"/>
      <c r="UDI66" s="73"/>
      <c r="UDJ66" s="63"/>
      <c r="UDK66" s="64"/>
      <c r="UDL66" s="66"/>
      <c r="UDM66" s="73"/>
      <c r="UDN66" s="63"/>
      <c r="UDO66" s="64"/>
      <c r="UDP66" s="66"/>
      <c r="UDQ66" s="73"/>
      <c r="UDR66" s="63"/>
      <c r="UDS66" s="64"/>
      <c r="UDT66" s="66"/>
      <c r="UDU66" s="73"/>
      <c r="UDV66" s="63"/>
      <c r="UDW66" s="64"/>
      <c r="UDX66" s="66"/>
      <c r="UDY66" s="73"/>
      <c r="UDZ66" s="63"/>
      <c r="UEA66" s="64"/>
      <c r="UEB66" s="66"/>
      <c r="UEC66" s="73"/>
      <c r="UED66" s="63"/>
      <c r="UEE66" s="64"/>
      <c r="UEF66" s="66"/>
      <c r="UEG66" s="73"/>
      <c r="UEH66" s="63"/>
      <c r="UEI66" s="64"/>
      <c r="UEJ66" s="66"/>
      <c r="UEK66" s="73"/>
      <c r="UEL66" s="63"/>
      <c r="UEM66" s="64"/>
      <c r="UEN66" s="66"/>
      <c r="UEO66" s="73"/>
      <c r="UEP66" s="63"/>
      <c r="UEQ66" s="64"/>
      <c r="UER66" s="66"/>
      <c r="UES66" s="73"/>
      <c r="UET66" s="63"/>
      <c r="UEU66" s="64"/>
      <c r="UEV66" s="66"/>
      <c r="UEW66" s="73"/>
      <c r="UEX66" s="63"/>
      <c r="UEY66" s="64"/>
      <c r="UEZ66" s="66"/>
      <c r="UFA66" s="73"/>
      <c r="UFB66" s="63"/>
      <c r="UFC66" s="64"/>
      <c r="UFD66" s="66"/>
      <c r="UFE66" s="73"/>
      <c r="UFF66" s="63"/>
      <c r="UFG66" s="64"/>
      <c r="UFH66" s="66"/>
      <c r="UFI66" s="73"/>
      <c r="UFJ66" s="63"/>
      <c r="UFK66" s="64"/>
      <c r="UFL66" s="66"/>
      <c r="UFM66" s="73"/>
      <c r="UFN66" s="63"/>
      <c r="UFO66" s="64"/>
      <c r="UFP66" s="66"/>
      <c r="UFQ66" s="73"/>
      <c r="UFR66" s="63"/>
      <c r="UFS66" s="64"/>
      <c r="UFT66" s="66"/>
      <c r="UFU66" s="73"/>
      <c r="UFV66" s="63"/>
      <c r="UFW66" s="64"/>
      <c r="UFX66" s="66"/>
      <c r="UFY66" s="73"/>
      <c r="UFZ66" s="63"/>
      <c r="UGA66" s="64"/>
      <c r="UGB66" s="66"/>
      <c r="UGC66" s="73"/>
      <c r="UGD66" s="63"/>
      <c r="UGE66" s="64"/>
      <c r="UGF66" s="66"/>
      <c r="UGG66" s="73"/>
      <c r="UGH66" s="63"/>
      <c r="UGI66" s="64"/>
      <c r="UGJ66" s="66"/>
      <c r="UGK66" s="73"/>
      <c r="UGL66" s="63"/>
      <c r="UGM66" s="64"/>
      <c r="UGN66" s="66"/>
      <c r="UGO66" s="73"/>
      <c r="UGP66" s="63"/>
      <c r="UGQ66" s="64"/>
      <c r="UGR66" s="66"/>
      <c r="UGS66" s="73"/>
      <c r="UGT66" s="63"/>
      <c r="UGU66" s="64"/>
      <c r="UGV66" s="66"/>
      <c r="UGW66" s="73"/>
      <c r="UGX66" s="63"/>
      <c r="UGY66" s="64"/>
      <c r="UGZ66" s="66"/>
      <c r="UHA66" s="73"/>
      <c r="UHB66" s="63"/>
      <c r="UHC66" s="64"/>
      <c r="UHD66" s="66"/>
      <c r="UHE66" s="73"/>
      <c r="UHF66" s="63"/>
      <c r="UHG66" s="64"/>
      <c r="UHH66" s="66"/>
      <c r="UHI66" s="73"/>
      <c r="UHJ66" s="63"/>
      <c r="UHK66" s="64"/>
      <c r="UHL66" s="66"/>
      <c r="UHM66" s="73"/>
      <c r="UHN66" s="63"/>
      <c r="UHO66" s="64"/>
      <c r="UHP66" s="66"/>
      <c r="UHQ66" s="73"/>
      <c r="UHR66" s="63"/>
      <c r="UHS66" s="64"/>
      <c r="UHT66" s="66"/>
      <c r="UHU66" s="73"/>
      <c r="UHV66" s="63"/>
      <c r="UHW66" s="64"/>
      <c r="UHX66" s="66"/>
      <c r="UHY66" s="73"/>
      <c r="UHZ66" s="63"/>
      <c r="UIA66" s="64"/>
      <c r="UIB66" s="66"/>
      <c r="UIC66" s="73"/>
      <c r="UID66" s="63"/>
      <c r="UIE66" s="64"/>
      <c r="UIF66" s="66"/>
      <c r="UIG66" s="73"/>
      <c r="UIH66" s="63"/>
      <c r="UII66" s="64"/>
      <c r="UIJ66" s="66"/>
      <c r="UIK66" s="73"/>
      <c r="UIL66" s="63"/>
      <c r="UIM66" s="64"/>
      <c r="UIN66" s="66"/>
      <c r="UIO66" s="73"/>
      <c r="UIP66" s="63"/>
      <c r="UIQ66" s="64"/>
      <c r="UIR66" s="66"/>
      <c r="UIS66" s="73"/>
      <c r="UIT66" s="63"/>
      <c r="UIU66" s="64"/>
      <c r="UIV66" s="66"/>
      <c r="UIW66" s="73"/>
      <c r="UIX66" s="63"/>
      <c r="UIY66" s="64"/>
      <c r="UIZ66" s="66"/>
      <c r="UJA66" s="73"/>
      <c r="UJB66" s="63"/>
      <c r="UJC66" s="64"/>
      <c r="UJD66" s="66"/>
      <c r="UJE66" s="73"/>
      <c r="UJF66" s="63"/>
      <c r="UJG66" s="64"/>
      <c r="UJH66" s="66"/>
      <c r="UJI66" s="73"/>
      <c r="UJJ66" s="63"/>
      <c r="UJK66" s="64"/>
      <c r="UJL66" s="66"/>
      <c r="UJM66" s="73"/>
      <c r="UJN66" s="63"/>
      <c r="UJO66" s="64"/>
      <c r="UJP66" s="66"/>
      <c r="UJQ66" s="73"/>
      <c r="UJR66" s="63"/>
      <c r="UJS66" s="64"/>
      <c r="UJT66" s="66"/>
      <c r="UJU66" s="73"/>
      <c r="UJV66" s="63"/>
      <c r="UJW66" s="64"/>
      <c r="UJX66" s="66"/>
      <c r="UJY66" s="73"/>
      <c r="UJZ66" s="63"/>
      <c r="UKA66" s="64"/>
      <c r="UKB66" s="66"/>
      <c r="UKC66" s="73"/>
      <c r="UKD66" s="63"/>
      <c r="UKE66" s="64"/>
      <c r="UKF66" s="66"/>
      <c r="UKG66" s="73"/>
      <c r="UKH66" s="63"/>
      <c r="UKI66" s="64"/>
      <c r="UKJ66" s="66"/>
      <c r="UKK66" s="73"/>
      <c r="UKL66" s="63"/>
      <c r="UKM66" s="64"/>
      <c r="UKN66" s="66"/>
      <c r="UKO66" s="73"/>
      <c r="UKP66" s="63"/>
      <c r="UKQ66" s="64"/>
      <c r="UKR66" s="66"/>
      <c r="UKS66" s="73"/>
      <c r="UKT66" s="63"/>
      <c r="UKU66" s="64"/>
      <c r="UKV66" s="66"/>
      <c r="UKW66" s="73"/>
      <c r="UKX66" s="63"/>
      <c r="UKY66" s="64"/>
      <c r="UKZ66" s="66"/>
      <c r="ULA66" s="73"/>
      <c r="ULB66" s="63"/>
      <c r="ULC66" s="64"/>
      <c r="ULD66" s="66"/>
      <c r="ULE66" s="73"/>
      <c r="ULF66" s="63"/>
      <c r="ULG66" s="64"/>
      <c r="ULH66" s="66"/>
      <c r="ULI66" s="73"/>
      <c r="ULJ66" s="63"/>
      <c r="ULK66" s="64"/>
      <c r="ULL66" s="66"/>
      <c r="ULM66" s="73"/>
      <c r="ULN66" s="63"/>
      <c r="ULO66" s="64"/>
      <c r="ULP66" s="66"/>
      <c r="ULQ66" s="73"/>
      <c r="ULR66" s="63"/>
      <c r="ULS66" s="64"/>
      <c r="ULT66" s="66"/>
      <c r="ULU66" s="73"/>
      <c r="ULV66" s="63"/>
      <c r="ULW66" s="64"/>
      <c r="ULX66" s="66"/>
      <c r="ULY66" s="73"/>
      <c r="ULZ66" s="63"/>
      <c r="UMA66" s="64"/>
      <c r="UMB66" s="66"/>
      <c r="UMC66" s="73"/>
      <c r="UMD66" s="63"/>
      <c r="UME66" s="64"/>
      <c r="UMF66" s="66"/>
      <c r="UMG66" s="73"/>
      <c r="UMH66" s="63"/>
      <c r="UMI66" s="64"/>
      <c r="UMJ66" s="66"/>
      <c r="UMK66" s="73"/>
      <c r="UML66" s="63"/>
      <c r="UMM66" s="64"/>
      <c r="UMN66" s="66"/>
      <c r="UMO66" s="73"/>
      <c r="UMP66" s="63"/>
      <c r="UMQ66" s="64"/>
      <c r="UMR66" s="66"/>
      <c r="UMS66" s="73"/>
      <c r="UMT66" s="63"/>
      <c r="UMU66" s="64"/>
      <c r="UMV66" s="66"/>
      <c r="UMW66" s="73"/>
      <c r="UMX66" s="63"/>
      <c r="UMY66" s="64"/>
      <c r="UMZ66" s="66"/>
      <c r="UNA66" s="73"/>
      <c r="UNB66" s="63"/>
      <c r="UNC66" s="64"/>
      <c r="UND66" s="66"/>
      <c r="UNE66" s="73"/>
      <c r="UNF66" s="63"/>
      <c r="UNG66" s="64"/>
      <c r="UNH66" s="66"/>
      <c r="UNI66" s="73"/>
      <c r="UNJ66" s="63"/>
      <c r="UNK66" s="64"/>
      <c r="UNL66" s="66"/>
      <c r="UNM66" s="73"/>
      <c r="UNN66" s="63"/>
      <c r="UNO66" s="64"/>
      <c r="UNP66" s="66"/>
      <c r="UNQ66" s="73"/>
      <c r="UNR66" s="63"/>
      <c r="UNS66" s="64"/>
      <c r="UNT66" s="66"/>
      <c r="UNU66" s="73"/>
      <c r="UNV66" s="63"/>
      <c r="UNW66" s="64"/>
      <c r="UNX66" s="66"/>
      <c r="UNY66" s="73"/>
      <c r="UNZ66" s="63"/>
      <c r="UOA66" s="64"/>
      <c r="UOB66" s="66"/>
      <c r="UOC66" s="73"/>
      <c r="UOD66" s="63"/>
      <c r="UOE66" s="64"/>
      <c r="UOF66" s="66"/>
      <c r="UOG66" s="73"/>
      <c r="UOH66" s="63"/>
      <c r="UOI66" s="64"/>
      <c r="UOJ66" s="66"/>
      <c r="UOK66" s="73"/>
      <c r="UOL66" s="63"/>
      <c r="UOM66" s="64"/>
      <c r="UON66" s="66"/>
      <c r="UOO66" s="73"/>
      <c r="UOP66" s="63"/>
      <c r="UOQ66" s="64"/>
      <c r="UOR66" s="66"/>
      <c r="UOS66" s="73"/>
      <c r="UOT66" s="63"/>
      <c r="UOU66" s="64"/>
      <c r="UOV66" s="66"/>
      <c r="UOW66" s="73"/>
      <c r="UOX66" s="63"/>
      <c r="UOY66" s="64"/>
      <c r="UOZ66" s="66"/>
      <c r="UPA66" s="73"/>
      <c r="UPB66" s="63"/>
      <c r="UPC66" s="64"/>
      <c r="UPD66" s="66"/>
      <c r="UPE66" s="73"/>
      <c r="UPF66" s="63"/>
      <c r="UPG66" s="64"/>
      <c r="UPH66" s="66"/>
      <c r="UPI66" s="73"/>
      <c r="UPJ66" s="63"/>
      <c r="UPK66" s="64"/>
      <c r="UPL66" s="66"/>
      <c r="UPM66" s="73"/>
      <c r="UPN66" s="63"/>
      <c r="UPO66" s="64"/>
      <c r="UPP66" s="66"/>
      <c r="UPQ66" s="73"/>
      <c r="UPR66" s="63"/>
      <c r="UPS66" s="64"/>
      <c r="UPT66" s="66"/>
      <c r="UPU66" s="73"/>
      <c r="UPV66" s="63"/>
      <c r="UPW66" s="64"/>
      <c r="UPX66" s="66"/>
      <c r="UPY66" s="73"/>
      <c r="UPZ66" s="63"/>
      <c r="UQA66" s="64"/>
      <c r="UQB66" s="66"/>
      <c r="UQC66" s="73"/>
      <c r="UQD66" s="63"/>
      <c r="UQE66" s="64"/>
      <c r="UQF66" s="66"/>
      <c r="UQG66" s="73"/>
      <c r="UQH66" s="63"/>
      <c r="UQI66" s="64"/>
      <c r="UQJ66" s="66"/>
      <c r="UQK66" s="73"/>
      <c r="UQL66" s="63"/>
      <c r="UQM66" s="64"/>
      <c r="UQN66" s="66"/>
      <c r="UQO66" s="73"/>
      <c r="UQP66" s="63"/>
      <c r="UQQ66" s="64"/>
      <c r="UQR66" s="66"/>
      <c r="UQS66" s="73"/>
      <c r="UQT66" s="63"/>
      <c r="UQU66" s="64"/>
      <c r="UQV66" s="66"/>
      <c r="UQW66" s="73"/>
      <c r="UQX66" s="63"/>
      <c r="UQY66" s="64"/>
      <c r="UQZ66" s="66"/>
      <c r="URA66" s="73"/>
      <c r="URB66" s="63"/>
      <c r="URC66" s="64"/>
      <c r="URD66" s="66"/>
      <c r="URE66" s="73"/>
      <c r="URF66" s="63"/>
      <c r="URG66" s="64"/>
      <c r="URH66" s="66"/>
      <c r="URI66" s="73"/>
      <c r="URJ66" s="63"/>
      <c r="URK66" s="64"/>
      <c r="URL66" s="66"/>
      <c r="URM66" s="73"/>
      <c r="URN66" s="63"/>
      <c r="URO66" s="64"/>
      <c r="URP66" s="66"/>
      <c r="URQ66" s="73"/>
      <c r="URR66" s="63"/>
      <c r="URS66" s="64"/>
      <c r="URT66" s="66"/>
      <c r="URU66" s="73"/>
      <c r="URV66" s="63"/>
      <c r="URW66" s="64"/>
      <c r="URX66" s="66"/>
      <c r="URY66" s="73"/>
      <c r="URZ66" s="63"/>
      <c r="USA66" s="64"/>
      <c r="USB66" s="66"/>
      <c r="USC66" s="73"/>
      <c r="USD66" s="63"/>
      <c r="USE66" s="64"/>
      <c r="USF66" s="66"/>
      <c r="USG66" s="73"/>
      <c r="USH66" s="63"/>
      <c r="USI66" s="64"/>
      <c r="USJ66" s="66"/>
      <c r="USK66" s="73"/>
      <c r="USL66" s="63"/>
      <c r="USM66" s="64"/>
      <c r="USN66" s="66"/>
      <c r="USO66" s="73"/>
      <c r="USP66" s="63"/>
      <c r="USQ66" s="64"/>
      <c r="USR66" s="66"/>
      <c r="USS66" s="73"/>
      <c r="UST66" s="63"/>
      <c r="USU66" s="64"/>
      <c r="USV66" s="66"/>
      <c r="USW66" s="73"/>
      <c r="USX66" s="63"/>
      <c r="USY66" s="64"/>
      <c r="USZ66" s="66"/>
      <c r="UTA66" s="73"/>
      <c r="UTB66" s="63"/>
      <c r="UTC66" s="64"/>
      <c r="UTD66" s="66"/>
      <c r="UTE66" s="73"/>
      <c r="UTF66" s="63"/>
      <c r="UTG66" s="64"/>
      <c r="UTH66" s="66"/>
      <c r="UTI66" s="73"/>
      <c r="UTJ66" s="63"/>
      <c r="UTK66" s="64"/>
      <c r="UTL66" s="66"/>
      <c r="UTM66" s="73"/>
      <c r="UTN66" s="63"/>
      <c r="UTO66" s="64"/>
      <c r="UTP66" s="66"/>
      <c r="UTQ66" s="73"/>
      <c r="UTR66" s="63"/>
      <c r="UTS66" s="64"/>
      <c r="UTT66" s="66"/>
      <c r="UTU66" s="73"/>
      <c r="UTV66" s="63"/>
      <c r="UTW66" s="64"/>
      <c r="UTX66" s="66"/>
      <c r="UTY66" s="73"/>
      <c r="UTZ66" s="63"/>
      <c r="UUA66" s="64"/>
      <c r="UUB66" s="66"/>
      <c r="UUC66" s="73"/>
      <c r="UUD66" s="63"/>
      <c r="UUE66" s="64"/>
      <c r="UUF66" s="66"/>
      <c r="UUG66" s="73"/>
      <c r="UUH66" s="63"/>
      <c r="UUI66" s="64"/>
      <c r="UUJ66" s="66"/>
      <c r="UUK66" s="73"/>
      <c r="UUL66" s="63"/>
      <c r="UUM66" s="64"/>
      <c r="UUN66" s="66"/>
      <c r="UUO66" s="73"/>
      <c r="UUP66" s="63"/>
      <c r="UUQ66" s="64"/>
      <c r="UUR66" s="66"/>
      <c r="UUS66" s="73"/>
      <c r="UUT66" s="63"/>
      <c r="UUU66" s="64"/>
      <c r="UUV66" s="66"/>
      <c r="UUW66" s="73"/>
      <c r="UUX66" s="63"/>
      <c r="UUY66" s="64"/>
      <c r="UUZ66" s="66"/>
      <c r="UVA66" s="73"/>
      <c r="UVB66" s="63"/>
      <c r="UVC66" s="64"/>
      <c r="UVD66" s="66"/>
      <c r="UVE66" s="73"/>
      <c r="UVF66" s="63"/>
      <c r="UVG66" s="64"/>
      <c r="UVH66" s="66"/>
      <c r="UVI66" s="73"/>
      <c r="UVJ66" s="63"/>
      <c r="UVK66" s="64"/>
      <c r="UVL66" s="66"/>
      <c r="UVM66" s="73"/>
      <c r="UVN66" s="63"/>
      <c r="UVO66" s="64"/>
      <c r="UVP66" s="66"/>
      <c r="UVQ66" s="73"/>
      <c r="UVR66" s="63"/>
      <c r="UVS66" s="64"/>
      <c r="UVT66" s="66"/>
      <c r="UVU66" s="73"/>
      <c r="UVV66" s="63"/>
      <c r="UVW66" s="64"/>
      <c r="UVX66" s="66"/>
      <c r="UVY66" s="73"/>
      <c r="UVZ66" s="63"/>
      <c r="UWA66" s="64"/>
      <c r="UWB66" s="66"/>
      <c r="UWC66" s="73"/>
      <c r="UWD66" s="63"/>
      <c r="UWE66" s="64"/>
      <c r="UWF66" s="66"/>
      <c r="UWG66" s="73"/>
      <c r="UWH66" s="63"/>
      <c r="UWI66" s="64"/>
      <c r="UWJ66" s="66"/>
      <c r="UWK66" s="73"/>
      <c r="UWL66" s="63"/>
      <c r="UWM66" s="64"/>
      <c r="UWN66" s="66"/>
      <c r="UWO66" s="73"/>
      <c r="UWP66" s="63"/>
      <c r="UWQ66" s="64"/>
      <c r="UWR66" s="66"/>
      <c r="UWS66" s="73"/>
      <c r="UWT66" s="63"/>
      <c r="UWU66" s="64"/>
      <c r="UWV66" s="66"/>
      <c r="UWW66" s="73"/>
      <c r="UWX66" s="63"/>
      <c r="UWY66" s="64"/>
      <c r="UWZ66" s="66"/>
      <c r="UXA66" s="73"/>
      <c r="UXB66" s="63"/>
      <c r="UXC66" s="64"/>
      <c r="UXD66" s="66"/>
      <c r="UXE66" s="73"/>
      <c r="UXF66" s="63"/>
      <c r="UXG66" s="64"/>
      <c r="UXH66" s="66"/>
      <c r="UXI66" s="73"/>
      <c r="UXJ66" s="63"/>
      <c r="UXK66" s="64"/>
      <c r="UXL66" s="66"/>
      <c r="UXM66" s="73"/>
      <c r="UXN66" s="63"/>
      <c r="UXO66" s="64"/>
      <c r="UXP66" s="66"/>
      <c r="UXQ66" s="73"/>
      <c r="UXR66" s="63"/>
      <c r="UXS66" s="64"/>
      <c r="UXT66" s="66"/>
      <c r="UXU66" s="73"/>
      <c r="UXV66" s="63"/>
      <c r="UXW66" s="64"/>
      <c r="UXX66" s="66"/>
      <c r="UXY66" s="73"/>
      <c r="UXZ66" s="63"/>
      <c r="UYA66" s="64"/>
      <c r="UYB66" s="66"/>
      <c r="UYC66" s="73"/>
      <c r="UYD66" s="63"/>
      <c r="UYE66" s="64"/>
      <c r="UYF66" s="66"/>
      <c r="UYG66" s="73"/>
      <c r="UYH66" s="63"/>
      <c r="UYI66" s="64"/>
      <c r="UYJ66" s="66"/>
      <c r="UYK66" s="73"/>
      <c r="UYL66" s="63"/>
      <c r="UYM66" s="64"/>
      <c r="UYN66" s="66"/>
      <c r="UYO66" s="73"/>
      <c r="UYP66" s="63"/>
      <c r="UYQ66" s="64"/>
      <c r="UYR66" s="66"/>
      <c r="UYS66" s="73"/>
      <c r="UYT66" s="63"/>
      <c r="UYU66" s="64"/>
      <c r="UYV66" s="66"/>
      <c r="UYW66" s="73"/>
      <c r="UYX66" s="63"/>
      <c r="UYY66" s="64"/>
      <c r="UYZ66" s="66"/>
      <c r="UZA66" s="73"/>
      <c r="UZB66" s="63"/>
      <c r="UZC66" s="64"/>
      <c r="UZD66" s="66"/>
      <c r="UZE66" s="73"/>
      <c r="UZF66" s="63"/>
      <c r="UZG66" s="64"/>
      <c r="UZH66" s="66"/>
      <c r="UZI66" s="73"/>
      <c r="UZJ66" s="63"/>
      <c r="UZK66" s="64"/>
      <c r="UZL66" s="66"/>
      <c r="UZM66" s="73"/>
      <c r="UZN66" s="63"/>
      <c r="UZO66" s="64"/>
      <c r="UZP66" s="66"/>
      <c r="UZQ66" s="73"/>
      <c r="UZR66" s="63"/>
      <c r="UZS66" s="64"/>
      <c r="UZT66" s="66"/>
      <c r="UZU66" s="73"/>
      <c r="UZV66" s="63"/>
      <c r="UZW66" s="64"/>
      <c r="UZX66" s="66"/>
      <c r="UZY66" s="73"/>
      <c r="UZZ66" s="63"/>
      <c r="VAA66" s="64"/>
      <c r="VAB66" s="66"/>
      <c r="VAC66" s="73"/>
      <c r="VAD66" s="63"/>
      <c r="VAE66" s="64"/>
      <c r="VAF66" s="66"/>
      <c r="VAG66" s="73"/>
      <c r="VAH66" s="63"/>
      <c r="VAI66" s="64"/>
      <c r="VAJ66" s="66"/>
      <c r="VAK66" s="73"/>
      <c r="VAL66" s="63"/>
      <c r="VAM66" s="64"/>
      <c r="VAN66" s="66"/>
      <c r="VAO66" s="73"/>
      <c r="VAP66" s="63"/>
      <c r="VAQ66" s="64"/>
      <c r="VAR66" s="66"/>
      <c r="VAS66" s="73"/>
      <c r="VAT66" s="63"/>
      <c r="VAU66" s="64"/>
      <c r="VAV66" s="66"/>
      <c r="VAW66" s="73"/>
      <c r="VAX66" s="63"/>
      <c r="VAY66" s="64"/>
      <c r="VAZ66" s="66"/>
      <c r="VBA66" s="73"/>
      <c r="VBB66" s="63"/>
      <c r="VBC66" s="64"/>
      <c r="VBD66" s="66"/>
      <c r="VBE66" s="73"/>
      <c r="VBF66" s="63"/>
      <c r="VBG66" s="64"/>
      <c r="VBH66" s="66"/>
      <c r="VBI66" s="73"/>
      <c r="VBJ66" s="63"/>
      <c r="VBK66" s="64"/>
      <c r="VBL66" s="66"/>
      <c r="VBM66" s="73"/>
      <c r="VBN66" s="63"/>
      <c r="VBO66" s="64"/>
      <c r="VBP66" s="66"/>
      <c r="VBQ66" s="73"/>
      <c r="VBR66" s="63"/>
      <c r="VBS66" s="64"/>
      <c r="VBT66" s="66"/>
      <c r="VBU66" s="73"/>
      <c r="VBV66" s="63"/>
      <c r="VBW66" s="64"/>
      <c r="VBX66" s="66"/>
      <c r="VBY66" s="73"/>
      <c r="VBZ66" s="63"/>
      <c r="VCA66" s="64"/>
      <c r="VCB66" s="66"/>
      <c r="VCC66" s="73"/>
      <c r="VCD66" s="63"/>
      <c r="VCE66" s="64"/>
      <c r="VCF66" s="66"/>
      <c r="VCG66" s="73"/>
      <c r="VCH66" s="63"/>
      <c r="VCI66" s="64"/>
      <c r="VCJ66" s="66"/>
      <c r="VCK66" s="73"/>
      <c r="VCL66" s="63"/>
      <c r="VCM66" s="64"/>
      <c r="VCN66" s="66"/>
      <c r="VCO66" s="73"/>
      <c r="VCP66" s="63"/>
      <c r="VCQ66" s="64"/>
      <c r="VCR66" s="66"/>
      <c r="VCS66" s="73"/>
      <c r="VCT66" s="63"/>
      <c r="VCU66" s="64"/>
      <c r="VCV66" s="66"/>
      <c r="VCW66" s="73"/>
      <c r="VCX66" s="63"/>
      <c r="VCY66" s="64"/>
      <c r="VCZ66" s="66"/>
      <c r="VDA66" s="73"/>
      <c r="VDB66" s="63"/>
      <c r="VDC66" s="64"/>
      <c r="VDD66" s="66"/>
      <c r="VDE66" s="73"/>
      <c r="VDF66" s="63"/>
      <c r="VDG66" s="64"/>
      <c r="VDH66" s="66"/>
      <c r="VDI66" s="73"/>
      <c r="VDJ66" s="63"/>
      <c r="VDK66" s="64"/>
      <c r="VDL66" s="66"/>
      <c r="VDM66" s="73"/>
      <c r="VDN66" s="63"/>
      <c r="VDO66" s="64"/>
      <c r="VDP66" s="66"/>
      <c r="VDQ66" s="73"/>
      <c r="VDR66" s="63"/>
      <c r="VDS66" s="64"/>
      <c r="VDT66" s="66"/>
      <c r="VDU66" s="73"/>
      <c r="VDV66" s="63"/>
      <c r="VDW66" s="64"/>
      <c r="VDX66" s="66"/>
      <c r="VDY66" s="73"/>
      <c r="VDZ66" s="63"/>
      <c r="VEA66" s="64"/>
      <c r="VEB66" s="66"/>
      <c r="VEC66" s="73"/>
      <c r="VED66" s="63"/>
      <c r="VEE66" s="64"/>
      <c r="VEF66" s="66"/>
      <c r="VEG66" s="73"/>
      <c r="VEH66" s="63"/>
      <c r="VEI66" s="64"/>
      <c r="VEJ66" s="66"/>
      <c r="VEK66" s="73"/>
      <c r="VEL66" s="63"/>
      <c r="VEM66" s="64"/>
      <c r="VEN66" s="66"/>
      <c r="VEO66" s="73"/>
      <c r="VEP66" s="63"/>
      <c r="VEQ66" s="64"/>
      <c r="VER66" s="66"/>
      <c r="VES66" s="73"/>
      <c r="VET66" s="63"/>
      <c r="VEU66" s="64"/>
      <c r="VEV66" s="66"/>
      <c r="VEW66" s="73"/>
      <c r="VEX66" s="63"/>
      <c r="VEY66" s="64"/>
      <c r="VEZ66" s="66"/>
      <c r="VFA66" s="73"/>
      <c r="VFB66" s="63"/>
      <c r="VFC66" s="64"/>
      <c r="VFD66" s="66"/>
      <c r="VFE66" s="73"/>
      <c r="VFF66" s="63"/>
      <c r="VFG66" s="64"/>
      <c r="VFH66" s="66"/>
      <c r="VFI66" s="73"/>
      <c r="VFJ66" s="63"/>
      <c r="VFK66" s="64"/>
      <c r="VFL66" s="66"/>
      <c r="VFM66" s="73"/>
      <c r="VFN66" s="63"/>
      <c r="VFO66" s="64"/>
      <c r="VFP66" s="66"/>
      <c r="VFQ66" s="73"/>
      <c r="VFR66" s="63"/>
      <c r="VFS66" s="64"/>
      <c r="VFT66" s="66"/>
      <c r="VFU66" s="73"/>
      <c r="VFV66" s="63"/>
      <c r="VFW66" s="64"/>
      <c r="VFX66" s="66"/>
      <c r="VFY66" s="73"/>
      <c r="VFZ66" s="63"/>
      <c r="VGA66" s="64"/>
      <c r="VGB66" s="66"/>
      <c r="VGC66" s="73"/>
      <c r="VGD66" s="63"/>
      <c r="VGE66" s="64"/>
      <c r="VGF66" s="66"/>
      <c r="VGG66" s="73"/>
      <c r="VGH66" s="63"/>
      <c r="VGI66" s="64"/>
      <c r="VGJ66" s="66"/>
      <c r="VGK66" s="73"/>
      <c r="VGL66" s="63"/>
      <c r="VGM66" s="64"/>
      <c r="VGN66" s="66"/>
      <c r="VGO66" s="73"/>
      <c r="VGP66" s="63"/>
      <c r="VGQ66" s="64"/>
      <c r="VGR66" s="66"/>
      <c r="VGS66" s="73"/>
      <c r="VGT66" s="63"/>
      <c r="VGU66" s="64"/>
      <c r="VGV66" s="66"/>
      <c r="VGW66" s="73"/>
      <c r="VGX66" s="63"/>
      <c r="VGY66" s="64"/>
      <c r="VGZ66" s="66"/>
      <c r="VHA66" s="73"/>
      <c r="VHB66" s="63"/>
      <c r="VHC66" s="64"/>
      <c r="VHD66" s="66"/>
      <c r="VHE66" s="73"/>
      <c r="VHF66" s="63"/>
      <c r="VHG66" s="64"/>
      <c r="VHH66" s="66"/>
      <c r="VHI66" s="73"/>
      <c r="VHJ66" s="63"/>
      <c r="VHK66" s="64"/>
      <c r="VHL66" s="66"/>
      <c r="VHM66" s="73"/>
      <c r="VHN66" s="63"/>
      <c r="VHO66" s="64"/>
      <c r="VHP66" s="66"/>
      <c r="VHQ66" s="73"/>
      <c r="VHR66" s="63"/>
      <c r="VHS66" s="64"/>
      <c r="VHT66" s="66"/>
      <c r="VHU66" s="73"/>
      <c r="VHV66" s="63"/>
      <c r="VHW66" s="64"/>
      <c r="VHX66" s="66"/>
      <c r="VHY66" s="73"/>
      <c r="VHZ66" s="63"/>
      <c r="VIA66" s="64"/>
      <c r="VIB66" s="66"/>
      <c r="VIC66" s="73"/>
      <c r="VID66" s="63"/>
      <c r="VIE66" s="64"/>
      <c r="VIF66" s="66"/>
      <c r="VIG66" s="73"/>
      <c r="VIH66" s="63"/>
      <c r="VII66" s="64"/>
      <c r="VIJ66" s="66"/>
      <c r="VIK66" s="73"/>
      <c r="VIL66" s="63"/>
      <c r="VIM66" s="64"/>
      <c r="VIN66" s="66"/>
      <c r="VIO66" s="73"/>
      <c r="VIP66" s="63"/>
      <c r="VIQ66" s="64"/>
      <c r="VIR66" s="66"/>
      <c r="VIS66" s="73"/>
      <c r="VIT66" s="63"/>
      <c r="VIU66" s="64"/>
      <c r="VIV66" s="66"/>
      <c r="VIW66" s="73"/>
      <c r="VIX66" s="63"/>
      <c r="VIY66" s="64"/>
      <c r="VIZ66" s="66"/>
      <c r="VJA66" s="73"/>
      <c r="VJB66" s="63"/>
      <c r="VJC66" s="64"/>
      <c r="VJD66" s="66"/>
      <c r="VJE66" s="73"/>
      <c r="VJF66" s="63"/>
      <c r="VJG66" s="64"/>
      <c r="VJH66" s="66"/>
      <c r="VJI66" s="73"/>
      <c r="VJJ66" s="63"/>
      <c r="VJK66" s="64"/>
      <c r="VJL66" s="66"/>
      <c r="VJM66" s="73"/>
      <c r="VJN66" s="63"/>
      <c r="VJO66" s="64"/>
      <c r="VJP66" s="66"/>
      <c r="VJQ66" s="73"/>
      <c r="VJR66" s="63"/>
      <c r="VJS66" s="64"/>
      <c r="VJT66" s="66"/>
      <c r="VJU66" s="73"/>
      <c r="VJV66" s="63"/>
      <c r="VJW66" s="64"/>
      <c r="VJX66" s="66"/>
      <c r="VJY66" s="73"/>
      <c r="VJZ66" s="63"/>
      <c r="VKA66" s="64"/>
      <c r="VKB66" s="66"/>
      <c r="VKC66" s="73"/>
      <c r="VKD66" s="63"/>
      <c r="VKE66" s="64"/>
      <c r="VKF66" s="66"/>
      <c r="VKG66" s="73"/>
      <c r="VKH66" s="63"/>
      <c r="VKI66" s="64"/>
      <c r="VKJ66" s="66"/>
      <c r="VKK66" s="73"/>
      <c r="VKL66" s="63"/>
      <c r="VKM66" s="64"/>
      <c r="VKN66" s="66"/>
      <c r="VKO66" s="73"/>
      <c r="VKP66" s="63"/>
      <c r="VKQ66" s="64"/>
      <c r="VKR66" s="66"/>
      <c r="VKS66" s="73"/>
      <c r="VKT66" s="63"/>
      <c r="VKU66" s="64"/>
      <c r="VKV66" s="66"/>
      <c r="VKW66" s="73"/>
      <c r="VKX66" s="63"/>
      <c r="VKY66" s="64"/>
      <c r="VKZ66" s="66"/>
      <c r="VLA66" s="73"/>
      <c r="VLB66" s="63"/>
      <c r="VLC66" s="64"/>
      <c r="VLD66" s="66"/>
      <c r="VLE66" s="73"/>
      <c r="VLF66" s="63"/>
      <c r="VLG66" s="64"/>
      <c r="VLH66" s="66"/>
      <c r="VLI66" s="73"/>
      <c r="VLJ66" s="63"/>
      <c r="VLK66" s="64"/>
      <c r="VLL66" s="66"/>
      <c r="VLM66" s="73"/>
      <c r="VLN66" s="63"/>
      <c r="VLO66" s="64"/>
      <c r="VLP66" s="66"/>
      <c r="VLQ66" s="73"/>
      <c r="VLR66" s="63"/>
      <c r="VLS66" s="64"/>
      <c r="VLT66" s="66"/>
      <c r="VLU66" s="73"/>
      <c r="VLV66" s="63"/>
      <c r="VLW66" s="64"/>
      <c r="VLX66" s="66"/>
      <c r="VLY66" s="73"/>
      <c r="VLZ66" s="63"/>
      <c r="VMA66" s="64"/>
      <c r="VMB66" s="66"/>
      <c r="VMC66" s="73"/>
      <c r="VMD66" s="63"/>
      <c r="VME66" s="64"/>
      <c r="VMF66" s="66"/>
      <c r="VMG66" s="73"/>
      <c r="VMH66" s="63"/>
      <c r="VMI66" s="64"/>
      <c r="VMJ66" s="66"/>
      <c r="VMK66" s="73"/>
      <c r="VML66" s="63"/>
      <c r="VMM66" s="64"/>
      <c r="VMN66" s="66"/>
      <c r="VMO66" s="73"/>
      <c r="VMP66" s="63"/>
      <c r="VMQ66" s="64"/>
      <c r="VMR66" s="66"/>
      <c r="VMS66" s="73"/>
      <c r="VMT66" s="63"/>
      <c r="VMU66" s="64"/>
      <c r="VMV66" s="66"/>
      <c r="VMW66" s="73"/>
      <c r="VMX66" s="63"/>
      <c r="VMY66" s="64"/>
      <c r="VMZ66" s="66"/>
      <c r="VNA66" s="73"/>
      <c r="VNB66" s="63"/>
      <c r="VNC66" s="64"/>
      <c r="VND66" s="66"/>
      <c r="VNE66" s="73"/>
      <c r="VNF66" s="63"/>
      <c r="VNG66" s="64"/>
      <c r="VNH66" s="66"/>
      <c r="VNI66" s="73"/>
      <c r="VNJ66" s="63"/>
      <c r="VNK66" s="64"/>
      <c r="VNL66" s="66"/>
      <c r="VNM66" s="73"/>
      <c r="VNN66" s="63"/>
      <c r="VNO66" s="64"/>
      <c r="VNP66" s="66"/>
      <c r="VNQ66" s="73"/>
      <c r="VNR66" s="63"/>
      <c r="VNS66" s="64"/>
      <c r="VNT66" s="66"/>
      <c r="VNU66" s="73"/>
      <c r="VNV66" s="63"/>
      <c r="VNW66" s="64"/>
      <c r="VNX66" s="66"/>
      <c r="VNY66" s="73"/>
      <c r="VNZ66" s="63"/>
      <c r="VOA66" s="64"/>
      <c r="VOB66" s="66"/>
      <c r="VOC66" s="73"/>
      <c r="VOD66" s="63"/>
      <c r="VOE66" s="64"/>
      <c r="VOF66" s="66"/>
      <c r="VOG66" s="73"/>
      <c r="VOH66" s="63"/>
      <c r="VOI66" s="64"/>
      <c r="VOJ66" s="66"/>
      <c r="VOK66" s="73"/>
      <c r="VOL66" s="63"/>
      <c r="VOM66" s="64"/>
      <c r="VON66" s="66"/>
      <c r="VOO66" s="73"/>
      <c r="VOP66" s="63"/>
      <c r="VOQ66" s="64"/>
      <c r="VOR66" s="66"/>
      <c r="VOS66" s="73"/>
      <c r="VOT66" s="63"/>
      <c r="VOU66" s="64"/>
      <c r="VOV66" s="66"/>
      <c r="VOW66" s="73"/>
      <c r="VOX66" s="63"/>
      <c r="VOY66" s="64"/>
      <c r="VOZ66" s="66"/>
      <c r="VPA66" s="73"/>
      <c r="VPB66" s="63"/>
      <c r="VPC66" s="64"/>
      <c r="VPD66" s="66"/>
      <c r="VPE66" s="73"/>
      <c r="VPF66" s="63"/>
      <c r="VPG66" s="64"/>
      <c r="VPH66" s="66"/>
      <c r="VPI66" s="73"/>
      <c r="VPJ66" s="63"/>
      <c r="VPK66" s="64"/>
      <c r="VPL66" s="66"/>
      <c r="VPM66" s="73"/>
      <c r="VPN66" s="63"/>
      <c r="VPO66" s="64"/>
      <c r="VPP66" s="66"/>
      <c r="VPQ66" s="73"/>
      <c r="VPR66" s="63"/>
      <c r="VPS66" s="64"/>
      <c r="VPT66" s="66"/>
      <c r="VPU66" s="73"/>
      <c r="VPV66" s="63"/>
      <c r="VPW66" s="64"/>
      <c r="VPX66" s="66"/>
      <c r="VPY66" s="73"/>
      <c r="VPZ66" s="63"/>
      <c r="VQA66" s="64"/>
      <c r="VQB66" s="66"/>
      <c r="VQC66" s="73"/>
      <c r="VQD66" s="63"/>
      <c r="VQE66" s="64"/>
      <c r="VQF66" s="66"/>
      <c r="VQG66" s="73"/>
      <c r="VQH66" s="63"/>
      <c r="VQI66" s="64"/>
      <c r="VQJ66" s="66"/>
      <c r="VQK66" s="73"/>
      <c r="VQL66" s="63"/>
      <c r="VQM66" s="64"/>
      <c r="VQN66" s="66"/>
      <c r="VQO66" s="73"/>
      <c r="VQP66" s="63"/>
      <c r="VQQ66" s="64"/>
      <c r="VQR66" s="66"/>
      <c r="VQS66" s="73"/>
      <c r="VQT66" s="63"/>
      <c r="VQU66" s="64"/>
      <c r="VQV66" s="66"/>
      <c r="VQW66" s="73"/>
      <c r="VQX66" s="63"/>
      <c r="VQY66" s="64"/>
      <c r="VQZ66" s="66"/>
      <c r="VRA66" s="73"/>
      <c r="VRB66" s="63"/>
      <c r="VRC66" s="64"/>
      <c r="VRD66" s="66"/>
      <c r="VRE66" s="73"/>
      <c r="VRF66" s="63"/>
      <c r="VRG66" s="64"/>
      <c r="VRH66" s="66"/>
      <c r="VRI66" s="73"/>
      <c r="VRJ66" s="63"/>
      <c r="VRK66" s="64"/>
      <c r="VRL66" s="66"/>
      <c r="VRM66" s="73"/>
      <c r="VRN66" s="63"/>
      <c r="VRO66" s="64"/>
      <c r="VRP66" s="66"/>
      <c r="VRQ66" s="73"/>
      <c r="VRR66" s="63"/>
      <c r="VRS66" s="64"/>
      <c r="VRT66" s="66"/>
      <c r="VRU66" s="73"/>
      <c r="VRV66" s="63"/>
      <c r="VRW66" s="64"/>
      <c r="VRX66" s="66"/>
      <c r="VRY66" s="73"/>
      <c r="VRZ66" s="63"/>
      <c r="VSA66" s="64"/>
      <c r="VSB66" s="66"/>
      <c r="VSC66" s="73"/>
      <c r="VSD66" s="63"/>
      <c r="VSE66" s="64"/>
      <c r="VSF66" s="66"/>
      <c r="VSG66" s="73"/>
      <c r="VSH66" s="63"/>
      <c r="VSI66" s="64"/>
      <c r="VSJ66" s="66"/>
      <c r="VSK66" s="73"/>
      <c r="VSL66" s="63"/>
      <c r="VSM66" s="64"/>
      <c r="VSN66" s="66"/>
      <c r="VSO66" s="73"/>
      <c r="VSP66" s="63"/>
      <c r="VSQ66" s="64"/>
      <c r="VSR66" s="66"/>
      <c r="VSS66" s="73"/>
      <c r="VST66" s="63"/>
      <c r="VSU66" s="64"/>
      <c r="VSV66" s="66"/>
      <c r="VSW66" s="73"/>
      <c r="VSX66" s="63"/>
      <c r="VSY66" s="64"/>
      <c r="VSZ66" s="66"/>
      <c r="VTA66" s="73"/>
      <c r="VTB66" s="63"/>
      <c r="VTC66" s="64"/>
      <c r="VTD66" s="66"/>
      <c r="VTE66" s="73"/>
      <c r="VTF66" s="63"/>
      <c r="VTG66" s="64"/>
      <c r="VTH66" s="66"/>
      <c r="VTI66" s="73"/>
      <c r="VTJ66" s="63"/>
      <c r="VTK66" s="64"/>
      <c r="VTL66" s="66"/>
      <c r="VTM66" s="73"/>
      <c r="VTN66" s="63"/>
      <c r="VTO66" s="64"/>
      <c r="VTP66" s="66"/>
      <c r="VTQ66" s="73"/>
      <c r="VTR66" s="63"/>
      <c r="VTS66" s="64"/>
      <c r="VTT66" s="66"/>
      <c r="VTU66" s="73"/>
      <c r="VTV66" s="63"/>
      <c r="VTW66" s="64"/>
      <c r="VTX66" s="66"/>
      <c r="VTY66" s="73"/>
      <c r="VTZ66" s="63"/>
      <c r="VUA66" s="64"/>
      <c r="VUB66" s="66"/>
      <c r="VUC66" s="73"/>
      <c r="VUD66" s="63"/>
      <c r="VUE66" s="64"/>
      <c r="VUF66" s="66"/>
      <c r="VUG66" s="73"/>
      <c r="VUH66" s="63"/>
      <c r="VUI66" s="64"/>
      <c r="VUJ66" s="66"/>
      <c r="VUK66" s="73"/>
      <c r="VUL66" s="63"/>
      <c r="VUM66" s="64"/>
      <c r="VUN66" s="66"/>
      <c r="VUO66" s="73"/>
      <c r="VUP66" s="63"/>
      <c r="VUQ66" s="64"/>
      <c r="VUR66" s="66"/>
      <c r="VUS66" s="73"/>
      <c r="VUT66" s="63"/>
      <c r="VUU66" s="64"/>
      <c r="VUV66" s="66"/>
      <c r="VUW66" s="73"/>
      <c r="VUX66" s="63"/>
      <c r="VUY66" s="64"/>
      <c r="VUZ66" s="66"/>
      <c r="VVA66" s="73"/>
      <c r="VVB66" s="63"/>
      <c r="VVC66" s="64"/>
      <c r="VVD66" s="66"/>
      <c r="VVE66" s="73"/>
      <c r="VVF66" s="63"/>
      <c r="VVG66" s="64"/>
      <c r="VVH66" s="66"/>
      <c r="VVI66" s="73"/>
      <c r="VVJ66" s="63"/>
      <c r="VVK66" s="64"/>
      <c r="VVL66" s="66"/>
      <c r="VVM66" s="73"/>
      <c r="VVN66" s="63"/>
      <c r="VVO66" s="64"/>
      <c r="VVP66" s="66"/>
      <c r="VVQ66" s="73"/>
      <c r="VVR66" s="63"/>
      <c r="VVS66" s="64"/>
      <c r="VVT66" s="66"/>
      <c r="VVU66" s="73"/>
      <c r="VVV66" s="63"/>
      <c r="VVW66" s="64"/>
      <c r="VVX66" s="66"/>
      <c r="VVY66" s="73"/>
      <c r="VVZ66" s="63"/>
      <c r="VWA66" s="64"/>
      <c r="VWB66" s="66"/>
      <c r="VWC66" s="73"/>
      <c r="VWD66" s="63"/>
      <c r="VWE66" s="64"/>
      <c r="VWF66" s="66"/>
      <c r="VWG66" s="73"/>
      <c r="VWH66" s="63"/>
      <c r="VWI66" s="64"/>
      <c r="VWJ66" s="66"/>
      <c r="VWK66" s="73"/>
      <c r="VWL66" s="63"/>
      <c r="VWM66" s="64"/>
      <c r="VWN66" s="66"/>
      <c r="VWO66" s="73"/>
      <c r="VWP66" s="63"/>
      <c r="VWQ66" s="64"/>
      <c r="VWR66" s="66"/>
      <c r="VWS66" s="73"/>
      <c r="VWT66" s="63"/>
      <c r="VWU66" s="64"/>
      <c r="VWV66" s="66"/>
      <c r="VWW66" s="73"/>
      <c r="VWX66" s="63"/>
      <c r="VWY66" s="64"/>
      <c r="VWZ66" s="66"/>
      <c r="VXA66" s="73"/>
      <c r="VXB66" s="63"/>
      <c r="VXC66" s="64"/>
      <c r="VXD66" s="66"/>
      <c r="VXE66" s="73"/>
      <c r="VXF66" s="63"/>
      <c r="VXG66" s="64"/>
      <c r="VXH66" s="66"/>
      <c r="VXI66" s="73"/>
      <c r="VXJ66" s="63"/>
      <c r="VXK66" s="64"/>
      <c r="VXL66" s="66"/>
      <c r="VXM66" s="73"/>
      <c r="VXN66" s="63"/>
      <c r="VXO66" s="64"/>
      <c r="VXP66" s="66"/>
      <c r="VXQ66" s="73"/>
      <c r="VXR66" s="63"/>
      <c r="VXS66" s="64"/>
      <c r="VXT66" s="66"/>
      <c r="VXU66" s="73"/>
      <c r="VXV66" s="63"/>
      <c r="VXW66" s="64"/>
      <c r="VXX66" s="66"/>
      <c r="VXY66" s="73"/>
      <c r="VXZ66" s="63"/>
      <c r="VYA66" s="64"/>
      <c r="VYB66" s="66"/>
      <c r="VYC66" s="73"/>
      <c r="VYD66" s="63"/>
      <c r="VYE66" s="64"/>
      <c r="VYF66" s="66"/>
      <c r="VYG66" s="73"/>
      <c r="VYH66" s="63"/>
      <c r="VYI66" s="64"/>
      <c r="VYJ66" s="66"/>
      <c r="VYK66" s="73"/>
      <c r="VYL66" s="63"/>
      <c r="VYM66" s="64"/>
      <c r="VYN66" s="66"/>
      <c r="VYO66" s="73"/>
      <c r="VYP66" s="63"/>
      <c r="VYQ66" s="64"/>
      <c r="VYR66" s="66"/>
      <c r="VYS66" s="73"/>
      <c r="VYT66" s="63"/>
      <c r="VYU66" s="64"/>
      <c r="VYV66" s="66"/>
      <c r="VYW66" s="73"/>
      <c r="VYX66" s="63"/>
      <c r="VYY66" s="64"/>
      <c r="VYZ66" s="66"/>
      <c r="VZA66" s="73"/>
      <c r="VZB66" s="63"/>
      <c r="VZC66" s="64"/>
      <c r="VZD66" s="66"/>
      <c r="VZE66" s="73"/>
      <c r="VZF66" s="63"/>
      <c r="VZG66" s="64"/>
      <c r="VZH66" s="66"/>
      <c r="VZI66" s="73"/>
      <c r="VZJ66" s="63"/>
      <c r="VZK66" s="64"/>
      <c r="VZL66" s="66"/>
      <c r="VZM66" s="73"/>
      <c r="VZN66" s="63"/>
      <c r="VZO66" s="64"/>
      <c r="VZP66" s="66"/>
      <c r="VZQ66" s="73"/>
      <c r="VZR66" s="63"/>
      <c r="VZS66" s="64"/>
      <c r="VZT66" s="66"/>
      <c r="VZU66" s="73"/>
      <c r="VZV66" s="63"/>
      <c r="VZW66" s="64"/>
      <c r="VZX66" s="66"/>
      <c r="VZY66" s="73"/>
      <c r="VZZ66" s="63"/>
      <c r="WAA66" s="64"/>
      <c r="WAB66" s="66"/>
      <c r="WAC66" s="73"/>
      <c r="WAD66" s="63"/>
      <c r="WAE66" s="64"/>
      <c r="WAF66" s="66"/>
      <c r="WAG66" s="73"/>
      <c r="WAH66" s="63"/>
      <c r="WAI66" s="64"/>
      <c r="WAJ66" s="66"/>
      <c r="WAK66" s="73"/>
      <c r="WAL66" s="63"/>
      <c r="WAM66" s="64"/>
      <c r="WAN66" s="66"/>
      <c r="WAO66" s="73"/>
      <c r="WAP66" s="63"/>
      <c r="WAQ66" s="64"/>
      <c r="WAR66" s="66"/>
      <c r="WAS66" s="73"/>
      <c r="WAT66" s="63"/>
      <c r="WAU66" s="64"/>
      <c r="WAV66" s="66"/>
      <c r="WAW66" s="73"/>
      <c r="WAX66" s="63"/>
      <c r="WAY66" s="64"/>
      <c r="WAZ66" s="66"/>
      <c r="WBA66" s="73"/>
      <c r="WBB66" s="63"/>
      <c r="WBC66" s="64"/>
      <c r="WBD66" s="66"/>
      <c r="WBE66" s="73"/>
      <c r="WBF66" s="63"/>
      <c r="WBG66" s="64"/>
      <c r="WBH66" s="66"/>
      <c r="WBI66" s="73"/>
      <c r="WBJ66" s="63"/>
      <c r="WBK66" s="64"/>
      <c r="WBL66" s="66"/>
      <c r="WBM66" s="73"/>
      <c r="WBN66" s="63"/>
      <c r="WBO66" s="64"/>
      <c r="WBP66" s="66"/>
      <c r="WBQ66" s="73"/>
      <c r="WBR66" s="63"/>
      <c r="WBS66" s="64"/>
      <c r="WBT66" s="66"/>
      <c r="WBU66" s="73"/>
      <c r="WBV66" s="63"/>
      <c r="WBW66" s="64"/>
      <c r="WBX66" s="66"/>
      <c r="WBY66" s="73"/>
      <c r="WBZ66" s="63"/>
      <c r="WCA66" s="64"/>
      <c r="WCB66" s="66"/>
      <c r="WCC66" s="73"/>
      <c r="WCD66" s="63"/>
      <c r="WCE66" s="64"/>
      <c r="WCF66" s="66"/>
      <c r="WCG66" s="73"/>
      <c r="WCH66" s="63"/>
      <c r="WCI66" s="64"/>
      <c r="WCJ66" s="66"/>
      <c r="WCK66" s="73"/>
      <c r="WCL66" s="63"/>
      <c r="WCM66" s="64"/>
      <c r="WCN66" s="66"/>
      <c r="WCO66" s="73"/>
      <c r="WCP66" s="63"/>
      <c r="WCQ66" s="64"/>
      <c r="WCR66" s="66"/>
      <c r="WCS66" s="73"/>
      <c r="WCT66" s="63"/>
      <c r="WCU66" s="64"/>
      <c r="WCV66" s="66"/>
      <c r="WCW66" s="73"/>
      <c r="WCX66" s="63"/>
      <c r="WCY66" s="64"/>
      <c r="WCZ66" s="66"/>
      <c r="WDA66" s="73"/>
      <c r="WDB66" s="63"/>
      <c r="WDC66" s="64"/>
      <c r="WDD66" s="66"/>
      <c r="WDE66" s="73"/>
      <c r="WDF66" s="63"/>
      <c r="WDG66" s="64"/>
      <c r="WDH66" s="66"/>
      <c r="WDI66" s="73"/>
      <c r="WDJ66" s="63"/>
      <c r="WDK66" s="64"/>
      <c r="WDL66" s="66"/>
      <c r="WDM66" s="73"/>
      <c r="WDN66" s="63"/>
      <c r="WDO66" s="64"/>
      <c r="WDP66" s="66"/>
      <c r="WDQ66" s="73"/>
      <c r="WDR66" s="63"/>
      <c r="WDS66" s="64"/>
      <c r="WDT66" s="66"/>
      <c r="WDU66" s="73"/>
      <c r="WDV66" s="63"/>
      <c r="WDW66" s="64"/>
      <c r="WDX66" s="66"/>
      <c r="WDY66" s="73"/>
      <c r="WDZ66" s="63"/>
      <c r="WEA66" s="64"/>
      <c r="WEB66" s="66"/>
      <c r="WEC66" s="73"/>
      <c r="WED66" s="63"/>
      <c r="WEE66" s="64"/>
      <c r="WEF66" s="66"/>
      <c r="WEG66" s="73"/>
      <c r="WEH66" s="63"/>
      <c r="WEI66" s="64"/>
      <c r="WEJ66" s="66"/>
      <c r="WEK66" s="73"/>
      <c r="WEL66" s="63"/>
      <c r="WEM66" s="64"/>
      <c r="WEN66" s="66"/>
      <c r="WEO66" s="73"/>
      <c r="WEP66" s="63"/>
      <c r="WEQ66" s="64"/>
      <c r="WER66" s="66"/>
      <c r="WES66" s="73"/>
      <c r="WET66" s="63"/>
      <c r="WEU66" s="64"/>
      <c r="WEV66" s="66"/>
      <c r="WEW66" s="73"/>
      <c r="WEX66" s="63"/>
      <c r="WEY66" s="64"/>
      <c r="WEZ66" s="66"/>
      <c r="WFA66" s="73"/>
      <c r="WFB66" s="63"/>
      <c r="WFC66" s="64"/>
      <c r="WFD66" s="66"/>
      <c r="WFE66" s="73"/>
      <c r="WFF66" s="63"/>
      <c r="WFG66" s="64"/>
      <c r="WFH66" s="66"/>
      <c r="WFI66" s="73"/>
      <c r="WFJ66" s="63"/>
      <c r="WFK66" s="64"/>
      <c r="WFL66" s="66"/>
      <c r="WFM66" s="73"/>
      <c r="WFN66" s="63"/>
      <c r="WFO66" s="64"/>
      <c r="WFP66" s="66"/>
      <c r="WFQ66" s="73"/>
      <c r="WFR66" s="63"/>
      <c r="WFS66" s="64"/>
      <c r="WFT66" s="66"/>
      <c r="WFU66" s="73"/>
      <c r="WFV66" s="63"/>
      <c r="WFW66" s="64"/>
      <c r="WFX66" s="66"/>
      <c r="WFY66" s="73"/>
      <c r="WFZ66" s="63"/>
      <c r="WGA66" s="64"/>
      <c r="WGB66" s="66"/>
      <c r="WGC66" s="73"/>
      <c r="WGD66" s="63"/>
      <c r="WGE66" s="64"/>
      <c r="WGF66" s="66"/>
      <c r="WGG66" s="73"/>
      <c r="WGH66" s="63"/>
      <c r="WGI66" s="64"/>
      <c r="WGJ66" s="66"/>
      <c r="WGK66" s="73"/>
      <c r="WGL66" s="63"/>
      <c r="WGM66" s="64"/>
      <c r="WGN66" s="66"/>
      <c r="WGO66" s="73"/>
      <c r="WGP66" s="63"/>
      <c r="WGQ66" s="64"/>
      <c r="WGR66" s="66"/>
      <c r="WGS66" s="73"/>
      <c r="WGT66" s="63"/>
      <c r="WGU66" s="64"/>
      <c r="WGV66" s="66"/>
      <c r="WGW66" s="73"/>
      <c r="WGX66" s="63"/>
      <c r="WGY66" s="64"/>
      <c r="WGZ66" s="66"/>
      <c r="WHA66" s="73"/>
      <c r="WHB66" s="63"/>
      <c r="WHC66" s="64"/>
      <c r="WHD66" s="66"/>
      <c r="WHE66" s="73"/>
      <c r="WHF66" s="63"/>
      <c r="WHG66" s="64"/>
      <c r="WHH66" s="66"/>
      <c r="WHI66" s="73"/>
      <c r="WHJ66" s="63"/>
      <c r="WHK66" s="64"/>
      <c r="WHL66" s="66"/>
      <c r="WHM66" s="73"/>
      <c r="WHN66" s="63"/>
      <c r="WHO66" s="64"/>
      <c r="WHP66" s="66"/>
      <c r="WHQ66" s="73"/>
      <c r="WHR66" s="63"/>
      <c r="WHS66" s="64"/>
      <c r="WHT66" s="66"/>
      <c r="WHU66" s="73"/>
      <c r="WHV66" s="63"/>
      <c r="WHW66" s="64"/>
      <c r="WHX66" s="66"/>
      <c r="WHY66" s="73"/>
      <c r="WHZ66" s="63"/>
      <c r="WIA66" s="64"/>
      <c r="WIB66" s="66"/>
      <c r="WIC66" s="73"/>
      <c r="WID66" s="63"/>
      <c r="WIE66" s="64"/>
      <c r="WIF66" s="66"/>
      <c r="WIG66" s="73"/>
      <c r="WIH66" s="63"/>
      <c r="WII66" s="64"/>
      <c r="WIJ66" s="66"/>
      <c r="WIK66" s="73"/>
      <c r="WIL66" s="63"/>
      <c r="WIM66" s="64"/>
      <c r="WIN66" s="66"/>
      <c r="WIO66" s="73"/>
      <c r="WIP66" s="63"/>
      <c r="WIQ66" s="64"/>
      <c r="WIR66" s="66"/>
      <c r="WIS66" s="73"/>
      <c r="WIT66" s="63"/>
      <c r="WIU66" s="64"/>
      <c r="WIV66" s="66"/>
      <c r="WIW66" s="73"/>
      <c r="WIX66" s="63"/>
      <c r="WIY66" s="64"/>
      <c r="WIZ66" s="66"/>
      <c r="WJA66" s="73"/>
      <c r="WJB66" s="63"/>
      <c r="WJC66" s="64"/>
      <c r="WJD66" s="66"/>
      <c r="WJE66" s="73"/>
      <c r="WJF66" s="63"/>
      <c r="WJG66" s="64"/>
      <c r="WJH66" s="66"/>
      <c r="WJI66" s="73"/>
      <c r="WJJ66" s="63"/>
      <c r="WJK66" s="64"/>
      <c r="WJL66" s="66"/>
      <c r="WJM66" s="73"/>
      <c r="WJN66" s="63"/>
      <c r="WJO66" s="64"/>
      <c r="WJP66" s="66"/>
      <c r="WJQ66" s="73"/>
      <c r="WJR66" s="63"/>
      <c r="WJS66" s="64"/>
      <c r="WJT66" s="66"/>
      <c r="WJU66" s="73"/>
      <c r="WJV66" s="63"/>
      <c r="WJW66" s="64"/>
      <c r="WJX66" s="66"/>
      <c r="WJY66" s="73"/>
      <c r="WJZ66" s="63"/>
      <c r="WKA66" s="64"/>
      <c r="WKB66" s="66"/>
      <c r="WKC66" s="73"/>
      <c r="WKD66" s="63"/>
      <c r="WKE66" s="64"/>
      <c r="WKF66" s="66"/>
      <c r="WKG66" s="73"/>
      <c r="WKH66" s="63"/>
      <c r="WKI66" s="64"/>
      <c r="WKJ66" s="66"/>
      <c r="WKK66" s="73"/>
      <c r="WKL66" s="63"/>
      <c r="WKM66" s="64"/>
      <c r="WKN66" s="66"/>
      <c r="WKO66" s="73"/>
      <c r="WKP66" s="63"/>
      <c r="WKQ66" s="64"/>
      <c r="WKR66" s="66"/>
      <c r="WKS66" s="73"/>
      <c r="WKT66" s="63"/>
      <c r="WKU66" s="64"/>
      <c r="WKV66" s="66"/>
      <c r="WKW66" s="73"/>
      <c r="WKX66" s="63"/>
      <c r="WKY66" s="64"/>
      <c r="WKZ66" s="66"/>
      <c r="WLA66" s="73"/>
      <c r="WLB66" s="63"/>
      <c r="WLC66" s="64"/>
      <c r="WLD66" s="66"/>
      <c r="WLE66" s="73"/>
      <c r="WLF66" s="63"/>
      <c r="WLG66" s="64"/>
      <c r="WLH66" s="66"/>
      <c r="WLI66" s="73"/>
      <c r="WLJ66" s="63"/>
      <c r="WLK66" s="64"/>
      <c r="WLL66" s="66"/>
      <c r="WLM66" s="73"/>
      <c r="WLN66" s="63"/>
      <c r="WLO66" s="64"/>
      <c r="WLP66" s="66"/>
      <c r="WLQ66" s="73"/>
      <c r="WLR66" s="63"/>
      <c r="WLS66" s="64"/>
      <c r="WLT66" s="66"/>
      <c r="WLU66" s="73"/>
      <c r="WLV66" s="63"/>
      <c r="WLW66" s="64"/>
      <c r="WLX66" s="66"/>
      <c r="WLY66" s="73"/>
      <c r="WLZ66" s="63"/>
      <c r="WMA66" s="64"/>
      <c r="WMB66" s="66"/>
      <c r="WMC66" s="73"/>
      <c r="WMD66" s="63"/>
      <c r="WME66" s="64"/>
      <c r="WMF66" s="66"/>
      <c r="WMG66" s="73"/>
      <c r="WMH66" s="63"/>
      <c r="WMI66" s="64"/>
      <c r="WMJ66" s="66"/>
      <c r="WMK66" s="73"/>
      <c r="WML66" s="63"/>
      <c r="WMM66" s="64"/>
      <c r="WMN66" s="66"/>
      <c r="WMO66" s="73"/>
      <c r="WMP66" s="63"/>
      <c r="WMQ66" s="64"/>
      <c r="WMR66" s="66"/>
      <c r="WMS66" s="73"/>
      <c r="WMT66" s="63"/>
      <c r="WMU66" s="64"/>
      <c r="WMV66" s="66"/>
      <c r="WMW66" s="73"/>
      <c r="WMX66" s="63"/>
      <c r="WMY66" s="64"/>
      <c r="WMZ66" s="66"/>
      <c r="WNA66" s="73"/>
      <c r="WNB66" s="63"/>
      <c r="WNC66" s="64"/>
      <c r="WND66" s="66"/>
      <c r="WNE66" s="73"/>
      <c r="WNF66" s="63"/>
      <c r="WNG66" s="64"/>
      <c r="WNH66" s="66"/>
      <c r="WNI66" s="73"/>
      <c r="WNJ66" s="63"/>
      <c r="WNK66" s="64"/>
      <c r="WNL66" s="66"/>
      <c r="WNM66" s="73"/>
      <c r="WNN66" s="63"/>
      <c r="WNO66" s="64"/>
      <c r="WNP66" s="66"/>
      <c r="WNQ66" s="73"/>
      <c r="WNR66" s="63"/>
      <c r="WNS66" s="64"/>
      <c r="WNT66" s="66"/>
      <c r="WNU66" s="73"/>
      <c r="WNV66" s="63"/>
      <c r="WNW66" s="64"/>
      <c r="WNX66" s="66"/>
      <c r="WNY66" s="73"/>
      <c r="WNZ66" s="63"/>
      <c r="WOA66" s="64"/>
      <c r="WOB66" s="66"/>
      <c r="WOC66" s="73"/>
      <c r="WOD66" s="63"/>
      <c r="WOE66" s="64"/>
      <c r="WOF66" s="66"/>
      <c r="WOG66" s="73"/>
      <c r="WOH66" s="63"/>
      <c r="WOI66" s="64"/>
      <c r="WOJ66" s="66"/>
      <c r="WOK66" s="73"/>
      <c r="WOL66" s="63"/>
      <c r="WOM66" s="64"/>
      <c r="WON66" s="66"/>
      <c r="WOO66" s="73"/>
      <c r="WOP66" s="63"/>
      <c r="WOQ66" s="64"/>
      <c r="WOR66" s="66"/>
      <c r="WOS66" s="73"/>
      <c r="WOT66" s="63"/>
      <c r="WOU66" s="64"/>
      <c r="WOV66" s="66"/>
      <c r="WOW66" s="73"/>
      <c r="WOX66" s="63"/>
      <c r="WOY66" s="64"/>
      <c r="WOZ66" s="66"/>
      <c r="WPA66" s="73"/>
      <c r="WPB66" s="63"/>
      <c r="WPC66" s="64"/>
      <c r="WPD66" s="66"/>
      <c r="WPE66" s="73"/>
      <c r="WPF66" s="63"/>
      <c r="WPG66" s="64"/>
      <c r="WPH66" s="66"/>
      <c r="WPI66" s="73"/>
      <c r="WPJ66" s="63"/>
      <c r="WPK66" s="64"/>
      <c r="WPL66" s="66"/>
      <c r="WPM66" s="73"/>
      <c r="WPN66" s="63"/>
      <c r="WPO66" s="64"/>
      <c r="WPP66" s="66"/>
      <c r="WPQ66" s="73"/>
      <c r="WPR66" s="63"/>
      <c r="WPS66" s="64"/>
      <c r="WPT66" s="66"/>
      <c r="WPU66" s="73"/>
      <c r="WPV66" s="63"/>
      <c r="WPW66" s="64"/>
      <c r="WPX66" s="66"/>
      <c r="WPY66" s="73"/>
      <c r="WPZ66" s="63"/>
      <c r="WQA66" s="64"/>
      <c r="WQB66" s="66"/>
      <c r="WQC66" s="73"/>
      <c r="WQD66" s="63"/>
      <c r="WQE66" s="64"/>
      <c r="WQF66" s="66"/>
      <c r="WQG66" s="73"/>
      <c r="WQH66" s="63"/>
      <c r="WQI66" s="64"/>
      <c r="WQJ66" s="66"/>
      <c r="WQK66" s="73"/>
      <c r="WQL66" s="63"/>
      <c r="WQM66" s="64"/>
      <c r="WQN66" s="66"/>
      <c r="WQO66" s="73"/>
      <c r="WQP66" s="63"/>
      <c r="WQQ66" s="64"/>
      <c r="WQR66" s="66"/>
      <c r="WQS66" s="73"/>
      <c r="WQT66" s="63"/>
      <c r="WQU66" s="64"/>
      <c r="WQV66" s="66"/>
      <c r="WQW66" s="73"/>
      <c r="WQX66" s="63"/>
      <c r="WQY66" s="64"/>
      <c r="WQZ66" s="66"/>
      <c r="WRA66" s="73"/>
      <c r="WRB66" s="63"/>
      <c r="WRC66" s="64"/>
      <c r="WRD66" s="66"/>
      <c r="WRE66" s="73"/>
      <c r="WRF66" s="63"/>
      <c r="WRG66" s="64"/>
      <c r="WRH66" s="66"/>
      <c r="WRI66" s="73"/>
      <c r="WRJ66" s="63"/>
      <c r="WRK66" s="64"/>
      <c r="WRL66" s="66"/>
      <c r="WRM66" s="73"/>
      <c r="WRN66" s="63"/>
      <c r="WRO66" s="64"/>
      <c r="WRP66" s="66"/>
      <c r="WRQ66" s="73"/>
      <c r="WRR66" s="63"/>
      <c r="WRS66" s="64"/>
      <c r="WRT66" s="66"/>
      <c r="WRU66" s="73"/>
      <c r="WRV66" s="63"/>
      <c r="WRW66" s="64"/>
      <c r="WRX66" s="66"/>
      <c r="WRY66" s="73"/>
      <c r="WRZ66" s="63"/>
      <c r="WSA66" s="64"/>
      <c r="WSB66" s="66"/>
      <c r="WSC66" s="73"/>
      <c r="WSD66" s="63"/>
      <c r="WSE66" s="64"/>
      <c r="WSF66" s="66"/>
      <c r="WSG66" s="73"/>
      <c r="WSH66" s="63"/>
      <c r="WSI66" s="64"/>
      <c r="WSJ66" s="66"/>
      <c r="WSK66" s="73"/>
      <c r="WSL66" s="63"/>
      <c r="WSM66" s="64"/>
      <c r="WSN66" s="66"/>
      <c r="WSO66" s="73"/>
      <c r="WSP66" s="63"/>
      <c r="WSQ66" s="64"/>
      <c r="WSR66" s="66"/>
      <c r="WSS66" s="73"/>
      <c r="WST66" s="63"/>
      <c r="WSU66" s="64"/>
      <c r="WSV66" s="66"/>
      <c r="WSW66" s="73"/>
      <c r="WSX66" s="63"/>
      <c r="WSY66" s="64"/>
      <c r="WSZ66" s="66"/>
      <c r="WTA66" s="73"/>
      <c r="WTB66" s="63"/>
      <c r="WTC66" s="64"/>
      <c r="WTD66" s="66"/>
      <c r="WTE66" s="73"/>
      <c r="WTF66" s="63"/>
      <c r="WTG66" s="64"/>
      <c r="WTH66" s="66"/>
      <c r="WTI66" s="73"/>
      <c r="WTJ66" s="63"/>
      <c r="WTK66" s="64"/>
      <c r="WTL66" s="66"/>
      <c r="WTM66" s="73"/>
      <c r="WTN66" s="63"/>
      <c r="WTO66" s="64"/>
      <c r="WTP66" s="66"/>
      <c r="WTQ66" s="73"/>
      <c r="WTR66" s="63"/>
      <c r="WTS66" s="64"/>
      <c r="WTT66" s="66"/>
      <c r="WTU66" s="73"/>
      <c r="WTV66" s="63"/>
      <c r="WTW66" s="64"/>
      <c r="WTX66" s="66"/>
      <c r="WTY66" s="73"/>
      <c r="WTZ66" s="63"/>
      <c r="WUA66" s="64"/>
      <c r="WUB66" s="66"/>
      <c r="WUC66" s="73"/>
      <c r="WUD66" s="63"/>
      <c r="WUE66" s="64"/>
      <c r="WUF66" s="66"/>
      <c r="WUG66" s="73"/>
      <c r="WUH66" s="63"/>
      <c r="WUI66" s="64"/>
      <c r="WUJ66" s="66"/>
      <c r="WUK66" s="73"/>
      <c r="WUL66" s="63"/>
      <c r="WUM66" s="64"/>
      <c r="WUN66" s="66"/>
      <c r="WUO66" s="73"/>
      <c r="WUP66" s="63"/>
      <c r="WUQ66" s="64"/>
      <c r="WUR66" s="66"/>
      <c r="WUS66" s="73"/>
      <c r="WUT66" s="63"/>
      <c r="WUU66" s="64"/>
      <c r="WUV66" s="66"/>
      <c r="WUW66" s="73"/>
      <c r="WUX66" s="63"/>
      <c r="WUY66" s="64"/>
      <c r="WUZ66" s="66"/>
      <c r="WVA66" s="73"/>
      <c r="WVB66" s="63"/>
      <c r="WVC66" s="64"/>
      <c r="WVD66" s="66"/>
      <c r="WVE66" s="73"/>
      <c r="WVF66" s="63"/>
      <c r="WVG66" s="64"/>
      <c r="WVH66" s="66"/>
      <c r="WVI66" s="73"/>
      <c r="WVJ66" s="63"/>
      <c r="WVK66" s="64"/>
      <c r="WVL66" s="66"/>
      <c r="WVM66" s="73"/>
      <c r="WVN66" s="63"/>
      <c r="WVO66" s="64"/>
      <c r="WVP66" s="66"/>
      <c r="WVQ66" s="73"/>
      <c r="WVR66" s="63"/>
      <c r="WVS66" s="64"/>
      <c r="WVT66" s="66"/>
      <c r="WVU66" s="73"/>
      <c r="WVV66" s="63"/>
      <c r="WVW66" s="64"/>
      <c r="WVX66" s="66"/>
      <c r="WVY66" s="73"/>
      <c r="WVZ66" s="63"/>
      <c r="WWA66" s="64"/>
      <c r="WWB66" s="66"/>
      <c r="WWC66" s="73"/>
      <c r="WWD66" s="63"/>
      <c r="WWE66" s="64"/>
      <c r="WWF66" s="66"/>
      <c r="WWG66" s="73"/>
      <c r="WWH66" s="63"/>
      <c r="WWI66" s="64"/>
      <c r="WWJ66" s="66"/>
      <c r="WWK66" s="73"/>
      <c r="WWL66" s="63"/>
      <c r="WWM66" s="64"/>
      <c r="WWN66" s="66"/>
      <c r="WWO66" s="73"/>
      <c r="WWP66" s="63"/>
      <c r="WWQ66" s="64"/>
      <c r="WWR66" s="66"/>
      <c r="WWS66" s="73"/>
      <c r="WWT66" s="63"/>
      <c r="WWU66" s="64"/>
      <c r="WWV66" s="66"/>
      <c r="WWW66" s="73"/>
      <c r="WWX66" s="63"/>
      <c r="WWY66" s="64"/>
      <c r="WWZ66" s="66"/>
      <c r="WXA66" s="73"/>
      <c r="WXB66" s="63"/>
      <c r="WXC66" s="64"/>
      <c r="WXD66" s="66"/>
      <c r="WXE66" s="73"/>
      <c r="WXF66" s="63"/>
      <c r="WXG66" s="64"/>
      <c r="WXH66" s="66"/>
      <c r="WXI66" s="73"/>
      <c r="WXJ66" s="63"/>
      <c r="WXK66" s="64"/>
      <c r="WXL66" s="66"/>
      <c r="WXM66" s="73"/>
      <c r="WXN66" s="63"/>
      <c r="WXO66" s="64"/>
      <c r="WXP66" s="66"/>
      <c r="WXQ66" s="73"/>
      <c r="WXR66" s="63"/>
      <c r="WXS66" s="64"/>
      <c r="WXT66" s="66"/>
      <c r="WXU66" s="73"/>
      <c r="WXV66" s="63"/>
      <c r="WXW66" s="64"/>
      <c r="WXX66" s="66"/>
      <c r="WXY66" s="73"/>
      <c r="WXZ66" s="63"/>
      <c r="WYA66" s="64"/>
      <c r="WYB66" s="66"/>
      <c r="WYC66" s="73"/>
      <c r="WYD66" s="63"/>
      <c r="WYE66" s="64"/>
      <c r="WYF66" s="66"/>
      <c r="WYG66" s="73"/>
      <c r="WYH66" s="63"/>
      <c r="WYI66" s="64"/>
      <c r="WYJ66" s="66"/>
      <c r="WYK66" s="73"/>
      <c r="WYL66" s="63"/>
      <c r="WYM66" s="64"/>
      <c r="WYN66" s="66"/>
      <c r="WYO66" s="73"/>
      <c r="WYP66" s="63"/>
      <c r="WYQ66" s="64"/>
      <c r="WYR66" s="66"/>
      <c r="WYS66" s="73"/>
      <c r="WYT66" s="63"/>
      <c r="WYU66" s="64"/>
      <c r="WYV66" s="66"/>
      <c r="WYW66" s="73"/>
      <c r="WYX66" s="63"/>
      <c r="WYY66" s="64"/>
      <c r="WYZ66" s="66"/>
      <c r="WZA66" s="73"/>
      <c r="WZB66" s="63"/>
      <c r="WZC66" s="64"/>
      <c r="WZD66" s="66"/>
      <c r="WZE66" s="73"/>
      <c r="WZF66" s="63"/>
      <c r="WZG66" s="64"/>
      <c r="WZH66" s="66"/>
      <c r="WZI66" s="73"/>
      <c r="WZJ66" s="63"/>
      <c r="WZK66" s="64"/>
      <c r="WZL66" s="66"/>
      <c r="WZM66" s="73"/>
      <c r="WZN66" s="63"/>
      <c r="WZO66" s="64"/>
      <c r="WZP66" s="66"/>
      <c r="WZQ66" s="73"/>
      <c r="WZR66" s="63"/>
      <c r="WZS66" s="64"/>
      <c r="WZT66" s="66"/>
      <c r="WZU66" s="73"/>
      <c r="WZV66" s="63"/>
      <c r="WZW66" s="64"/>
      <c r="WZX66" s="66"/>
      <c r="WZY66" s="73"/>
      <c r="WZZ66" s="63"/>
      <c r="XAA66" s="64"/>
      <c r="XAB66" s="66"/>
      <c r="XAC66" s="73"/>
      <c r="XAD66" s="63"/>
      <c r="XAE66" s="64"/>
      <c r="XAF66" s="66"/>
      <c r="XAG66" s="73"/>
      <c r="XAH66" s="63"/>
      <c r="XAI66" s="64"/>
      <c r="XAJ66" s="66"/>
      <c r="XAK66" s="73"/>
      <c r="XAL66" s="63"/>
      <c r="XAM66" s="64"/>
      <c r="XAN66" s="66"/>
      <c r="XAO66" s="73"/>
      <c r="XAP66" s="63"/>
      <c r="XAQ66" s="64"/>
      <c r="XAR66" s="66"/>
      <c r="XAS66" s="73"/>
      <c r="XAT66" s="63"/>
      <c r="XAU66" s="64"/>
      <c r="XAV66" s="66"/>
      <c r="XAW66" s="73"/>
      <c r="XAX66" s="63"/>
      <c r="XAY66" s="64"/>
      <c r="XAZ66" s="66"/>
      <c r="XBA66" s="73"/>
      <c r="XBB66" s="63"/>
      <c r="XBC66" s="64"/>
      <c r="XBD66" s="66"/>
      <c r="XBE66" s="73"/>
      <c r="XBF66" s="63"/>
      <c r="XBG66" s="64"/>
      <c r="XBH66" s="66"/>
      <c r="XBI66" s="73"/>
      <c r="XBJ66" s="63"/>
      <c r="XBK66" s="64"/>
      <c r="XBL66" s="66"/>
      <c r="XBM66" s="73"/>
      <c r="XBN66" s="63"/>
      <c r="XBO66" s="64"/>
      <c r="XBP66" s="66"/>
      <c r="XBQ66" s="73"/>
      <c r="XBR66" s="63"/>
      <c r="XBS66" s="64"/>
      <c r="XBT66" s="66"/>
      <c r="XBU66" s="73"/>
      <c r="XBV66" s="63"/>
      <c r="XBW66" s="64"/>
      <c r="XBX66" s="66"/>
      <c r="XBY66" s="73"/>
      <c r="XBZ66" s="63"/>
      <c r="XCA66" s="64"/>
      <c r="XCB66" s="66"/>
      <c r="XCC66" s="73"/>
      <c r="XCD66" s="63"/>
      <c r="XCE66" s="64"/>
      <c r="XCF66" s="66"/>
      <c r="XCG66" s="73"/>
      <c r="XCH66" s="63"/>
      <c r="XCI66" s="64"/>
      <c r="XCJ66" s="66"/>
      <c r="XCK66" s="73"/>
      <c r="XCL66" s="63"/>
      <c r="XCM66" s="64"/>
      <c r="XCN66" s="66"/>
      <c r="XCO66" s="73"/>
      <c r="XCP66" s="63"/>
      <c r="XCQ66" s="64"/>
      <c r="XCR66" s="66"/>
      <c r="XCS66" s="73"/>
      <c r="XCT66" s="63"/>
      <c r="XCU66" s="64"/>
      <c r="XCV66" s="66"/>
      <c r="XCW66" s="73"/>
      <c r="XCX66" s="63"/>
      <c r="XCY66" s="64"/>
      <c r="XCZ66" s="66"/>
      <c r="XDA66" s="73"/>
      <c r="XDB66" s="63"/>
      <c r="XDC66" s="64"/>
      <c r="XDD66" s="66"/>
      <c r="XDE66" s="73"/>
      <c r="XDF66" s="63"/>
      <c r="XDG66" s="64"/>
      <c r="XDH66" s="66"/>
      <c r="XDI66" s="73"/>
      <c r="XDJ66" s="63"/>
      <c r="XDK66" s="64"/>
      <c r="XDL66" s="66"/>
      <c r="XDM66" s="73"/>
      <c r="XDN66" s="63"/>
      <c r="XDO66" s="64"/>
      <c r="XDP66" s="66"/>
      <c r="XDQ66" s="73"/>
      <c r="XDR66" s="63"/>
      <c r="XDS66" s="64"/>
      <c r="XDT66" s="66"/>
      <c r="XDU66" s="73"/>
      <c r="XDV66" s="63"/>
      <c r="XDW66" s="64"/>
      <c r="XDX66" s="66"/>
      <c r="XDY66" s="73"/>
      <c r="XDZ66" s="63"/>
      <c r="XEA66" s="64"/>
      <c r="XEB66" s="66"/>
      <c r="XEC66" s="73"/>
      <c r="XED66" s="63"/>
      <c r="XEE66" s="64"/>
      <c r="XEF66" s="66"/>
      <c r="XEG66" s="73"/>
      <c r="XEH66" s="63"/>
      <c r="XEI66" s="64"/>
      <c r="XEJ66" s="66"/>
      <c r="XEK66" s="73"/>
      <c r="XEL66" s="63"/>
      <c r="XEM66" s="64"/>
      <c r="XEN66" s="66"/>
      <c r="XEO66" s="73"/>
      <c r="XEP66" s="63"/>
      <c r="XEQ66" s="64"/>
      <c r="XER66" s="66"/>
      <c r="XES66" s="73"/>
      <c r="XET66" s="63"/>
      <c r="XEU66" s="64"/>
      <c r="XEV66" s="66"/>
      <c r="XEW66" s="73"/>
      <c r="XEX66" s="63"/>
      <c r="XEY66" s="64"/>
      <c r="XEZ66" s="66"/>
      <c r="XFA66" s="73"/>
      <c r="XFB66" s="63"/>
      <c r="XFC66" s="64"/>
      <c r="XFD66" s="66"/>
    </row>
    <row r="67" spans="1:16384" customFormat="1" ht="11.25" customHeight="1">
      <c r="A67" s="62" t="s">
        <v>43</v>
      </c>
      <c r="B67" s="63"/>
      <c r="C67" s="64" t="s">
        <v>46</v>
      </c>
      <c r="D67" s="66">
        <f>'Proposed Rates'!F65</f>
        <v>-8.0000000000000004E-4</v>
      </c>
      <c r="E67" s="53"/>
      <c r="F67" s="53"/>
      <c r="G67" s="53"/>
      <c r="H67" s="53"/>
      <c r="I67" s="53"/>
      <c r="J67" s="53"/>
      <c r="K67" s="53"/>
      <c r="L67" s="53"/>
      <c r="M67" s="53"/>
      <c r="N67" s="53"/>
      <c r="O67" s="53"/>
      <c r="P67" s="53"/>
      <c r="Q67" s="53"/>
      <c r="R67" s="53"/>
      <c r="S67" s="53"/>
      <c r="T67" s="53"/>
      <c r="U67" s="53"/>
      <c r="V67" s="53"/>
      <c r="W67" s="53"/>
      <c r="X67" s="53"/>
      <c r="Y67" s="53"/>
      <c r="Z67" s="53"/>
    </row>
    <row r="68" spans="1:16384" customFormat="1" ht="33" customHeight="1">
      <c r="A68" s="73" t="s">
        <v>60</v>
      </c>
      <c r="B68" s="63"/>
      <c r="C68" s="64" t="s">
        <v>46</v>
      </c>
      <c r="D68" s="66">
        <f>'Proposed Rates'!F91</f>
        <v>4.0000000000000002E-4</v>
      </c>
      <c r="E68" s="53"/>
      <c r="F68" s="53"/>
      <c r="G68" s="53"/>
      <c r="H68" s="53"/>
      <c r="I68" s="53"/>
      <c r="J68" s="53"/>
      <c r="K68" s="53"/>
      <c r="L68" s="53"/>
      <c r="M68" s="53"/>
      <c r="N68" s="53"/>
      <c r="O68" s="53"/>
      <c r="P68" s="53"/>
      <c r="Q68" s="53"/>
      <c r="R68" s="53"/>
      <c r="S68" s="53"/>
      <c r="T68" s="53"/>
      <c r="U68" s="53"/>
      <c r="V68" s="53"/>
      <c r="W68" s="53"/>
      <c r="X68" s="53"/>
      <c r="Y68" s="53"/>
      <c r="Z68" s="53"/>
    </row>
    <row r="69" spans="1:16384" customFormat="1" ht="11.25" customHeight="1">
      <c r="A69" s="62" t="s">
        <v>48</v>
      </c>
      <c r="B69" s="63"/>
      <c r="C69" s="64" t="s">
        <v>46</v>
      </c>
      <c r="D69" s="66">
        <f>'Proposed Rates'!F143</f>
        <v>4.4000000000000003E-3</v>
      </c>
      <c r="E69" s="53"/>
      <c r="F69" s="53"/>
      <c r="G69" s="53"/>
      <c r="H69" s="53"/>
      <c r="I69" s="53"/>
      <c r="J69" s="53"/>
      <c r="K69" s="53"/>
      <c r="L69" s="53"/>
      <c r="M69" s="53"/>
      <c r="N69" s="53"/>
      <c r="O69" s="53"/>
      <c r="P69" s="53"/>
      <c r="Q69" s="53"/>
      <c r="R69" s="53"/>
      <c r="S69" s="53"/>
      <c r="T69" s="53"/>
      <c r="U69" s="53"/>
      <c r="V69" s="53"/>
      <c r="W69" s="53"/>
      <c r="X69" s="53"/>
      <c r="Y69" s="53"/>
      <c r="Z69" s="53"/>
    </row>
    <row r="70" spans="1:16384" customFormat="1" ht="11.25" customHeight="1">
      <c r="A70" s="62" t="s">
        <v>49</v>
      </c>
      <c r="B70" s="63"/>
      <c r="C70" s="64" t="s">
        <v>46</v>
      </c>
      <c r="D70" s="66">
        <f>'Proposed Rates'!F184</f>
        <v>1.0699999999999999E-2</v>
      </c>
      <c r="E70" s="53"/>
      <c r="F70" s="53"/>
      <c r="G70" s="53"/>
      <c r="H70" s="53"/>
      <c r="I70" s="53"/>
      <c r="J70" s="53"/>
      <c r="K70" s="53"/>
      <c r="L70" s="53"/>
      <c r="M70" s="53"/>
      <c r="N70" s="53"/>
      <c r="O70" s="53"/>
      <c r="P70" s="53"/>
      <c r="Q70" s="53"/>
      <c r="R70" s="53"/>
      <c r="S70" s="53"/>
      <c r="T70" s="53"/>
      <c r="U70" s="53"/>
      <c r="V70" s="53"/>
      <c r="W70" s="53"/>
      <c r="X70" s="53"/>
      <c r="Y70" s="53"/>
      <c r="Z70" s="53"/>
    </row>
    <row r="71" spans="1:16384" customFormat="1" ht="11.25" customHeight="1">
      <c r="A71" s="62" t="s">
        <v>50</v>
      </c>
      <c r="B71" s="63"/>
      <c r="C71" s="64" t="s">
        <v>46</v>
      </c>
      <c r="D71" s="66">
        <f>'Proposed Rates'!F199</f>
        <v>6.1000000000000004E-3</v>
      </c>
      <c r="E71" s="53"/>
      <c r="F71" s="53"/>
      <c r="G71" s="53"/>
      <c r="H71" s="53"/>
      <c r="I71" s="53"/>
      <c r="J71" s="53"/>
      <c r="K71" s="53"/>
      <c r="L71" s="53"/>
      <c r="M71" s="53"/>
      <c r="N71" s="53"/>
      <c r="O71" s="53"/>
      <c r="P71" s="53"/>
      <c r="Q71" s="53"/>
      <c r="R71" s="53"/>
      <c r="S71" s="53"/>
      <c r="T71" s="53"/>
      <c r="U71" s="53"/>
      <c r="V71" s="53"/>
      <c r="W71" s="53"/>
      <c r="X71" s="53"/>
      <c r="Y71" s="53"/>
      <c r="Z71" s="53"/>
    </row>
    <row r="72" spans="1:16384" customFormat="1" ht="6.75" customHeight="1">
      <c r="A72" s="64"/>
      <c r="B72" s="64"/>
      <c r="C72" s="64"/>
      <c r="D72" s="69"/>
      <c r="E72" s="53"/>
      <c r="F72" s="53"/>
      <c r="G72" s="53"/>
      <c r="H72" s="53"/>
      <c r="I72" s="53"/>
      <c r="J72" s="53"/>
      <c r="K72" s="53"/>
      <c r="L72" s="53"/>
      <c r="M72" s="53"/>
      <c r="N72" s="53"/>
      <c r="O72" s="53"/>
      <c r="P72" s="53"/>
      <c r="Q72" s="53"/>
      <c r="R72" s="53"/>
      <c r="S72" s="53"/>
      <c r="T72" s="53"/>
      <c r="U72" s="53"/>
      <c r="V72" s="53"/>
      <c r="W72" s="53"/>
      <c r="X72" s="53"/>
      <c r="Y72" s="53"/>
      <c r="Z72" s="53"/>
    </row>
    <row r="73" spans="1:16384" customFormat="1" ht="15" customHeight="1">
      <c r="A73" s="70" t="s">
        <v>51</v>
      </c>
      <c r="B73" s="63"/>
      <c r="C73" s="64"/>
      <c r="D73" s="69"/>
      <c r="E73" s="53"/>
      <c r="F73" s="53"/>
      <c r="G73" s="53"/>
      <c r="H73" s="53"/>
      <c r="I73" s="53"/>
      <c r="J73" s="53"/>
      <c r="K73" s="53"/>
      <c r="L73" s="53"/>
      <c r="M73" s="53"/>
      <c r="N73" s="53"/>
      <c r="O73" s="53"/>
      <c r="P73" s="53"/>
      <c r="Q73" s="53"/>
      <c r="R73" s="53"/>
      <c r="S73" s="53"/>
      <c r="T73" s="53"/>
      <c r="U73" s="53"/>
      <c r="V73" s="53"/>
      <c r="W73" s="53"/>
      <c r="X73" s="53"/>
      <c r="Y73" s="53"/>
      <c r="Z73" s="53"/>
    </row>
    <row r="74" spans="1:16384" customFormat="1" ht="6.75" customHeight="1">
      <c r="A74" s="59"/>
      <c r="B74" s="64"/>
      <c r="C74" s="64"/>
      <c r="D74" s="69"/>
      <c r="E74" s="53"/>
      <c r="F74" s="53"/>
      <c r="G74" s="53"/>
      <c r="H74" s="53"/>
      <c r="I74" s="53"/>
      <c r="J74" s="53"/>
      <c r="K74" s="53"/>
      <c r="L74" s="53"/>
      <c r="M74" s="53"/>
      <c r="N74" s="53"/>
      <c r="O74" s="53"/>
      <c r="P74" s="53"/>
      <c r="Q74" s="53"/>
      <c r="R74" s="53"/>
      <c r="S74" s="53"/>
      <c r="T74" s="53"/>
      <c r="U74" s="53"/>
      <c r="V74" s="53"/>
      <c r="W74" s="53"/>
      <c r="X74" s="53"/>
      <c r="Y74" s="53"/>
      <c r="Z74" s="53"/>
    </row>
    <row r="75" spans="1:16384" customFormat="1" ht="11.25" customHeight="1">
      <c r="A75" s="62" t="s">
        <v>52</v>
      </c>
      <c r="B75" s="63"/>
      <c r="C75" s="64" t="s">
        <v>46</v>
      </c>
      <c r="D75" s="66">
        <f>$D$35</f>
        <v>4.1000000000000003E-3</v>
      </c>
      <c r="E75" s="53"/>
      <c r="F75" s="53"/>
      <c r="G75" s="53"/>
      <c r="H75" s="53"/>
      <c r="I75" s="53"/>
      <c r="J75" s="53"/>
      <c r="K75" s="53"/>
      <c r="L75" s="53"/>
      <c r="M75" s="53"/>
      <c r="N75" s="53"/>
      <c r="O75" s="53"/>
      <c r="P75" s="53"/>
      <c r="Q75" s="53"/>
      <c r="R75" s="53"/>
      <c r="S75" s="53"/>
      <c r="T75" s="53"/>
      <c r="U75" s="53"/>
      <c r="V75" s="53"/>
      <c r="W75" s="53"/>
      <c r="X75" s="53"/>
      <c r="Y75" s="53"/>
      <c r="Z75" s="53"/>
    </row>
    <row r="76" spans="1:16384" customFormat="1" ht="11.25" customHeight="1">
      <c r="A76" s="62" t="s">
        <v>53</v>
      </c>
      <c r="B76" s="63"/>
      <c r="C76" s="64" t="s">
        <v>46</v>
      </c>
      <c r="D76" s="66">
        <f>'Proposed Rates'!F214-'2026'!D75</f>
        <v>5.9999999999999984E-4</v>
      </c>
      <c r="E76" s="53"/>
      <c r="F76" s="53"/>
      <c r="G76" s="53"/>
      <c r="H76" s="53"/>
      <c r="I76" s="53"/>
      <c r="J76" s="53"/>
      <c r="K76" s="53"/>
      <c r="L76" s="53"/>
      <c r="M76" s="53"/>
      <c r="N76" s="53"/>
      <c r="O76" s="53"/>
      <c r="P76" s="53"/>
      <c r="Q76" s="53"/>
      <c r="R76" s="53"/>
      <c r="S76" s="53"/>
      <c r="T76" s="53"/>
      <c r="U76" s="53"/>
      <c r="V76" s="53"/>
      <c r="W76" s="53"/>
      <c r="X76" s="53"/>
      <c r="Y76" s="53"/>
      <c r="Z76" s="53"/>
    </row>
    <row r="77" spans="1:16384" customFormat="1" ht="11.25" customHeight="1">
      <c r="A77" s="62" t="s">
        <v>54</v>
      </c>
      <c r="B77" s="63"/>
      <c r="C77" s="64" t="s">
        <v>46</v>
      </c>
      <c r="D77" s="66">
        <f>'Proposed Rates'!F227</f>
        <v>5.9999999999999995E-4</v>
      </c>
      <c r="E77" s="53"/>
      <c r="F77" s="53"/>
      <c r="G77" s="53"/>
      <c r="H77" s="53"/>
      <c r="I77" s="53"/>
      <c r="J77" s="53"/>
      <c r="K77" s="53"/>
      <c r="L77" s="53"/>
      <c r="M77" s="53"/>
      <c r="N77" s="53"/>
      <c r="O77" s="53"/>
      <c r="P77" s="53"/>
      <c r="Q77" s="53"/>
      <c r="R77" s="53"/>
      <c r="S77" s="53"/>
      <c r="T77" s="53"/>
      <c r="U77" s="53"/>
      <c r="V77" s="53"/>
      <c r="W77" s="53"/>
      <c r="X77" s="53"/>
      <c r="Y77" s="53"/>
      <c r="Z77" s="53"/>
    </row>
    <row r="78" spans="1:16384" customFormat="1" ht="11.25" customHeight="1">
      <c r="A78" s="62" t="s">
        <v>55</v>
      </c>
      <c r="B78" s="63"/>
      <c r="C78" s="64" t="s">
        <v>41</v>
      </c>
      <c r="D78" s="67">
        <f>'Proposed Rates'!F241</f>
        <v>0.25</v>
      </c>
      <c r="E78" s="53"/>
      <c r="F78" s="53"/>
      <c r="G78" s="53"/>
      <c r="H78" s="53"/>
      <c r="I78" s="53"/>
      <c r="J78" s="53"/>
      <c r="K78" s="53"/>
      <c r="L78" s="53"/>
      <c r="M78" s="53"/>
      <c r="N78" s="53"/>
      <c r="O78" s="53"/>
      <c r="P78" s="53"/>
      <c r="Q78" s="53"/>
      <c r="R78" s="53"/>
      <c r="S78" s="53"/>
      <c r="T78" s="53"/>
      <c r="U78" s="53"/>
      <c r="V78" s="53"/>
      <c r="W78" s="53"/>
      <c r="X78" s="53"/>
      <c r="Y78" s="53"/>
      <c r="Z78" s="53"/>
    </row>
    <row r="79" spans="1:16384" customFormat="1" ht="11.25" customHeight="1">
      <c r="A79" s="62"/>
      <c r="B79" s="63"/>
      <c r="C79" s="64"/>
      <c r="D79" s="67"/>
      <c r="E79" s="53"/>
      <c r="F79" s="53"/>
      <c r="G79" s="53"/>
      <c r="H79" s="53"/>
      <c r="I79" s="53"/>
      <c r="J79" s="53"/>
      <c r="K79" s="53"/>
      <c r="L79" s="53"/>
      <c r="M79" s="53"/>
      <c r="N79" s="53"/>
      <c r="O79" s="53"/>
      <c r="P79" s="53"/>
      <c r="Q79" s="53"/>
      <c r="R79" s="53"/>
      <c r="S79" s="53"/>
      <c r="T79" s="53"/>
      <c r="U79" s="53"/>
      <c r="V79" s="53"/>
      <c r="W79" s="53"/>
      <c r="X79" s="53"/>
      <c r="Y79" s="53"/>
      <c r="Z79" s="53"/>
    </row>
    <row r="80" spans="1:16384" customFormat="1" ht="23.25" customHeight="1">
      <c r="A80" s="600" t="str">
        <f>$A$40</f>
        <v>Hydro Ottawa Limited</v>
      </c>
      <c r="B80" s="601"/>
      <c r="C80" s="601"/>
      <c r="D80" s="602"/>
      <c r="E80" s="53"/>
      <c r="F80" s="53"/>
      <c r="G80" s="53"/>
      <c r="H80" s="53"/>
      <c r="I80" s="53"/>
      <c r="J80" s="53"/>
      <c r="K80" s="53"/>
      <c r="L80" s="53"/>
      <c r="M80" s="53"/>
      <c r="N80" s="53"/>
      <c r="O80" s="53"/>
      <c r="P80" s="53"/>
      <c r="Q80" s="53"/>
      <c r="R80" s="53"/>
      <c r="S80" s="53"/>
      <c r="T80" s="53"/>
      <c r="U80" s="53"/>
      <c r="V80" s="53"/>
      <c r="W80" s="53"/>
      <c r="X80" s="53"/>
      <c r="Y80" s="53"/>
      <c r="Z80" s="53"/>
    </row>
    <row r="81" spans="1:26" ht="18" customHeight="1">
      <c r="A81" s="603" t="str">
        <f>$A$41</f>
        <v>PROPOSED - TARIFF OF RATES AND CHARGES</v>
      </c>
      <c r="B81" s="601"/>
      <c r="C81" s="601"/>
      <c r="D81" s="602"/>
      <c r="E81" s="53"/>
      <c r="F81" s="53"/>
      <c r="G81" s="53"/>
      <c r="H81" s="53"/>
      <c r="I81" s="53"/>
      <c r="J81" s="53"/>
      <c r="K81" s="53"/>
      <c r="L81" s="53"/>
      <c r="M81" s="53"/>
      <c r="N81" s="53"/>
      <c r="O81" s="53"/>
      <c r="P81" s="53"/>
      <c r="Q81" s="53"/>
      <c r="R81" s="53"/>
      <c r="S81" s="53"/>
      <c r="T81" s="53"/>
      <c r="U81" s="53"/>
      <c r="V81" s="53"/>
      <c r="W81" s="53"/>
      <c r="X81" s="53"/>
      <c r="Y81" s="53"/>
      <c r="Z81" s="53"/>
    </row>
    <row r="82" spans="1:26" ht="15.75" customHeight="1">
      <c r="A82" s="604" t="str">
        <f>$A$42</f>
        <v>Effective and Implementation Date January 1, 2026</v>
      </c>
      <c r="B82" s="601"/>
      <c r="C82" s="601"/>
      <c r="D82" s="602"/>
      <c r="E82" s="53"/>
      <c r="F82" s="53"/>
      <c r="G82" s="53"/>
      <c r="H82" s="53"/>
      <c r="I82" s="53"/>
      <c r="J82" s="53"/>
      <c r="K82" s="53"/>
      <c r="L82" s="53"/>
      <c r="M82" s="53"/>
      <c r="N82" s="53"/>
      <c r="O82" s="53"/>
      <c r="P82" s="53"/>
      <c r="Q82" s="53"/>
      <c r="R82" s="53"/>
      <c r="S82" s="53"/>
      <c r="T82" s="53"/>
      <c r="U82" s="53"/>
      <c r="V82" s="53"/>
      <c r="W82" s="53"/>
      <c r="X82" s="53"/>
      <c r="Y82" s="53"/>
      <c r="Z82" s="53"/>
    </row>
    <row r="83" spans="1:26" ht="11.25" customHeight="1">
      <c r="A83" s="605" t="str">
        <f>$A$43</f>
        <v>This schedule supersedes and replaces all previously</v>
      </c>
      <c r="B83" s="601"/>
      <c r="C83" s="601"/>
      <c r="D83" s="602"/>
      <c r="E83" s="53"/>
      <c r="F83" s="53"/>
      <c r="G83" s="53"/>
      <c r="H83" s="53"/>
      <c r="I83" s="53"/>
      <c r="J83" s="53"/>
      <c r="K83" s="53"/>
      <c r="L83" s="53"/>
      <c r="M83" s="53"/>
      <c r="N83" s="53"/>
      <c r="O83" s="53"/>
      <c r="P83" s="53"/>
      <c r="Q83" s="53"/>
      <c r="R83" s="53"/>
      <c r="S83" s="53"/>
      <c r="T83" s="53"/>
      <c r="U83" s="53"/>
      <c r="V83" s="53"/>
      <c r="W83" s="53"/>
      <c r="X83" s="53"/>
      <c r="Y83" s="53"/>
      <c r="Z83" s="53"/>
    </row>
    <row r="84" spans="1:26" ht="11.25" customHeight="1">
      <c r="A84" s="605" t="str">
        <f>$A$44</f>
        <v>approved schedules of Rates, Charges and Loss Factors</v>
      </c>
      <c r="B84" s="601"/>
      <c r="C84" s="601"/>
      <c r="D84" s="602"/>
      <c r="E84" s="53"/>
      <c r="F84" s="53"/>
      <c r="G84" s="53"/>
      <c r="H84" s="53"/>
      <c r="I84" s="53"/>
      <c r="J84" s="53"/>
      <c r="K84" s="53"/>
      <c r="L84" s="53"/>
      <c r="M84" s="53"/>
      <c r="N84" s="53"/>
      <c r="O84" s="53"/>
      <c r="P84" s="53"/>
      <c r="Q84" s="53"/>
      <c r="R84" s="53"/>
      <c r="S84" s="53"/>
      <c r="T84" s="53"/>
      <c r="U84" s="53"/>
      <c r="V84" s="53"/>
      <c r="W84" s="53"/>
      <c r="X84" s="53"/>
      <c r="Y84" s="53"/>
      <c r="Z84" s="53"/>
    </row>
    <row r="85" spans="1:26" ht="11.25" customHeight="1">
      <c r="A85" s="606" t="str">
        <f>$A$45</f>
        <v>EB-2024-0115</v>
      </c>
      <c r="B85" s="601"/>
      <c r="C85" s="601"/>
      <c r="D85" s="602"/>
      <c r="E85" s="53"/>
      <c r="F85" s="53"/>
      <c r="G85" s="53"/>
      <c r="H85" s="53"/>
      <c r="I85" s="53"/>
      <c r="J85" s="53"/>
      <c r="K85" s="53"/>
      <c r="L85" s="53"/>
      <c r="M85" s="53"/>
      <c r="N85" s="53"/>
      <c r="O85" s="53"/>
      <c r="P85" s="53"/>
      <c r="Q85" s="53"/>
      <c r="R85" s="53"/>
      <c r="S85" s="53"/>
      <c r="T85" s="53"/>
      <c r="U85" s="53"/>
      <c r="V85" s="53"/>
      <c r="W85" s="53"/>
      <c r="X85" s="53"/>
      <c r="Y85" s="53"/>
      <c r="Z85" s="53"/>
    </row>
    <row r="86" spans="1:26" ht="18" customHeight="1">
      <c r="A86" s="607" t="s">
        <v>61</v>
      </c>
      <c r="B86" s="601"/>
      <c r="C86" s="601"/>
      <c r="D86" s="602"/>
      <c r="E86" s="71"/>
      <c r="F86" s="71"/>
      <c r="G86" s="71"/>
      <c r="H86" s="71"/>
      <c r="I86" s="71"/>
      <c r="J86" s="71"/>
      <c r="K86" s="71"/>
      <c r="L86" s="71"/>
      <c r="M86" s="71"/>
      <c r="N86" s="71"/>
      <c r="O86" s="71"/>
      <c r="P86" s="71"/>
      <c r="Q86" s="71"/>
      <c r="R86" s="71"/>
      <c r="S86" s="71"/>
      <c r="T86" s="71"/>
      <c r="U86" s="71"/>
      <c r="V86" s="71"/>
      <c r="W86" s="71"/>
      <c r="X86" s="71"/>
      <c r="Y86" s="71"/>
      <c r="Z86" s="71"/>
    </row>
    <row r="87" spans="1:26" ht="48" customHeight="1">
      <c r="A87" s="608" t="s">
        <v>62</v>
      </c>
      <c r="B87" s="601"/>
      <c r="C87" s="601"/>
      <c r="D87" s="602"/>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4"/>
      <c r="B88" s="54"/>
      <c r="C88" s="54"/>
      <c r="D88" s="55"/>
      <c r="E88" s="53"/>
      <c r="F88" s="53"/>
      <c r="G88" s="53"/>
      <c r="H88" s="53"/>
      <c r="I88" s="53"/>
      <c r="J88" s="53"/>
      <c r="K88" s="53"/>
      <c r="L88" s="53"/>
      <c r="M88" s="53"/>
      <c r="N88" s="53"/>
      <c r="O88" s="53"/>
      <c r="P88" s="53"/>
      <c r="Q88" s="53"/>
      <c r="R88" s="53"/>
      <c r="S88" s="53"/>
      <c r="T88" s="53"/>
      <c r="U88" s="53"/>
      <c r="V88" s="53"/>
      <c r="W88" s="53"/>
      <c r="X88" s="53"/>
      <c r="Y88" s="53"/>
      <c r="Z88" s="53"/>
    </row>
    <row r="89" spans="1:26" ht="11.25" customHeight="1">
      <c r="A89" s="609" t="s">
        <v>34</v>
      </c>
      <c r="B89" s="601"/>
      <c r="C89" s="601"/>
      <c r="D89" s="602"/>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6"/>
      <c r="B90" s="57"/>
      <c r="C90" s="57"/>
      <c r="D90" s="58"/>
      <c r="E90" s="53"/>
      <c r="F90" s="53"/>
      <c r="G90" s="53"/>
      <c r="H90" s="53"/>
      <c r="I90" s="53"/>
      <c r="J90" s="53"/>
      <c r="K90" s="53"/>
      <c r="L90" s="53"/>
      <c r="M90" s="53"/>
      <c r="N90" s="53"/>
      <c r="O90" s="53"/>
      <c r="P90" s="53"/>
      <c r="Q90" s="53"/>
      <c r="R90" s="53"/>
      <c r="S90" s="53"/>
      <c r="T90" s="53"/>
      <c r="U90" s="53"/>
      <c r="V90" s="53"/>
      <c r="W90" s="53"/>
      <c r="X90" s="53"/>
      <c r="Y90" s="53"/>
      <c r="Z90" s="53"/>
    </row>
    <row r="91" spans="1:26" ht="36" customHeight="1">
      <c r="A91" s="608" t="s">
        <v>35</v>
      </c>
      <c r="B91" s="601"/>
      <c r="C91" s="601"/>
      <c r="D91" s="602"/>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8" t="s">
        <v>36</v>
      </c>
      <c r="B93" s="601"/>
      <c r="C93" s="601"/>
      <c r="D93" s="602"/>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48" customHeight="1">
      <c r="A95" s="608" t="s">
        <v>37</v>
      </c>
      <c r="B95" s="601"/>
      <c r="C95" s="601"/>
      <c r="D95" s="602"/>
      <c r="E95" s="53"/>
      <c r="F95" s="53"/>
      <c r="G95" s="53"/>
      <c r="H95" s="53"/>
      <c r="I95" s="53"/>
      <c r="J95" s="53"/>
      <c r="K95" s="53"/>
      <c r="L95" s="53"/>
      <c r="M95" s="53"/>
      <c r="N95" s="53"/>
      <c r="O95" s="53"/>
      <c r="P95" s="53"/>
      <c r="Q95" s="53"/>
      <c r="R95" s="53"/>
      <c r="S95" s="53"/>
      <c r="T95" s="53"/>
      <c r="U95" s="53"/>
      <c r="V95" s="53"/>
      <c r="W95" s="53"/>
      <c r="X95" s="53"/>
      <c r="Y95" s="53"/>
      <c r="Z95" s="53"/>
    </row>
    <row r="96" spans="1:26" ht="6.75" customHeight="1">
      <c r="A96" s="54"/>
      <c r="B96" s="54"/>
      <c r="C96" s="54"/>
      <c r="D96" s="55"/>
      <c r="E96" s="53"/>
      <c r="F96" s="53"/>
      <c r="G96" s="53"/>
      <c r="H96" s="53"/>
      <c r="I96" s="53"/>
      <c r="J96" s="53"/>
      <c r="K96" s="53"/>
      <c r="L96" s="53"/>
      <c r="M96" s="53"/>
      <c r="N96" s="53"/>
      <c r="O96" s="53"/>
      <c r="P96" s="53"/>
      <c r="Q96" s="53"/>
      <c r="R96" s="53"/>
      <c r="S96" s="53"/>
      <c r="T96" s="53"/>
      <c r="U96" s="53"/>
      <c r="V96" s="53"/>
      <c r="W96" s="53"/>
      <c r="X96" s="53"/>
      <c r="Y96" s="53"/>
      <c r="Z96" s="53"/>
    </row>
    <row r="97" spans="1:26" ht="96" customHeight="1">
      <c r="A97" s="608" t="s">
        <v>63</v>
      </c>
      <c r="B97" s="601"/>
      <c r="C97" s="601"/>
      <c r="D97" s="602"/>
      <c r="E97" s="53"/>
      <c r="F97" s="53"/>
      <c r="G97" s="53"/>
      <c r="H97" s="53"/>
      <c r="I97" s="53"/>
      <c r="J97" s="53"/>
      <c r="K97" s="53"/>
      <c r="L97" s="53"/>
      <c r="M97" s="53"/>
      <c r="N97" s="53"/>
      <c r="O97" s="53"/>
      <c r="P97" s="53"/>
      <c r="Q97" s="53"/>
      <c r="R97" s="53"/>
      <c r="S97" s="53"/>
      <c r="T97" s="53"/>
      <c r="U97" s="53"/>
      <c r="V97" s="53"/>
      <c r="W97" s="53"/>
      <c r="X97" s="53"/>
      <c r="Y97" s="53"/>
      <c r="Z97" s="53"/>
    </row>
    <row r="98" spans="1:26" ht="96" customHeight="1">
      <c r="A98" s="608" t="s">
        <v>64</v>
      </c>
      <c r="B98" s="601"/>
      <c r="C98" s="601"/>
      <c r="D98" s="602"/>
      <c r="E98" s="53"/>
      <c r="F98" s="53"/>
      <c r="G98" s="53"/>
      <c r="H98" s="53"/>
      <c r="I98" s="53"/>
      <c r="J98" s="53"/>
      <c r="K98" s="53"/>
      <c r="L98" s="53"/>
      <c r="M98" s="53"/>
      <c r="N98" s="53"/>
      <c r="O98" s="53"/>
      <c r="P98" s="53"/>
      <c r="Q98" s="53"/>
      <c r="R98" s="53"/>
      <c r="S98" s="53"/>
      <c r="T98" s="53"/>
      <c r="U98" s="53"/>
      <c r="V98" s="53"/>
      <c r="W98" s="53"/>
      <c r="X98" s="53"/>
      <c r="Y98" s="53"/>
      <c r="Z98" s="53"/>
    </row>
    <row r="99" spans="1:26" ht="36" customHeight="1">
      <c r="A99" s="608" t="s">
        <v>38</v>
      </c>
      <c r="B99" s="601"/>
      <c r="C99" s="601"/>
      <c r="D99" s="602"/>
      <c r="E99" s="53"/>
      <c r="F99" s="53"/>
      <c r="G99" s="53"/>
      <c r="H99" s="53"/>
      <c r="I99" s="53"/>
      <c r="J99" s="53"/>
      <c r="K99" s="53"/>
      <c r="L99" s="53"/>
      <c r="M99" s="53"/>
      <c r="N99" s="53"/>
      <c r="O99" s="53"/>
      <c r="P99" s="53"/>
      <c r="Q99" s="53"/>
      <c r="R99" s="53"/>
      <c r="S99" s="53"/>
      <c r="T99" s="53"/>
      <c r="U99" s="53"/>
      <c r="V99" s="53"/>
      <c r="W99" s="53"/>
      <c r="X99" s="53"/>
      <c r="Y99" s="53"/>
      <c r="Z99" s="53"/>
    </row>
    <row r="100" spans="1:26" ht="24" customHeight="1">
      <c r="A100" s="611" t="s">
        <v>65</v>
      </c>
      <c r="B100" s="601"/>
      <c r="C100" s="601"/>
      <c r="D100" s="602"/>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74"/>
      <c r="B101" s="74"/>
      <c r="C101" s="74"/>
      <c r="D101" s="75"/>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 customHeight="1">
      <c r="A102" s="70" t="s">
        <v>39</v>
      </c>
      <c r="B102" s="63"/>
      <c r="C102" s="63"/>
      <c r="D102" s="72"/>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6.75" customHeight="1">
      <c r="A103" s="59"/>
      <c r="B103" s="60"/>
      <c r="C103" s="60"/>
      <c r="D103" s="61"/>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0.5" customHeight="1">
      <c r="A104" s="62" t="s">
        <v>40</v>
      </c>
      <c r="B104" s="63"/>
      <c r="C104" s="64" t="s">
        <v>41</v>
      </c>
      <c r="D104" s="65">
        <f>'Proposed Rates'!F10</f>
        <v>200</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0.5" customHeight="1">
      <c r="A105" s="62" t="s">
        <v>59</v>
      </c>
      <c r="B105" s="63"/>
      <c r="C105" s="64" t="s">
        <v>66</v>
      </c>
      <c r="D105" s="66">
        <f>'Proposed Rates'!F23</f>
        <v>7.9935999999999998</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0.5" customHeight="1">
      <c r="A106" s="62" t="s">
        <v>45</v>
      </c>
      <c r="B106" s="63"/>
      <c r="C106" s="64" t="s">
        <v>66</v>
      </c>
      <c r="D106" s="68">
        <f>'Proposed Rates'!F266</f>
        <v>2.332E-2</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0.5" customHeight="1">
      <c r="A107" s="62" t="s">
        <v>47</v>
      </c>
      <c r="B107" s="63"/>
      <c r="C107" s="64" t="s">
        <v>66</v>
      </c>
      <c r="D107" s="66">
        <f>'Proposed Rates'!F39</f>
        <v>7.3000000000000001E-3</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s="585" customFormat="1" ht="23.25" customHeight="1">
      <c r="A108" s="73" t="s">
        <v>433</v>
      </c>
      <c r="B108" s="63"/>
      <c r="C108" s="64" t="s">
        <v>46</v>
      </c>
      <c r="D108" s="66">
        <f>'Proposed Rates'!$F$105</f>
        <v>4.0000000000000002E-4</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customHeight="1">
      <c r="A109" s="62" t="s">
        <v>43</v>
      </c>
      <c r="B109" s="63"/>
      <c r="C109" s="64" t="s">
        <v>66</v>
      </c>
      <c r="D109" s="66">
        <f>'Proposed Rates'!F66</f>
        <v>-0.15229999999999999</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7.25" customHeight="1">
      <c r="A110" s="62" t="s">
        <v>48</v>
      </c>
      <c r="B110" s="63"/>
      <c r="C110" s="64" t="s">
        <v>46</v>
      </c>
      <c r="D110" s="66">
        <f>'Proposed Rates'!F145</f>
        <v>4.4000000000000003E-3</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7.25" customHeight="1">
      <c r="A111" s="62" t="s">
        <v>67</v>
      </c>
      <c r="B111" s="63"/>
      <c r="C111" s="64" t="s">
        <v>46</v>
      </c>
      <c r="D111" s="66">
        <f>'Proposed Rates'!F158</f>
        <v>-0.21779999999999999</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0.5" customHeight="1">
      <c r="A112" s="62" t="s">
        <v>49</v>
      </c>
      <c r="B112" s="63"/>
      <c r="C112" s="64" t="s">
        <v>66</v>
      </c>
      <c r="D112" s="66">
        <f>'Proposed Rates'!F185</f>
        <v>4.5787000000000004</v>
      </c>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0.5" customHeight="1">
      <c r="A113" s="62" t="s">
        <v>68</v>
      </c>
      <c r="B113" s="63"/>
      <c r="C113" s="64" t="s">
        <v>66</v>
      </c>
      <c r="D113" s="66">
        <f>'Proposed Rates'!F186</f>
        <v>0.77839999999999998</v>
      </c>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0.5" customHeight="1">
      <c r="A114" s="62" t="s">
        <v>50</v>
      </c>
      <c r="B114" s="63"/>
      <c r="C114" s="64" t="s">
        <v>66</v>
      </c>
      <c r="D114" s="66">
        <f>'Proposed Rates'!F200</f>
        <v>2.5918000000000001</v>
      </c>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0.5" customHeight="1">
      <c r="A115" s="62" t="s">
        <v>69</v>
      </c>
      <c r="B115" s="63"/>
      <c r="C115" s="64" t="s">
        <v>66</v>
      </c>
      <c r="D115" s="66">
        <f>'Proposed Rates'!F201</f>
        <v>0.44059999999999999</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6.75" customHeight="1">
      <c r="A116" s="64"/>
      <c r="B116" s="64"/>
      <c r="C116" s="64"/>
      <c r="D116" s="69"/>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 customHeight="1">
      <c r="A117" s="70" t="s">
        <v>51</v>
      </c>
      <c r="B117" s="63"/>
      <c r="C117" s="64"/>
      <c r="D117" s="69"/>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6.75" customHeight="1">
      <c r="A118" s="59"/>
      <c r="B118" s="64"/>
      <c r="C118" s="64"/>
      <c r="D118" s="69"/>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0.5" customHeight="1">
      <c r="A119" s="62" t="s">
        <v>52</v>
      </c>
      <c r="B119" s="63"/>
      <c r="C119" s="64" t="s">
        <v>46</v>
      </c>
      <c r="D119" s="66">
        <f>$D$35</f>
        <v>4.1000000000000003E-3</v>
      </c>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0.5" customHeight="1">
      <c r="A120" s="62" t="s">
        <v>53</v>
      </c>
      <c r="B120" s="63"/>
      <c r="C120" s="64" t="s">
        <v>46</v>
      </c>
      <c r="D120" s="66">
        <f>'Proposed Rates'!F215-'2026'!D119</f>
        <v>5.9999999999999984E-4</v>
      </c>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0.5" customHeight="1">
      <c r="A121" s="62" t="s">
        <v>54</v>
      </c>
      <c r="B121" s="63"/>
      <c r="C121" s="64" t="s">
        <v>46</v>
      </c>
      <c r="D121" s="66">
        <f>'Proposed Rates'!F228</f>
        <v>5.9999999999999995E-4</v>
      </c>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0.5" customHeight="1">
      <c r="A122" s="62" t="s">
        <v>55</v>
      </c>
      <c r="B122" s="63"/>
      <c r="C122" s="64" t="s">
        <v>41</v>
      </c>
      <c r="D122" s="67">
        <f>'Proposed Rates'!F242</f>
        <v>0.25</v>
      </c>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0.5" customHeight="1">
      <c r="A123" s="62"/>
      <c r="B123" s="63"/>
      <c r="C123" s="64"/>
      <c r="D123" s="67"/>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23.25" customHeight="1">
      <c r="A124" s="600" t="str">
        <f>$A$40</f>
        <v>Hydro Ottawa Limited</v>
      </c>
      <c r="B124" s="601"/>
      <c r="C124" s="601"/>
      <c r="D124" s="602"/>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8" customHeight="1">
      <c r="A125" s="603" t="str">
        <f>$A$41</f>
        <v>PROPOSED - TARIFF OF RATES AND CHARGES</v>
      </c>
      <c r="B125" s="601"/>
      <c r="C125" s="601"/>
      <c r="D125" s="602"/>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customHeight="1">
      <c r="A126" s="604" t="str">
        <f>$A$42</f>
        <v>Effective and Implementation Date January 1, 2026</v>
      </c>
      <c r="B126" s="601"/>
      <c r="C126" s="601"/>
      <c r="D126" s="602"/>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1.25" customHeight="1">
      <c r="A127" s="605" t="str">
        <f>$A$43</f>
        <v>This schedule supersedes and replaces all previously</v>
      </c>
      <c r="B127" s="601"/>
      <c r="C127" s="601"/>
      <c r="D127" s="602"/>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1.25" customHeight="1">
      <c r="A128" s="605" t="str">
        <f>$A$44</f>
        <v>approved schedules of Rates, Charges and Loss Factors</v>
      </c>
      <c r="B128" s="601"/>
      <c r="C128" s="601"/>
      <c r="D128" s="602"/>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1.25" customHeight="1">
      <c r="A129" s="606" t="str">
        <f>$A$45</f>
        <v>EB-2024-0115</v>
      </c>
      <c r="B129" s="601"/>
      <c r="C129" s="601"/>
      <c r="D129" s="602"/>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8.75" customHeight="1">
      <c r="A130" s="607" t="s">
        <v>70</v>
      </c>
      <c r="B130" s="601"/>
      <c r="C130" s="601"/>
      <c r="D130" s="602"/>
      <c r="E130" s="71"/>
      <c r="F130" s="71"/>
      <c r="G130" s="71"/>
      <c r="H130" s="71"/>
      <c r="I130" s="71"/>
      <c r="J130" s="71"/>
      <c r="K130" s="71"/>
      <c r="L130" s="71"/>
      <c r="M130" s="71"/>
      <c r="N130" s="71"/>
      <c r="O130" s="71"/>
      <c r="P130" s="71"/>
      <c r="Q130" s="71"/>
      <c r="R130" s="71"/>
      <c r="S130" s="71"/>
      <c r="T130" s="71"/>
      <c r="U130" s="71"/>
      <c r="V130" s="71"/>
      <c r="W130" s="71"/>
      <c r="X130" s="71"/>
      <c r="Y130" s="71"/>
      <c r="Z130" s="71"/>
    </row>
    <row r="131" spans="1:26" ht="48" customHeight="1">
      <c r="A131" s="608" t="s">
        <v>71</v>
      </c>
      <c r="B131" s="601"/>
      <c r="C131" s="601"/>
      <c r="D131" s="602"/>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4"/>
      <c r="B132" s="54"/>
      <c r="C132" s="54"/>
      <c r="D132" s="55"/>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1.25" customHeight="1">
      <c r="A133" s="609" t="s">
        <v>34</v>
      </c>
      <c r="B133" s="601"/>
      <c r="C133" s="601"/>
      <c r="D133" s="602"/>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6"/>
      <c r="B134" s="57"/>
      <c r="C134" s="57"/>
      <c r="D134" s="58"/>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36" customHeight="1">
      <c r="A135" s="608" t="s">
        <v>35</v>
      </c>
      <c r="B135" s="601"/>
      <c r="C135" s="601"/>
      <c r="D135" s="602"/>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48" customHeight="1">
      <c r="A137" s="608" t="s">
        <v>72</v>
      </c>
      <c r="B137" s="601"/>
      <c r="C137" s="601"/>
      <c r="D137" s="602"/>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6.75" customHeight="1">
      <c r="A138" s="54"/>
      <c r="B138" s="54"/>
      <c r="C138" s="54"/>
      <c r="D138" s="55"/>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48" customHeight="1">
      <c r="A139" s="608" t="s">
        <v>37</v>
      </c>
      <c r="B139" s="601"/>
      <c r="C139" s="601"/>
      <c r="D139" s="602"/>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6.75" customHeight="1">
      <c r="A140" s="54"/>
      <c r="B140" s="54"/>
      <c r="C140" s="54"/>
      <c r="D140" s="55"/>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96" customHeight="1">
      <c r="A141" s="608" t="s">
        <v>63</v>
      </c>
      <c r="B141" s="601"/>
      <c r="C141" s="601"/>
      <c r="D141" s="602"/>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96" customHeight="1">
      <c r="A142" s="608" t="s">
        <v>64</v>
      </c>
      <c r="B142" s="601"/>
      <c r="C142" s="601"/>
      <c r="D142" s="602"/>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36" customHeight="1">
      <c r="A143" s="608" t="s">
        <v>38</v>
      </c>
      <c r="B143" s="601"/>
      <c r="C143" s="601"/>
      <c r="D143" s="602"/>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24" customHeight="1">
      <c r="A144" s="611" t="s">
        <v>65</v>
      </c>
      <c r="B144" s="601"/>
      <c r="C144" s="601"/>
      <c r="D144" s="602"/>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6.75" customHeight="1">
      <c r="A145" s="74"/>
      <c r="B145" s="74"/>
      <c r="C145" s="74"/>
      <c r="D145" s="75"/>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 customHeight="1">
      <c r="A146" s="70" t="s">
        <v>39</v>
      </c>
      <c r="B146" s="63"/>
      <c r="C146" s="63"/>
      <c r="D146" s="72"/>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6.75" customHeight="1">
      <c r="A147" s="59"/>
      <c r="B147" s="60"/>
      <c r="C147" s="60"/>
      <c r="D147" s="61"/>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1.25" customHeight="1">
      <c r="A148" s="62" t="s">
        <v>40</v>
      </c>
      <c r="B148" s="63"/>
      <c r="C148" s="64" t="s">
        <v>41</v>
      </c>
      <c r="D148" s="65">
        <f>'Proposed Rates'!F11</f>
        <v>4126.75</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1.25" customHeight="1">
      <c r="A149" s="62" t="s">
        <v>59</v>
      </c>
      <c r="B149" s="63"/>
      <c r="C149" s="64" t="s">
        <v>66</v>
      </c>
      <c r="D149" s="66">
        <f>'Proposed Rates'!F24</f>
        <v>7.6669</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1.25" customHeight="1">
      <c r="A150" s="62" t="s">
        <v>45</v>
      </c>
      <c r="B150" s="63"/>
      <c r="C150" s="64" t="s">
        <v>66</v>
      </c>
      <c r="D150" s="68">
        <f>'Proposed Rates'!F267</f>
        <v>2.3130000000000001E-2</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1.25" customHeight="1">
      <c r="A151" s="62" t="s">
        <v>47</v>
      </c>
      <c r="B151" s="63"/>
      <c r="C151" s="64" t="s">
        <v>66</v>
      </c>
      <c r="D151" s="66">
        <f>'Proposed Rates'!F40</f>
        <v>-0.22289999999999999</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s="585" customFormat="1" ht="25.5" customHeight="1">
      <c r="A152" s="73" t="s">
        <v>433</v>
      </c>
      <c r="B152" s="63"/>
      <c r="C152" s="64" t="s">
        <v>46</v>
      </c>
      <c r="D152" s="66">
        <f>'Proposed Rates'!$F$105</f>
        <v>4.0000000000000002E-4</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1.25" customHeight="1">
      <c r="A153" s="62" t="s">
        <v>43</v>
      </c>
      <c r="B153" s="63"/>
      <c r="C153" s="64" t="s">
        <v>66</v>
      </c>
      <c r="D153" s="66">
        <f>'Proposed Rates'!F67</f>
        <v>-0.1694</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24" customHeight="1">
      <c r="A154" s="73" t="s">
        <v>60</v>
      </c>
      <c r="B154" s="63"/>
      <c r="C154" s="64" t="s">
        <v>66</v>
      </c>
      <c r="D154" s="66">
        <f>'Proposed Rates'!F93</f>
        <v>-0.36930000000000002</v>
      </c>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1.25" customHeight="1">
      <c r="A155" s="62" t="s">
        <v>48</v>
      </c>
      <c r="B155" s="63"/>
      <c r="C155" s="64" t="s">
        <v>46</v>
      </c>
      <c r="D155" s="66">
        <f>'Proposed Rates'!F145</f>
        <v>4.4000000000000003E-3</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1.25" customHeight="1">
      <c r="A156" s="62" t="s">
        <v>49</v>
      </c>
      <c r="B156" s="63"/>
      <c r="C156" s="64" t="s">
        <v>66</v>
      </c>
      <c r="D156" s="66">
        <f>'Proposed Rates'!F187</f>
        <v>4.5423999999999998</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1.25" customHeight="1">
      <c r="A157" s="62" t="s">
        <v>68</v>
      </c>
      <c r="B157" s="63"/>
      <c r="C157" s="64" t="s">
        <v>66</v>
      </c>
      <c r="D157" s="66">
        <f>'Proposed Rates'!F188</f>
        <v>0.7722</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1.25" customHeight="1">
      <c r="A158" s="62" t="s">
        <v>50</v>
      </c>
      <c r="B158" s="63"/>
      <c r="C158" s="64" t="s">
        <v>66</v>
      </c>
      <c r="D158" s="66">
        <f>'Proposed Rates'!F202</f>
        <v>2.5712000000000002</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1.25" customHeight="1">
      <c r="A159" s="62" t="s">
        <v>69</v>
      </c>
      <c r="B159" s="63"/>
      <c r="C159" s="64" t="s">
        <v>66</v>
      </c>
      <c r="D159" s="66">
        <f>'Proposed Rates'!F203</f>
        <v>0.43709999999999999</v>
      </c>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6.75" customHeight="1">
      <c r="A160" s="64"/>
      <c r="B160" s="64"/>
      <c r="C160" s="64"/>
      <c r="D160" s="69"/>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 customHeight="1">
      <c r="A161" s="70" t="s">
        <v>51</v>
      </c>
      <c r="B161" s="63"/>
      <c r="C161" s="64"/>
      <c r="D161" s="69"/>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6.75" customHeight="1">
      <c r="A162" s="59"/>
      <c r="B162" s="64"/>
      <c r="C162" s="64"/>
      <c r="D162" s="69"/>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1.25" customHeight="1">
      <c r="A163" s="62" t="s">
        <v>52</v>
      </c>
      <c r="B163" s="63"/>
      <c r="C163" s="64" t="s">
        <v>46</v>
      </c>
      <c r="D163" s="66">
        <f>$D$35</f>
        <v>4.1000000000000003E-3</v>
      </c>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1.25" customHeight="1">
      <c r="A164" s="62" t="s">
        <v>53</v>
      </c>
      <c r="B164" s="63"/>
      <c r="C164" s="64" t="s">
        <v>46</v>
      </c>
      <c r="D164" s="66">
        <f>'Proposed Rates'!F216-'2026'!D163</f>
        <v>5.9999999999999984E-4</v>
      </c>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1.25" customHeight="1">
      <c r="A165" s="62" t="s">
        <v>54</v>
      </c>
      <c r="B165" s="63"/>
      <c r="C165" s="64" t="s">
        <v>46</v>
      </c>
      <c r="D165" s="66">
        <f>'Proposed Rates'!F229</f>
        <v>5.9999999999999995E-4</v>
      </c>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1.25" customHeight="1">
      <c r="A166" s="62" t="s">
        <v>55</v>
      </c>
      <c r="B166" s="63"/>
      <c r="C166" s="64" t="s">
        <v>41</v>
      </c>
      <c r="D166" s="67">
        <f>'Proposed Rates'!F243</f>
        <v>0.25</v>
      </c>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1.25" customHeight="1">
      <c r="A167" s="76"/>
      <c r="B167" s="63"/>
      <c r="C167" s="77"/>
      <c r="D167" s="67"/>
      <c r="E167" s="78"/>
      <c r="F167" s="78"/>
      <c r="G167" s="78"/>
      <c r="H167" s="78"/>
      <c r="I167" s="78"/>
      <c r="J167" s="78"/>
      <c r="K167" s="78"/>
      <c r="L167" s="78"/>
      <c r="M167" s="78"/>
      <c r="N167" s="78"/>
      <c r="O167" s="78"/>
      <c r="P167" s="78"/>
      <c r="Q167" s="78"/>
      <c r="R167" s="78"/>
      <c r="S167" s="78"/>
      <c r="T167" s="78"/>
      <c r="U167" s="78"/>
      <c r="V167" s="78"/>
      <c r="W167" s="78"/>
      <c r="X167" s="78"/>
      <c r="Y167" s="78"/>
      <c r="Z167" s="78"/>
    </row>
    <row r="168" spans="1:26" ht="23.25" customHeight="1">
      <c r="A168" s="600" t="str">
        <f>$A$40</f>
        <v>Hydro Ottawa Limited</v>
      </c>
      <c r="B168" s="601"/>
      <c r="C168" s="601"/>
      <c r="D168" s="602"/>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8" customHeight="1">
      <c r="A169" s="603" t="str">
        <f>$A$41</f>
        <v>PROPOSED - TARIFF OF RATES AND CHARGES</v>
      </c>
      <c r="B169" s="601"/>
      <c r="C169" s="601"/>
      <c r="D169" s="602"/>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customHeight="1">
      <c r="A170" s="604" t="str">
        <f>$A$42</f>
        <v>Effective and Implementation Date January 1, 2026</v>
      </c>
      <c r="B170" s="601"/>
      <c r="C170" s="601"/>
      <c r="D170" s="602"/>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5" t="str">
        <f>$A$43</f>
        <v>This schedule supersedes and replaces all previously</v>
      </c>
      <c r="B171" s="601"/>
      <c r="C171" s="601"/>
      <c r="D171" s="602"/>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1.25" customHeight="1">
      <c r="A172" s="605" t="str">
        <f>$A$44</f>
        <v>approved schedules of Rates, Charges and Loss Factors</v>
      </c>
      <c r="B172" s="601"/>
      <c r="C172" s="601"/>
      <c r="D172" s="602"/>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1.25" customHeight="1">
      <c r="A173" s="606" t="str">
        <f>$A$45</f>
        <v>EB-2024-0115</v>
      </c>
      <c r="B173" s="601"/>
      <c r="C173" s="601"/>
      <c r="D173" s="602"/>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8.75" customHeight="1">
      <c r="A174" s="607" t="s">
        <v>73</v>
      </c>
      <c r="B174" s="601"/>
      <c r="C174" s="601"/>
      <c r="D174" s="602"/>
      <c r="E174" s="71"/>
      <c r="F174" s="71"/>
      <c r="G174" s="71"/>
      <c r="H174" s="71"/>
      <c r="I174" s="71"/>
      <c r="J174" s="71"/>
      <c r="K174" s="71"/>
      <c r="L174" s="71"/>
      <c r="M174" s="71"/>
      <c r="N174" s="71"/>
      <c r="O174" s="71"/>
      <c r="P174" s="71"/>
      <c r="Q174" s="71"/>
      <c r="R174" s="71"/>
      <c r="S174" s="71"/>
      <c r="T174" s="71"/>
      <c r="U174" s="71"/>
      <c r="V174" s="71"/>
      <c r="W174" s="71"/>
      <c r="X174" s="71"/>
      <c r="Y174" s="71"/>
      <c r="Z174" s="71"/>
    </row>
    <row r="175" spans="1:26" ht="48" customHeight="1">
      <c r="A175" s="608" t="s">
        <v>74</v>
      </c>
      <c r="B175" s="601"/>
      <c r="C175" s="601"/>
      <c r="D175" s="602"/>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4"/>
      <c r="B176" s="54"/>
      <c r="C176" s="54"/>
      <c r="D176" s="55"/>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1.25" customHeight="1">
      <c r="A177" s="609" t="s">
        <v>34</v>
      </c>
      <c r="B177" s="601"/>
      <c r="C177" s="601"/>
      <c r="D177" s="602"/>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6"/>
      <c r="B178" s="57"/>
      <c r="C178" s="57"/>
      <c r="D178" s="58"/>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36" customHeight="1">
      <c r="A179" s="608" t="s">
        <v>35</v>
      </c>
      <c r="B179" s="601"/>
      <c r="C179" s="601"/>
      <c r="D179" s="602"/>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6.75" customHeight="1">
      <c r="A180" s="54"/>
      <c r="B180" s="54"/>
      <c r="C180" s="54"/>
      <c r="D180" s="55"/>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48" customHeight="1">
      <c r="A181" s="608" t="s">
        <v>75</v>
      </c>
      <c r="B181" s="601"/>
      <c r="C181" s="601"/>
      <c r="D181" s="602"/>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6.75" customHeight="1">
      <c r="A182" s="54"/>
      <c r="B182" s="54"/>
      <c r="C182" s="54"/>
      <c r="D182" s="55"/>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48" customHeight="1">
      <c r="A183" s="608" t="s">
        <v>37</v>
      </c>
      <c r="B183" s="601"/>
      <c r="C183" s="601"/>
      <c r="D183" s="602"/>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6.75" customHeight="1">
      <c r="A184" s="54"/>
      <c r="B184" s="54"/>
      <c r="C184" s="54"/>
      <c r="D184" s="55"/>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96" customHeight="1">
      <c r="A185" s="608" t="s">
        <v>63</v>
      </c>
      <c r="B185" s="601"/>
      <c r="C185" s="601"/>
      <c r="D185" s="602"/>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96" customHeight="1">
      <c r="A186" s="608" t="s">
        <v>64</v>
      </c>
      <c r="B186" s="601"/>
      <c r="C186" s="601"/>
      <c r="D186" s="602"/>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36" customHeight="1">
      <c r="A187" s="608" t="s">
        <v>38</v>
      </c>
      <c r="B187" s="601"/>
      <c r="C187" s="601"/>
      <c r="D187" s="602"/>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24" customHeight="1">
      <c r="A188" s="611" t="s">
        <v>65</v>
      </c>
      <c r="B188" s="601"/>
      <c r="C188" s="601"/>
      <c r="D188" s="602"/>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6.75" customHeight="1">
      <c r="A189" s="74"/>
      <c r="B189" s="74"/>
      <c r="C189" s="74"/>
      <c r="D189" s="75"/>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 customHeight="1">
      <c r="A190" s="70" t="s">
        <v>39</v>
      </c>
      <c r="B190" s="63"/>
      <c r="C190" s="63"/>
      <c r="D190" s="72"/>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6.75" customHeight="1">
      <c r="A191" s="59"/>
      <c r="B191" s="60"/>
      <c r="C191" s="60"/>
      <c r="D191" s="61"/>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0.5" customHeight="1">
      <c r="A192" s="62" t="s">
        <v>40</v>
      </c>
      <c r="B192" s="63"/>
      <c r="C192" s="64" t="s">
        <v>41</v>
      </c>
      <c r="D192" s="65">
        <f>'Proposed Rates'!F12</f>
        <v>14946.93</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0.5" customHeight="1">
      <c r="A193" s="62" t="s">
        <v>59</v>
      </c>
      <c r="B193" s="63"/>
      <c r="C193" s="64" t="s">
        <v>66</v>
      </c>
      <c r="D193" s="66">
        <f>'Proposed Rates'!F25</f>
        <v>8.2606000000000002</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0.5" customHeight="1">
      <c r="A194" s="62" t="s">
        <v>45</v>
      </c>
      <c r="B194" s="63"/>
      <c r="C194" s="64" t="s">
        <v>66</v>
      </c>
      <c r="D194" s="68">
        <f>'Proposed Rates'!F268</f>
        <v>2.716E-2</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0.5" customHeight="1">
      <c r="A195" s="62" t="s">
        <v>47</v>
      </c>
      <c r="B195" s="63"/>
      <c r="C195" s="64" t="s">
        <v>66</v>
      </c>
      <c r="D195" s="66">
        <f>'Proposed Rates'!F41</f>
        <v>-0.27450000000000002</v>
      </c>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s="585" customFormat="1" ht="26.25" customHeight="1">
      <c r="A196" s="73" t="s">
        <v>433</v>
      </c>
      <c r="B196" s="63"/>
      <c r="C196" s="64" t="s">
        <v>46</v>
      </c>
      <c r="D196" s="66">
        <f>'Proposed Rates'!$F$105</f>
        <v>4.0000000000000002E-4</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0.5" customHeight="1">
      <c r="A197" s="62" t="s">
        <v>43</v>
      </c>
      <c r="B197" s="63"/>
      <c r="C197" s="64" t="s">
        <v>66</v>
      </c>
      <c r="D197" s="66">
        <f>'Proposed Rates'!F68</f>
        <v>-0.1731</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28.5" customHeight="1">
      <c r="A198" s="73" t="s">
        <v>42</v>
      </c>
      <c r="B198" s="63"/>
      <c r="C198" s="64" t="s">
        <v>66</v>
      </c>
      <c r="D198" s="66">
        <f>'Proposed Rates'!F94</f>
        <v>-0.50439999999999996</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0.5" customHeight="1">
      <c r="A199" s="62" t="s">
        <v>48</v>
      </c>
      <c r="B199" s="63"/>
      <c r="C199" s="64" t="s">
        <v>46</v>
      </c>
      <c r="D199" s="66">
        <f>'Proposed Rates'!F146</f>
        <v>4.4000000000000003E-3</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0.5" customHeight="1">
      <c r="A200" s="62" t="s">
        <v>49</v>
      </c>
      <c r="B200" s="63"/>
      <c r="C200" s="64" t="s">
        <v>66</v>
      </c>
      <c r="D200" s="66">
        <f>'Proposed Rates'!F189</f>
        <v>5.3339999999999996</v>
      </c>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0.5" customHeight="1">
      <c r="A201" s="62" t="s">
        <v>50</v>
      </c>
      <c r="B201" s="63"/>
      <c r="C201" s="64" t="s">
        <v>66</v>
      </c>
      <c r="D201" s="66">
        <f>'Proposed Rates'!F204</f>
        <v>3.0192999999999999</v>
      </c>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6.75" customHeight="1">
      <c r="A202" s="64"/>
      <c r="B202" s="64"/>
      <c r="C202" s="64"/>
      <c r="D202" s="69"/>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 customHeight="1">
      <c r="A203" s="70" t="s">
        <v>51</v>
      </c>
      <c r="B203" s="63"/>
      <c r="C203" s="64"/>
      <c r="D203" s="69"/>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6.75" customHeight="1">
      <c r="A204" s="59"/>
      <c r="B204" s="64"/>
      <c r="C204" s="64"/>
      <c r="D204" s="69"/>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0.5" customHeight="1">
      <c r="A205" s="62" t="s">
        <v>52</v>
      </c>
      <c r="B205" s="63"/>
      <c r="C205" s="64" t="s">
        <v>46</v>
      </c>
      <c r="D205" s="66">
        <f>$D$35</f>
        <v>4.1000000000000003E-3</v>
      </c>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0.5" customHeight="1">
      <c r="A206" s="62" t="s">
        <v>53</v>
      </c>
      <c r="B206" s="63"/>
      <c r="C206" s="64" t="s">
        <v>46</v>
      </c>
      <c r="D206" s="66">
        <f>'Proposed Rates'!F217-'2026'!D205</f>
        <v>5.9999999999999984E-4</v>
      </c>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0.5" customHeight="1">
      <c r="A207" s="62" t="s">
        <v>54</v>
      </c>
      <c r="B207" s="63"/>
      <c r="C207" s="64" t="s">
        <v>46</v>
      </c>
      <c r="D207" s="66">
        <f>'Proposed Rates'!F230</f>
        <v>5.9999999999999995E-4</v>
      </c>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0.5" customHeight="1">
      <c r="A208" s="62" t="s">
        <v>55</v>
      </c>
      <c r="B208" s="63"/>
      <c r="C208" s="64" t="s">
        <v>41</v>
      </c>
      <c r="D208" s="67">
        <f>'Proposed Rates'!F244</f>
        <v>0.25</v>
      </c>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0.5" customHeight="1">
      <c r="A209" s="62"/>
      <c r="B209" s="63"/>
      <c r="C209" s="64"/>
      <c r="D209" s="67"/>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23.25" customHeight="1">
      <c r="A210" s="600" t="str">
        <f>$A$40</f>
        <v>Hydro Ottawa Limited</v>
      </c>
      <c r="B210" s="601"/>
      <c r="C210" s="601"/>
      <c r="D210" s="602"/>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8" customHeight="1">
      <c r="A211" s="603" t="str">
        <f>$A$41</f>
        <v>PROPOSED - TARIFF OF RATES AND CHARGES</v>
      </c>
      <c r="B211" s="601"/>
      <c r="C211" s="601"/>
      <c r="D211" s="602"/>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customHeight="1">
      <c r="A212" s="604" t="str">
        <f>$A$42</f>
        <v>Effective and Implementation Date January 1, 2026</v>
      </c>
      <c r="B212" s="601"/>
      <c r="C212" s="601"/>
      <c r="D212" s="602"/>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1.25" customHeight="1">
      <c r="A213" s="605" t="str">
        <f>$A$43</f>
        <v>This schedule supersedes and replaces all previously</v>
      </c>
      <c r="B213" s="601"/>
      <c r="C213" s="601"/>
      <c r="D213" s="602"/>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1.25" customHeight="1">
      <c r="A214" s="605" t="str">
        <f>$A$44</f>
        <v>approved schedules of Rates, Charges and Loss Factors</v>
      </c>
      <c r="B214" s="601"/>
      <c r="C214" s="601"/>
      <c r="D214" s="602"/>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1.25" customHeight="1">
      <c r="A215" s="606" t="str">
        <f>$A$45</f>
        <v>EB-2024-0115</v>
      </c>
      <c r="B215" s="601"/>
      <c r="C215" s="601"/>
      <c r="D215" s="602"/>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8.75" customHeight="1">
      <c r="A216" s="607" t="s">
        <v>76</v>
      </c>
      <c r="B216" s="601"/>
      <c r="C216" s="601"/>
      <c r="D216" s="602"/>
      <c r="E216" s="71"/>
      <c r="F216" s="71"/>
      <c r="G216" s="71"/>
      <c r="H216" s="71"/>
      <c r="I216" s="71"/>
      <c r="J216" s="71"/>
      <c r="K216" s="71"/>
      <c r="L216" s="71"/>
      <c r="M216" s="71"/>
      <c r="N216" s="71"/>
      <c r="O216" s="71"/>
      <c r="P216" s="71"/>
      <c r="Q216" s="71"/>
      <c r="R216" s="71"/>
      <c r="S216" s="71"/>
      <c r="T216" s="71"/>
      <c r="U216" s="71"/>
      <c r="V216" s="71"/>
      <c r="W216" s="71"/>
      <c r="X216" s="71"/>
      <c r="Y216" s="71"/>
      <c r="Z216" s="71"/>
    </row>
    <row r="217" spans="1:26" ht="84" customHeight="1">
      <c r="A217" s="608" t="s">
        <v>77</v>
      </c>
      <c r="B217" s="601"/>
      <c r="C217" s="601"/>
      <c r="D217" s="602"/>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6.75" customHeight="1">
      <c r="A218" s="54"/>
      <c r="B218" s="54"/>
      <c r="C218" s="54"/>
      <c r="D218" s="55"/>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1.25" customHeight="1">
      <c r="A219" s="609" t="s">
        <v>34</v>
      </c>
      <c r="B219" s="601"/>
      <c r="C219" s="601"/>
      <c r="D219" s="602"/>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6.75" customHeight="1">
      <c r="A220" s="56"/>
      <c r="B220" s="57"/>
      <c r="C220" s="57"/>
      <c r="D220" s="58"/>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36" customHeight="1">
      <c r="A221" s="608" t="s">
        <v>35</v>
      </c>
      <c r="B221" s="601"/>
      <c r="C221" s="601"/>
      <c r="D221" s="602"/>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6.75" customHeight="1">
      <c r="A222" s="54"/>
      <c r="B222" s="54"/>
      <c r="C222" s="54"/>
      <c r="D222" s="55"/>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48" customHeight="1">
      <c r="A223" s="608" t="s">
        <v>36</v>
      </c>
      <c r="B223" s="601"/>
      <c r="C223" s="601"/>
      <c r="D223" s="602"/>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6.75" customHeight="1">
      <c r="A224" s="54"/>
      <c r="B224" s="54"/>
      <c r="C224" s="54"/>
      <c r="D224" s="55"/>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48" customHeight="1">
      <c r="A225" s="608" t="s">
        <v>37</v>
      </c>
      <c r="B225" s="601"/>
      <c r="C225" s="601"/>
      <c r="D225" s="602"/>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6.75" customHeight="1">
      <c r="A226" s="54"/>
      <c r="B226" s="54"/>
      <c r="C226" s="54"/>
      <c r="D226" s="55"/>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36" customHeight="1">
      <c r="A227" s="608" t="s">
        <v>38</v>
      </c>
      <c r="B227" s="601"/>
      <c r="C227" s="601"/>
      <c r="D227" s="602"/>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6.75" customHeight="1">
      <c r="A228" s="54"/>
      <c r="B228" s="54"/>
      <c r="C228" s="54"/>
      <c r="D228" s="55"/>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5" customHeight="1">
      <c r="A229" s="70" t="s">
        <v>39</v>
      </c>
      <c r="B229" s="63"/>
      <c r="C229" s="63"/>
      <c r="D229" s="72"/>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6.75" customHeight="1">
      <c r="A230" s="59"/>
      <c r="B230" s="60"/>
      <c r="C230" s="60"/>
      <c r="D230" s="61"/>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1.25" customHeight="1">
      <c r="A231" s="62" t="s">
        <v>78</v>
      </c>
      <c r="B231" s="63"/>
      <c r="C231" s="64" t="s">
        <v>41</v>
      </c>
      <c r="D231" s="67">
        <f>'Proposed Rates'!F15</f>
        <v>8.34</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1.25" customHeight="1">
      <c r="A232" s="62" t="s">
        <v>59</v>
      </c>
      <c r="B232" s="63"/>
      <c r="C232" s="64" t="s">
        <v>46</v>
      </c>
      <c r="D232" s="66">
        <f>'Proposed Rates'!F28</f>
        <v>3.9800000000000002E-2</v>
      </c>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customHeight="1">
      <c r="A233" s="62" t="s">
        <v>45</v>
      </c>
      <c r="B233" s="63"/>
      <c r="C233" s="64" t="s">
        <v>46</v>
      </c>
      <c r="D233" s="68">
        <f>'Proposed Rates'!F271</f>
        <v>4.0000000000000003E-5</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1.25" customHeight="1">
      <c r="A234" s="62" t="s">
        <v>47</v>
      </c>
      <c r="B234" s="63"/>
      <c r="C234" s="64" t="s">
        <v>46</v>
      </c>
      <c r="D234" s="66">
        <f>'Proposed Rates'!F44</f>
        <v>-5.0000000000000001E-4</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s="585" customFormat="1" ht="24" customHeight="1">
      <c r="A235" s="73" t="s">
        <v>433</v>
      </c>
      <c r="B235" s="63"/>
      <c r="C235" s="64" t="s">
        <v>46</v>
      </c>
      <c r="D235" s="66">
        <f>'Proposed Rates'!$F$105</f>
        <v>4.0000000000000002E-4</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1.25" customHeight="1">
      <c r="A236" s="62" t="s">
        <v>43</v>
      </c>
      <c r="B236" s="63"/>
      <c r="C236" s="64" t="s">
        <v>46</v>
      </c>
      <c r="D236" s="66">
        <f>'Proposed Rates'!F71</f>
        <v>-1.1999999999999999E-3</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25.5" customHeight="1">
      <c r="A237" s="73" t="s">
        <v>60</v>
      </c>
      <c r="B237" s="63"/>
      <c r="C237" s="64" t="s">
        <v>46</v>
      </c>
      <c r="D237" s="66">
        <f>'Proposed Rates'!F97</f>
        <v>-5.0000000000000001E-4</v>
      </c>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1.25" customHeight="1">
      <c r="A238" s="62" t="s">
        <v>49</v>
      </c>
      <c r="B238" s="63"/>
      <c r="C238" s="64" t="s">
        <v>46</v>
      </c>
      <c r="D238" s="66">
        <f>'Proposed Rates'!F192</f>
        <v>7.4999999999999997E-3</v>
      </c>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1.25" customHeight="1">
      <c r="A239" s="62" t="s">
        <v>50</v>
      </c>
      <c r="B239" s="63"/>
      <c r="C239" s="64" t="s">
        <v>46</v>
      </c>
      <c r="D239" s="66">
        <f>'Proposed Rates'!F207</f>
        <v>4.3E-3</v>
      </c>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6.75" customHeight="1">
      <c r="A240" s="64"/>
      <c r="B240" s="64"/>
      <c r="C240" s="64"/>
      <c r="D240" s="69"/>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 customHeight="1">
      <c r="A241" s="70" t="s">
        <v>51</v>
      </c>
      <c r="B241" s="63"/>
      <c r="C241" s="64"/>
      <c r="D241" s="69"/>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6.75" customHeight="1">
      <c r="A242" s="59"/>
      <c r="B242" s="64"/>
      <c r="C242" s="64"/>
      <c r="D242" s="69"/>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1.25" customHeight="1">
      <c r="A243" s="62" t="s">
        <v>52</v>
      </c>
      <c r="B243" s="63"/>
      <c r="C243" s="64" t="s">
        <v>46</v>
      </c>
      <c r="D243" s="66">
        <f>$D$35</f>
        <v>4.1000000000000003E-3</v>
      </c>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1.25" customHeight="1">
      <c r="A244" s="62" t="s">
        <v>53</v>
      </c>
      <c r="B244" s="63"/>
      <c r="C244" s="64" t="s">
        <v>46</v>
      </c>
      <c r="D244" s="66">
        <f>'Proposed Rates'!F220-'2026'!D243</f>
        <v>5.9999999999999984E-4</v>
      </c>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1.25" customHeight="1">
      <c r="A245" s="62" t="s">
        <v>54</v>
      </c>
      <c r="B245" s="63"/>
      <c r="C245" s="64" t="s">
        <v>46</v>
      </c>
      <c r="D245" s="66">
        <f>'Proposed Rates'!F233</f>
        <v>5.9999999999999995E-4</v>
      </c>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1.25" customHeight="1">
      <c r="A246" s="62" t="s">
        <v>55</v>
      </c>
      <c r="B246" s="63"/>
      <c r="C246" s="64" t="s">
        <v>41</v>
      </c>
      <c r="D246" s="67">
        <f>'Proposed Rates'!F247</f>
        <v>0.25</v>
      </c>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1.25" customHeight="1">
      <c r="A247" s="62"/>
      <c r="B247" s="63"/>
      <c r="C247" s="64"/>
      <c r="D247" s="67"/>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23.25" customHeight="1">
      <c r="A248" s="600" t="str">
        <f>$A$40</f>
        <v>Hydro Ottawa Limited</v>
      </c>
      <c r="B248" s="601"/>
      <c r="C248" s="601"/>
      <c r="D248" s="602"/>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8" customHeight="1">
      <c r="A249" s="603" t="str">
        <f>$A$41</f>
        <v>PROPOSED - TARIFF OF RATES AND CHARGES</v>
      </c>
      <c r="B249" s="601"/>
      <c r="C249" s="601"/>
      <c r="D249" s="602"/>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5.75" customHeight="1">
      <c r="A250" s="604" t="str">
        <f>$A$42</f>
        <v>Effective and Implementation Date January 1, 2026</v>
      </c>
      <c r="B250" s="601"/>
      <c r="C250" s="601"/>
      <c r="D250" s="602"/>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1.25" customHeight="1">
      <c r="A251" s="605" t="str">
        <f>$A$43</f>
        <v>This schedule supersedes and replaces all previously</v>
      </c>
      <c r="B251" s="601"/>
      <c r="C251" s="601"/>
      <c r="D251" s="602"/>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1.25" customHeight="1">
      <c r="A252" s="605" t="str">
        <f>$A$44</f>
        <v>approved schedules of Rates, Charges and Loss Factors</v>
      </c>
      <c r="B252" s="601"/>
      <c r="C252" s="601"/>
      <c r="D252" s="602"/>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1.25" customHeight="1">
      <c r="A253" s="606" t="str">
        <f>$A$45</f>
        <v>EB-2024-0115</v>
      </c>
      <c r="B253" s="601"/>
      <c r="C253" s="601"/>
      <c r="D253" s="602"/>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8.75" customHeight="1">
      <c r="A254" s="607" t="s">
        <v>79</v>
      </c>
      <c r="B254" s="601"/>
      <c r="C254" s="601"/>
      <c r="D254" s="602"/>
      <c r="E254" s="71"/>
      <c r="F254" s="71"/>
      <c r="G254" s="71"/>
      <c r="H254" s="71"/>
      <c r="I254" s="71"/>
      <c r="J254" s="71"/>
      <c r="K254" s="71"/>
      <c r="L254" s="71"/>
      <c r="M254" s="71"/>
      <c r="N254" s="71"/>
      <c r="O254" s="71"/>
      <c r="P254" s="71"/>
      <c r="Q254" s="71"/>
      <c r="R254" s="71"/>
      <c r="S254" s="71"/>
      <c r="T254" s="71"/>
      <c r="U254" s="71"/>
      <c r="V254" s="71"/>
      <c r="W254" s="71"/>
      <c r="X254" s="71"/>
      <c r="Y254" s="71"/>
      <c r="Z254" s="71"/>
    </row>
    <row r="255" spans="1:26" ht="36" customHeight="1">
      <c r="A255" s="608" t="s">
        <v>80</v>
      </c>
      <c r="B255" s="601"/>
      <c r="C255" s="601"/>
      <c r="D255" s="602"/>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1.25" customHeight="1">
      <c r="A257" s="609" t="s">
        <v>34</v>
      </c>
      <c r="B257" s="601"/>
      <c r="C257" s="601"/>
      <c r="D257" s="602"/>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6"/>
      <c r="B258" s="57"/>
      <c r="C258" s="57"/>
      <c r="D258" s="58"/>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36" customHeight="1">
      <c r="A259" s="608" t="s">
        <v>35</v>
      </c>
      <c r="B259" s="601"/>
      <c r="C259" s="601"/>
      <c r="D259" s="602"/>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4"/>
      <c r="B260" s="54"/>
      <c r="C260" s="54"/>
      <c r="D260" s="55"/>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48" customHeight="1">
      <c r="A261" s="608" t="s">
        <v>36</v>
      </c>
      <c r="B261" s="601"/>
      <c r="C261" s="601"/>
      <c r="D261" s="602"/>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6.75" customHeight="1">
      <c r="A262" s="54"/>
      <c r="B262" s="54"/>
      <c r="C262" s="54"/>
      <c r="D262" s="55"/>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24" customHeight="1">
      <c r="A263" s="608" t="s">
        <v>81</v>
      </c>
      <c r="B263" s="601"/>
      <c r="C263" s="601"/>
      <c r="D263" s="602"/>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6.75" customHeight="1">
      <c r="A264" s="54"/>
      <c r="B264" s="54"/>
      <c r="C264" s="54"/>
      <c r="D264" s="55"/>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36" customHeight="1">
      <c r="A265" s="608" t="s">
        <v>82</v>
      </c>
      <c r="B265" s="601"/>
      <c r="C265" s="601"/>
      <c r="D265" s="602"/>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6.75" customHeight="1">
      <c r="A266" s="54"/>
      <c r="B266" s="54"/>
      <c r="C266" s="54"/>
      <c r="D266" s="55"/>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 customHeight="1">
      <c r="A267" s="79" t="s">
        <v>83</v>
      </c>
      <c r="B267" s="80"/>
      <c r="C267" s="80"/>
      <c r="D267" s="81"/>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6.75" customHeight="1">
      <c r="A268" s="82"/>
      <c r="B268" s="83"/>
      <c r="C268" s="83"/>
      <c r="D268" s="84"/>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0.5" customHeight="1">
      <c r="A269" s="73" t="s">
        <v>40</v>
      </c>
      <c r="B269" s="80"/>
      <c r="C269" s="85" t="s">
        <v>41</v>
      </c>
      <c r="D269" s="86">
        <f>'Proposed Rates'!F16</f>
        <v>186.89</v>
      </c>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2" customHeight="1">
      <c r="A270" s="73" t="s">
        <v>84</v>
      </c>
      <c r="B270" s="80"/>
      <c r="C270" s="85" t="s">
        <v>66</v>
      </c>
      <c r="D270" s="87">
        <f>'Proposed Rates'!F29</f>
        <v>3.9962</v>
      </c>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0.5" customHeight="1">
      <c r="A271" s="73" t="s">
        <v>85</v>
      </c>
      <c r="B271" s="80"/>
      <c r="C271" s="85" t="s">
        <v>66</v>
      </c>
      <c r="D271" s="87">
        <f>'Proposed Rates'!F30</f>
        <v>3.8313999999999999</v>
      </c>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0.5" customHeight="1">
      <c r="A272" s="73" t="s">
        <v>86</v>
      </c>
      <c r="B272" s="80"/>
      <c r="C272" s="85" t="s">
        <v>66</v>
      </c>
      <c r="D272" s="87">
        <f>'Proposed Rates'!F31</f>
        <v>4.13</v>
      </c>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0.5" customHeight="1">
      <c r="A273" s="73"/>
      <c r="B273" s="80"/>
      <c r="C273" s="85"/>
      <c r="D273" s="88"/>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23.25" customHeight="1">
      <c r="A274" s="600" t="str">
        <f>$A$40</f>
        <v>Hydro Ottawa Limited</v>
      </c>
      <c r="B274" s="601"/>
      <c r="C274" s="601"/>
      <c r="D274" s="602"/>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8" customHeight="1">
      <c r="A275" s="603" t="str">
        <f>$A$41</f>
        <v>PROPOSED - TARIFF OF RATES AND CHARGES</v>
      </c>
      <c r="B275" s="601"/>
      <c r="C275" s="601"/>
      <c r="D275" s="602"/>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5.75" customHeight="1">
      <c r="A276" s="604" t="str">
        <f>$A$42</f>
        <v>Effective and Implementation Date January 1, 2026</v>
      </c>
      <c r="B276" s="601"/>
      <c r="C276" s="601"/>
      <c r="D276" s="602"/>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1.25" customHeight="1">
      <c r="A277" s="605" t="str">
        <f>$A$43</f>
        <v>This schedule supersedes and replaces all previously</v>
      </c>
      <c r="B277" s="601"/>
      <c r="C277" s="601"/>
      <c r="D277" s="602"/>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1.25" customHeight="1">
      <c r="A278" s="605" t="str">
        <f>$A$44</f>
        <v>approved schedules of Rates, Charges and Loss Factors</v>
      </c>
      <c r="B278" s="601"/>
      <c r="C278" s="601"/>
      <c r="D278" s="602"/>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1.25" customHeight="1">
      <c r="A279" s="606" t="str">
        <f>$A$45</f>
        <v>EB-2024-0115</v>
      </c>
      <c r="B279" s="601"/>
      <c r="C279" s="601"/>
      <c r="D279" s="602"/>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8.75" customHeight="1">
      <c r="A280" s="607" t="s">
        <v>87</v>
      </c>
      <c r="B280" s="601"/>
      <c r="C280" s="601"/>
      <c r="D280" s="602"/>
      <c r="E280" s="71"/>
      <c r="F280" s="71"/>
      <c r="G280" s="71"/>
      <c r="H280" s="71"/>
      <c r="I280" s="71"/>
      <c r="J280" s="71"/>
      <c r="K280" s="71"/>
      <c r="L280" s="71"/>
      <c r="M280" s="71"/>
      <c r="N280" s="71"/>
      <c r="O280" s="71"/>
      <c r="P280" s="71"/>
      <c r="Q280" s="71"/>
      <c r="R280" s="71"/>
      <c r="S280" s="71"/>
      <c r="T280" s="71"/>
      <c r="U280" s="71"/>
      <c r="V280" s="71"/>
      <c r="W280" s="71"/>
      <c r="X280" s="71"/>
      <c r="Y280" s="71"/>
      <c r="Z280" s="71"/>
    </row>
    <row r="281" spans="1:26" ht="36" customHeight="1">
      <c r="A281" s="608" t="s">
        <v>88</v>
      </c>
      <c r="B281" s="601"/>
      <c r="C281" s="601"/>
      <c r="D281" s="602"/>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1.25" customHeight="1">
      <c r="A283" s="609" t="s">
        <v>34</v>
      </c>
      <c r="B283" s="601"/>
      <c r="C283" s="601"/>
      <c r="D283" s="602"/>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6"/>
      <c r="B284" s="57"/>
      <c r="C284" s="57"/>
      <c r="D284" s="58"/>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36" customHeight="1">
      <c r="A285" s="608" t="s">
        <v>35</v>
      </c>
      <c r="B285" s="601"/>
      <c r="C285" s="601"/>
      <c r="D285" s="602"/>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4"/>
      <c r="B286" s="54"/>
      <c r="C286" s="54"/>
      <c r="D286" s="55"/>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48" customHeight="1">
      <c r="A287" s="608" t="s">
        <v>36</v>
      </c>
      <c r="B287" s="601"/>
      <c r="C287" s="601"/>
      <c r="D287" s="602"/>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6.75" customHeight="1">
      <c r="A288" s="54"/>
      <c r="B288" s="54"/>
      <c r="C288" s="54"/>
      <c r="D288" s="55"/>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48" customHeight="1">
      <c r="A289" s="608" t="s">
        <v>37</v>
      </c>
      <c r="B289" s="601"/>
      <c r="C289" s="601"/>
      <c r="D289" s="602"/>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6.75" customHeight="1">
      <c r="A290" s="54"/>
      <c r="B290" s="54"/>
      <c r="C290" s="54"/>
      <c r="D290" s="55"/>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36" customHeight="1">
      <c r="A291" s="608" t="s">
        <v>38</v>
      </c>
      <c r="B291" s="601"/>
      <c r="C291" s="601"/>
      <c r="D291" s="602"/>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6.75" customHeight="1">
      <c r="A292" s="54"/>
      <c r="B292" s="54"/>
      <c r="C292" s="54"/>
      <c r="D292" s="55"/>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5" customHeight="1">
      <c r="A293" s="70" t="s">
        <v>39</v>
      </c>
      <c r="B293" s="63"/>
      <c r="C293" s="63"/>
      <c r="D293" s="72"/>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6.75" customHeight="1">
      <c r="A294" s="59"/>
      <c r="B294" s="60"/>
      <c r="C294" s="60"/>
      <c r="D294" s="61"/>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0.5" customHeight="1">
      <c r="A295" s="62" t="s">
        <v>78</v>
      </c>
      <c r="B295" s="63"/>
      <c r="C295" s="64" t="s">
        <v>41</v>
      </c>
      <c r="D295" s="65">
        <f>'Proposed Rates'!F14</f>
        <v>8.33</v>
      </c>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0.5" customHeight="1">
      <c r="A296" s="62" t="s">
        <v>59</v>
      </c>
      <c r="B296" s="63"/>
      <c r="C296" s="64" t="s">
        <v>66</v>
      </c>
      <c r="D296" s="66">
        <f>'Proposed Rates'!F27</f>
        <v>39.082700000000003</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0.5" customHeight="1">
      <c r="A297" s="62" t="s">
        <v>45</v>
      </c>
      <c r="B297" s="63"/>
      <c r="C297" s="64" t="s">
        <v>66</v>
      </c>
      <c r="D297" s="68">
        <f>'Proposed Rates'!F270</f>
        <v>4.3499999999999997E-3</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62" t="s">
        <v>47</v>
      </c>
      <c r="B298" s="63"/>
      <c r="C298" s="64" t="s">
        <v>66</v>
      </c>
      <c r="D298" s="66">
        <f>'Proposed Rates'!F43</f>
        <v>-0.15359999999999999</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s="585" customFormat="1" ht="26.25" customHeight="1">
      <c r="A299" s="73" t="s">
        <v>433</v>
      </c>
      <c r="B299" s="63"/>
      <c r="C299" s="64" t="s">
        <v>46</v>
      </c>
      <c r="D299" s="66">
        <f>'Proposed Rates'!$F$105</f>
        <v>4.0000000000000002E-4</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0.5" customHeight="1">
      <c r="A300" s="62" t="s">
        <v>43</v>
      </c>
      <c r="B300" s="63"/>
      <c r="C300" s="64" t="s">
        <v>66</v>
      </c>
      <c r="D300" s="66">
        <f>'Proposed Rates'!F70</f>
        <v>-1.3140000000000001</v>
      </c>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0.5" customHeight="1">
      <c r="A301" s="62" t="s">
        <v>48</v>
      </c>
      <c r="B301" s="63"/>
      <c r="C301" s="64" t="s">
        <v>46</v>
      </c>
      <c r="D301" s="66">
        <f>'Proposed Rates'!F148</f>
        <v>0</v>
      </c>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0.5" customHeight="1">
      <c r="A302" s="62" t="s">
        <v>49</v>
      </c>
      <c r="B302" s="63"/>
      <c r="C302" s="64" t="s">
        <v>66</v>
      </c>
      <c r="D302" s="66">
        <f>'Proposed Rates'!F191</f>
        <v>0.85450000000000004</v>
      </c>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0.5" customHeight="1">
      <c r="A303" s="89" t="s">
        <v>50</v>
      </c>
      <c r="B303" s="63"/>
      <c r="C303" s="90" t="s">
        <v>66</v>
      </c>
      <c r="D303" s="91">
        <f>'Proposed Rates'!F206</f>
        <v>0.48370000000000002</v>
      </c>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5.25" customHeight="1">
      <c r="A304" s="89"/>
      <c r="B304" s="63"/>
      <c r="C304" s="90"/>
      <c r="D304" s="92"/>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 customHeight="1">
      <c r="A305" s="70" t="s">
        <v>51</v>
      </c>
      <c r="B305" s="63"/>
      <c r="C305" s="64"/>
      <c r="D305" s="69"/>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6.75" customHeight="1">
      <c r="A306" s="59"/>
      <c r="B306" s="64"/>
      <c r="C306" s="64"/>
      <c r="D306" s="69"/>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0.5" customHeight="1">
      <c r="A307" s="62" t="s">
        <v>52</v>
      </c>
      <c r="B307" s="63"/>
      <c r="C307" s="64" t="s">
        <v>46</v>
      </c>
      <c r="D307" s="66">
        <f>$D$35</f>
        <v>4.1000000000000003E-3</v>
      </c>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0.5" customHeight="1">
      <c r="A308" s="62" t="s">
        <v>53</v>
      </c>
      <c r="B308" s="63"/>
      <c r="C308" s="64" t="s">
        <v>46</v>
      </c>
      <c r="D308" s="66">
        <f>'Proposed Rates'!F219-'2026'!D307</f>
        <v>5.9999999999999984E-4</v>
      </c>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0.5" customHeight="1">
      <c r="A309" s="62" t="s">
        <v>54</v>
      </c>
      <c r="B309" s="63"/>
      <c r="C309" s="64" t="s">
        <v>46</v>
      </c>
      <c r="D309" s="66">
        <f>'Proposed Rates'!F232</f>
        <v>5.9999999999999995E-4</v>
      </c>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0.5" customHeight="1">
      <c r="A310" s="62" t="s">
        <v>55</v>
      </c>
      <c r="B310" s="63"/>
      <c r="C310" s="64" t="s">
        <v>41</v>
      </c>
      <c r="D310" s="67">
        <f>'Proposed Rates'!F246</f>
        <v>0.25</v>
      </c>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6" customHeight="1">
      <c r="A311" s="62"/>
      <c r="B311" s="63"/>
      <c r="C311" s="64"/>
      <c r="D311" s="67"/>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23.25" customHeight="1">
      <c r="A312" s="600" t="str">
        <f>$A$40</f>
        <v>Hydro Ottawa Limited</v>
      </c>
      <c r="B312" s="601"/>
      <c r="C312" s="601"/>
      <c r="D312" s="602"/>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8" customHeight="1">
      <c r="A313" s="603" t="str">
        <f>$A$41</f>
        <v>PROPOSED - TARIFF OF RATES AND CHARGES</v>
      </c>
      <c r="B313" s="601"/>
      <c r="C313" s="601"/>
      <c r="D313" s="602"/>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5.75" customHeight="1">
      <c r="A314" s="604" t="str">
        <f>$A$42</f>
        <v>Effective and Implementation Date January 1, 2026</v>
      </c>
      <c r="B314" s="601"/>
      <c r="C314" s="601"/>
      <c r="D314" s="602"/>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1.25" customHeight="1">
      <c r="A315" s="605" t="str">
        <f>$A$43</f>
        <v>This schedule supersedes and replaces all previously</v>
      </c>
      <c r="B315" s="601"/>
      <c r="C315" s="601"/>
      <c r="D315" s="602"/>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1.25" customHeight="1">
      <c r="A316" s="605" t="str">
        <f>$A$44</f>
        <v>approved schedules of Rates, Charges and Loss Factors</v>
      </c>
      <c r="B316" s="601"/>
      <c r="C316" s="601"/>
      <c r="D316" s="602"/>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1.25" customHeight="1">
      <c r="A317" s="606" t="str">
        <f>$A$45</f>
        <v>EB-2024-0115</v>
      </c>
      <c r="B317" s="601"/>
      <c r="C317" s="601"/>
      <c r="D317" s="602"/>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8.75" customHeight="1">
      <c r="A318" s="607" t="s">
        <v>89</v>
      </c>
      <c r="B318" s="601"/>
      <c r="C318" s="601"/>
      <c r="D318" s="602"/>
      <c r="E318" s="71"/>
      <c r="F318" s="71"/>
      <c r="G318" s="71"/>
      <c r="H318" s="71"/>
      <c r="I318" s="71"/>
      <c r="J318" s="71"/>
      <c r="K318" s="71"/>
      <c r="L318" s="71"/>
      <c r="M318" s="71"/>
      <c r="N318" s="71"/>
      <c r="O318" s="71"/>
      <c r="P318" s="71"/>
      <c r="Q318" s="71"/>
      <c r="R318" s="71"/>
      <c r="S318" s="71"/>
      <c r="T318" s="71"/>
      <c r="U318" s="71"/>
      <c r="V318" s="71"/>
      <c r="W318" s="71"/>
      <c r="X318" s="71"/>
      <c r="Y318" s="71"/>
      <c r="Z318" s="71"/>
    </row>
    <row r="319" spans="1:26" ht="60" customHeight="1">
      <c r="A319" s="608" t="s">
        <v>90</v>
      </c>
      <c r="B319" s="601"/>
      <c r="C319" s="601"/>
      <c r="D319" s="602"/>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6.75" customHeight="1">
      <c r="A320" s="54"/>
      <c r="B320" s="54"/>
      <c r="C320" s="54"/>
      <c r="D320" s="55"/>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1.25" customHeight="1">
      <c r="A321" s="609" t="s">
        <v>34</v>
      </c>
      <c r="B321" s="601"/>
      <c r="C321" s="601"/>
      <c r="D321" s="602"/>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6.75" customHeight="1">
      <c r="A322" s="56"/>
      <c r="B322" s="57"/>
      <c r="C322" s="57"/>
      <c r="D322" s="58"/>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36" customHeight="1">
      <c r="A323" s="608" t="s">
        <v>35</v>
      </c>
      <c r="B323" s="601"/>
      <c r="C323" s="601"/>
      <c r="D323" s="602"/>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6.75" customHeight="1">
      <c r="A324" s="54"/>
      <c r="B324" s="54"/>
      <c r="C324" s="54"/>
      <c r="D324" s="55"/>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48" customHeight="1">
      <c r="A325" s="608" t="s">
        <v>36</v>
      </c>
      <c r="B325" s="601"/>
      <c r="C325" s="601"/>
      <c r="D325" s="602"/>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6.75" customHeight="1">
      <c r="A326" s="54"/>
      <c r="B326" s="54"/>
      <c r="C326" s="54"/>
      <c r="D326" s="55"/>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48" customHeight="1">
      <c r="A327" s="608" t="s">
        <v>37</v>
      </c>
      <c r="B327" s="601"/>
      <c r="C327" s="601"/>
      <c r="D327" s="602"/>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6.75" customHeight="1">
      <c r="A328" s="54"/>
      <c r="B328" s="54"/>
      <c r="C328" s="54"/>
      <c r="D328" s="55"/>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36" customHeight="1">
      <c r="A329" s="608" t="s">
        <v>91</v>
      </c>
      <c r="B329" s="601"/>
      <c r="C329" s="601"/>
      <c r="D329" s="602"/>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6.75" customHeight="1">
      <c r="A330" s="54"/>
      <c r="B330" s="54"/>
      <c r="C330" s="54"/>
      <c r="D330" s="55"/>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 customHeight="1">
      <c r="A331" s="70" t="s">
        <v>39</v>
      </c>
      <c r="B331" s="63"/>
      <c r="C331" s="63"/>
      <c r="D331" s="72"/>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6.75" customHeight="1">
      <c r="A332" s="59"/>
      <c r="B332" s="60"/>
      <c r="C332" s="60"/>
      <c r="D332" s="61"/>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0.5" customHeight="1">
      <c r="A333" s="62" t="s">
        <v>78</v>
      </c>
      <c r="B333" s="63"/>
      <c r="C333" s="64" t="s">
        <v>41</v>
      </c>
      <c r="D333" s="65">
        <f>'Proposed Rates'!F13</f>
        <v>1.24</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0.5" customHeight="1">
      <c r="A334" s="62" t="s">
        <v>59</v>
      </c>
      <c r="B334" s="63"/>
      <c r="C334" s="64" t="s">
        <v>66</v>
      </c>
      <c r="D334" s="66">
        <f>'Proposed Rates'!F26</f>
        <v>8.5587999999999997</v>
      </c>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0.5" customHeight="1">
      <c r="A335" s="62" t="s">
        <v>45</v>
      </c>
      <c r="B335" s="63"/>
      <c r="C335" s="64" t="s">
        <v>66</v>
      </c>
      <c r="D335" s="68">
        <f>'Proposed Rates'!F269</f>
        <v>1.099E-2</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0.5" customHeight="1">
      <c r="A336" s="62" t="s">
        <v>47</v>
      </c>
      <c r="B336" s="63"/>
      <c r="C336" s="64" t="s">
        <v>66</v>
      </c>
      <c r="D336" s="66">
        <f>'Proposed Rates'!F42</f>
        <v>-0.22040000000000001</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s="585" customFormat="1" ht="24" customHeight="1">
      <c r="A337" s="73" t="s">
        <v>433</v>
      </c>
      <c r="B337" s="63"/>
      <c r="C337" s="64" t="s">
        <v>46</v>
      </c>
      <c r="D337" s="66">
        <f>'Proposed Rates'!$F$105</f>
        <v>4.0000000000000002E-4</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1.25" customHeight="1">
      <c r="A338" s="62" t="s">
        <v>43</v>
      </c>
      <c r="B338" s="63"/>
      <c r="C338" s="64" t="s">
        <v>66</v>
      </c>
      <c r="D338" s="66">
        <f>'Proposed Rates'!F69</f>
        <v>-0.4123</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24" customHeight="1">
      <c r="A339" s="73" t="s">
        <v>60</v>
      </c>
      <c r="B339" s="63"/>
      <c r="C339" s="64" t="s">
        <v>66</v>
      </c>
      <c r="D339" s="66">
        <f>'Proposed Rates'!F95</f>
        <v>-0.59570000000000001</v>
      </c>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0.5" customHeight="1">
      <c r="A340" s="62" t="s">
        <v>48</v>
      </c>
      <c r="B340" s="63"/>
      <c r="C340" s="64" t="s">
        <v>46</v>
      </c>
      <c r="D340" s="66">
        <f>'Proposed Rates'!F147</f>
        <v>4.4000000000000003E-3</v>
      </c>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0.5" customHeight="1">
      <c r="A341" s="62" t="s">
        <v>92</v>
      </c>
      <c r="B341" s="63"/>
      <c r="C341" s="64" t="s">
        <v>66</v>
      </c>
      <c r="D341" s="66">
        <f>'Proposed Rates'!F82</f>
        <v>4.8925000000000001</v>
      </c>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0.5" customHeight="1">
      <c r="A342" s="62" t="s">
        <v>49</v>
      </c>
      <c r="B342" s="63"/>
      <c r="C342" s="64" t="s">
        <v>66</v>
      </c>
      <c r="D342" s="66">
        <f>'Proposed Rates'!F190</f>
        <v>2.1576</v>
      </c>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0.5" customHeight="1">
      <c r="A343" s="62" t="s">
        <v>50</v>
      </c>
      <c r="B343" s="63"/>
      <c r="C343" s="64" t="s">
        <v>66</v>
      </c>
      <c r="D343" s="66">
        <f>'Proposed Rates'!F205</f>
        <v>1.2213000000000001</v>
      </c>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6.75" customHeight="1">
      <c r="A344" s="64"/>
      <c r="B344" s="64"/>
      <c r="C344" s="64"/>
      <c r="D344" s="69"/>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 customHeight="1">
      <c r="A345" s="70" t="s">
        <v>51</v>
      </c>
      <c r="B345" s="63"/>
      <c r="C345" s="64"/>
      <c r="D345" s="69"/>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6.75" customHeight="1">
      <c r="A346" s="59"/>
      <c r="B346" s="64"/>
      <c r="C346" s="64"/>
      <c r="D346" s="69"/>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0.5" customHeight="1">
      <c r="A347" s="62" t="s">
        <v>52</v>
      </c>
      <c r="B347" s="63"/>
      <c r="C347" s="64" t="s">
        <v>46</v>
      </c>
      <c r="D347" s="66">
        <f>$D$35</f>
        <v>4.1000000000000003E-3</v>
      </c>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0.5" customHeight="1">
      <c r="A348" s="62" t="s">
        <v>53</v>
      </c>
      <c r="B348" s="63"/>
      <c r="C348" s="64" t="s">
        <v>46</v>
      </c>
      <c r="D348" s="66">
        <f>'Proposed Rates'!F218-'2026'!D347</f>
        <v>5.9999999999999984E-4</v>
      </c>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0.5" customHeight="1">
      <c r="A349" s="62" t="s">
        <v>54</v>
      </c>
      <c r="B349" s="63"/>
      <c r="C349" s="64" t="s">
        <v>46</v>
      </c>
      <c r="D349" s="66">
        <f>'Proposed Rates'!F231</f>
        <v>5.9999999999999995E-4</v>
      </c>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0.5" customHeight="1">
      <c r="A350" s="62" t="s">
        <v>55</v>
      </c>
      <c r="B350" s="63"/>
      <c r="C350" s="64" t="s">
        <v>41</v>
      </c>
      <c r="D350" s="67">
        <f>'Proposed Rates'!F245</f>
        <v>0.25</v>
      </c>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6.75" customHeight="1">
      <c r="A351" s="62"/>
      <c r="B351" s="63"/>
      <c r="C351" s="64"/>
      <c r="D351" s="67"/>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25.5" customHeight="1">
      <c r="A352" s="600" t="str">
        <f>$A$1</f>
        <v>Hydro Ottawa Limited</v>
      </c>
      <c r="B352" s="601"/>
      <c r="C352" s="601"/>
      <c r="D352" s="602"/>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6.5" customHeight="1">
      <c r="A353" s="603" t="str">
        <f>$A$2</f>
        <v>PROPOSED - TARIFF OF RATES AND CHARGES</v>
      </c>
      <c r="B353" s="601"/>
      <c r="C353" s="601"/>
      <c r="D353" s="602"/>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4.25" customHeight="1">
      <c r="A354" s="604" t="str">
        <f>$A$3</f>
        <v>Effective and Implementation Date January 1, 2026</v>
      </c>
      <c r="B354" s="601"/>
      <c r="C354" s="601"/>
      <c r="D354" s="602"/>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2" customHeight="1">
      <c r="A355" s="605" t="str">
        <f>$A$4</f>
        <v>This schedule supersedes and replaces all previously</v>
      </c>
      <c r="B355" s="601"/>
      <c r="C355" s="601"/>
      <c r="D355" s="602"/>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5" customHeight="1">
      <c r="A356" s="605" t="str">
        <f>$A$5</f>
        <v>approved schedules of Rates, Charges and Loss Factors</v>
      </c>
      <c r="B356" s="601"/>
      <c r="C356" s="601"/>
      <c r="D356" s="602"/>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75" customHeight="1">
      <c r="A357" s="606" t="str">
        <f>$A$6</f>
        <v>EB-2024-0115</v>
      </c>
      <c r="B357" s="601"/>
      <c r="C357" s="601"/>
      <c r="D357" s="602"/>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20.25" customHeight="1">
      <c r="A358" s="607" t="s">
        <v>93</v>
      </c>
      <c r="B358" s="601"/>
      <c r="C358" s="601"/>
      <c r="D358" s="602"/>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30.75" customHeight="1">
      <c r="A359" s="608" t="s">
        <v>94</v>
      </c>
      <c r="B359" s="601"/>
      <c r="C359" s="601"/>
      <c r="D359" s="602"/>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6.75" customHeight="1">
      <c r="A360" s="54"/>
      <c r="B360" s="54"/>
      <c r="C360" s="54"/>
      <c r="D360" s="55"/>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23.25" customHeight="1">
      <c r="A361" s="609" t="s">
        <v>34</v>
      </c>
      <c r="B361" s="601"/>
      <c r="C361" s="601"/>
      <c r="D361" s="602"/>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6.75" customHeight="1">
      <c r="A362" s="56"/>
      <c r="B362" s="57"/>
      <c r="C362" s="57"/>
      <c r="D362" s="58"/>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35.25" customHeight="1">
      <c r="A363" s="608" t="s">
        <v>35</v>
      </c>
      <c r="B363" s="601"/>
      <c r="C363" s="601"/>
      <c r="D363" s="602"/>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6.75" customHeight="1">
      <c r="A364" s="54"/>
      <c r="B364" s="54"/>
      <c r="C364" s="54"/>
      <c r="D364" s="55"/>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36" customHeight="1">
      <c r="A365" s="608" t="s">
        <v>36</v>
      </c>
      <c r="B365" s="601"/>
      <c r="C365" s="601"/>
      <c r="D365" s="602"/>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6.75" customHeight="1">
      <c r="A366" s="54"/>
      <c r="B366" s="54"/>
      <c r="C366" s="54"/>
      <c r="D366" s="55"/>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37.5" customHeight="1">
      <c r="A367" s="608" t="s">
        <v>95</v>
      </c>
      <c r="B367" s="601"/>
      <c r="C367" s="601"/>
      <c r="D367" s="602"/>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6.75" customHeight="1">
      <c r="A368" s="54"/>
      <c r="B368" s="54"/>
      <c r="C368" s="54"/>
      <c r="D368" s="55"/>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36" customHeight="1">
      <c r="A369" s="608" t="s">
        <v>91</v>
      </c>
      <c r="B369" s="601"/>
      <c r="C369" s="601"/>
      <c r="D369" s="602"/>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6.75" customHeight="1">
      <c r="A370" s="54"/>
      <c r="B370" s="54"/>
      <c r="C370" s="54"/>
      <c r="D370" s="55"/>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1.25" customHeight="1">
      <c r="A371" s="610" t="s">
        <v>39</v>
      </c>
      <c r="B371" s="601"/>
      <c r="C371" s="601"/>
      <c r="D371" s="602"/>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6.75" customHeight="1">
      <c r="A372" s="59"/>
      <c r="B372" s="60"/>
      <c r="C372" s="60"/>
      <c r="D372" s="61"/>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2.75" customHeight="1">
      <c r="A373" s="612" t="s">
        <v>40</v>
      </c>
      <c r="B373" s="602"/>
      <c r="C373" s="64" t="s">
        <v>41</v>
      </c>
      <c r="D373" s="93">
        <f>'Proposed Rates'!F376</f>
        <v>0</v>
      </c>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6.75" customHeight="1">
      <c r="A374" s="94"/>
      <c r="B374" s="95"/>
      <c r="C374" s="96"/>
      <c r="D374" s="97"/>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6.75" customHeight="1">
      <c r="A375" s="94"/>
      <c r="B375" s="95"/>
      <c r="C375" s="96"/>
      <c r="D375" s="97"/>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94"/>
      <c r="B376" s="95"/>
      <c r="C376" s="96"/>
      <c r="D376" s="97"/>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6.75" customHeight="1">
      <c r="A377" s="94"/>
      <c r="B377" s="95"/>
      <c r="C377" s="96"/>
      <c r="D377" s="97"/>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94"/>
      <c r="B378" s="95"/>
      <c r="C378" s="96"/>
      <c r="D378" s="97"/>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6.75" customHeight="1">
      <c r="A379" s="94"/>
      <c r="B379" s="95"/>
      <c r="C379" s="96"/>
      <c r="D379" s="97"/>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94"/>
      <c r="B380" s="95"/>
      <c r="C380" s="96"/>
      <c r="D380" s="97"/>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6.75" customHeight="1">
      <c r="A381" s="94"/>
      <c r="B381" s="95"/>
      <c r="C381" s="96"/>
      <c r="D381" s="97"/>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94"/>
      <c r="B382" s="95"/>
      <c r="C382" s="96"/>
      <c r="D382" s="97"/>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23.25" customHeight="1">
      <c r="A383" s="600" t="str">
        <f>$A$40</f>
        <v>Hydro Ottawa Limited</v>
      </c>
      <c r="B383" s="601"/>
      <c r="C383" s="601"/>
      <c r="D383" s="602"/>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8" customHeight="1">
      <c r="A384" s="603" t="str">
        <f>$A$41</f>
        <v>PROPOSED - TARIFF OF RATES AND CHARGES</v>
      </c>
      <c r="B384" s="601"/>
      <c r="C384" s="601"/>
      <c r="D384" s="602"/>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5.75" customHeight="1">
      <c r="A385" s="604" t="str">
        <f>$A$42</f>
        <v>Effective and Implementation Date January 1, 2026</v>
      </c>
      <c r="B385" s="601"/>
      <c r="C385" s="601"/>
      <c r="D385" s="602"/>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1.25" customHeight="1">
      <c r="A386" s="605" t="str">
        <f>$A$43</f>
        <v>This schedule supersedes and replaces all previously</v>
      </c>
      <c r="B386" s="601"/>
      <c r="C386" s="601"/>
      <c r="D386" s="602"/>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1.25" customHeight="1">
      <c r="A387" s="605" t="str">
        <f>$A$44</f>
        <v>approved schedules of Rates, Charges and Loss Factors</v>
      </c>
      <c r="B387" s="601"/>
      <c r="C387" s="601"/>
      <c r="D387" s="602"/>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1.25" customHeight="1">
      <c r="A388" s="606" t="str">
        <f>$A$45</f>
        <v>EB-2024-0115</v>
      </c>
      <c r="B388" s="601"/>
      <c r="C388" s="601"/>
      <c r="D388" s="602"/>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38.25" customHeight="1">
      <c r="A389" s="607" t="s">
        <v>96</v>
      </c>
      <c r="B389" s="601"/>
      <c r="C389" s="601"/>
      <c r="D389" s="602"/>
      <c r="E389" s="71"/>
      <c r="F389" s="71"/>
      <c r="G389" s="71"/>
      <c r="H389" s="71"/>
      <c r="I389" s="71"/>
      <c r="J389" s="71"/>
      <c r="K389" s="71"/>
      <c r="L389" s="71"/>
      <c r="M389" s="71"/>
      <c r="N389" s="71"/>
      <c r="O389" s="71"/>
      <c r="P389" s="71"/>
      <c r="Q389" s="71"/>
      <c r="R389" s="71"/>
      <c r="S389" s="71"/>
      <c r="T389" s="71"/>
      <c r="U389" s="71"/>
      <c r="V389" s="71"/>
      <c r="W389" s="71"/>
      <c r="X389" s="71"/>
      <c r="Y389" s="71"/>
      <c r="Z389" s="71"/>
    </row>
    <row r="390" spans="1:26" ht="36" customHeight="1">
      <c r="A390" s="613" t="s">
        <v>97</v>
      </c>
      <c r="B390" s="601"/>
      <c r="C390" s="601"/>
      <c r="D390" s="602"/>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6.75" customHeight="1">
      <c r="A391" s="54"/>
      <c r="B391" s="54"/>
      <c r="C391" s="54"/>
      <c r="D391" s="55"/>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1.25" customHeight="1">
      <c r="A392" s="609" t="s">
        <v>34</v>
      </c>
      <c r="B392" s="601"/>
      <c r="C392" s="601"/>
      <c r="D392" s="602"/>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6.75" customHeight="1">
      <c r="A393" s="56"/>
      <c r="B393" s="57"/>
      <c r="C393" s="57"/>
      <c r="D393" s="58"/>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36" customHeight="1">
      <c r="A394" s="608" t="s">
        <v>35</v>
      </c>
      <c r="B394" s="601"/>
      <c r="C394" s="601"/>
      <c r="D394" s="602"/>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6.75" customHeight="1">
      <c r="A395" s="54"/>
      <c r="B395" s="54"/>
      <c r="C395" s="54"/>
      <c r="D395" s="55"/>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48" customHeight="1">
      <c r="A396" s="608" t="s">
        <v>36</v>
      </c>
      <c r="B396" s="601"/>
      <c r="C396" s="601"/>
      <c r="D396" s="602"/>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6.75" customHeight="1">
      <c r="A397" s="54"/>
      <c r="B397" s="54"/>
      <c r="C397" s="54"/>
      <c r="D397" s="55"/>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24" customHeight="1">
      <c r="A398" s="608" t="s">
        <v>95</v>
      </c>
      <c r="B398" s="601"/>
      <c r="C398" s="601"/>
      <c r="D398" s="602"/>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36" customHeight="1">
      <c r="A400" s="608" t="s">
        <v>91</v>
      </c>
      <c r="B400" s="601"/>
      <c r="C400" s="601"/>
      <c r="D400" s="602"/>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4"/>
      <c r="B401" s="54"/>
      <c r="C401" s="54"/>
      <c r="D401" s="55"/>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5" customHeight="1">
      <c r="A402" s="610" t="s">
        <v>39</v>
      </c>
      <c r="B402" s="601"/>
      <c r="C402" s="601"/>
      <c r="D402" s="602"/>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9"/>
      <c r="B403" s="60"/>
      <c r="C403" s="60"/>
      <c r="D403" s="61"/>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1.25" customHeight="1">
      <c r="A404" s="62" t="s">
        <v>40</v>
      </c>
      <c r="B404" s="63"/>
      <c r="C404" s="64" t="s">
        <v>41</v>
      </c>
      <c r="D404" s="98">
        <f>'Proposed Rates'!F373</f>
        <v>11</v>
      </c>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5.25" customHeight="1">
      <c r="A405" s="76"/>
      <c r="B405" s="63"/>
      <c r="C405" s="77"/>
      <c r="D405" s="98"/>
      <c r="E405" s="78"/>
      <c r="F405" s="78"/>
      <c r="G405" s="78"/>
      <c r="H405" s="78"/>
      <c r="I405" s="78"/>
      <c r="J405" s="78"/>
      <c r="K405" s="78"/>
      <c r="L405" s="78"/>
      <c r="M405" s="78"/>
      <c r="N405" s="78"/>
      <c r="O405" s="78"/>
      <c r="P405" s="78"/>
      <c r="Q405" s="78"/>
      <c r="R405" s="78"/>
      <c r="S405" s="78"/>
      <c r="T405" s="78"/>
      <c r="U405" s="78"/>
      <c r="V405" s="78"/>
      <c r="W405" s="78"/>
      <c r="X405" s="78"/>
      <c r="Y405" s="78"/>
      <c r="Z405" s="78"/>
    </row>
    <row r="406" spans="1:26" ht="23.25" customHeight="1">
      <c r="A406" s="600" t="str">
        <f>$A$40</f>
        <v>Hydro Ottawa Limited</v>
      </c>
      <c r="B406" s="601"/>
      <c r="C406" s="601"/>
      <c r="D406" s="602"/>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8" customHeight="1">
      <c r="A407" s="603" t="str">
        <f>$A$41</f>
        <v>PROPOSED - TARIFF OF RATES AND CHARGES</v>
      </c>
      <c r="B407" s="601"/>
      <c r="C407" s="601"/>
      <c r="D407" s="602"/>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5.75" customHeight="1">
      <c r="A408" s="604" t="str">
        <f>$A$42</f>
        <v>Effective and Implementation Date January 1, 2026</v>
      </c>
      <c r="B408" s="601"/>
      <c r="C408" s="601"/>
      <c r="D408" s="602"/>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1.25" customHeight="1">
      <c r="A409" s="605" t="str">
        <f>$A$43</f>
        <v>This schedule supersedes and replaces all previously</v>
      </c>
      <c r="B409" s="601"/>
      <c r="C409" s="601"/>
      <c r="D409" s="602"/>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1.25" customHeight="1">
      <c r="A410" s="605" t="str">
        <f>$A$44</f>
        <v>approved schedules of Rates, Charges and Loss Factors</v>
      </c>
      <c r="B410" s="601"/>
      <c r="C410" s="601"/>
      <c r="D410" s="602"/>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1.25" customHeight="1">
      <c r="A411" s="606" t="str">
        <f>$A$45</f>
        <v>EB-2024-0115</v>
      </c>
      <c r="B411" s="601"/>
      <c r="C411" s="601"/>
      <c r="D411" s="602"/>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8.75" customHeight="1">
      <c r="A412" s="607" t="s">
        <v>98</v>
      </c>
      <c r="B412" s="601"/>
      <c r="C412" s="601"/>
      <c r="D412" s="602"/>
      <c r="E412" s="71"/>
      <c r="F412" s="71"/>
      <c r="G412" s="71"/>
      <c r="H412" s="71"/>
      <c r="I412" s="71"/>
      <c r="J412" s="71"/>
      <c r="K412" s="71"/>
      <c r="L412" s="71"/>
      <c r="M412" s="71"/>
      <c r="N412" s="71"/>
      <c r="O412" s="71"/>
      <c r="P412" s="71"/>
      <c r="Q412" s="71"/>
      <c r="R412" s="71"/>
      <c r="S412" s="71"/>
      <c r="T412" s="71"/>
      <c r="U412" s="71"/>
      <c r="V412" s="71"/>
      <c r="W412" s="71"/>
      <c r="X412" s="71"/>
      <c r="Y412" s="71"/>
      <c r="Z412" s="71"/>
    </row>
    <row r="413" spans="1:26" ht="36" customHeight="1">
      <c r="A413" s="614" t="s">
        <v>99</v>
      </c>
      <c r="B413" s="615"/>
      <c r="C413" s="615"/>
      <c r="D413" s="615"/>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6.75" customHeight="1">
      <c r="A414" s="54"/>
      <c r="B414" s="54"/>
      <c r="C414" s="54"/>
      <c r="D414" s="55"/>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1.25" customHeight="1">
      <c r="A415" s="609" t="s">
        <v>34</v>
      </c>
      <c r="B415" s="601"/>
      <c r="C415" s="601"/>
      <c r="D415" s="602"/>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6.75" customHeight="1">
      <c r="A416" s="56"/>
      <c r="B416" s="57"/>
      <c r="C416" s="57"/>
      <c r="D416" s="58"/>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36" customHeight="1">
      <c r="A417" s="608" t="s">
        <v>35</v>
      </c>
      <c r="B417" s="601"/>
      <c r="C417" s="601"/>
      <c r="D417" s="602"/>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6.75" customHeight="1">
      <c r="A418" s="54"/>
      <c r="B418" s="54"/>
      <c r="C418" s="54"/>
      <c r="D418" s="55"/>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48" customHeight="1">
      <c r="A419" s="608" t="s">
        <v>36</v>
      </c>
      <c r="B419" s="601"/>
      <c r="C419" s="601"/>
      <c r="D419" s="602"/>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6.75" customHeight="1">
      <c r="A420" s="54"/>
      <c r="B420" s="54"/>
      <c r="C420" s="54"/>
      <c r="D420" s="55"/>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24" customHeight="1">
      <c r="A421" s="608" t="s">
        <v>95</v>
      </c>
      <c r="B421" s="601"/>
      <c r="C421" s="601"/>
      <c r="D421" s="602"/>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36" customHeight="1">
      <c r="A423" s="608" t="s">
        <v>91</v>
      </c>
      <c r="B423" s="601"/>
      <c r="C423" s="601"/>
      <c r="D423" s="602"/>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4"/>
      <c r="B424" s="54"/>
      <c r="C424" s="54"/>
      <c r="D424" s="55"/>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 customHeight="1">
      <c r="A425" s="610" t="s">
        <v>39</v>
      </c>
      <c r="B425" s="601"/>
      <c r="C425" s="601"/>
      <c r="D425" s="602"/>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9"/>
      <c r="B426" s="60"/>
      <c r="C426" s="60"/>
      <c r="D426" s="61"/>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1.25" customHeight="1">
      <c r="A427" s="62" t="s">
        <v>40</v>
      </c>
      <c r="B427" s="63"/>
      <c r="C427" s="64" t="s">
        <v>41</v>
      </c>
      <c r="D427" s="98">
        <f>'Proposed Rates'!F374</f>
        <v>87</v>
      </c>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 customHeight="1">
      <c r="A428" s="76"/>
      <c r="B428" s="63"/>
      <c r="C428" s="77"/>
      <c r="D428" s="98"/>
      <c r="E428" s="78"/>
      <c r="F428" s="78"/>
      <c r="G428" s="78"/>
      <c r="H428" s="78"/>
      <c r="I428" s="78"/>
      <c r="J428" s="78"/>
      <c r="K428" s="78"/>
      <c r="L428" s="78"/>
      <c r="M428" s="78"/>
      <c r="N428" s="78"/>
      <c r="O428" s="78"/>
      <c r="P428" s="78"/>
      <c r="Q428" s="78"/>
      <c r="R428" s="78"/>
      <c r="S428" s="78"/>
      <c r="T428" s="78"/>
      <c r="U428" s="78"/>
      <c r="V428" s="78"/>
      <c r="W428" s="78"/>
      <c r="X428" s="78"/>
      <c r="Y428" s="78"/>
      <c r="Z428" s="78"/>
    </row>
    <row r="429" spans="1:26" ht="23.25" customHeight="1">
      <c r="A429" s="600" t="str">
        <f>$A$40</f>
        <v>Hydro Ottawa Limited</v>
      </c>
      <c r="B429" s="601"/>
      <c r="C429" s="601"/>
      <c r="D429" s="602"/>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8" customHeight="1">
      <c r="A430" s="603" t="str">
        <f>$A$41</f>
        <v>PROPOSED - TARIFF OF RATES AND CHARGES</v>
      </c>
      <c r="B430" s="601"/>
      <c r="C430" s="601"/>
      <c r="D430" s="602"/>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5.75" customHeight="1">
      <c r="A431" s="604" t="str">
        <f>$A$42</f>
        <v>Effective and Implementation Date January 1, 2026</v>
      </c>
      <c r="B431" s="601"/>
      <c r="C431" s="601"/>
      <c r="D431" s="602"/>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1.25" customHeight="1">
      <c r="A432" s="605" t="str">
        <f>$A$43</f>
        <v>This schedule supersedes and replaces all previously</v>
      </c>
      <c r="B432" s="601"/>
      <c r="C432" s="601"/>
      <c r="D432" s="602"/>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1.25" customHeight="1">
      <c r="A433" s="605" t="str">
        <f>$A$44</f>
        <v>approved schedules of Rates, Charges and Loss Factors</v>
      </c>
      <c r="B433" s="601"/>
      <c r="C433" s="601"/>
      <c r="D433" s="602"/>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1.25" customHeight="1">
      <c r="A434" s="606" t="str">
        <f>$A$45</f>
        <v>EB-2024-0115</v>
      </c>
      <c r="B434" s="601"/>
      <c r="C434" s="601"/>
      <c r="D434" s="602"/>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8.75" customHeight="1">
      <c r="A435" s="607" t="s">
        <v>100</v>
      </c>
      <c r="B435" s="601"/>
      <c r="C435" s="601"/>
      <c r="D435" s="602"/>
      <c r="E435" s="71"/>
      <c r="F435" s="71"/>
      <c r="G435" s="71"/>
      <c r="H435" s="71"/>
      <c r="I435" s="71"/>
      <c r="J435" s="71"/>
      <c r="K435" s="71"/>
      <c r="L435" s="71"/>
      <c r="M435" s="71"/>
      <c r="N435" s="71"/>
      <c r="O435" s="71"/>
      <c r="P435" s="71"/>
      <c r="Q435" s="71"/>
      <c r="R435" s="71"/>
      <c r="S435" s="71"/>
      <c r="T435" s="71"/>
      <c r="U435" s="71"/>
      <c r="V435" s="71"/>
      <c r="W435" s="71"/>
      <c r="X435" s="71"/>
      <c r="Y435" s="71"/>
      <c r="Z435" s="71"/>
    </row>
    <row r="436" spans="1:26" ht="36" customHeight="1">
      <c r="A436" s="608" t="s">
        <v>101</v>
      </c>
      <c r="B436" s="601"/>
      <c r="C436" s="601"/>
      <c r="D436" s="602"/>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6.75" customHeight="1">
      <c r="A437" s="54"/>
      <c r="B437" s="54"/>
      <c r="C437" s="54"/>
      <c r="D437" s="55"/>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1.25" customHeight="1">
      <c r="A438" s="609" t="s">
        <v>34</v>
      </c>
      <c r="B438" s="601"/>
      <c r="C438" s="601"/>
      <c r="D438" s="602"/>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6.75" customHeight="1">
      <c r="A439" s="56"/>
      <c r="B439" s="57"/>
      <c r="C439" s="57"/>
      <c r="D439" s="58"/>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36" customHeight="1">
      <c r="A440" s="608" t="s">
        <v>35</v>
      </c>
      <c r="B440" s="601"/>
      <c r="C440" s="601"/>
      <c r="D440" s="602"/>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6.75" customHeight="1">
      <c r="A441" s="54"/>
      <c r="B441" s="54"/>
      <c r="C441" s="54"/>
      <c r="D441" s="55"/>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48" customHeight="1">
      <c r="A442" s="608" t="s">
        <v>36</v>
      </c>
      <c r="B442" s="601"/>
      <c r="C442" s="601"/>
      <c r="D442" s="60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6.75" customHeight="1">
      <c r="A443" s="54"/>
      <c r="B443" s="54"/>
      <c r="C443" s="54"/>
      <c r="D443" s="55"/>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24" customHeight="1">
      <c r="A444" s="608" t="s">
        <v>95</v>
      </c>
      <c r="B444" s="601"/>
      <c r="C444" s="601"/>
      <c r="D444" s="602"/>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6.75" customHeight="1">
      <c r="A445" s="54"/>
      <c r="B445" s="54"/>
      <c r="C445" s="54"/>
      <c r="D445" s="55"/>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36" customHeight="1">
      <c r="A446" s="608" t="s">
        <v>91</v>
      </c>
      <c r="B446" s="601"/>
      <c r="C446" s="601"/>
      <c r="D446" s="602"/>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54"/>
      <c r="B447" s="54"/>
      <c r="C447" s="54"/>
      <c r="D447" s="55"/>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5" customHeight="1">
      <c r="A448" s="610" t="s">
        <v>39</v>
      </c>
      <c r="B448" s="601"/>
      <c r="C448" s="601"/>
      <c r="D448" s="602"/>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59"/>
      <c r="B449" s="60"/>
      <c r="C449" s="60"/>
      <c r="D449" s="61"/>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1.25" customHeight="1">
      <c r="A450" s="62" t="s">
        <v>40</v>
      </c>
      <c r="B450" s="63"/>
      <c r="C450" s="64" t="s">
        <v>41</v>
      </c>
      <c r="D450" s="98">
        <f>'Proposed Rates'!F375</f>
        <v>266</v>
      </c>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99"/>
      <c r="B451" s="85"/>
      <c r="C451" s="64"/>
      <c r="D451" s="69"/>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8" customHeight="1">
      <c r="A452" s="100" t="s">
        <v>102</v>
      </c>
      <c r="B452" s="101"/>
      <c r="C452" s="101"/>
      <c r="D452" s="7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1.25" customHeight="1">
      <c r="A453" s="62" t="s">
        <v>103</v>
      </c>
      <c r="B453" s="63"/>
      <c r="C453" s="102" t="s">
        <v>104</v>
      </c>
      <c r="D453" s="69">
        <v>-1</v>
      </c>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5.25" customHeight="1">
      <c r="A454" s="62"/>
      <c r="B454" s="63"/>
      <c r="C454" s="102"/>
      <c r="D454" s="69"/>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23.25" customHeight="1">
      <c r="A455" s="600" t="str">
        <f>$A$40</f>
        <v>Hydro Ottawa Limited</v>
      </c>
      <c r="B455" s="601"/>
      <c r="C455" s="601"/>
      <c r="D455" s="602"/>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8" customHeight="1">
      <c r="A456" s="603" t="str">
        <f>$A$41</f>
        <v>PROPOSED - TARIFF OF RATES AND CHARGES</v>
      </c>
      <c r="B456" s="601"/>
      <c r="C456" s="601"/>
      <c r="D456" s="602"/>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5.75" customHeight="1">
      <c r="A457" s="604" t="str">
        <f>$A$42</f>
        <v>Effective and Implementation Date January 1, 2026</v>
      </c>
      <c r="B457" s="601"/>
      <c r="C457" s="601"/>
      <c r="D457" s="602"/>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605" t="str">
        <f>$A$43</f>
        <v>This schedule supersedes and replaces all previously</v>
      </c>
      <c r="B458" s="601"/>
      <c r="C458" s="601"/>
      <c r="D458" s="602"/>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1.25" customHeight="1">
      <c r="A459" s="605" t="str">
        <f>$A$44</f>
        <v>approved schedules of Rates, Charges and Loss Factors</v>
      </c>
      <c r="B459" s="601"/>
      <c r="C459" s="601"/>
      <c r="D459" s="602"/>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1.25" customHeight="1">
      <c r="A460" s="606" t="str">
        <f>$A$45</f>
        <v>EB-2024-0115</v>
      </c>
      <c r="B460" s="601"/>
      <c r="C460" s="601"/>
      <c r="D460" s="602"/>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8" customHeight="1">
      <c r="A461" s="100" t="s">
        <v>105</v>
      </c>
      <c r="B461" s="101"/>
      <c r="C461" s="101"/>
      <c r="D461" s="72"/>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6.75" customHeight="1">
      <c r="A462" s="100"/>
      <c r="B462" s="101"/>
      <c r="C462" s="101"/>
      <c r="D462" s="72"/>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1.25" customHeight="1">
      <c r="A463" s="616" t="s">
        <v>34</v>
      </c>
      <c r="B463" s="601"/>
      <c r="C463" s="601"/>
      <c r="D463" s="602"/>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6.75" customHeight="1">
      <c r="A464" s="103"/>
      <c r="B464" s="54"/>
      <c r="C464" s="54"/>
      <c r="D464" s="55"/>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36" customHeight="1">
      <c r="A465" s="608" t="s">
        <v>35</v>
      </c>
      <c r="B465" s="601"/>
      <c r="C465" s="601"/>
      <c r="D465" s="602"/>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6.75" customHeight="1">
      <c r="A466" s="54"/>
      <c r="B466" s="54"/>
      <c r="C466" s="54"/>
      <c r="D466" s="55"/>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48" customHeight="1">
      <c r="A467" s="608" t="s">
        <v>106</v>
      </c>
      <c r="B467" s="601"/>
      <c r="C467" s="601"/>
      <c r="D467" s="602"/>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6.75" customHeight="1">
      <c r="A468" s="54"/>
      <c r="B468" s="54"/>
      <c r="C468" s="54"/>
      <c r="D468" s="55"/>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36" customHeight="1">
      <c r="A469" s="608" t="s">
        <v>38</v>
      </c>
      <c r="B469" s="601"/>
      <c r="C469" s="601"/>
      <c r="D469" s="602"/>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6.75" customHeight="1">
      <c r="A470" s="54"/>
      <c r="B470" s="54"/>
      <c r="C470" s="54"/>
      <c r="D470" s="55"/>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5" customHeight="1">
      <c r="A471" s="104" t="s">
        <v>107</v>
      </c>
      <c r="B471" s="101"/>
      <c r="C471" s="101"/>
      <c r="D471" s="72"/>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2" customHeight="1">
      <c r="A472" s="62" t="s">
        <v>108</v>
      </c>
      <c r="B472" s="63"/>
      <c r="C472" s="64" t="s">
        <v>41</v>
      </c>
      <c r="D472" s="105">
        <f>'Proposed Rates'!F323</f>
        <v>0</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2" customHeight="1">
      <c r="A473" s="64" t="s">
        <v>109</v>
      </c>
      <c r="B473" s="64"/>
      <c r="C473" s="64" t="s">
        <v>41</v>
      </c>
      <c r="D473" s="105">
        <f>'Proposed Rates'!F324</f>
        <v>30</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2" customHeight="1">
      <c r="A474" s="62" t="s">
        <v>110</v>
      </c>
      <c r="B474" s="63"/>
      <c r="C474" s="64" t="s">
        <v>41</v>
      </c>
      <c r="D474" s="105">
        <f>'Proposed Rates'!F325</f>
        <v>7</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2" customHeight="1">
      <c r="A475" s="62" t="s">
        <v>111</v>
      </c>
      <c r="B475" s="63"/>
      <c r="C475" s="64" t="s">
        <v>41</v>
      </c>
      <c r="D475" s="105">
        <f>'Proposed Rates'!F326</f>
        <v>141</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2" customHeight="1">
      <c r="A476" s="62" t="s">
        <v>112</v>
      </c>
      <c r="B476" s="63"/>
      <c r="C476" s="64" t="s">
        <v>41</v>
      </c>
      <c r="D476" s="105">
        <f>'Proposed Rates'!F327</f>
        <v>20</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2" customHeight="1">
      <c r="A477" s="62" t="s">
        <v>113</v>
      </c>
      <c r="B477" s="63"/>
      <c r="C477" s="64" t="s">
        <v>41</v>
      </c>
      <c r="D477" s="105">
        <f>'Proposed Rates'!F328</f>
        <v>25</v>
      </c>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2" customHeight="1">
      <c r="A478" s="62" t="s">
        <v>114</v>
      </c>
      <c r="B478" s="63"/>
      <c r="C478" s="64" t="s">
        <v>41</v>
      </c>
      <c r="D478" s="105">
        <f>'Proposed Rates'!F329</f>
        <v>10</v>
      </c>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2" customHeight="1">
      <c r="A479" s="62" t="s">
        <v>115</v>
      </c>
      <c r="B479" s="63"/>
      <c r="C479" s="64" t="s">
        <v>41</v>
      </c>
      <c r="D479" s="105">
        <f>'Proposed Rates'!F332</f>
        <v>366</v>
      </c>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2" customHeight="1">
      <c r="A480" s="62" t="s">
        <v>116</v>
      </c>
      <c r="B480" s="63"/>
      <c r="C480" s="64" t="s">
        <v>41</v>
      </c>
      <c r="D480" s="105">
        <f>'Proposed Rates'!F333</f>
        <v>322</v>
      </c>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6.75" customHeight="1">
      <c r="A481" s="64"/>
      <c r="B481" s="64"/>
      <c r="C481" s="64"/>
      <c r="D481" s="69"/>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 customHeight="1">
      <c r="A482" s="104" t="s">
        <v>117</v>
      </c>
      <c r="B482" s="101"/>
      <c r="C482" s="90"/>
      <c r="D482" s="92"/>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2" customHeight="1">
      <c r="A483" s="62" t="s">
        <v>118</v>
      </c>
      <c r="B483" s="63"/>
      <c r="C483" s="64" t="s">
        <v>104</v>
      </c>
      <c r="D483" s="590">
        <f>'Proposed Rates'!F336</f>
        <v>1.4999999999999999E-2</v>
      </c>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2" customHeight="1">
      <c r="A484" s="62" t="s">
        <v>119</v>
      </c>
      <c r="B484" s="63"/>
      <c r="C484" s="64" t="s">
        <v>41</v>
      </c>
      <c r="D484" s="105">
        <f>'Proposed Rates'!F337</f>
        <v>70</v>
      </c>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2" customHeight="1">
      <c r="A485" s="62" t="s">
        <v>120</v>
      </c>
      <c r="B485" s="63"/>
      <c r="C485" s="64" t="s">
        <v>41</v>
      </c>
      <c r="D485" s="105">
        <f>'Proposed Rates'!F338</f>
        <v>94</v>
      </c>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2" customHeight="1">
      <c r="A486" s="62" t="s">
        <v>121</v>
      </c>
      <c r="B486" s="63"/>
      <c r="C486" s="64" t="s">
        <v>41</v>
      </c>
      <c r="D486" s="105">
        <f>'Proposed Rates'!F339</f>
        <v>318</v>
      </c>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2" customHeight="1">
      <c r="A487" s="62" t="s">
        <v>122</v>
      </c>
      <c r="B487" s="63"/>
      <c r="C487" s="64" t="s">
        <v>41</v>
      </c>
      <c r="D487" s="105">
        <f>'Proposed Rates'!F340</f>
        <v>480</v>
      </c>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6.75" customHeight="1">
      <c r="A488" s="64"/>
      <c r="B488" s="64"/>
      <c r="C488" s="64"/>
      <c r="D488" s="69"/>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5" customHeight="1">
      <c r="A489" s="104" t="s">
        <v>123</v>
      </c>
      <c r="B489" s="101"/>
      <c r="C489" s="90"/>
      <c r="D489" s="69"/>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2" customHeight="1">
      <c r="A490" s="62" t="s">
        <v>124</v>
      </c>
      <c r="B490" s="63"/>
      <c r="C490" s="64" t="s">
        <v>41</v>
      </c>
      <c r="D490" s="105">
        <f>'Proposed Rates'!F343</f>
        <v>1079</v>
      </c>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2" customHeight="1">
      <c r="A491" s="62" t="s">
        <v>125</v>
      </c>
      <c r="B491" s="63"/>
      <c r="C491" s="64" t="s">
        <v>41</v>
      </c>
      <c r="D491" s="105">
        <f>'Proposed Rates'!F344</f>
        <v>1422</v>
      </c>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2" customHeight="1">
      <c r="A492" s="62" t="s">
        <v>126</v>
      </c>
      <c r="B492" s="63"/>
      <c r="C492" s="64" t="s">
        <v>41</v>
      </c>
      <c r="D492" s="105">
        <f>'Proposed Rates'!F345</f>
        <v>5010</v>
      </c>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2" customHeight="1">
      <c r="A493" s="62" t="s">
        <v>127</v>
      </c>
      <c r="B493" s="63"/>
      <c r="C493" s="64" t="s">
        <v>41</v>
      </c>
      <c r="D493" s="98">
        <f>'Proposed Rates'!F346</f>
        <v>40.590000000000003</v>
      </c>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2" customHeight="1">
      <c r="A494" s="62" t="s">
        <v>128</v>
      </c>
      <c r="B494" s="63"/>
      <c r="C494" s="64"/>
      <c r="D494" s="69" t="str">
        <f>'Proposed Rates'!F347</f>
        <v>Per Attached Table</v>
      </c>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2" customHeight="1">
      <c r="A495" s="62" t="s">
        <v>129</v>
      </c>
      <c r="B495" s="63"/>
      <c r="C495" s="64" t="s">
        <v>41</v>
      </c>
      <c r="D495" s="105">
        <f>'Proposed Rates'!F348</f>
        <v>165</v>
      </c>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1.25" customHeight="1">
      <c r="A496" s="612"/>
      <c r="B496" s="602"/>
      <c r="C496" s="64"/>
      <c r="D496" s="69"/>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23.25" customHeight="1">
      <c r="A497" s="600" t="str">
        <f>$A$40</f>
        <v>Hydro Ottawa Limited</v>
      </c>
      <c r="B497" s="601"/>
      <c r="C497" s="601"/>
      <c r="D497" s="602"/>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8" customHeight="1">
      <c r="A498" s="603" t="str">
        <f>$A$41</f>
        <v>PROPOSED - TARIFF OF RATES AND CHARGES</v>
      </c>
      <c r="B498" s="601"/>
      <c r="C498" s="601"/>
      <c r="D498" s="602"/>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5.75" customHeight="1">
      <c r="A499" s="604" t="str">
        <f>$A$42</f>
        <v>Effective and Implementation Date January 1, 2026</v>
      </c>
      <c r="B499" s="601"/>
      <c r="C499" s="601"/>
      <c r="D499" s="602"/>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1.25" customHeight="1">
      <c r="A500" s="605" t="str">
        <f>$A$43</f>
        <v>This schedule supersedes and replaces all previously</v>
      </c>
      <c r="B500" s="601"/>
      <c r="C500" s="601"/>
      <c r="D500" s="602"/>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1.25" customHeight="1">
      <c r="A501" s="605" t="str">
        <f>$A$44</f>
        <v>approved schedules of Rates, Charges and Loss Factors</v>
      </c>
      <c r="B501" s="601"/>
      <c r="C501" s="601"/>
      <c r="D501" s="602"/>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1.25" customHeight="1">
      <c r="A502" s="606" t="str">
        <f>$A$45</f>
        <v>EB-2024-0115</v>
      </c>
      <c r="B502" s="601"/>
      <c r="C502" s="601"/>
      <c r="D502" s="602"/>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8" customHeight="1">
      <c r="A503" s="100" t="s">
        <v>130</v>
      </c>
      <c r="B503" s="101"/>
      <c r="C503" s="101"/>
      <c r="D503" s="72"/>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6.75" customHeight="1">
      <c r="A504" s="100"/>
      <c r="B504" s="101"/>
      <c r="C504" s="101"/>
      <c r="D504" s="72"/>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36" customHeight="1">
      <c r="A505" s="608" t="s">
        <v>131</v>
      </c>
      <c r="B505" s="601"/>
      <c r="C505" s="601"/>
      <c r="D505" s="602"/>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6.75" customHeight="1">
      <c r="A506" s="54"/>
      <c r="B506" s="54"/>
      <c r="C506" s="54"/>
      <c r="D506" s="55"/>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48" customHeight="1">
      <c r="A507" s="608" t="s">
        <v>36</v>
      </c>
      <c r="B507" s="601"/>
      <c r="C507" s="601"/>
      <c r="D507" s="602"/>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6.75" customHeight="1">
      <c r="A508" s="54"/>
      <c r="B508" s="54"/>
      <c r="C508" s="54"/>
      <c r="D508" s="55"/>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24" customHeight="1">
      <c r="A509" s="608" t="s">
        <v>81</v>
      </c>
      <c r="B509" s="601"/>
      <c r="C509" s="601"/>
      <c r="D509" s="602"/>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6.75" customHeight="1">
      <c r="A510" s="54"/>
      <c r="B510" s="54"/>
      <c r="C510" s="54"/>
      <c r="D510" s="55"/>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36" customHeight="1">
      <c r="A511" s="608" t="s">
        <v>38</v>
      </c>
      <c r="B511" s="601"/>
      <c r="C511" s="601"/>
      <c r="D511" s="602"/>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6.75" customHeight="1">
      <c r="A512" s="54"/>
      <c r="B512" s="54"/>
      <c r="C512" s="54"/>
      <c r="D512" s="55"/>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24" customHeight="1">
      <c r="A513" s="608" t="s">
        <v>132</v>
      </c>
      <c r="B513" s="601"/>
      <c r="C513" s="601"/>
      <c r="D513" s="602"/>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2" customHeight="1">
      <c r="A514" s="54"/>
      <c r="B514" s="63"/>
      <c r="C514" s="63"/>
      <c r="D514" s="72"/>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0.5" customHeight="1">
      <c r="A515" s="62" t="s">
        <v>133</v>
      </c>
      <c r="B515" s="63"/>
      <c r="C515" s="106" t="s">
        <v>41</v>
      </c>
      <c r="D515" s="107">
        <f>'Proposed Rates'!F351</f>
        <v>125.72</v>
      </c>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0.5" customHeight="1">
      <c r="A516" s="62" t="s">
        <v>134</v>
      </c>
      <c r="B516" s="63"/>
      <c r="C516" s="106" t="s">
        <v>41</v>
      </c>
      <c r="D516" s="107">
        <f>'Proposed Rates'!F352</f>
        <v>50.29</v>
      </c>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0.5" customHeight="1">
      <c r="A517" s="62" t="s">
        <v>135</v>
      </c>
      <c r="B517" s="63"/>
      <c r="C517" s="106" t="s">
        <v>136</v>
      </c>
      <c r="D517" s="108">
        <f>'Proposed Rates'!F353</f>
        <v>1.24</v>
      </c>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0.5" customHeight="1">
      <c r="A518" s="62" t="s">
        <v>137</v>
      </c>
      <c r="B518" s="63"/>
      <c r="C518" s="106" t="s">
        <v>136</v>
      </c>
      <c r="D518" s="107">
        <f>'Proposed Rates'!F354</f>
        <v>0.74</v>
      </c>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0.5" customHeight="1">
      <c r="A519" s="62" t="s">
        <v>138</v>
      </c>
      <c r="B519" s="63"/>
      <c r="C519" s="106" t="s">
        <v>136</v>
      </c>
      <c r="D519" s="107">
        <f>'Proposed Rates'!F355</f>
        <v>-0.74</v>
      </c>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0.5" customHeight="1">
      <c r="A520" s="62" t="s">
        <v>139</v>
      </c>
      <c r="B520" s="63"/>
      <c r="C520" s="62"/>
      <c r="D520" s="92"/>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0.5" customHeight="1">
      <c r="A521" s="62" t="s">
        <v>140</v>
      </c>
      <c r="B521" s="63"/>
      <c r="C521" s="106" t="s">
        <v>41</v>
      </c>
      <c r="D521" s="107">
        <f>'Proposed Rates'!F357</f>
        <v>0.63</v>
      </c>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0.5" customHeight="1">
      <c r="A522" s="62" t="s">
        <v>141</v>
      </c>
      <c r="B522" s="63"/>
      <c r="C522" s="106" t="s">
        <v>41</v>
      </c>
      <c r="D522" s="108">
        <f>'Proposed Rates'!F358</f>
        <v>1.24</v>
      </c>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3" customHeight="1">
      <c r="A523" s="62"/>
      <c r="B523" s="63"/>
      <c r="C523" s="106"/>
      <c r="D523" s="92"/>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0.5" customHeight="1">
      <c r="A524" s="62" t="s">
        <v>142</v>
      </c>
      <c r="B524" s="63"/>
      <c r="C524" s="109"/>
      <c r="D524" s="92"/>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0.5" customHeight="1">
      <c r="A525" s="62" t="s">
        <v>143</v>
      </c>
      <c r="B525" s="63"/>
      <c r="C525" s="109"/>
      <c r="D525" s="92"/>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0.5" customHeight="1">
      <c r="A526" s="62" t="s">
        <v>144</v>
      </c>
      <c r="B526" s="63"/>
      <c r="C526" s="109"/>
      <c r="D526" s="92"/>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0.5" customHeight="1">
      <c r="A527" s="62" t="s">
        <v>145</v>
      </c>
      <c r="B527" s="63"/>
      <c r="C527" s="106" t="s">
        <v>41</v>
      </c>
      <c r="D527" s="107" t="str">
        <f>'Proposed Rates'!F362</f>
        <v>no charge</v>
      </c>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0.5" customHeight="1">
      <c r="A528" s="62" t="s">
        <v>146</v>
      </c>
      <c r="B528" s="63"/>
      <c r="C528" s="106" t="s">
        <v>41</v>
      </c>
      <c r="D528" s="107">
        <f>'Proposed Rates'!F363</f>
        <v>5.03</v>
      </c>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3" customHeight="1">
      <c r="A529" s="62"/>
      <c r="B529" s="63"/>
      <c r="C529" s="106"/>
      <c r="D529" s="92"/>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0.5" customHeight="1">
      <c r="A530" s="62" t="s">
        <v>147</v>
      </c>
      <c r="B530" s="63"/>
      <c r="C530" s="109"/>
      <c r="D530" s="92"/>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0.5" customHeight="1">
      <c r="A531" s="62" t="s">
        <v>148</v>
      </c>
      <c r="B531" s="63"/>
      <c r="C531" s="106" t="s">
        <v>41</v>
      </c>
      <c r="D531" s="107">
        <f>'Proposed Rates'!F365</f>
        <v>2.5099999999999998</v>
      </c>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6.75" customHeight="1">
      <c r="A532" s="62"/>
      <c r="B532" s="62"/>
      <c r="C532" s="106"/>
      <c r="D532" s="92"/>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23.25" customHeight="1">
      <c r="A533" s="600" t="str">
        <f>$A$40</f>
        <v>Hydro Ottawa Limited</v>
      </c>
      <c r="B533" s="601"/>
      <c r="C533" s="601"/>
      <c r="D533" s="602"/>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8" customHeight="1">
      <c r="A534" s="603" t="str">
        <f>$A$41</f>
        <v>PROPOSED - TARIFF OF RATES AND CHARGES</v>
      </c>
      <c r="B534" s="601"/>
      <c r="C534" s="601"/>
      <c r="D534" s="602"/>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75" customHeight="1">
      <c r="A535" s="604" t="str">
        <f>$A$42</f>
        <v>Effective and Implementation Date January 1, 2026</v>
      </c>
      <c r="B535" s="601"/>
      <c r="C535" s="601"/>
      <c r="D535" s="602"/>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1.25" customHeight="1">
      <c r="A536" s="605" t="str">
        <f>$A$43</f>
        <v>This schedule supersedes and replaces all previously</v>
      </c>
      <c r="B536" s="601"/>
      <c r="C536" s="601"/>
      <c r="D536" s="602"/>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1.25" customHeight="1">
      <c r="A537" s="605" t="str">
        <f>$A$44</f>
        <v>approved schedules of Rates, Charges and Loss Factors</v>
      </c>
      <c r="B537" s="601"/>
      <c r="C537" s="601"/>
      <c r="D537" s="602"/>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1.25" customHeight="1">
      <c r="A538" s="606" t="str">
        <f>$A$45</f>
        <v>EB-2024-0115</v>
      </c>
      <c r="B538" s="601"/>
      <c r="C538" s="601"/>
      <c r="D538" s="602"/>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5" customHeight="1">
      <c r="A539" s="110" t="s">
        <v>149</v>
      </c>
      <c r="B539" s="110"/>
      <c r="C539" s="111"/>
      <c r="D539" s="112"/>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6.75" customHeight="1">
      <c r="A540" s="110"/>
      <c r="B540" s="110"/>
      <c r="C540" s="111"/>
      <c r="D540" s="112"/>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22.5" customHeight="1">
      <c r="A541" s="617" t="s">
        <v>150</v>
      </c>
      <c r="B541" s="601"/>
      <c r="C541" s="602"/>
      <c r="D541" s="72"/>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1.25" customHeight="1">
      <c r="A542" s="62" t="s">
        <v>151</v>
      </c>
      <c r="B542" s="63"/>
      <c r="C542" s="63"/>
      <c r="D542" s="69">
        <f>'Proposed Rates'!F316</f>
        <v>1.0331999999999999</v>
      </c>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1.25" customHeight="1">
      <c r="A543" s="62" t="s">
        <v>152</v>
      </c>
      <c r="B543" s="63"/>
      <c r="C543" s="63"/>
      <c r="D543" s="69">
        <f>'Proposed Rates'!F317</f>
        <v>1.0149999999999999</v>
      </c>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1.25" customHeight="1">
      <c r="A544" s="62" t="s">
        <v>153</v>
      </c>
      <c r="B544" s="63"/>
      <c r="C544" s="63"/>
      <c r="D544" s="69">
        <f>'Proposed Rates'!F318</f>
        <v>1.0230999999999999</v>
      </c>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1.25" customHeight="1">
      <c r="A545" s="62" t="s">
        <v>154</v>
      </c>
      <c r="B545" s="63"/>
      <c r="C545" s="63"/>
      <c r="D545" s="69">
        <f>'Proposed Rates'!F319</f>
        <v>1.0047999999999999</v>
      </c>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7.25" customHeight="1">
      <c r="A546" s="53"/>
      <c r="B546" s="53"/>
      <c r="C546" s="53"/>
      <c r="D546" s="11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36" customHeight="1">
      <c r="A547" s="53"/>
      <c r="B547" s="53"/>
      <c r="C547" s="53"/>
      <c r="D547" s="11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1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1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1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1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1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1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1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1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1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1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1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1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1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1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1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1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1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1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1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1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1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1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1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1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1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1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1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1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1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1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1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1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1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1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1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1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1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1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1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1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1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1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1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1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1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1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1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1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1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1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1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1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1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1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1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1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1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1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1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1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1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1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1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1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1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1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1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1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1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1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1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1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1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1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1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1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1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1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1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1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1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1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1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1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1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1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1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1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1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1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1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1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1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1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1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1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1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1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1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1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1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1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1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1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1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27.5" customHeight="1">
      <c r="A653" s="53"/>
      <c r="B653" s="53"/>
      <c r="C653" s="53"/>
      <c r="D653" s="11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27.5" customHeight="1">
      <c r="A654" s="53"/>
      <c r="B654" s="53"/>
      <c r="C654" s="53"/>
      <c r="D654" s="11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27.5" customHeight="1">
      <c r="A655" s="53"/>
      <c r="B655" s="53"/>
      <c r="C655" s="53"/>
      <c r="D655" s="11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27.5" customHeight="1">
      <c r="A656" s="53"/>
      <c r="B656" s="53"/>
      <c r="C656" s="53"/>
      <c r="D656" s="11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1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1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1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1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1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1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1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1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1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1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1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1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1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1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1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1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1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1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1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1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1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1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1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1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1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1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1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1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1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1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1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1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1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1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1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1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1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1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1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1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1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1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1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1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1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1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1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1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1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1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1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1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1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1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1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1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1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1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1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1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1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1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1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1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1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1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1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1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1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1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c r="A727" s="53"/>
      <c r="B727" s="53"/>
      <c r="C727" s="53"/>
      <c r="D727" s="11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customHeight="1">
      <c r="A728" s="53"/>
      <c r="B728" s="53"/>
      <c r="C728" s="53"/>
      <c r="D728" s="11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customHeight="1">
      <c r="A729" s="53"/>
      <c r="B729" s="53"/>
      <c r="C729" s="53"/>
      <c r="D729" s="11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customHeight="1">
      <c r="A730" s="53"/>
      <c r="B730" s="53"/>
      <c r="C730" s="53"/>
      <c r="D730" s="11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customHeight="1">
      <c r="A731" s="63"/>
      <c r="B731" s="63"/>
      <c r="C731" s="63"/>
      <c r="D731" s="114"/>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114"/>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114"/>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114"/>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114"/>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114"/>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114"/>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114"/>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114"/>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114"/>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114"/>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114"/>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114"/>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114"/>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114"/>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row r="1000" customFormat="1" ht="15.75" customHeight="1"/>
    <row r="1001" customFormat="1" ht="15.75" customHeight="1"/>
    <row r="1002" customFormat="1" ht="15.75" customHeight="1"/>
    <row r="1003" customFormat="1" ht="15.75" customHeight="1"/>
    <row r="1004" customFormat="1" ht="15.75" customHeight="1"/>
    <row r="1005" customFormat="1" ht="15.75" customHeight="1"/>
    <row r="1006" customFormat="1" ht="15.75" customHeight="1"/>
    <row r="1007" customFormat="1" ht="15.75" customHeight="1"/>
    <row r="1008" customFormat="1" ht="15.75" customHeight="1"/>
    <row r="1009" customFormat="1" ht="15.75" customHeight="1"/>
    <row r="1010" customFormat="1" ht="15.75" customHeight="1"/>
    <row r="1011" customFormat="1" ht="15.75" customHeight="1"/>
    <row r="1012" customFormat="1" ht="15.75" customHeight="1"/>
    <row r="1013" customFormat="1" ht="15.75" customHeight="1"/>
    <row r="1014" customFormat="1" ht="15.75" customHeight="1"/>
    <row r="1015" customFormat="1" ht="15.75" customHeight="1"/>
    <row r="1016" customFormat="1" ht="15.75" customHeight="1"/>
    <row r="1017" customFormat="1" ht="15.75" customHeight="1"/>
    <row r="1018" customFormat="1" ht="15.75" customHeight="1"/>
    <row r="1019" customFormat="1" ht="15.75" customHeight="1"/>
    <row r="1020" customFormat="1" ht="15.75" customHeight="1"/>
    <row r="1021" customFormat="1" ht="15.75" customHeight="1"/>
    <row r="1022" customFormat="1" ht="15.75" customHeight="1"/>
    <row r="1023" customFormat="1" ht="15.75" customHeight="1"/>
    <row r="1024" customFormat="1" ht="15.75" customHeight="1"/>
    <row r="1025" customFormat="1" ht="15.75" customHeight="1"/>
    <row r="1026" customFormat="1" ht="15.75" customHeight="1"/>
    <row r="1027" customFormat="1" ht="15.75" customHeight="1"/>
    <row r="1028" customFormat="1" ht="15.75" customHeight="1"/>
    <row r="1029" customFormat="1" ht="15.75" customHeight="1"/>
    <row r="1030" customFormat="1" ht="15.75" customHeight="1"/>
    <row r="1031" customFormat="1" ht="15.75" customHeight="1"/>
    <row r="1032" customFormat="1" ht="15.75" customHeight="1"/>
    <row r="1033" customFormat="1" ht="15.75" customHeight="1"/>
    <row r="1034" customFormat="1" ht="15.75" customHeight="1"/>
    <row r="1035" customFormat="1" ht="15.75" customHeight="1"/>
    <row r="1036" customFormat="1" ht="15.75" customHeight="1"/>
    <row r="1037" customFormat="1" ht="15.75" customHeight="1"/>
    <row r="1038" customFormat="1" ht="15.75" customHeight="1"/>
    <row r="1039" customFormat="1" ht="15.75" customHeight="1"/>
    <row r="1040" customFormat="1" ht="15.75" customHeight="1"/>
    <row r="1041" customFormat="1" ht="15.75" customHeight="1"/>
    <row r="1042" customFormat="1" ht="15.75" customHeight="1"/>
    <row r="1043" customFormat="1" ht="15.75" customHeight="1"/>
  </sheetData>
  <mergeCells count="213">
    <mergeCell ref="A356:D356"/>
    <mergeCell ref="A357:D357"/>
    <mergeCell ref="A358:D358"/>
    <mergeCell ref="A359:D359"/>
    <mergeCell ref="A361:D361"/>
    <mergeCell ref="A363:D363"/>
    <mergeCell ref="A365:D365"/>
    <mergeCell ref="A367:D367"/>
    <mergeCell ref="A369:D369"/>
    <mergeCell ref="A321:D321"/>
    <mergeCell ref="A323:D323"/>
    <mergeCell ref="A325:D325"/>
    <mergeCell ref="A327:D327"/>
    <mergeCell ref="A329:D329"/>
    <mergeCell ref="A352:D352"/>
    <mergeCell ref="A353:D353"/>
    <mergeCell ref="A354:D354"/>
    <mergeCell ref="A355:D355"/>
    <mergeCell ref="A291:D291"/>
    <mergeCell ref="A312:D312"/>
    <mergeCell ref="A313:D313"/>
    <mergeCell ref="A314:D314"/>
    <mergeCell ref="A315:D315"/>
    <mergeCell ref="A316:D316"/>
    <mergeCell ref="A317:D317"/>
    <mergeCell ref="A318:D318"/>
    <mergeCell ref="A319:D319"/>
    <mergeCell ref="A507:D507"/>
    <mergeCell ref="A537:D537"/>
    <mergeCell ref="A538:D538"/>
    <mergeCell ref="A541:C541"/>
    <mergeCell ref="A509:D509"/>
    <mergeCell ref="A511:D511"/>
    <mergeCell ref="A513:D513"/>
    <mergeCell ref="A533:D533"/>
    <mergeCell ref="A534:D534"/>
    <mergeCell ref="A535:D535"/>
    <mergeCell ref="A536:D536"/>
    <mergeCell ref="A469:D469"/>
    <mergeCell ref="A496:B496"/>
    <mergeCell ref="A497:D497"/>
    <mergeCell ref="A498:D498"/>
    <mergeCell ref="A499:D499"/>
    <mergeCell ref="A500:D500"/>
    <mergeCell ref="A501:D501"/>
    <mergeCell ref="A502:D502"/>
    <mergeCell ref="A505:D505"/>
    <mergeCell ref="A436:D436"/>
    <mergeCell ref="A438:D438"/>
    <mergeCell ref="A440:D440"/>
    <mergeCell ref="A442:D442"/>
    <mergeCell ref="A444:D444"/>
    <mergeCell ref="A460:D460"/>
    <mergeCell ref="A463:D463"/>
    <mergeCell ref="A465:D465"/>
    <mergeCell ref="A467:D467"/>
    <mergeCell ref="A446:D446"/>
    <mergeCell ref="A448:D448"/>
    <mergeCell ref="A455:D455"/>
    <mergeCell ref="A456:D456"/>
    <mergeCell ref="A457:D457"/>
    <mergeCell ref="A458:D458"/>
    <mergeCell ref="A459:D459"/>
    <mergeCell ref="A423:D423"/>
    <mergeCell ref="A425:D425"/>
    <mergeCell ref="A429:D429"/>
    <mergeCell ref="A430:D430"/>
    <mergeCell ref="A431:D431"/>
    <mergeCell ref="A432:D432"/>
    <mergeCell ref="A433:D433"/>
    <mergeCell ref="A434:D434"/>
    <mergeCell ref="A435:D435"/>
    <mergeCell ref="A409:D409"/>
    <mergeCell ref="A410:D410"/>
    <mergeCell ref="A411:D411"/>
    <mergeCell ref="A412:D412"/>
    <mergeCell ref="A413:D413"/>
    <mergeCell ref="A415:D415"/>
    <mergeCell ref="A417:D417"/>
    <mergeCell ref="A419:D419"/>
    <mergeCell ref="A421:D421"/>
    <mergeCell ref="A392:D392"/>
    <mergeCell ref="A394:D394"/>
    <mergeCell ref="A396:D396"/>
    <mergeCell ref="A398:D398"/>
    <mergeCell ref="A400:D400"/>
    <mergeCell ref="A402:D402"/>
    <mergeCell ref="A406:D406"/>
    <mergeCell ref="A407:D407"/>
    <mergeCell ref="A408:D408"/>
    <mergeCell ref="A373:B373"/>
    <mergeCell ref="A383:D383"/>
    <mergeCell ref="A384:D384"/>
    <mergeCell ref="A385:D385"/>
    <mergeCell ref="A386:D386"/>
    <mergeCell ref="A387:D387"/>
    <mergeCell ref="A388:D388"/>
    <mergeCell ref="A389:D389"/>
    <mergeCell ref="A390:D390"/>
    <mergeCell ref="A250:D250"/>
    <mergeCell ref="A251:D251"/>
    <mergeCell ref="A252:D252"/>
    <mergeCell ref="A253:D253"/>
    <mergeCell ref="A254:D254"/>
    <mergeCell ref="A255:D255"/>
    <mergeCell ref="A257:D257"/>
    <mergeCell ref="A259:D259"/>
    <mergeCell ref="A371:D371"/>
    <mergeCell ref="A261:D261"/>
    <mergeCell ref="A263:D263"/>
    <mergeCell ref="A265:D265"/>
    <mergeCell ref="A274:D274"/>
    <mergeCell ref="A275:D275"/>
    <mergeCell ref="A276:D276"/>
    <mergeCell ref="A277:D277"/>
    <mergeCell ref="A278:D278"/>
    <mergeCell ref="A279:D279"/>
    <mergeCell ref="A280:D280"/>
    <mergeCell ref="A281:D281"/>
    <mergeCell ref="A283:D283"/>
    <mergeCell ref="A285:D285"/>
    <mergeCell ref="A287:D287"/>
    <mergeCell ref="A289:D289"/>
    <mergeCell ref="A216:D216"/>
    <mergeCell ref="A217:D217"/>
    <mergeCell ref="A219:D219"/>
    <mergeCell ref="A221:D221"/>
    <mergeCell ref="A223:D223"/>
    <mergeCell ref="A225:D225"/>
    <mergeCell ref="A227:D227"/>
    <mergeCell ref="A248:D248"/>
    <mergeCell ref="A249:D249"/>
    <mergeCell ref="A186:D186"/>
    <mergeCell ref="A187:D187"/>
    <mergeCell ref="A188:D188"/>
    <mergeCell ref="A210:D210"/>
    <mergeCell ref="A211:D211"/>
    <mergeCell ref="A212:D212"/>
    <mergeCell ref="A213:D213"/>
    <mergeCell ref="A214:D214"/>
    <mergeCell ref="A215:D215"/>
    <mergeCell ref="A172:D172"/>
    <mergeCell ref="A173:D173"/>
    <mergeCell ref="A174:D174"/>
    <mergeCell ref="A175:D175"/>
    <mergeCell ref="A177:D177"/>
    <mergeCell ref="A179:D179"/>
    <mergeCell ref="A181:D181"/>
    <mergeCell ref="A183:D183"/>
    <mergeCell ref="A185:D185"/>
    <mergeCell ref="A139:D139"/>
    <mergeCell ref="A141:D141"/>
    <mergeCell ref="A142:D142"/>
    <mergeCell ref="A143:D143"/>
    <mergeCell ref="A144:D144"/>
    <mergeCell ref="A168:D168"/>
    <mergeCell ref="A169:D169"/>
    <mergeCell ref="A170:D170"/>
    <mergeCell ref="A171:D171"/>
    <mergeCell ref="A126:D126"/>
    <mergeCell ref="A127:D127"/>
    <mergeCell ref="A128:D128"/>
    <mergeCell ref="A129:D129"/>
    <mergeCell ref="A130:D130"/>
    <mergeCell ref="A131:D131"/>
    <mergeCell ref="A133:D133"/>
    <mergeCell ref="A135:D135"/>
    <mergeCell ref="A137:D137"/>
    <mergeCell ref="A91:D91"/>
    <mergeCell ref="A93:D93"/>
    <mergeCell ref="A95:D95"/>
    <mergeCell ref="A97:D97"/>
    <mergeCell ref="A98:D98"/>
    <mergeCell ref="A99:D99"/>
    <mergeCell ref="A100:D100"/>
    <mergeCell ref="A124:D124"/>
    <mergeCell ref="A125:D125"/>
    <mergeCell ref="A80:D80"/>
    <mergeCell ref="A81:D81"/>
    <mergeCell ref="A82:D82"/>
    <mergeCell ref="A83:D83"/>
    <mergeCell ref="A84:D84"/>
    <mergeCell ref="A85:D85"/>
    <mergeCell ref="A86:D86"/>
    <mergeCell ref="A87:D87"/>
    <mergeCell ref="A89:D89"/>
    <mergeCell ref="A44:D44"/>
    <mergeCell ref="A45:D45"/>
    <mergeCell ref="A46:D46"/>
    <mergeCell ref="A47:D47"/>
    <mergeCell ref="A49:D49"/>
    <mergeCell ref="A51:D51"/>
    <mergeCell ref="A53:D53"/>
    <mergeCell ref="A55:D55"/>
    <mergeCell ref="A57:D57"/>
    <mergeCell ref="A12:D12"/>
    <mergeCell ref="A14:D14"/>
    <mergeCell ref="A16:D16"/>
    <mergeCell ref="A18:D18"/>
    <mergeCell ref="A20:D20"/>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orientation="portrait"/>
  <rowBreaks count="3" manualBreakCount="3">
    <brk id="85" man="1"/>
    <brk id="45" man="1"/>
    <brk id="12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0.7109375" customWidth="1"/>
    <col min="3" max="3" width="4.42578125" customWidth="1"/>
    <col min="4" max="4" width="11.42578125" customWidth="1"/>
    <col min="5" max="5" width="1.42578125" customWidth="1"/>
    <col min="6" max="6" width="12.1406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6"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6"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12" customHeight="1">
      <c r="A4" s="52"/>
      <c r="B4" s="52"/>
      <c r="C4" s="52"/>
      <c r="D4" s="52"/>
      <c r="E4" s="52"/>
      <c r="F4" s="52"/>
      <c r="G4" s="52"/>
      <c r="H4" s="52"/>
      <c r="I4" s="52"/>
      <c r="J4" s="52"/>
      <c r="K4" s="52"/>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row>
    <row r="5" spans="1:46" ht="12" customHeight="1">
      <c r="A5" s="52"/>
      <c r="B5" s="52"/>
      <c r="C5" s="52"/>
      <c r="D5" s="52"/>
      <c r="E5" s="52"/>
      <c r="F5" s="52"/>
      <c r="G5" s="52"/>
      <c r="H5" s="52"/>
      <c r="I5" s="52"/>
      <c r="J5" s="52"/>
      <c r="K5" s="52"/>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row>
    <row r="6" spans="1:46" ht="12" customHeight="1">
      <c r="A6" s="52"/>
      <c r="B6" s="320" t="s">
        <v>298</v>
      </c>
      <c r="C6" s="52"/>
      <c r="D6" s="504" t="s">
        <v>223</v>
      </c>
      <c r="E6" s="505"/>
      <c r="F6" s="505"/>
      <c r="G6" s="505"/>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 customHeight="1">
      <c r="A10" s="52"/>
      <c r="B10" s="52"/>
      <c r="C10" s="52"/>
      <c r="D10" s="307" t="s">
        <v>301</v>
      </c>
      <c r="E10" s="307"/>
      <c r="F10" s="385">
        <v>2000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6"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6"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6"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6" ht="12" customHeight="1">
      <c r="A15" s="52"/>
      <c r="B15" s="321" t="s">
        <v>221</v>
      </c>
      <c r="C15" s="394" t="str">
        <f t="shared" ref="C15:C28" si="0">D$6&amp;"."&amp;B15</f>
        <v>General Service &lt; 50 kW.Monthly Service Charge</v>
      </c>
      <c r="D15" s="395" t="s">
        <v>310</v>
      </c>
      <c r="E15" s="321"/>
      <c r="F15" s="396">
        <f>IFERROR(VLOOKUP($C15,'Proposed Rates'!$B:$J,F$11,FALSE),0)</f>
        <v>23.53</v>
      </c>
      <c r="G15" s="397">
        <f t="shared" ref="G15:G28" si="1">IF($D15="Monthly",1,IF($D15="per KWH",$F$10,0))</f>
        <v>1</v>
      </c>
      <c r="H15" s="399">
        <f t="shared" ref="H15:H28" si="2">G15*F15</f>
        <v>23.53</v>
      </c>
      <c r="I15" s="132"/>
      <c r="J15" s="396">
        <f>IFERROR(VLOOKUP($C15,'Proposed Rates'!$B:$J,J$11,FALSE),0)</f>
        <v>27.14</v>
      </c>
      <c r="K15" s="397">
        <f t="shared" ref="K15:K28" si="3">IF($D15="Monthly",1,IF($D15="per KWH",$F$10,0))</f>
        <v>1</v>
      </c>
      <c r="L15" s="399">
        <f t="shared" ref="L15:L28" si="4">K15*J15</f>
        <v>27.14</v>
      </c>
      <c r="M15" s="132"/>
      <c r="N15" s="400">
        <f t="shared" ref="N15:N48" si="5">L15-H15</f>
        <v>3.6099999999999994</v>
      </c>
      <c r="O15" s="401">
        <f t="shared" ref="O15:O48" si="6">IF((H15)=0,"",(N15/H15))</f>
        <v>0.15342116447088819</v>
      </c>
      <c r="P15" s="52"/>
      <c r="Q15" s="396">
        <f>IFERROR(VLOOKUP($C15,'Proposed Rates'!$B:$J,Q$11,FALSE),0)</f>
        <v>28.41</v>
      </c>
      <c r="R15" s="397">
        <f t="shared" ref="R15:R28" si="7">IF($D15="Monthly",1,IF($D15="per KWH",$F$10,0))</f>
        <v>1</v>
      </c>
      <c r="S15" s="399">
        <f t="shared" ref="S15:S28" si="8">R15*Q15</f>
        <v>28.41</v>
      </c>
      <c r="T15" s="132"/>
      <c r="U15" s="400">
        <f t="shared" ref="U15:U48" si="9">S15-L15</f>
        <v>1.2699999999999996</v>
      </c>
      <c r="V15" s="401">
        <f t="shared" ref="V15:V48" si="10">IF((L15)=0,"",(U15/L15))</f>
        <v>4.6794399410464239E-2</v>
      </c>
      <c r="W15" s="52"/>
      <c r="X15" s="396">
        <f>IFERROR(VLOOKUP($C15,'Proposed Rates'!$B:$J,X$11,FALSE),0)</f>
        <v>30.29</v>
      </c>
      <c r="Y15" s="397">
        <f t="shared" ref="Y15:Y28" si="11">IF($D15="Monthly",1,IF($D15="per KWH",$F$10,0))</f>
        <v>1</v>
      </c>
      <c r="Z15" s="399">
        <f t="shared" ref="Z15:Z28" si="12">Y15*X15</f>
        <v>30.29</v>
      </c>
      <c r="AA15" s="132"/>
      <c r="AB15" s="400">
        <f t="shared" ref="AB15:AB48" si="13">Z15-S15</f>
        <v>1.879999999999999</v>
      </c>
      <c r="AC15" s="401">
        <f t="shared" ref="AC15:AC48" si="14">IF((S15)=0,"",(AB15/S15))</f>
        <v>6.6173882435762027E-2</v>
      </c>
      <c r="AD15" s="52"/>
      <c r="AE15" s="396">
        <f>IFERROR(VLOOKUP($C15,'Proposed Rates'!$B:$J,AE$11,FALSE),0)</f>
        <v>30.86</v>
      </c>
      <c r="AF15" s="397">
        <f t="shared" ref="AF15:AF28" si="15">IF($D15="Monthly",1,IF($D15="per KWH",$F$10,0))</f>
        <v>1</v>
      </c>
      <c r="AG15" s="399">
        <f t="shared" ref="AG15:AG28" si="16">AF15*AE15</f>
        <v>30.86</v>
      </c>
      <c r="AH15" s="132"/>
      <c r="AI15" s="400">
        <f t="shared" ref="AI15:AI48" si="17">AG15-Z15</f>
        <v>0.57000000000000028</v>
      </c>
      <c r="AJ15" s="401">
        <f t="shared" ref="AJ15:AJ48" si="18">IF((Z15)=0,"",(AI15/Z15))</f>
        <v>1.8818091779465178E-2</v>
      </c>
      <c r="AK15" s="52"/>
      <c r="AL15" s="396">
        <f>IFERROR(VLOOKUP($C15,'Proposed Rates'!$B:$J,AL$11,FALSE),0)</f>
        <v>31.3</v>
      </c>
      <c r="AM15" s="397">
        <f t="shared" ref="AM15:AM28" si="19">IF($D15="Monthly",1,IF($D15="per KWH",$F$10,0))</f>
        <v>1</v>
      </c>
      <c r="AN15" s="399">
        <f t="shared" ref="AN15:AN16" si="20">AM15*AL15</f>
        <v>31.3</v>
      </c>
      <c r="AO15" s="132"/>
      <c r="AP15" s="400">
        <f t="shared" ref="AP15:AP48" si="21">AN15-AG15</f>
        <v>0.44000000000000128</v>
      </c>
      <c r="AQ15" s="401">
        <f t="shared" ref="AQ15:AQ48" si="22">IF((AG15)=0,"",(AP15/AG15))</f>
        <v>1.4257939079714883E-2</v>
      </c>
      <c r="AR15" s="402"/>
    </row>
    <row r="16" spans="1:46" ht="12" customHeight="1">
      <c r="A16" s="52"/>
      <c r="B16" s="321" t="s">
        <v>311</v>
      </c>
      <c r="C16" s="394" t="str">
        <f t="shared" si="0"/>
        <v>General Service &lt; 50 kW.Smart Meter Rate Adder</v>
      </c>
      <c r="D16" s="395" t="s">
        <v>310</v>
      </c>
      <c r="E16" s="321"/>
      <c r="F16" s="413">
        <f>IFERROR(VLOOKUP($C16,'Proposed Rates'!$B:$J,F$11,FALSE),0)</f>
        <v>0</v>
      </c>
      <c r="G16" s="397">
        <f t="shared" si="1"/>
        <v>1</v>
      </c>
      <c r="H16" s="399">
        <f t="shared" si="2"/>
        <v>0</v>
      </c>
      <c r="I16" s="132"/>
      <c r="J16" s="413">
        <f>IFERROR(VLOOKUP($C16,'Proposed Rates'!$B:$J,J$11,FALSE),0)</f>
        <v>0</v>
      </c>
      <c r="K16" s="397">
        <f t="shared" si="3"/>
        <v>1</v>
      </c>
      <c r="L16" s="399">
        <f t="shared" si="4"/>
        <v>0</v>
      </c>
      <c r="M16" s="132"/>
      <c r="N16" s="400">
        <f t="shared" si="5"/>
        <v>0</v>
      </c>
      <c r="O16" s="401" t="str">
        <f t="shared" si="6"/>
        <v/>
      </c>
      <c r="P16" s="52"/>
      <c r="Q16" s="413">
        <f>IFERROR(VLOOKUP($C16,'Proposed Rates'!$B:$J,Q$11,FALSE),0)</f>
        <v>0</v>
      </c>
      <c r="R16" s="397">
        <f t="shared" si="7"/>
        <v>1</v>
      </c>
      <c r="S16" s="399">
        <f t="shared" si="8"/>
        <v>0</v>
      </c>
      <c r="T16" s="132"/>
      <c r="U16" s="400">
        <f t="shared" si="9"/>
        <v>0</v>
      </c>
      <c r="V16" s="401" t="str">
        <f t="shared" si="10"/>
        <v/>
      </c>
      <c r="W16" s="52"/>
      <c r="X16" s="413">
        <f>IFERROR(VLOOKUP($C16,'Proposed Rates'!$B:$J,X$11,FALSE),0)</f>
        <v>0</v>
      </c>
      <c r="Y16" s="397">
        <f t="shared" si="11"/>
        <v>1</v>
      </c>
      <c r="Z16" s="399">
        <f t="shared" si="12"/>
        <v>0</v>
      </c>
      <c r="AA16" s="132"/>
      <c r="AB16" s="400">
        <f t="shared" si="13"/>
        <v>0</v>
      </c>
      <c r="AC16" s="401" t="str">
        <f t="shared" si="14"/>
        <v/>
      </c>
      <c r="AD16" s="52"/>
      <c r="AE16" s="413">
        <f>IFERROR(VLOOKUP($C16,'Proposed Rates'!$B:$J,AE$11,FALSE),0)</f>
        <v>0</v>
      </c>
      <c r="AF16" s="397">
        <f t="shared" si="15"/>
        <v>1</v>
      </c>
      <c r="AG16" s="399">
        <f t="shared" si="16"/>
        <v>0</v>
      </c>
      <c r="AH16" s="132"/>
      <c r="AI16" s="400">
        <f t="shared" si="17"/>
        <v>0</v>
      </c>
      <c r="AJ16" s="401" t="str">
        <f t="shared" si="18"/>
        <v/>
      </c>
      <c r="AK16" s="52"/>
      <c r="AL16" s="413">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General Service &lt; 50 kW.Rate Rider Calculation for PILs</v>
      </c>
      <c r="D17" s="395" t="s">
        <v>312</v>
      </c>
      <c r="E17" s="321"/>
      <c r="F17" s="413">
        <f>IFERROR(VLOOKUP($C17,'Proposed Rates'!$B:$J,F$11,FALSE),0)</f>
        <v>0</v>
      </c>
      <c r="G17" s="397">
        <f t="shared" si="1"/>
        <v>2000</v>
      </c>
      <c r="H17" s="399">
        <f t="shared" si="2"/>
        <v>0</v>
      </c>
      <c r="I17" s="132"/>
      <c r="J17" s="413">
        <f>IFERROR(VLOOKUP($C17,'Proposed Rates'!$B:$J,J$11,FALSE),0)</f>
        <v>0</v>
      </c>
      <c r="K17" s="397">
        <f t="shared" si="3"/>
        <v>2000</v>
      </c>
      <c r="L17" s="399">
        <f t="shared" si="4"/>
        <v>0</v>
      </c>
      <c r="M17" s="132"/>
      <c r="N17" s="400">
        <f t="shared" si="5"/>
        <v>0</v>
      </c>
      <c r="O17" s="401" t="str">
        <f t="shared" si="6"/>
        <v/>
      </c>
      <c r="P17" s="52"/>
      <c r="Q17" s="413">
        <f>IFERROR(VLOOKUP($C17,'Proposed Rates'!$B:$J,Q$11,FALSE),0)</f>
        <v>0</v>
      </c>
      <c r="R17" s="397">
        <f t="shared" si="7"/>
        <v>2000</v>
      </c>
      <c r="S17" s="399">
        <f t="shared" si="8"/>
        <v>0</v>
      </c>
      <c r="T17" s="132"/>
      <c r="U17" s="400">
        <f t="shared" si="9"/>
        <v>0</v>
      </c>
      <c r="V17" s="401" t="str">
        <f t="shared" si="10"/>
        <v/>
      </c>
      <c r="W17" s="52"/>
      <c r="X17" s="413">
        <f>IFERROR(VLOOKUP($C17,'Proposed Rates'!$B:$J,X$11,FALSE),0)</f>
        <v>0</v>
      </c>
      <c r="Y17" s="397">
        <f t="shared" si="11"/>
        <v>2000</v>
      </c>
      <c r="Z17" s="399">
        <f t="shared" si="12"/>
        <v>0</v>
      </c>
      <c r="AA17" s="132"/>
      <c r="AB17" s="400">
        <f t="shared" si="13"/>
        <v>0</v>
      </c>
      <c r="AC17" s="401" t="str">
        <f t="shared" si="14"/>
        <v/>
      </c>
      <c r="AD17" s="52"/>
      <c r="AE17" s="413">
        <f>IFERROR(VLOOKUP($C17,'Proposed Rates'!$B:$J,AE$11,FALSE),0)</f>
        <v>0</v>
      </c>
      <c r="AF17" s="397">
        <f t="shared" si="15"/>
        <v>2000</v>
      </c>
      <c r="AG17" s="399">
        <f t="shared" si="16"/>
        <v>0</v>
      </c>
      <c r="AH17" s="132"/>
      <c r="AI17" s="400">
        <f t="shared" si="17"/>
        <v>0</v>
      </c>
      <c r="AJ17" s="401" t="str">
        <f t="shared" si="18"/>
        <v/>
      </c>
      <c r="AK17" s="52"/>
      <c r="AL17" s="413">
        <f>IFERROR(VLOOKUP($C17,'Proposed Rates'!$B:$J,AL$11,FALSE),0)</f>
        <v>0</v>
      </c>
      <c r="AM17" s="397">
        <f t="shared" si="19"/>
        <v>2000</v>
      </c>
      <c r="AN17" s="399">
        <f t="shared" ref="AN17:AN18" si="23">AL17*AM17</f>
        <v>0</v>
      </c>
      <c r="AO17" s="132"/>
      <c r="AP17" s="400">
        <f t="shared" si="21"/>
        <v>0</v>
      </c>
      <c r="AQ17" s="401" t="str">
        <f t="shared" si="22"/>
        <v/>
      </c>
      <c r="AR17" s="402"/>
    </row>
    <row r="18" spans="1:44" ht="12" customHeight="1">
      <c r="A18" s="52"/>
      <c r="B18" s="403" t="str">
        <f>'Proposed Rates'!C128</f>
        <v>Rate Rider Calculation for Generic</v>
      </c>
      <c r="C18" s="394" t="str">
        <f t="shared" si="0"/>
        <v>General Service &lt; 50 kW.Rate Rider Calculation for Generic</v>
      </c>
      <c r="D18" s="395" t="s">
        <v>310</v>
      </c>
      <c r="E18" s="321"/>
      <c r="F18" s="413">
        <f>IFERROR(VLOOKUP($C18,'Proposed Rates'!$B:$J,F$11,FALSE),0)</f>
        <v>0</v>
      </c>
      <c r="G18" s="397">
        <f t="shared" si="1"/>
        <v>1</v>
      </c>
      <c r="H18" s="399">
        <f t="shared" si="2"/>
        <v>0</v>
      </c>
      <c r="I18" s="132"/>
      <c r="J18" s="413">
        <f>IFERROR(VLOOKUP($C18,'Proposed Rates'!$B:$J,J$11,FALSE),0)</f>
        <v>0</v>
      </c>
      <c r="K18" s="397">
        <f t="shared" si="3"/>
        <v>1</v>
      </c>
      <c r="L18" s="399">
        <f t="shared" si="4"/>
        <v>0</v>
      </c>
      <c r="M18" s="132"/>
      <c r="N18" s="400">
        <f t="shared" si="5"/>
        <v>0</v>
      </c>
      <c r="O18" s="401" t="str">
        <f t="shared" si="6"/>
        <v/>
      </c>
      <c r="P18" s="52"/>
      <c r="Q18" s="413">
        <f>IFERROR(VLOOKUP($C18,'Proposed Rates'!$B:$J,Q$11,FALSE),0)</f>
        <v>0</v>
      </c>
      <c r="R18" s="397">
        <f t="shared" si="7"/>
        <v>1</v>
      </c>
      <c r="S18" s="399">
        <f t="shared" si="8"/>
        <v>0</v>
      </c>
      <c r="T18" s="132"/>
      <c r="U18" s="400">
        <f t="shared" si="9"/>
        <v>0</v>
      </c>
      <c r="V18" s="401" t="str">
        <f t="shared" si="10"/>
        <v/>
      </c>
      <c r="W18" s="52"/>
      <c r="X18" s="413">
        <f>IFERROR(VLOOKUP($C18,'Proposed Rates'!$B:$J,X$11,FALSE),0)</f>
        <v>0</v>
      </c>
      <c r="Y18" s="397">
        <f t="shared" si="11"/>
        <v>1</v>
      </c>
      <c r="Z18" s="399">
        <f t="shared" si="12"/>
        <v>0</v>
      </c>
      <c r="AA18" s="132"/>
      <c r="AB18" s="400">
        <f t="shared" si="13"/>
        <v>0</v>
      </c>
      <c r="AC18" s="401" t="str">
        <f t="shared" si="14"/>
        <v/>
      </c>
      <c r="AD18" s="52"/>
      <c r="AE18" s="413">
        <f>IFERROR(VLOOKUP($C18,'Proposed Rates'!$B:$J,AE$11,FALSE),0)</f>
        <v>0</v>
      </c>
      <c r="AF18" s="397">
        <f t="shared" si="15"/>
        <v>1</v>
      </c>
      <c r="AG18" s="399">
        <f t="shared" si="16"/>
        <v>0</v>
      </c>
      <c r="AH18" s="132"/>
      <c r="AI18" s="400">
        <f t="shared" si="17"/>
        <v>0</v>
      </c>
      <c r="AJ18" s="401" t="str">
        <f t="shared" si="18"/>
        <v/>
      </c>
      <c r="AK18" s="52"/>
      <c r="AL18" s="413">
        <f>IFERROR(VLOOKUP($C18,'Proposed Rates'!$B:$J,AL$11,FALSE),0)</f>
        <v>0</v>
      </c>
      <c r="AM18" s="397">
        <f t="shared" si="19"/>
        <v>1</v>
      </c>
      <c r="AN18" s="399">
        <f t="shared" si="23"/>
        <v>0</v>
      </c>
      <c r="AO18" s="132"/>
      <c r="AP18" s="400">
        <f t="shared" si="21"/>
        <v>0</v>
      </c>
      <c r="AQ18" s="401" t="str">
        <f t="shared" si="22"/>
        <v/>
      </c>
      <c r="AR18" s="402"/>
    </row>
    <row r="19" spans="1:44" ht="12" customHeight="1">
      <c r="A19" s="52"/>
      <c r="B19" s="321" t="s">
        <v>59</v>
      </c>
      <c r="C19" s="394" t="str">
        <f t="shared" si="0"/>
        <v>General Service &lt; 50 kW.Distribution Volumetric Rate</v>
      </c>
      <c r="D19" s="395" t="s">
        <v>312</v>
      </c>
      <c r="E19" s="321"/>
      <c r="F19" s="413">
        <f>IFERROR(VLOOKUP($C19,'Proposed Rates'!$B:$J,F$11,FALSE),0)</f>
        <v>3.0499999999999999E-2</v>
      </c>
      <c r="G19" s="397">
        <f t="shared" si="1"/>
        <v>2000</v>
      </c>
      <c r="H19" s="399">
        <f t="shared" si="2"/>
        <v>61</v>
      </c>
      <c r="I19" s="132"/>
      <c r="J19" s="413">
        <f>IFERROR(VLOOKUP($C19,'Proposed Rates'!$B:$J,J$11,FALSE),0)</f>
        <v>3.5200000000000002E-2</v>
      </c>
      <c r="K19" s="397">
        <f t="shared" si="3"/>
        <v>2000</v>
      </c>
      <c r="L19" s="399">
        <f t="shared" si="4"/>
        <v>70.400000000000006</v>
      </c>
      <c r="M19" s="132"/>
      <c r="N19" s="400">
        <f t="shared" si="5"/>
        <v>9.4000000000000057</v>
      </c>
      <c r="O19" s="401">
        <f t="shared" si="6"/>
        <v>0.15409836065573779</v>
      </c>
      <c r="P19" s="52"/>
      <c r="Q19" s="413">
        <f>IFERROR(VLOOKUP($C19,'Proposed Rates'!$B:$J,Q$11,FALSE),0)</f>
        <v>3.6900000000000002E-2</v>
      </c>
      <c r="R19" s="397">
        <f t="shared" si="7"/>
        <v>2000</v>
      </c>
      <c r="S19" s="399">
        <f t="shared" si="8"/>
        <v>73.800000000000011</v>
      </c>
      <c r="T19" s="132"/>
      <c r="U19" s="400">
        <f t="shared" si="9"/>
        <v>3.4000000000000057</v>
      </c>
      <c r="V19" s="401">
        <f t="shared" si="10"/>
        <v>4.8295454545454621E-2</v>
      </c>
      <c r="W19" s="52"/>
      <c r="X19" s="413">
        <f>IFERROR(VLOOKUP($C19,'Proposed Rates'!$B:$J,X$11,FALSE),0)</f>
        <v>3.9300000000000002E-2</v>
      </c>
      <c r="Y19" s="397">
        <f t="shared" si="11"/>
        <v>2000</v>
      </c>
      <c r="Z19" s="399">
        <f t="shared" si="12"/>
        <v>78.600000000000009</v>
      </c>
      <c r="AA19" s="132"/>
      <c r="AB19" s="400">
        <f t="shared" si="13"/>
        <v>4.7999999999999972</v>
      </c>
      <c r="AC19" s="401">
        <f t="shared" si="14"/>
        <v>6.5040650406504016E-2</v>
      </c>
      <c r="AD19" s="52"/>
      <c r="AE19" s="413">
        <f>IFERROR(VLOOKUP($C19,'Proposed Rates'!$B:$J,AE$11,FALSE),0)</f>
        <v>0.04</v>
      </c>
      <c r="AF19" s="397">
        <f t="shared" si="15"/>
        <v>2000</v>
      </c>
      <c r="AG19" s="399">
        <f t="shared" si="16"/>
        <v>80</v>
      </c>
      <c r="AH19" s="132"/>
      <c r="AI19" s="400">
        <f t="shared" si="17"/>
        <v>1.3999999999999915</v>
      </c>
      <c r="AJ19" s="401">
        <f t="shared" si="18"/>
        <v>1.7811704834605487E-2</v>
      </c>
      <c r="AK19" s="52"/>
      <c r="AL19" s="413">
        <f>IFERROR(VLOOKUP($C19,'Proposed Rates'!$B:$J,AL$11,FALSE),0)</f>
        <v>4.0599999999999997E-2</v>
      </c>
      <c r="AM19" s="397">
        <f t="shared" si="19"/>
        <v>2000</v>
      </c>
      <c r="AN19" s="399">
        <f t="shared" ref="AN19:AN28" si="24">AM19*AL19</f>
        <v>81.199999999999989</v>
      </c>
      <c r="AO19" s="132"/>
      <c r="AP19" s="400">
        <f t="shared" si="21"/>
        <v>1.1999999999999886</v>
      </c>
      <c r="AQ19" s="401">
        <f t="shared" si="22"/>
        <v>1.4999999999999857E-2</v>
      </c>
      <c r="AR19" s="402"/>
    </row>
    <row r="20" spans="1:44" ht="12" customHeight="1">
      <c r="A20" s="52"/>
      <c r="B20" s="321" t="s">
        <v>313</v>
      </c>
      <c r="C20" s="394" t="str">
        <f t="shared" si="0"/>
        <v>General Service &lt; 50 kW.Smart Meter Disposition Rider</v>
      </c>
      <c r="D20" s="395" t="s">
        <v>312</v>
      </c>
      <c r="E20" s="321"/>
      <c r="F20" s="413">
        <f>IFERROR(VLOOKUP($C20,'Proposed Rates'!$B:$J,F$11,FALSE),0)</f>
        <v>0</v>
      </c>
      <c r="G20" s="397">
        <f t="shared" si="1"/>
        <v>2000</v>
      </c>
      <c r="H20" s="399">
        <f t="shared" si="2"/>
        <v>0</v>
      </c>
      <c r="I20" s="132"/>
      <c r="J20" s="413">
        <f>IFERROR(VLOOKUP($C20,'Proposed Rates'!$B:$J,J$11,FALSE),0)</f>
        <v>0</v>
      </c>
      <c r="K20" s="397">
        <f t="shared" si="3"/>
        <v>2000</v>
      </c>
      <c r="L20" s="399">
        <f t="shared" si="4"/>
        <v>0</v>
      </c>
      <c r="M20" s="132"/>
      <c r="N20" s="400">
        <f t="shared" si="5"/>
        <v>0</v>
      </c>
      <c r="O20" s="401" t="str">
        <f t="shared" si="6"/>
        <v/>
      </c>
      <c r="P20" s="52"/>
      <c r="Q20" s="413">
        <f>IFERROR(VLOOKUP($C20,'Proposed Rates'!$B:$J,Q$11,FALSE),0)</f>
        <v>0</v>
      </c>
      <c r="R20" s="397">
        <f t="shared" si="7"/>
        <v>2000</v>
      </c>
      <c r="S20" s="399">
        <f t="shared" si="8"/>
        <v>0</v>
      </c>
      <c r="T20" s="132"/>
      <c r="U20" s="400">
        <f t="shared" si="9"/>
        <v>0</v>
      </c>
      <c r="V20" s="401" t="str">
        <f t="shared" si="10"/>
        <v/>
      </c>
      <c r="W20" s="52"/>
      <c r="X20" s="413">
        <f>IFERROR(VLOOKUP($C20,'Proposed Rates'!$B:$J,X$11,FALSE),0)</f>
        <v>0</v>
      </c>
      <c r="Y20" s="397">
        <f t="shared" si="11"/>
        <v>2000</v>
      </c>
      <c r="Z20" s="399">
        <f t="shared" si="12"/>
        <v>0</v>
      </c>
      <c r="AA20" s="132"/>
      <c r="AB20" s="400">
        <f t="shared" si="13"/>
        <v>0</v>
      </c>
      <c r="AC20" s="401" t="str">
        <f t="shared" si="14"/>
        <v/>
      </c>
      <c r="AD20" s="52"/>
      <c r="AE20" s="413">
        <f>IFERROR(VLOOKUP($C20,'Proposed Rates'!$B:$J,AE$11,FALSE),0)</f>
        <v>0</v>
      </c>
      <c r="AF20" s="397">
        <f t="shared" si="15"/>
        <v>2000</v>
      </c>
      <c r="AG20" s="399">
        <f t="shared" si="16"/>
        <v>0</v>
      </c>
      <c r="AH20" s="132"/>
      <c r="AI20" s="400">
        <f t="shared" si="17"/>
        <v>0</v>
      </c>
      <c r="AJ20" s="401" t="str">
        <f t="shared" si="18"/>
        <v/>
      </c>
      <c r="AK20" s="52"/>
      <c r="AL20" s="413">
        <f>IFERROR(VLOOKUP($C20,'Proposed Rates'!$B:$J,AL$11,FALSE),0)</f>
        <v>0</v>
      </c>
      <c r="AM20" s="397">
        <f t="shared" si="19"/>
        <v>2000</v>
      </c>
      <c r="AN20" s="399">
        <f t="shared" si="24"/>
        <v>0</v>
      </c>
      <c r="AO20" s="132"/>
      <c r="AP20" s="400">
        <f t="shared" si="21"/>
        <v>0</v>
      </c>
      <c r="AQ20" s="401" t="str">
        <f t="shared" si="22"/>
        <v/>
      </c>
      <c r="AR20" s="402"/>
    </row>
    <row r="21" spans="1:44" ht="12" customHeight="1">
      <c r="A21" s="52"/>
      <c r="B21" s="321" t="s">
        <v>244</v>
      </c>
      <c r="C21" s="394" t="str">
        <f t="shared" si="0"/>
        <v>General Service &lt; 50 kW.LRAM Rate Rider</v>
      </c>
      <c r="D21" s="395" t="s">
        <v>312</v>
      </c>
      <c r="E21" s="321"/>
      <c r="F21" s="413">
        <f>'Proposed Rates'!E78+'Proposed Rates'!E91</f>
        <v>6.9999999999999999E-4</v>
      </c>
      <c r="G21" s="397">
        <f t="shared" si="1"/>
        <v>2000</v>
      </c>
      <c r="H21" s="399">
        <f t="shared" si="2"/>
        <v>1.4</v>
      </c>
      <c r="I21" s="132"/>
      <c r="J21" s="413">
        <f>'Proposed Rates'!F78+'Proposed Rates'!F91</f>
        <v>4.0000000000000002E-4</v>
      </c>
      <c r="K21" s="397">
        <f t="shared" si="3"/>
        <v>2000</v>
      </c>
      <c r="L21" s="399">
        <f t="shared" si="4"/>
        <v>0.8</v>
      </c>
      <c r="M21" s="132"/>
      <c r="N21" s="400">
        <f t="shared" si="5"/>
        <v>-0.59999999999999987</v>
      </c>
      <c r="O21" s="401">
        <f t="shared" si="6"/>
        <v>-0.42857142857142849</v>
      </c>
      <c r="P21" s="52"/>
      <c r="Q21" s="413">
        <f>'Proposed Rates'!G78+'Proposed Rates'!G91</f>
        <v>0</v>
      </c>
      <c r="R21" s="397">
        <f t="shared" si="7"/>
        <v>2000</v>
      </c>
      <c r="S21" s="399">
        <f t="shared" si="8"/>
        <v>0</v>
      </c>
      <c r="T21" s="132"/>
      <c r="U21" s="400">
        <f t="shared" si="9"/>
        <v>-0.8</v>
      </c>
      <c r="V21" s="401">
        <f t="shared" si="10"/>
        <v>-1</v>
      </c>
      <c r="W21" s="52"/>
      <c r="X21" s="413">
        <f>IFERROR(VLOOKUP($C21,'Proposed Rates'!$B:$J,X$11,FALSE),0)</f>
        <v>0</v>
      </c>
      <c r="Y21" s="397">
        <f t="shared" si="11"/>
        <v>2000</v>
      </c>
      <c r="Z21" s="399">
        <f t="shared" si="12"/>
        <v>0</v>
      </c>
      <c r="AA21" s="132"/>
      <c r="AB21" s="400">
        <f t="shared" si="13"/>
        <v>0</v>
      </c>
      <c r="AC21" s="401" t="str">
        <f t="shared" si="14"/>
        <v/>
      </c>
      <c r="AD21" s="52"/>
      <c r="AE21" s="413">
        <f>IFERROR(VLOOKUP($C21,'Proposed Rates'!$B:$J,AE$11,FALSE),0)</f>
        <v>0</v>
      </c>
      <c r="AF21" s="397">
        <f t="shared" si="15"/>
        <v>2000</v>
      </c>
      <c r="AG21" s="399">
        <f t="shared" si="16"/>
        <v>0</v>
      </c>
      <c r="AH21" s="132"/>
      <c r="AI21" s="400">
        <f t="shared" si="17"/>
        <v>0</v>
      </c>
      <c r="AJ21" s="401" t="str">
        <f t="shared" si="18"/>
        <v/>
      </c>
      <c r="AK21" s="52"/>
      <c r="AL21" s="413">
        <f>IFERROR(VLOOKUP($C21,'Proposed Rates'!$B:$J,AL$11,FALSE),0)</f>
        <v>0</v>
      </c>
      <c r="AM21" s="397">
        <f t="shared" si="19"/>
        <v>2000</v>
      </c>
      <c r="AN21" s="399">
        <f t="shared" si="24"/>
        <v>0</v>
      </c>
      <c r="AO21" s="132"/>
      <c r="AP21" s="400">
        <f t="shared" si="21"/>
        <v>0</v>
      </c>
      <c r="AQ21" s="401" t="str">
        <f t="shared" si="22"/>
        <v/>
      </c>
      <c r="AR21" s="402"/>
    </row>
    <row r="22" spans="1:44" ht="12" customHeight="1">
      <c r="A22" s="52"/>
      <c r="B22" s="403" t="s">
        <v>240</v>
      </c>
      <c r="C22" s="394" t="str">
        <f t="shared" si="0"/>
        <v>General Service &lt; 50 kW.Deferral/Variance Account Disposition Rate Rider Group 2</v>
      </c>
      <c r="D22" s="395" t="s">
        <v>312</v>
      </c>
      <c r="E22" s="321"/>
      <c r="F22" s="413">
        <f>IFERROR(VLOOKUP($C22,'Proposed Rates'!$B:$J,F$11,FALSE),0)</f>
        <v>0</v>
      </c>
      <c r="G22" s="397">
        <f t="shared" si="1"/>
        <v>2000</v>
      </c>
      <c r="H22" s="399">
        <f t="shared" si="2"/>
        <v>0</v>
      </c>
      <c r="I22" s="132"/>
      <c r="J22" s="413">
        <f>IFERROR(VLOOKUP($C22,'Proposed Rates'!$B:$J,J$11,FALSE),0)</f>
        <v>-8.0000000000000004E-4</v>
      </c>
      <c r="K22" s="397">
        <f t="shared" si="3"/>
        <v>2000</v>
      </c>
      <c r="L22" s="399">
        <f t="shared" si="4"/>
        <v>-1.6</v>
      </c>
      <c r="M22" s="132"/>
      <c r="N22" s="400">
        <f t="shared" si="5"/>
        <v>-1.6</v>
      </c>
      <c r="O22" s="401" t="str">
        <f t="shared" si="6"/>
        <v/>
      </c>
      <c r="P22" s="52"/>
      <c r="Q22" s="413">
        <f>IFERROR(VLOOKUP($C22,'Proposed Rates'!$B:$J,Q$11,FALSE),0)</f>
        <v>0</v>
      </c>
      <c r="R22" s="397">
        <f t="shared" si="7"/>
        <v>2000</v>
      </c>
      <c r="S22" s="399">
        <f t="shared" si="8"/>
        <v>0</v>
      </c>
      <c r="T22" s="132"/>
      <c r="U22" s="400">
        <f t="shared" si="9"/>
        <v>1.6</v>
      </c>
      <c r="V22" s="401">
        <f t="shared" si="10"/>
        <v>-1</v>
      </c>
      <c r="W22" s="52"/>
      <c r="X22" s="413">
        <f>IFERROR(VLOOKUP($C22,'Proposed Rates'!$B:$J,X$11,FALSE),0)</f>
        <v>0</v>
      </c>
      <c r="Y22" s="397">
        <f t="shared" si="11"/>
        <v>2000</v>
      </c>
      <c r="Z22" s="399">
        <f t="shared" si="12"/>
        <v>0</v>
      </c>
      <c r="AA22" s="132"/>
      <c r="AB22" s="400">
        <f t="shared" si="13"/>
        <v>0</v>
      </c>
      <c r="AC22" s="401" t="str">
        <f t="shared" si="14"/>
        <v/>
      </c>
      <c r="AD22" s="52"/>
      <c r="AE22" s="413">
        <f>IFERROR(VLOOKUP($C22,'Proposed Rates'!$B:$J,AE$11,FALSE),0)</f>
        <v>0</v>
      </c>
      <c r="AF22" s="397">
        <f t="shared" si="15"/>
        <v>2000</v>
      </c>
      <c r="AG22" s="399">
        <f t="shared" si="16"/>
        <v>0</v>
      </c>
      <c r="AH22" s="132"/>
      <c r="AI22" s="400">
        <f t="shared" si="17"/>
        <v>0</v>
      </c>
      <c r="AJ22" s="401" t="str">
        <f t="shared" si="18"/>
        <v/>
      </c>
      <c r="AK22" s="52"/>
      <c r="AL22" s="413">
        <f>IFERROR(VLOOKUP($C22,'Proposed Rates'!$B:$J,AL$11,FALSE),0)</f>
        <v>0</v>
      </c>
      <c r="AM22" s="397">
        <f t="shared" si="19"/>
        <v>2000</v>
      </c>
      <c r="AN22" s="399">
        <f t="shared" si="24"/>
        <v>0</v>
      </c>
      <c r="AO22" s="132"/>
      <c r="AP22" s="400">
        <f t="shared" si="21"/>
        <v>0</v>
      </c>
      <c r="AQ22" s="401" t="str">
        <f t="shared" si="22"/>
        <v/>
      </c>
      <c r="AR22" s="402"/>
    </row>
    <row r="23" spans="1:44" ht="12" customHeight="1">
      <c r="A23" s="52"/>
      <c r="B23" s="403"/>
      <c r="C23" s="394" t="str">
        <f t="shared" si="0"/>
        <v>General Service &lt; 50 kW.</v>
      </c>
      <c r="D23" s="395"/>
      <c r="E23" s="321"/>
      <c r="F23" s="413">
        <f>IFERROR(VLOOKUP($C23,'Proposed Rates'!$B:$J,F$11,FALSE),0)</f>
        <v>0</v>
      </c>
      <c r="G23" s="397">
        <f t="shared" si="1"/>
        <v>0</v>
      </c>
      <c r="H23" s="399">
        <f t="shared" si="2"/>
        <v>0</v>
      </c>
      <c r="I23" s="132"/>
      <c r="J23" s="413">
        <f>IFERROR(VLOOKUP($C23,'Proposed Rates'!$B:$J,J$11,FALSE),0)</f>
        <v>0</v>
      </c>
      <c r="K23" s="397">
        <f t="shared" si="3"/>
        <v>0</v>
      </c>
      <c r="L23" s="399">
        <f t="shared" si="4"/>
        <v>0</v>
      </c>
      <c r="M23" s="132"/>
      <c r="N23" s="400">
        <f t="shared" si="5"/>
        <v>0</v>
      </c>
      <c r="O23" s="401" t="str">
        <f t="shared" si="6"/>
        <v/>
      </c>
      <c r="P23" s="52"/>
      <c r="Q23" s="413">
        <f>IFERROR(VLOOKUP($C23,'Proposed Rates'!$B:$J,Q$11,FALSE),0)</f>
        <v>0</v>
      </c>
      <c r="R23" s="397">
        <f t="shared" si="7"/>
        <v>0</v>
      </c>
      <c r="S23" s="399">
        <f t="shared" si="8"/>
        <v>0</v>
      </c>
      <c r="T23" s="132"/>
      <c r="U23" s="400">
        <f t="shared" si="9"/>
        <v>0</v>
      </c>
      <c r="V23" s="401" t="str">
        <f t="shared" si="10"/>
        <v/>
      </c>
      <c r="W23" s="52"/>
      <c r="X23" s="413">
        <f>IFERROR(VLOOKUP($C23,'Proposed Rates'!$B:$J,X$11,FALSE),0)</f>
        <v>0</v>
      </c>
      <c r="Y23" s="397">
        <f t="shared" si="11"/>
        <v>0</v>
      </c>
      <c r="Z23" s="399">
        <f t="shared" si="12"/>
        <v>0</v>
      </c>
      <c r="AA23" s="132"/>
      <c r="AB23" s="400">
        <f t="shared" si="13"/>
        <v>0</v>
      </c>
      <c r="AC23" s="401" t="str">
        <f t="shared" si="14"/>
        <v/>
      </c>
      <c r="AD23" s="52"/>
      <c r="AE23" s="413">
        <f>IFERROR(VLOOKUP($C23,'Proposed Rates'!$B:$J,AE$11,FALSE),0)</f>
        <v>0</v>
      </c>
      <c r="AF23" s="397">
        <f t="shared" si="15"/>
        <v>0</v>
      </c>
      <c r="AG23" s="399">
        <f t="shared" si="16"/>
        <v>0</v>
      </c>
      <c r="AH23" s="132"/>
      <c r="AI23" s="400">
        <f t="shared" si="17"/>
        <v>0</v>
      </c>
      <c r="AJ23" s="401" t="str">
        <f t="shared" si="18"/>
        <v/>
      </c>
      <c r="AK23" s="52"/>
      <c r="AL23" s="413">
        <f>IFERROR(VLOOKUP($C23,'Proposed Rates'!$B:$J,AL$11,FALSE),0)</f>
        <v>0</v>
      </c>
      <c r="AM23" s="397">
        <f t="shared" si="19"/>
        <v>0</v>
      </c>
      <c r="AN23" s="399">
        <f t="shared" si="24"/>
        <v>0</v>
      </c>
      <c r="AO23" s="132"/>
      <c r="AP23" s="400">
        <f t="shared" si="21"/>
        <v>0</v>
      </c>
      <c r="AQ23" s="401" t="str">
        <f t="shared" si="22"/>
        <v/>
      </c>
      <c r="AR23" s="402"/>
    </row>
    <row r="24" spans="1:44" ht="12" customHeight="1">
      <c r="A24" s="52"/>
      <c r="B24" s="403"/>
      <c r="C24" s="394" t="str">
        <f t="shared" si="0"/>
        <v>General Service &lt; 50 kW.</v>
      </c>
      <c r="D24" s="395"/>
      <c r="E24" s="321"/>
      <c r="F24" s="413">
        <f>IFERROR(VLOOKUP($C24,'Proposed Rates'!$B:$J,F$11,FALSE),0)</f>
        <v>0</v>
      </c>
      <c r="G24" s="397">
        <f t="shared" si="1"/>
        <v>0</v>
      </c>
      <c r="H24" s="399">
        <f t="shared" si="2"/>
        <v>0</v>
      </c>
      <c r="I24" s="132"/>
      <c r="J24" s="413">
        <f>IFERROR(VLOOKUP($C24,'Proposed Rates'!$B:$J,J$11,FALSE),0)</f>
        <v>0</v>
      </c>
      <c r="K24" s="397">
        <f t="shared" si="3"/>
        <v>0</v>
      </c>
      <c r="L24" s="399">
        <f t="shared" si="4"/>
        <v>0</v>
      </c>
      <c r="M24" s="132"/>
      <c r="N24" s="400">
        <f t="shared" si="5"/>
        <v>0</v>
      </c>
      <c r="O24" s="401" t="str">
        <f t="shared" si="6"/>
        <v/>
      </c>
      <c r="P24" s="52"/>
      <c r="Q24" s="413">
        <f>IFERROR(VLOOKUP($C24,'Proposed Rates'!$B:$J,Q$11,FALSE),0)</f>
        <v>0</v>
      </c>
      <c r="R24" s="397">
        <f t="shared" si="7"/>
        <v>0</v>
      </c>
      <c r="S24" s="399">
        <f t="shared" si="8"/>
        <v>0</v>
      </c>
      <c r="T24" s="132"/>
      <c r="U24" s="400">
        <f t="shared" si="9"/>
        <v>0</v>
      </c>
      <c r="V24" s="401" t="str">
        <f t="shared" si="10"/>
        <v/>
      </c>
      <c r="W24" s="52"/>
      <c r="X24" s="413">
        <f>IFERROR(VLOOKUP($C24,'Proposed Rates'!$B:$J,X$11,FALSE),0)</f>
        <v>0</v>
      </c>
      <c r="Y24" s="397">
        <f t="shared" si="11"/>
        <v>0</v>
      </c>
      <c r="Z24" s="399">
        <f t="shared" si="12"/>
        <v>0</v>
      </c>
      <c r="AA24" s="132"/>
      <c r="AB24" s="400">
        <f t="shared" si="13"/>
        <v>0</v>
      </c>
      <c r="AC24" s="401" t="str">
        <f t="shared" si="14"/>
        <v/>
      </c>
      <c r="AD24" s="52"/>
      <c r="AE24" s="413">
        <f>IFERROR(VLOOKUP($C24,'Proposed Rates'!$B:$J,AE$11,FALSE),0)</f>
        <v>0</v>
      </c>
      <c r="AF24" s="397">
        <f t="shared" si="15"/>
        <v>0</v>
      </c>
      <c r="AG24" s="399">
        <f t="shared" si="16"/>
        <v>0</v>
      </c>
      <c r="AH24" s="132"/>
      <c r="AI24" s="400">
        <f t="shared" si="17"/>
        <v>0</v>
      </c>
      <c r="AJ24" s="401" t="str">
        <f t="shared" si="18"/>
        <v/>
      </c>
      <c r="AK24" s="52"/>
      <c r="AL24" s="413">
        <f>IFERROR(VLOOKUP($C24,'Proposed Rates'!$B:$J,AL$11,FALSE),0)</f>
        <v>0</v>
      </c>
      <c r="AM24" s="397">
        <f t="shared" si="19"/>
        <v>0</v>
      </c>
      <c r="AN24" s="399">
        <f t="shared" si="24"/>
        <v>0</v>
      </c>
      <c r="AO24" s="132"/>
      <c r="AP24" s="400">
        <f t="shared" si="21"/>
        <v>0</v>
      </c>
      <c r="AQ24" s="401" t="str">
        <f t="shared" si="22"/>
        <v/>
      </c>
      <c r="AR24" s="402"/>
    </row>
    <row r="25" spans="1:44" ht="12" customHeight="1">
      <c r="A25" s="52"/>
      <c r="B25" s="403"/>
      <c r="C25" s="394" t="str">
        <f t="shared" si="0"/>
        <v>General Service &lt; 50 kW.</v>
      </c>
      <c r="D25" s="395"/>
      <c r="E25" s="321"/>
      <c r="F25" s="413">
        <f>IFERROR(VLOOKUP($C25,'Proposed Rates'!$B:$J,F$11,FALSE),0)</f>
        <v>0</v>
      </c>
      <c r="G25" s="397">
        <f t="shared" si="1"/>
        <v>0</v>
      </c>
      <c r="H25" s="399">
        <f t="shared" si="2"/>
        <v>0</v>
      </c>
      <c r="I25" s="132"/>
      <c r="J25" s="413">
        <f>IFERROR(VLOOKUP($C25,'Proposed Rates'!$B:$J,J$11,FALSE),0)</f>
        <v>0</v>
      </c>
      <c r="K25" s="397">
        <f t="shared" si="3"/>
        <v>0</v>
      </c>
      <c r="L25" s="399">
        <f t="shared" si="4"/>
        <v>0</v>
      </c>
      <c r="M25" s="132"/>
      <c r="N25" s="400">
        <f t="shared" si="5"/>
        <v>0</v>
      </c>
      <c r="O25" s="401" t="str">
        <f t="shared" si="6"/>
        <v/>
      </c>
      <c r="P25" s="52"/>
      <c r="Q25" s="413">
        <f>IFERROR(VLOOKUP($C25,'Proposed Rates'!$B:$J,Q$11,FALSE),0)</f>
        <v>0</v>
      </c>
      <c r="R25" s="397">
        <f t="shared" si="7"/>
        <v>0</v>
      </c>
      <c r="S25" s="399">
        <f t="shared" si="8"/>
        <v>0</v>
      </c>
      <c r="T25" s="132"/>
      <c r="U25" s="400">
        <f t="shared" si="9"/>
        <v>0</v>
      </c>
      <c r="V25" s="401" t="str">
        <f t="shared" si="10"/>
        <v/>
      </c>
      <c r="W25" s="52"/>
      <c r="X25" s="413">
        <f>IFERROR(VLOOKUP($C25,'Proposed Rates'!$B:$J,X$11,FALSE),0)</f>
        <v>0</v>
      </c>
      <c r="Y25" s="397">
        <f t="shared" si="11"/>
        <v>0</v>
      </c>
      <c r="Z25" s="399">
        <f t="shared" si="12"/>
        <v>0</v>
      </c>
      <c r="AA25" s="132"/>
      <c r="AB25" s="400">
        <f t="shared" si="13"/>
        <v>0</v>
      </c>
      <c r="AC25" s="401" t="str">
        <f t="shared" si="14"/>
        <v/>
      </c>
      <c r="AD25" s="52"/>
      <c r="AE25" s="413">
        <f>IFERROR(VLOOKUP($C25,'Proposed Rates'!$B:$J,AE$11,FALSE),0)</f>
        <v>0</v>
      </c>
      <c r="AF25" s="397">
        <f t="shared" si="15"/>
        <v>0</v>
      </c>
      <c r="AG25" s="399">
        <f t="shared" si="16"/>
        <v>0</v>
      </c>
      <c r="AH25" s="132"/>
      <c r="AI25" s="400">
        <f t="shared" si="17"/>
        <v>0</v>
      </c>
      <c r="AJ25" s="401" t="str">
        <f t="shared" si="18"/>
        <v/>
      </c>
      <c r="AK25" s="52"/>
      <c r="AL25" s="413">
        <f>IFERROR(VLOOKUP($C25,'Proposed Rates'!$B:$J,AL$11,FALSE),0)</f>
        <v>0</v>
      </c>
      <c r="AM25" s="397">
        <f t="shared" si="19"/>
        <v>0</v>
      </c>
      <c r="AN25" s="399">
        <f t="shared" si="24"/>
        <v>0</v>
      </c>
      <c r="AO25" s="132"/>
      <c r="AP25" s="400">
        <f t="shared" si="21"/>
        <v>0</v>
      </c>
      <c r="AQ25" s="401" t="str">
        <f t="shared" si="22"/>
        <v/>
      </c>
      <c r="AR25" s="402"/>
    </row>
    <row r="26" spans="1:44" ht="12" customHeight="1">
      <c r="A26" s="52"/>
      <c r="B26" s="403"/>
      <c r="C26" s="394" t="str">
        <f t="shared" si="0"/>
        <v>General Service &lt; 50 kW.</v>
      </c>
      <c r="D26" s="395"/>
      <c r="E26" s="321"/>
      <c r="F26" s="413">
        <f>IFERROR(VLOOKUP($C26,'Proposed Rates'!$B:$J,F$11,FALSE),0)</f>
        <v>0</v>
      </c>
      <c r="G26" s="397">
        <f t="shared" si="1"/>
        <v>0</v>
      </c>
      <c r="H26" s="399">
        <f t="shared" si="2"/>
        <v>0</v>
      </c>
      <c r="I26" s="132"/>
      <c r="J26" s="413">
        <f>IFERROR(VLOOKUP($C26,'Proposed Rates'!$B:$J,J$11,FALSE),0)</f>
        <v>0</v>
      </c>
      <c r="K26" s="397">
        <f t="shared" si="3"/>
        <v>0</v>
      </c>
      <c r="L26" s="399">
        <f t="shared" si="4"/>
        <v>0</v>
      </c>
      <c r="M26" s="132"/>
      <c r="N26" s="400">
        <f t="shared" si="5"/>
        <v>0</v>
      </c>
      <c r="O26" s="401" t="str">
        <f t="shared" si="6"/>
        <v/>
      </c>
      <c r="P26" s="52"/>
      <c r="Q26" s="413">
        <f>IFERROR(VLOOKUP($C26,'Proposed Rates'!$B:$J,Q$11,FALSE),0)</f>
        <v>0</v>
      </c>
      <c r="R26" s="397">
        <f t="shared" si="7"/>
        <v>0</v>
      </c>
      <c r="S26" s="399">
        <f t="shared" si="8"/>
        <v>0</v>
      </c>
      <c r="T26" s="132"/>
      <c r="U26" s="400">
        <f t="shared" si="9"/>
        <v>0</v>
      </c>
      <c r="V26" s="401" t="str">
        <f t="shared" si="10"/>
        <v/>
      </c>
      <c r="W26" s="52"/>
      <c r="X26" s="413">
        <f>IFERROR(VLOOKUP($C26,'Proposed Rates'!$B:$J,X$11,FALSE),0)</f>
        <v>0</v>
      </c>
      <c r="Y26" s="397">
        <f t="shared" si="11"/>
        <v>0</v>
      </c>
      <c r="Z26" s="399">
        <f t="shared" si="12"/>
        <v>0</v>
      </c>
      <c r="AA26" s="132"/>
      <c r="AB26" s="400">
        <f t="shared" si="13"/>
        <v>0</v>
      </c>
      <c r="AC26" s="401" t="str">
        <f t="shared" si="14"/>
        <v/>
      </c>
      <c r="AD26" s="52"/>
      <c r="AE26" s="413">
        <f>IFERROR(VLOOKUP($C26,'Proposed Rates'!$B:$J,AE$11,FALSE),0)</f>
        <v>0</v>
      </c>
      <c r="AF26" s="397">
        <f t="shared" si="15"/>
        <v>0</v>
      </c>
      <c r="AG26" s="399">
        <f t="shared" si="16"/>
        <v>0</v>
      </c>
      <c r="AH26" s="132"/>
      <c r="AI26" s="400">
        <f t="shared" si="17"/>
        <v>0</v>
      </c>
      <c r="AJ26" s="401" t="str">
        <f t="shared" si="18"/>
        <v/>
      </c>
      <c r="AK26" s="52"/>
      <c r="AL26" s="413">
        <f>IFERROR(VLOOKUP($C26,'Proposed Rates'!$B:$J,AL$11,FALSE),0)</f>
        <v>0</v>
      </c>
      <c r="AM26" s="397">
        <f t="shared" si="19"/>
        <v>0</v>
      </c>
      <c r="AN26" s="399">
        <f t="shared" si="24"/>
        <v>0</v>
      </c>
      <c r="AO26" s="132"/>
      <c r="AP26" s="400">
        <f t="shared" si="21"/>
        <v>0</v>
      </c>
      <c r="AQ26" s="401" t="str">
        <f t="shared" si="22"/>
        <v/>
      </c>
      <c r="AR26" s="402"/>
    </row>
    <row r="27" spans="1:44" ht="12" customHeight="1">
      <c r="A27" s="52"/>
      <c r="B27" s="403"/>
      <c r="C27" s="394" t="str">
        <f t="shared" si="0"/>
        <v>General Service &lt; 50 kW.</v>
      </c>
      <c r="D27" s="395"/>
      <c r="E27" s="321"/>
      <c r="F27" s="413">
        <f>IFERROR(VLOOKUP($C27,'Proposed Rates'!$B:$J,F$11,FALSE),0)</f>
        <v>0</v>
      </c>
      <c r="G27" s="397">
        <f t="shared" si="1"/>
        <v>0</v>
      </c>
      <c r="H27" s="399">
        <f t="shared" si="2"/>
        <v>0</v>
      </c>
      <c r="I27" s="132"/>
      <c r="J27" s="413">
        <f>IFERROR(VLOOKUP($C27,'Proposed Rates'!$B:$J,J$11,FALSE),0)</f>
        <v>0</v>
      </c>
      <c r="K27" s="397">
        <f t="shared" si="3"/>
        <v>0</v>
      </c>
      <c r="L27" s="399">
        <f t="shared" si="4"/>
        <v>0</v>
      </c>
      <c r="M27" s="132"/>
      <c r="N27" s="400">
        <f t="shared" si="5"/>
        <v>0</v>
      </c>
      <c r="O27" s="401" t="str">
        <f t="shared" si="6"/>
        <v/>
      </c>
      <c r="P27" s="52"/>
      <c r="Q27" s="413">
        <f>IFERROR(VLOOKUP($C27,'Proposed Rates'!$B:$J,Q$11,FALSE),0)</f>
        <v>0</v>
      </c>
      <c r="R27" s="397">
        <f t="shared" si="7"/>
        <v>0</v>
      </c>
      <c r="S27" s="399">
        <f t="shared" si="8"/>
        <v>0</v>
      </c>
      <c r="T27" s="132"/>
      <c r="U27" s="400">
        <f t="shared" si="9"/>
        <v>0</v>
      </c>
      <c r="V27" s="401" t="str">
        <f t="shared" si="10"/>
        <v/>
      </c>
      <c r="W27" s="52"/>
      <c r="X27" s="413">
        <f>IFERROR(VLOOKUP($C27,'Proposed Rates'!$B:$J,X$11,FALSE),0)</f>
        <v>0</v>
      </c>
      <c r="Y27" s="397">
        <f t="shared" si="11"/>
        <v>0</v>
      </c>
      <c r="Z27" s="399">
        <f t="shared" si="12"/>
        <v>0</v>
      </c>
      <c r="AA27" s="132"/>
      <c r="AB27" s="400">
        <f t="shared" si="13"/>
        <v>0</v>
      </c>
      <c r="AC27" s="401" t="str">
        <f t="shared" si="14"/>
        <v/>
      </c>
      <c r="AD27" s="52"/>
      <c r="AE27" s="413">
        <f>IFERROR(VLOOKUP($C27,'Proposed Rates'!$B:$J,AE$11,FALSE),0)</f>
        <v>0</v>
      </c>
      <c r="AF27" s="397">
        <f t="shared" si="15"/>
        <v>0</v>
      </c>
      <c r="AG27" s="399">
        <f t="shared" si="16"/>
        <v>0</v>
      </c>
      <c r="AH27" s="132"/>
      <c r="AI27" s="400">
        <f t="shared" si="17"/>
        <v>0</v>
      </c>
      <c r="AJ27" s="401" t="str">
        <f t="shared" si="18"/>
        <v/>
      </c>
      <c r="AK27" s="52"/>
      <c r="AL27" s="413">
        <f>IFERROR(VLOOKUP($C27,'Proposed Rates'!$B:$J,AL$11,FALSE),0)</f>
        <v>0</v>
      </c>
      <c r="AM27" s="397">
        <f t="shared" si="19"/>
        <v>0</v>
      </c>
      <c r="AN27" s="399">
        <f t="shared" si="24"/>
        <v>0</v>
      </c>
      <c r="AO27" s="132"/>
      <c r="AP27" s="400">
        <f t="shared" si="21"/>
        <v>0</v>
      </c>
      <c r="AQ27" s="401" t="str">
        <f t="shared" si="22"/>
        <v/>
      </c>
      <c r="AR27" s="402"/>
    </row>
    <row r="28" spans="1:44" ht="12" customHeight="1">
      <c r="A28" s="52"/>
      <c r="B28" s="403"/>
      <c r="C28" s="394" t="str">
        <f t="shared" si="0"/>
        <v>General Service &lt; 50 kW.</v>
      </c>
      <c r="D28" s="395"/>
      <c r="E28" s="321"/>
      <c r="F28" s="413">
        <f>IFERROR(VLOOKUP($C28,'Proposed Rates'!$B:$J,F$11,FALSE),0)</f>
        <v>0</v>
      </c>
      <c r="G28" s="397">
        <f t="shared" si="1"/>
        <v>0</v>
      </c>
      <c r="H28" s="399">
        <f t="shared" si="2"/>
        <v>0</v>
      </c>
      <c r="I28" s="132"/>
      <c r="J28" s="413">
        <f>IFERROR(VLOOKUP($C28,'Proposed Rates'!$B:$J,J$11,FALSE),0)</f>
        <v>0</v>
      </c>
      <c r="K28" s="397">
        <f t="shared" si="3"/>
        <v>0</v>
      </c>
      <c r="L28" s="399">
        <f t="shared" si="4"/>
        <v>0</v>
      </c>
      <c r="M28" s="132"/>
      <c r="N28" s="400">
        <f t="shared" si="5"/>
        <v>0</v>
      </c>
      <c r="O28" s="401" t="str">
        <f t="shared" si="6"/>
        <v/>
      </c>
      <c r="P28" s="52"/>
      <c r="Q28" s="413">
        <f>IFERROR(VLOOKUP($C28,'Proposed Rates'!$B:$J,Q$11,FALSE),0)</f>
        <v>0</v>
      </c>
      <c r="R28" s="397">
        <f t="shared" si="7"/>
        <v>0</v>
      </c>
      <c r="S28" s="399">
        <f t="shared" si="8"/>
        <v>0</v>
      </c>
      <c r="T28" s="132"/>
      <c r="U28" s="400">
        <f t="shared" si="9"/>
        <v>0</v>
      </c>
      <c r="V28" s="401" t="str">
        <f t="shared" si="10"/>
        <v/>
      </c>
      <c r="W28" s="52"/>
      <c r="X28" s="413">
        <f>IFERROR(VLOOKUP($C28,'Proposed Rates'!$B:$J,X$11,FALSE),0)</f>
        <v>0</v>
      </c>
      <c r="Y28" s="397">
        <f t="shared" si="11"/>
        <v>0</v>
      </c>
      <c r="Z28" s="399">
        <f t="shared" si="12"/>
        <v>0</v>
      </c>
      <c r="AA28" s="132"/>
      <c r="AB28" s="400">
        <f t="shared" si="13"/>
        <v>0</v>
      </c>
      <c r="AC28" s="401" t="str">
        <f t="shared" si="14"/>
        <v/>
      </c>
      <c r="AD28" s="52"/>
      <c r="AE28" s="413">
        <f>IFERROR(VLOOKUP($C28,'Proposed Rates'!$B:$J,AE$11,FALSE),0)</f>
        <v>0</v>
      </c>
      <c r="AF28" s="397">
        <f t="shared" si="15"/>
        <v>0</v>
      </c>
      <c r="AG28" s="399">
        <f t="shared" si="16"/>
        <v>0</v>
      </c>
      <c r="AH28" s="132"/>
      <c r="AI28" s="400">
        <f t="shared" si="17"/>
        <v>0</v>
      </c>
      <c r="AJ28" s="401" t="str">
        <f t="shared" si="18"/>
        <v/>
      </c>
      <c r="AK28" s="52"/>
      <c r="AL28" s="413">
        <f>IFERROR(VLOOKUP($C28,'Proposed Rates'!$B:$J,AL$11,FALSE),0)</f>
        <v>0</v>
      </c>
      <c r="AM28" s="397">
        <f t="shared" si="19"/>
        <v>0</v>
      </c>
      <c r="AN28" s="399">
        <f t="shared" si="24"/>
        <v>0</v>
      </c>
      <c r="AO28" s="132"/>
      <c r="AP28" s="400">
        <f t="shared" si="21"/>
        <v>0</v>
      </c>
      <c r="AQ28" s="401" t="str">
        <f t="shared" si="22"/>
        <v/>
      </c>
      <c r="AR28" s="402"/>
    </row>
    <row r="29" spans="1:44" ht="12" customHeight="1">
      <c r="A29" s="307"/>
      <c r="B29" s="404" t="s">
        <v>314</v>
      </c>
      <c r="C29" s="405"/>
      <c r="D29" s="405"/>
      <c r="E29" s="405"/>
      <c r="F29" s="406"/>
      <c r="G29" s="499"/>
      <c r="H29" s="408">
        <f>SUM(H15:H28)</f>
        <v>85.93</v>
      </c>
      <c r="I29" s="409"/>
      <c r="J29" s="406"/>
      <c r="K29" s="499"/>
      <c r="L29" s="501">
        <f>SUM(L15:L28)</f>
        <v>96.740000000000009</v>
      </c>
      <c r="M29" s="409"/>
      <c r="N29" s="410">
        <f t="shared" si="5"/>
        <v>10.810000000000002</v>
      </c>
      <c r="O29" s="411">
        <f t="shared" si="6"/>
        <v>0.12580006982427558</v>
      </c>
      <c r="P29" s="307"/>
      <c r="Q29" s="406"/>
      <c r="R29" s="499"/>
      <c r="S29" s="408">
        <f>SUM(S15:S28)</f>
        <v>102.21000000000001</v>
      </c>
      <c r="T29" s="409"/>
      <c r="U29" s="410">
        <f t="shared" si="9"/>
        <v>5.4699999999999989</v>
      </c>
      <c r="V29" s="411">
        <f t="shared" si="10"/>
        <v>5.6543311970229465E-2</v>
      </c>
      <c r="W29" s="307"/>
      <c r="X29" s="406"/>
      <c r="Y29" s="499"/>
      <c r="Z29" s="408">
        <f>SUM(Z15:Z28)</f>
        <v>108.89000000000001</v>
      </c>
      <c r="AA29" s="409"/>
      <c r="AB29" s="410">
        <f t="shared" si="13"/>
        <v>6.6800000000000068</v>
      </c>
      <c r="AC29" s="411">
        <f t="shared" si="14"/>
        <v>6.5355640348302574E-2</v>
      </c>
      <c r="AD29" s="307"/>
      <c r="AE29" s="406"/>
      <c r="AF29" s="499"/>
      <c r="AG29" s="408">
        <f>SUM(AG15:AG28)</f>
        <v>110.86</v>
      </c>
      <c r="AH29" s="409"/>
      <c r="AI29" s="410">
        <f t="shared" si="17"/>
        <v>1.9699999999999847</v>
      </c>
      <c r="AJ29" s="411">
        <f t="shared" si="18"/>
        <v>1.8091652125998572E-2</v>
      </c>
      <c r="AK29" s="307"/>
      <c r="AL29" s="406"/>
      <c r="AM29" s="499"/>
      <c r="AN29" s="408">
        <f>SUM(AN15:AN28)</f>
        <v>112.49999999999999</v>
      </c>
      <c r="AO29" s="409"/>
      <c r="AP29" s="410">
        <f t="shared" si="21"/>
        <v>1.6399999999999864</v>
      </c>
      <c r="AQ29" s="411">
        <f t="shared" si="22"/>
        <v>1.4793433158939079E-2</v>
      </c>
      <c r="AR29" s="412"/>
    </row>
    <row r="30" spans="1:44" ht="12" customHeight="1">
      <c r="A30" s="52"/>
      <c r="B30" s="403" t="s">
        <v>237</v>
      </c>
      <c r="C30" s="394" t="str">
        <f t="shared" ref="C30:C36" si="25">D$6&amp;"."&amp;B30</f>
        <v>General Service &lt; 50 kW.DVA Disposition Rate Rider Group 1 -2025</v>
      </c>
      <c r="D30" s="395" t="s">
        <v>312</v>
      </c>
      <c r="E30" s="321"/>
      <c r="F30" s="413">
        <f>IFERROR(VLOOKUP($C30,'Proposed Rates'!$B:$J,F$11,FALSE),0)</f>
        <v>0</v>
      </c>
      <c r="G30" s="397">
        <f t="shared" ref="G30:G33" si="26">IF($D30="Monthly",1,IF($D30="per KWH",$F$10,0))</f>
        <v>2000</v>
      </c>
      <c r="H30" s="399">
        <f t="shared" ref="H30:H36" si="27">G30*F30</f>
        <v>0</v>
      </c>
      <c r="I30" s="132"/>
      <c r="J30" s="413">
        <f>IFERROR(VLOOKUP($C30,'Proposed Rates'!$B:$J,J$11,FALSE),0)</f>
        <v>-5.0000000000000001E-4</v>
      </c>
      <c r="K30" s="397">
        <f t="shared" ref="K30:K33" si="28">IF($D30="Monthly",1,IF($D30="per KWH",$F$10,0))</f>
        <v>2000</v>
      </c>
      <c r="L30" s="399">
        <f t="shared" ref="L30:L36" si="29">K30*J30</f>
        <v>-1</v>
      </c>
      <c r="M30" s="132"/>
      <c r="N30" s="400">
        <f t="shared" si="5"/>
        <v>-1</v>
      </c>
      <c r="O30" s="401" t="str">
        <f t="shared" si="6"/>
        <v/>
      </c>
      <c r="P30" s="52"/>
      <c r="Q30" s="413">
        <f>IFERROR(VLOOKUP($C30,'Proposed Rates'!$B:$J,Q$11,FALSE),0)</f>
        <v>0</v>
      </c>
      <c r="R30" s="397">
        <f t="shared" ref="R30:R33" si="30">IF($D30="Monthly",1,IF($D30="per KWH",$F$10,0))</f>
        <v>2000</v>
      </c>
      <c r="S30" s="399">
        <f t="shared" ref="S30:S36" si="31">R30*Q30</f>
        <v>0</v>
      </c>
      <c r="T30" s="132"/>
      <c r="U30" s="400">
        <f t="shared" si="9"/>
        <v>1</v>
      </c>
      <c r="V30" s="401">
        <f t="shared" si="10"/>
        <v>-1</v>
      </c>
      <c r="W30" s="52"/>
      <c r="X30" s="413">
        <f>IFERROR(VLOOKUP($C30,'Proposed Rates'!$B:$J,X$11,FALSE),0)</f>
        <v>0</v>
      </c>
      <c r="Y30" s="397">
        <f t="shared" ref="Y30:Y33" si="32">IF($D30="Monthly",1,IF($D30="per KWH",$F$10,0))</f>
        <v>2000</v>
      </c>
      <c r="Z30" s="399">
        <f t="shared" ref="Z30:Z36" si="33">Y30*X30</f>
        <v>0</v>
      </c>
      <c r="AA30" s="132"/>
      <c r="AB30" s="400">
        <f t="shared" si="13"/>
        <v>0</v>
      </c>
      <c r="AC30" s="401" t="str">
        <f t="shared" si="14"/>
        <v/>
      </c>
      <c r="AD30" s="52"/>
      <c r="AE30" s="413">
        <f>IFERROR(VLOOKUP($C30,'Proposed Rates'!$B:$J,AE$11,FALSE),0)</f>
        <v>0</v>
      </c>
      <c r="AF30" s="397">
        <f t="shared" ref="AF30:AF33" si="34">IF($D30="Monthly",1,IF($D30="per KWH",$F$10,0))</f>
        <v>2000</v>
      </c>
      <c r="AG30" s="399">
        <f t="shared" ref="AG30:AG36" si="35">AF30*AE30</f>
        <v>0</v>
      </c>
      <c r="AH30" s="132"/>
      <c r="AI30" s="400">
        <f t="shared" si="17"/>
        <v>0</v>
      </c>
      <c r="AJ30" s="401" t="str">
        <f t="shared" si="18"/>
        <v/>
      </c>
      <c r="AK30" s="52"/>
      <c r="AL30" s="413">
        <f>IFERROR(VLOOKUP($C30,'Proposed Rates'!$B:$J,AL$11,FALSE),0)</f>
        <v>0</v>
      </c>
      <c r="AM30" s="397">
        <f t="shared" ref="AM30:AM33" si="36">IF($D30="Monthly",1,IF($D30="per KWH",$F$10,0))</f>
        <v>2000</v>
      </c>
      <c r="AN30" s="399">
        <f t="shared" ref="AN30:AN36" si="37">AM30*AL30</f>
        <v>0</v>
      </c>
      <c r="AO30" s="132"/>
      <c r="AP30" s="400">
        <f t="shared" si="21"/>
        <v>0</v>
      </c>
      <c r="AQ30" s="401" t="str">
        <f t="shared" si="22"/>
        <v/>
      </c>
      <c r="AR30" s="402"/>
    </row>
    <row r="31" spans="1:44" ht="12" customHeight="1">
      <c r="A31" s="52"/>
      <c r="B31" s="403" t="s">
        <v>239</v>
      </c>
      <c r="C31" s="394" t="str">
        <f t="shared" si="25"/>
        <v>General Service &lt; 50 kW.DVA Disposition Rate Rider Group 1 - 2024</v>
      </c>
      <c r="D31" s="395" t="s">
        <v>312</v>
      </c>
      <c r="E31" s="321"/>
      <c r="F31" s="413">
        <f>IFERROR(VLOOKUP($C31,'Proposed Rates'!$B:$J,F$11,FALSE),0)</f>
        <v>0</v>
      </c>
      <c r="G31" s="397">
        <f t="shared" si="26"/>
        <v>2000</v>
      </c>
      <c r="H31" s="399">
        <f t="shared" si="27"/>
        <v>0</v>
      </c>
      <c r="I31" s="484"/>
      <c r="J31" s="413">
        <f>IFERROR(VLOOKUP($C31,'Proposed Rates'!$B:$J,J$11,FALSE),0)</f>
        <v>0</v>
      </c>
      <c r="K31" s="397">
        <f t="shared" si="28"/>
        <v>2000</v>
      </c>
      <c r="L31" s="399">
        <f t="shared" si="29"/>
        <v>0</v>
      </c>
      <c r="M31" s="416"/>
      <c r="N31" s="400">
        <f t="shared" si="5"/>
        <v>0</v>
      </c>
      <c r="O31" s="401" t="str">
        <f t="shared" si="6"/>
        <v/>
      </c>
      <c r="P31" s="52"/>
      <c r="Q31" s="413">
        <f>IFERROR(VLOOKUP($C31,'Proposed Rates'!$B:$J,Q$11,FALSE),0)</f>
        <v>0</v>
      </c>
      <c r="R31" s="397">
        <f t="shared" si="30"/>
        <v>2000</v>
      </c>
      <c r="S31" s="399">
        <f t="shared" si="31"/>
        <v>0</v>
      </c>
      <c r="T31" s="416"/>
      <c r="U31" s="400">
        <f t="shared" si="9"/>
        <v>0</v>
      </c>
      <c r="V31" s="401" t="str">
        <f t="shared" si="10"/>
        <v/>
      </c>
      <c r="W31" s="52"/>
      <c r="X31" s="413">
        <f>IFERROR(VLOOKUP($C31,'Proposed Rates'!$B:$J,X$11,FALSE),0)</f>
        <v>0</v>
      </c>
      <c r="Y31" s="397">
        <f t="shared" si="32"/>
        <v>2000</v>
      </c>
      <c r="Z31" s="399">
        <f t="shared" si="33"/>
        <v>0</v>
      </c>
      <c r="AA31" s="416"/>
      <c r="AB31" s="400">
        <f t="shared" si="13"/>
        <v>0</v>
      </c>
      <c r="AC31" s="401" t="str">
        <f t="shared" si="14"/>
        <v/>
      </c>
      <c r="AD31" s="52"/>
      <c r="AE31" s="413">
        <f>IFERROR(VLOOKUP($C31,'Proposed Rates'!$B:$J,AE$11,FALSE),0)</f>
        <v>0</v>
      </c>
      <c r="AF31" s="397">
        <f t="shared" si="34"/>
        <v>2000</v>
      </c>
      <c r="AG31" s="399">
        <f t="shared" si="35"/>
        <v>0</v>
      </c>
      <c r="AH31" s="416"/>
      <c r="AI31" s="400">
        <f t="shared" si="17"/>
        <v>0</v>
      </c>
      <c r="AJ31" s="401" t="str">
        <f t="shared" si="18"/>
        <v/>
      </c>
      <c r="AK31" s="52"/>
      <c r="AL31" s="413">
        <f>IFERROR(VLOOKUP($C31,'Proposed Rates'!$B:$J,AL$11,FALSE),0)</f>
        <v>0</v>
      </c>
      <c r="AM31" s="397">
        <f t="shared" si="36"/>
        <v>2000</v>
      </c>
      <c r="AN31" s="399">
        <f t="shared" si="37"/>
        <v>0</v>
      </c>
      <c r="AO31" s="416"/>
      <c r="AP31" s="400">
        <f t="shared" si="21"/>
        <v>0</v>
      </c>
      <c r="AQ31" s="401" t="str">
        <f t="shared" si="22"/>
        <v/>
      </c>
      <c r="AR31" s="402"/>
    </row>
    <row r="32" spans="1:44" ht="12" customHeight="1">
      <c r="A32" s="52"/>
      <c r="B32" s="403" t="s">
        <v>247</v>
      </c>
      <c r="C32" s="394" t="str">
        <f t="shared" si="25"/>
        <v>General Service &lt; 50 kW.CBR Class B Rate Riders</v>
      </c>
      <c r="D32" s="395" t="s">
        <v>312</v>
      </c>
      <c r="E32" s="321"/>
      <c r="F32" s="413">
        <f>IFERROR(VLOOKUP($C32,'Proposed Rates'!$B:$J,F$11,FALSE),0)</f>
        <v>2.0000000000000001E-4</v>
      </c>
      <c r="G32" s="397">
        <f t="shared" si="26"/>
        <v>2000</v>
      </c>
      <c r="H32" s="399">
        <f t="shared" si="27"/>
        <v>0.4</v>
      </c>
      <c r="I32" s="484"/>
      <c r="J32" s="413">
        <f>IFERROR(VLOOKUP($C32,'Proposed Rates'!$B:$J,J$11,FALSE),0)</f>
        <v>4.0000000000000002E-4</v>
      </c>
      <c r="K32" s="397">
        <f t="shared" si="28"/>
        <v>2000</v>
      </c>
      <c r="L32" s="399">
        <f t="shared" si="29"/>
        <v>0.8</v>
      </c>
      <c r="M32" s="416"/>
      <c r="N32" s="400">
        <f t="shared" si="5"/>
        <v>0.4</v>
      </c>
      <c r="O32" s="401">
        <f t="shared" si="6"/>
        <v>1</v>
      </c>
      <c r="P32" s="52"/>
      <c r="Q32" s="413">
        <f>IFERROR(VLOOKUP($C32,'Proposed Rates'!$B:$J,Q$11,FALSE),0)</f>
        <v>0</v>
      </c>
      <c r="R32" s="397">
        <f t="shared" si="30"/>
        <v>2000</v>
      </c>
      <c r="S32" s="399">
        <f t="shared" si="31"/>
        <v>0</v>
      </c>
      <c r="T32" s="416"/>
      <c r="U32" s="400">
        <f t="shared" si="9"/>
        <v>-0.8</v>
      </c>
      <c r="V32" s="401">
        <f t="shared" si="10"/>
        <v>-1</v>
      </c>
      <c r="W32" s="52"/>
      <c r="X32" s="413">
        <f>IFERROR(VLOOKUP($C32,'Proposed Rates'!$B:$J,X$11,FALSE),0)</f>
        <v>0</v>
      </c>
      <c r="Y32" s="397">
        <f t="shared" si="32"/>
        <v>2000</v>
      </c>
      <c r="Z32" s="399">
        <f t="shared" si="33"/>
        <v>0</v>
      </c>
      <c r="AA32" s="416"/>
      <c r="AB32" s="400">
        <f t="shared" si="13"/>
        <v>0</v>
      </c>
      <c r="AC32" s="401" t="str">
        <f t="shared" si="14"/>
        <v/>
      </c>
      <c r="AD32" s="52"/>
      <c r="AE32" s="413">
        <f>IFERROR(VLOOKUP($C32,'Proposed Rates'!$B:$J,AE$11,FALSE),0)</f>
        <v>0</v>
      </c>
      <c r="AF32" s="397">
        <f t="shared" si="34"/>
        <v>2000</v>
      </c>
      <c r="AG32" s="399">
        <f t="shared" si="35"/>
        <v>0</v>
      </c>
      <c r="AH32" s="416"/>
      <c r="AI32" s="400">
        <f t="shared" si="17"/>
        <v>0</v>
      </c>
      <c r="AJ32" s="401" t="str">
        <f t="shared" si="18"/>
        <v/>
      </c>
      <c r="AK32" s="52"/>
      <c r="AL32" s="413">
        <f>IFERROR(VLOOKUP($C32,'Proposed Rates'!$B:$J,AL$11,FALSE),0)</f>
        <v>0</v>
      </c>
      <c r="AM32" s="397">
        <f t="shared" si="36"/>
        <v>2000</v>
      </c>
      <c r="AN32" s="399">
        <f t="shared" si="37"/>
        <v>0</v>
      </c>
      <c r="AO32" s="416"/>
      <c r="AP32" s="400">
        <f t="shared" si="21"/>
        <v>0</v>
      </c>
      <c r="AQ32" s="401" t="str">
        <f t="shared" si="22"/>
        <v/>
      </c>
      <c r="AR32" s="402"/>
    </row>
    <row r="33" spans="1:44" ht="12" customHeight="1">
      <c r="A33" s="52"/>
      <c r="B33" s="403" t="s">
        <v>315</v>
      </c>
      <c r="C33" s="394" t="str">
        <f t="shared" si="25"/>
        <v>General Service &lt; 50 kW.GA Disposition Rate Rider-NonRPP</v>
      </c>
      <c r="D33" s="395" t="s">
        <v>312</v>
      </c>
      <c r="E33" s="321"/>
      <c r="F33" s="413">
        <f>IFERROR(VLOOKUP($C33,'Proposed Rates'!$B:$J,F$11,FALSE),0)</f>
        <v>0</v>
      </c>
      <c r="G33" s="397">
        <f t="shared" si="26"/>
        <v>2000</v>
      </c>
      <c r="H33" s="399">
        <f t="shared" si="27"/>
        <v>0</v>
      </c>
      <c r="I33" s="484"/>
      <c r="J33" s="413">
        <f>IFERROR(VLOOKUP($C33,'Proposed Rates'!$B:$J,J$11,FALSE),0)</f>
        <v>0</v>
      </c>
      <c r="K33" s="397">
        <f t="shared" si="28"/>
        <v>2000</v>
      </c>
      <c r="L33" s="399">
        <f t="shared" si="29"/>
        <v>0</v>
      </c>
      <c r="M33" s="416"/>
      <c r="N33" s="400">
        <f t="shared" si="5"/>
        <v>0</v>
      </c>
      <c r="O33" s="401" t="str">
        <f t="shared" si="6"/>
        <v/>
      </c>
      <c r="P33" s="52"/>
      <c r="Q33" s="413">
        <f>IFERROR(VLOOKUP($C33,'Proposed Rates'!$B:$J,Q$11,FALSE),0)</f>
        <v>0</v>
      </c>
      <c r="R33" s="397">
        <f t="shared" si="30"/>
        <v>2000</v>
      </c>
      <c r="S33" s="399">
        <f t="shared" si="31"/>
        <v>0</v>
      </c>
      <c r="T33" s="416"/>
      <c r="U33" s="400">
        <f t="shared" si="9"/>
        <v>0</v>
      </c>
      <c r="V33" s="401" t="str">
        <f t="shared" si="10"/>
        <v/>
      </c>
      <c r="W33" s="52"/>
      <c r="X33" s="413">
        <f>IFERROR(VLOOKUP($C33,'Proposed Rates'!$B:$J,X$11,FALSE),0)</f>
        <v>0</v>
      </c>
      <c r="Y33" s="397">
        <f t="shared" si="32"/>
        <v>2000</v>
      </c>
      <c r="Z33" s="399">
        <f t="shared" si="33"/>
        <v>0</v>
      </c>
      <c r="AA33" s="416"/>
      <c r="AB33" s="400">
        <f t="shared" si="13"/>
        <v>0</v>
      </c>
      <c r="AC33" s="401" t="str">
        <f t="shared" si="14"/>
        <v/>
      </c>
      <c r="AD33" s="52"/>
      <c r="AE33" s="413">
        <f>IFERROR(VLOOKUP($C33,'Proposed Rates'!$B:$J,AE$11,FALSE),0)</f>
        <v>0</v>
      </c>
      <c r="AF33" s="397">
        <f t="shared" si="34"/>
        <v>2000</v>
      </c>
      <c r="AG33" s="399">
        <f t="shared" si="35"/>
        <v>0</v>
      </c>
      <c r="AH33" s="416"/>
      <c r="AI33" s="400">
        <f t="shared" si="17"/>
        <v>0</v>
      </c>
      <c r="AJ33" s="401" t="str">
        <f t="shared" si="18"/>
        <v/>
      </c>
      <c r="AK33" s="52"/>
      <c r="AL33" s="413">
        <f>IFERROR(VLOOKUP($C33,'Proposed Rates'!$B:$J,AL$11,FALSE),0)</f>
        <v>0</v>
      </c>
      <c r="AM33" s="397">
        <f t="shared" si="36"/>
        <v>2000</v>
      </c>
      <c r="AN33" s="399">
        <f t="shared" si="37"/>
        <v>0</v>
      </c>
      <c r="AO33" s="416"/>
      <c r="AP33" s="400">
        <f t="shared" si="21"/>
        <v>0</v>
      </c>
      <c r="AQ33" s="401" t="str">
        <f t="shared" si="22"/>
        <v/>
      </c>
      <c r="AR33" s="402"/>
    </row>
    <row r="34" spans="1:44" ht="12" customHeight="1">
      <c r="A34" s="52"/>
      <c r="B34" s="321" t="s">
        <v>273</v>
      </c>
      <c r="C34" s="394" t="str">
        <f t="shared" si="25"/>
        <v>General Service &lt; 50 kW.Low Voltage Service Charge</v>
      </c>
      <c r="D34" s="395" t="s">
        <v>312</v>
      </c>
      <c r="E34" s="321"/>
      <c r="F34" s="417">
        <f>IFERROR(VLOOKUP($C34,'Proposed Rates'!$B:$J,F$11,FALSE),0)</f>
        <v>5.0000000000000002E-5</v>
      </c>
      <c r="G34" s="418">
        <f>$F$10*(1+F$63)</f>
        <v>2067.6</v>
      </c>
      <c r="H34" s="399">
        <f t="shared" si="27"/>
        <v>0.10338</v>
      </c>
      <c r="I34" s="132"/>
      <c r="J34" s="417">
        <f>IFERROR(VLOOKUP($C34,'Proposed Rates'!$B:$J,J$11,FALSE),0)</f>
        <v>6.0000000000000002E-5</v>
      </c>
      <c r="K34" s="418">
        <f>$F$10*(1+J$63)</f>
        <v>2066.3999999999996</v>
      </c>
      <c r="L34" s="399">
        <f t="shared" si="29"/>
        <v>0.12398399999999998</v>
      </c>
      <c r="M34" s="132"/>
      <c r="N34" s="400">
        <f t="shared" si="5"/>
        <v>2.0603999999999983E-2</v>
      </c>
      <c r="O34" s="401">
        <f t="shared" si="6"/>
        <v>0.19930354033662201</v>
      </c>
      <c r="P34" s="52"/>
      <c r="Q34" s="417">
        <f>IFERROR(VLOOKUP($C34,'Proposed Rates'!$B:$J,Q$11,FALSE),0)</f>
        <v>6.0000000000000002E-5</v>
      </c>
      <c r="R34" s="418">
        <f>$F$10*(1+Q$63)</f>
        <v>2066.3999999999996</v>
      </c>
      <c r="S34" s="399">
        <f t="shared" si="31"/>
        <v>0.12398399999999998</v>
      </c>
      <c r="T34" s="132"/>
      <c r="U34" s="400">
        <f t="shared" si="9"/>
        <v>0</v>
      </c>
      <c r="V34" s="401">
        <f t="shared" si="10"/>
        <v>0</v>
      </c>
      <c r="W34" s="52"/>
      <c r="X34" s="417">
        <f>IFERROR(VLOOKUP($C34,'Proposed Rates'!$B:$J,X$11,FALSE),0)</f>
        <v>6.0000000000000002E-5</v>
      </c>
      <c r="Y34" s="418">
        <f>$F$10*(1+X$63)</f>
        <v>2066.3999999999996</v>
      </c>
      <c r="Z34" s="399">
        <f t="shared" si="33"/>
        <v>0.12398399999999998</v>
      </c>
      <c r="AA34" s="132"/>
      <c r="AB34" s="400">
        <f t="shared" si="13"/>
        <v>0</v>
      </c>
      <c r="AC34" s="401">
        <f t="shared" si="14"/>
        <v>0</v>
      </c>
      <c r="AD34" s="52"/>
      <c r="AE34" s="417">
        <f>IFERROR(VLOOKUP($C34,'Proposed Rates'!$B:$J,AE$11,FALSE),0)</f>
        <v>6.0000000000000002E-5</v>
      </c>
      <c r="AF34" s="418">
        <f>$F$10*(1+AE$63)</f>
        <v>2066.3999999999996</v>
      </c>
      <c r="AG34" s="399">
        <f t="shared" si="35"/>
        <v>0.12398399999999998</v>
      </c>
      <c r="AH34" s="132"/>
      <c r="AI34" s="400">
        <f t="shared" si="17"/>
        <v>0</v>
      </c>
      <c r="AJ34" s="401">
        <f t="shared" si="18"/>
        <v>0</v>
      </c>
      <c r="AK34" s="52"/>
      <c r="AL34" s="417">
        <f>IFERROR(VLOOKUP($C34,'Proposed Rates'!$B:$J,AL$11,FALSE),0)</f>
        <v>6.0000000000000002E-5</v>
      </c>
      <c r="AM34" s="418">
        <f>$F$10*(1+AL$63)</f>
        <v>2066.3999999999996</v>
      </c>
      <c r="AN34" s="399">
        <f t="shared" si="37"/>
        <v>0.12398399999999998</v>
      </c>
      <c r="AO34" s="132"/>
      <c r="AP34" s="400">
        <f t="shared" si="21"/>
        <v>0</v>
      </c>
      <c r="AQ34" s="401">
        <f t="shared" si="22"/>
        <v>0</v>
      </c>
      <c r="AR34" s="402"/>
    </row>
    <row r="35" spans="1:44" ht="12" customHeight="1">
      <c r="A35" s="52"/>
      <c r="B35" s="321" t="s">
        <v>316</v>
      </c>
      <c r="C35" s="394" t="str">
        <f t="shared" si="25"/>
        <v>General Service &lt; 50 kW.Line Losses on Cost of Power</v>
      </c>
      <c r="D35" s="395" t="s">
        <v>312</v>
      </c>
      <c r="E35" s="321"/>
      <c r="F35" s="419">
        <f>'Proposed Rates'!$K$253*F$44+'Proposed Rates'!$K$254*F$45+'Proposed Rates'!$K$255*F$46</f>
        <v>0.12752000000000002</v>
      </c>
      <c r="G35" s="506">
        <f>$F$10*(1+F$63)-$F$10</f>
        <v>67.599999999999909</v>
      </c>
      <c r="H35" s="399">
        <f t="shared" si="27"/>
        <v>8.6203519999999898</v>
      </c>
      <c r="I35" s="132"/>
      <c r="J35" s="419">
        <f>'Proposed Rates'!$K$253*J$44+'Proposed Rates'!$K$254*J$45+'Proposed Rates'!$K$255*J$46</f>
        <v>0.12752000000000002</v>
      </c>
      <c r="K35" s="506">
        <f>$F$10*(1+J$63)-$F$10</f>
        <v>66.399999999999636</v>
      </c>
      <c r="L35" s="399">
        <f t="shared" si="29"/>
        <v>8.4673279999999558</v>
      </c>
      <c r="M35" s="132"/>
      <c r="N35" s="400">
        <f t="shared" si="5"/>
        <v>-0.15302400000003402</v>
      </c>
      <c r="O35" s="401">
        <f t="shared" si="6"/>
        <v>-1.7751479289944794E-2</v>
      </c>
      <c r="P35" s="52"/>
      <c r="Q35" s="419">
        <f>'Proposed Rates'!$K$253*Q$44+'Proposed Rates'!$K$254*Q$45+'Proposed Rates'!$K$255*Q$46</f>
        <v>0.12752000000000002</v>
      </c>
      <c r="R35" s="506">
        <f>$F$10*(1+Q$63)-$F$10</f>
        <v>66.399999999999636</v>
      </c>
      <c r="S35" s="399">
        <f t="shared" si="31"/>
        <v>8.4673279999999558</v>
      </c>
      <c r="T35" s="132"/>
      <c r="U35" s="400">
        <f t="shared" si="9"/>
        <v>0</v>
      </c>
      <c r="V35" s="401">
        <f t="shared" si="10"/>
        <v>0</v>
      </c>
      <c r="W35" s="52"/>
      <c r="X35" s="419">
        <f>'Proposed Rates'!$K$253*X$44+'Proposed Rates'!$K$254*X$45+'Proposed Rates'!$K$255*X$46</f>
        <v>0.12752000000000002</v>
      </c>
      <c r="Y35" s="506">
        <f>$F$10*(1+X$63)-$F$10</f>
        <v>66.399999999999636</v>
      </c>
      <c r="Z35" s="399">
        <f t="shared" si="33"/>
        <v>8.4673279999999558</v>
      </c>
      <c r="AA35" s="132"/>
      <c r="AB35" s="400">
        <f t="shared" si="13"/>
        <v>0</v>
      </c>
      <c r="AC35" s="401">
        <f t="shared" si="14"/>
        <v>0</v>
      </c>
      <c r="AD35" s="52"/>
      <c r="AE35" s="419">
        <f>'Proposed Rates'!$K$253*AE$44+'Proposed Rates'!$K$254*AE$45+'Proposed Rates'!$K$255*AE$46</f>
        <v>0.12752000000000002</v>
      </c>
      <c r="AF35" s="506">
        <f>$F$10*(1+AE$63)-$F$10</f>
        <v>66.399999999999636</v>
      </c>
      <c r="AG35" s="399">
        <f t="shared" si="35"/>
        <v>8.4673279999999558</v>
      </c>
      <c r="AH35" s="132"/>
      <c r="AI35" s="400">
        <f t="shared" si="17"/>
        <v>0</v>
      </c>
      <c r="AJ35" s="401">
        <f t="shared" si="18"/>
        <v>0</v>
      </c>
      <c r="AK35" s="52"/>
      <c r="AL35" s="419">
        <f>'Proposed Rates'!$K$253*AL$44+'Proposed Rates'!$K$254*AL$45+'Proposed Rates'!$K$255*AL$46</f>
        <v>0.12752000000000002</v>
      </c>
      <c r="AM35" s="506">
        <f>$F$10*(1+AL$63)-$F$10</f>
        <v>66.399999999999636</v>
      </c>
      <c r="AN35" s="399">
        <f t="shared" si="37"/>
        <v>8.4673279999999558</v>
      </c>
      <c r="AO35" s="132"/>
      <c r="AP35" s="400">
        <f t="shared" si="21"/>
        <v>0</v>
      </c>
      <c r="AQ35" s="401">
        <f t="shared" si="22"/>
        <v>0</v>
      </c>
      <c r="AR35" s="402"/>
    </row>
    <row r="36" spans="1:44" ht="12" customHeight="1">
      <c r="A36" s="52"/>
      <c r="B36" s="321" t="s">
        <v>275</v>
      </c>
      <c r="C36" s="394" t="str">
        <f t="shared" si="25"/>
        <v>General Service &lt; 50 kW.Smart Meter Entity Charge</v>
      </c>
      <c r="D36" s="395" t="s">
        <v>310</v>
      </c>
      <c r="E36" s="321"/>
      <c r="F36" s="396">
        <f>IFERROR(VLOOKUP($C36,'Proposed Rates'!$B:$J,F$11,FALSE),0)</f>
        <v>0.42</v>
      </c>
      <c r="G36" s="397">
        <f>IF($D36="Monthly",1,IF($D36="per KWH",$F$10,0))</f>
        <v>1</v>
      </c>
      <c r="H36" s="399">
        <f t="shared" si="27"/>
        <v>0.42</v>
      </c>
      <c r="I36" s="132"/>
      <c r="J36" s="396">
        <f>IFERROR(VLOOKUP($C36,'Proposed Rates'!$B:$J,J$11,FALSE),0)</f>
        <v>0.42</v>
      </c>
      <c r="K36" s="397">
        <f>IF($D36="Monthly",1,IF($D36="per KWH",$F$10,0))</f>
        <v>1</v>
      </c>
      <c r="L36" s="399">
        <f t="shared" si="29"/>
        <v>0.42</v>
      </c>
      <c r="M36" s="132"/>
      <c r="N36" s="400">
        <f t="shared" si="5"/>
        <v>0</v>
      </c>
      <c r="O36" s="401">
        <f t="shared" si="6"/>
        <v>0</v>
      </c>
      <c r="P36" s="52"/>
      <c r="Q36" s="396">
        <f>IFERROR(VLOOKUP($C36,'Proposed Rates'!$B:$J,Q$11,FALSE),0)</f>
        <v>0.42</v>
      </c>
      <c r="R36" s="397">
        <f>IF($D36="Monthly",1,IF($D36="per KWH",$F$10,0))</f>
        <v>1</v>
      </c>
      <c r="S36" s="399">
        <f t="shared" si="31"/>
        <v>0.42</v>
      </c>
      <c r="T36" s="132"/>
      <c r="U36" s="400">
        <f t="shared" si="9"/>
        <v>0</v>
      </c>
      <c r="V36" s="401">
        <f t="shared" si="10"/>
        <v>0</v>
      </c>
      <c r="W36" s="52"/>
      <c r="X36" s="396">
        <f>IFERROR(VLOOKUP($C36,'Proposed Rates'!$B:$J,X$11,FALSE),0)</f>
        <v>0.43</v>
      </c>
      <c r="Y36" s="397">
        <f>IF($D36="Monthly",1,IF($D36="per KWH",$F$10,0))</f>
        <v>1</v>
      </c>
      <c r="Z36" s="399">
        <f t="shared" si="33"/>
        <v>0.43</v>
      </c>
      <c r="AA36" s="132"/>
      <c r="AB36" s="400">
        <f t="shared" si="13"/>
        <v>1.0000000000000009E-2</v>
      </c>
      <c r="AC36" s="401">
        <f t="shared" si="14"/>
        <v>2.3809523809523832E-2</v>
      </c>
      <c r="AD36" s="52"/>
      <c r="AE36" s="396">
        <f>IFERROR(VLOOKUP($C36,'Proposed Rates'!$B:$J,AE$11,FALSE),0)</f>
        <v>0.44</v>
      </c>
      <c r="AF36" s="397">
        <f>IF($D36="Monthly",1,IF($D36="per KWH",$F$10,0))</f>
        <v>1</v>
      </c>
      <c r="AG36" s="399">
        <f t="shared" si="35"/>
        <v>0.44</v>
      </c>
      <c r="AH36" s="132"/>
      <c r="AI36" s="400">
        <f t="shared" si="17"/>
        <v>1.0000000000000009E-2</v>
      </c>
      <c r="AJ36" s="401">
        <f t="shared" si="18"/>
        <v>2.3255813953488393E-2</v>
      </c>
      <c r="AK36" s="52"/>
      <c r="AL36" s="396">
        <f>IFERROR(VLOOKUP($C36,'Proposed Rates'!$B:$J,AL$11,FALSE),0)</f>
        <v>0.45</v>
      </c>
      <c r="AM36" s="397">
        <f>IF($D36="Monthly",1,IF($D36="per KWH",$F$10,0))</f>
        <v>1</v>
      </c>
      <c r="AN36" s="399">
        <f t="shared" si="37"/>
        <v>0.45</v>
      </c>
      <c r="AO36" s="132"/>
      <c r="AP36" s="400">
        <f t="shared" si="21"/>
        <v>1.0000000000000009E-2</v>
      </c>
      <c r="AQ36" s="401">
        <f t="shared" si="22"/>
        <v>2.2727272727272749E-2</v>
      </c>
      <c r="AR36" s="402"/>
    </row>
    <row r="37" spans="1:44" ht="12" customHeight="1">
      <c r="A37" s="52"/>
      <c r="B37" s="404" t="s">
        <v>317</v>
      </c>
      <c r="C37" s="421"/>
      <c r="D37" s="421"/>
      <c r="E37" s="421"/>
      <c r="F37" s="422"/>
      <c r="G37" s="500"/>
      <c r="H37" s="408">
        <f>SUM(H30:H36)+H29</f>
        <v>95.473731999999998</v>
      </c>
      <c r="I37" s="424"/>
      <c r="J37" s="422"/>
      <c r="K37" s="500"/>
      <c r="L37" s="501">
        <f>SUM(L30:L36)+L29</f>
        <v>105.55131199999997</v>
      </c>
      <c r="M37" s="424"/>
      <c r="N37" s="410">
        <f t="shared" si="5"/>
        <v>10.077579999999969</v>
      </c>
      <c r="O37" s="411">
        <f t="shared" si="6"/>
        <v>0.1055534311783263</v>
      </c>
      <c r="P37" s="52"/>
      <c r="Q37" s="422"/>
      <c r="R37" s="500"/>
      <c r="S37" s="408">
        <f>SUM(S30:S36)+S29</f>
        <v>111.22131199999997</v>
      </c>
      <c r="T37" s="424"/>
      <c r="U37" s="410">
        <f t="shared" si="9"/>
        <v>5.6700000000000017</v>
      </c>
      <c r="V37" s="411">
        <f t="shared" si="10"/>
        <v>5.3717949048326406E-2</v>
      </c>
      <c r="W37" s="52"/>
      <c r="X37" s="422"/>
      <c r="Y37" s="500"/>
      <c r="Z37" s="408">
        <f>SUM(Z30:Z36)+Z29</f>
        <v>117.91131199999997</v>
      </c>
      <c r="AA37" s="424"/>
      <c r="AB37" s="410">
        <f t="shared" si="13"/>
        <v>6.6899999999999977</v>
      </c>
      <c r="AC37" s="411">
        <f t="shared" si="14"/>
        <v>6.0150342409195819E-2</v>
      </c>
      <c r="AD37" s="52"/>
      <c r="AE37" s="422"/>
      <c r="AF37" s="500"/>
      <c r="AG37" s="408">
        <f>SUM(AG30:AG36)+AG29</f>
        <v>119.89131199999996</v>
      </c>
      <c r="AH37" s="424"/>
      <c r="AI37" s="410">
        <f t="shared" si="17"/>
        <v>1.9799999999999898</v>
      </c>
      <c r="AJ37" s="411">
        <f t="shared" si="18"/>
        <v>1.6792281982240944E-2</v>
      </c>
      <c r="AK37" s="52"/>
      <c r="AL37" s="422"/>
      <c r="AM37" s="500"/>
      <c r="AN37" s="408">
        <f>SUM(AN30:AN36)+AN29</f>
        <v>121.54131199999995</v>
      </c>
      <c r="AO37" s="424"/>
      <c r="AP37" s="410">
        <f t="shared" si="21"/>
        <v>1.6499999999999915</v>
      </c>
      <c r="AQ37" s="411">
        <f t="shared" si="22"/>
        <v>1.3762465123411045E-2</v>
      </c>
      <c r="AR37" s="412"/>
    </row>
    <row r="38" spans="1:44" ht="12" customHeight="1">
      <c r="A38" s="52"/>
      <c r="B38" s="132" t="s">
        <v>258</v>
      </c>
      <c r="C38" s="394" t="str">
        <f t="shared" ref="C38:C39" si="38">D$6&amp;"."&amp;B38</f>
        <v>General Service &lt; 50 kW.RTSR - Network</v>
      </c>
      <c r="D38" s="425" t="s">
        <v>312</v>
      </c>
      <c r="E38" s="132"/>
      <c r="F38" s="413">
        <f>IFERROR(VLOOKUP($C38,'Proposed Rates'!$B:$J,F$11,FALSE),0)</f>
        <v>1.18E-2</v>
      </c>
      <c r="G38" s="507">
        <f t="shared" ref="G38:G39" si="39">$F$10*(1+F$63)</f>
        <v>2067.6</v>
      </c>
      <c r="H38" s="399">
        <f t="shared" ref="H38:H39" si="40">G38*F38</f>
        <v>24.397679999999998</v>
      </c>
      <c r="I38" s="132"/>
      <c r="J38" s="413">
        <f>IFERROR(VLOOKUP($C38,'Proposed Rates'!$B:$J,J$11,FALSE),0)</f>
        <v>1.0699999999999999E-2</v>
      </c>
      <c r="K38" s="507">
        <f t="shared" ref="K38:K39" si="41">$F$10*(1+J$63)</f>
        <v>2066.3999999999996</v>
      </c>
      <c r="L38" s="399">
        <f t="shared" ref="L38:L39" si="42">K38*J38</f>
        <v>22.110479999999995</v>
      </c>
      <c r="M38" s="132"/>
      <c r="N38" s="400">
        <f t="shared" si="5"/>
        <v>-2.2872000000000021</v>
      </c>
      <c r="O38" s="401">
        <f t="shared" si="6"/>
        <v>-9.3746618530942377E-2</v>
      </c>
      <c r="P38" s="52"/>
      <c r="Q38" s="413">
        <f>IFERROR(VLOOKUP($C38,'Proposed Rates'!$B:$J,Q$11,FALSE),0)</f>
        <v>1.0699999999999999E-2</v>
      </c>
      <c r="R38" s="507">
        <f t="shared" ref="R38:R39" si="43">$F$10*(1+Q$63)</f>
        <v>2066.3999999999996</v>
      </c>
      <c r="S38" s="399">
        <f t="shared" ref="S38:S39" si="44">R38*Q38</f>
        <v>22.110479999999995</v>
      </c>
      <c r="T38" s="132"/>
      <c r="U38" s="400">
        <f t="shared" si="9"/>
        <v>0</v>
      </c>
      <c r="V38" s="401">
        <f t="shared" si="10"/>
        <v>0</v>
      </c>
      <c r="W38" s="52"/>
      <c r="X38" s="413">
        <f>IFERROR(VLOOKUP($C38,'Proposed Rates'!$B:$J,X$11,FALSE),0)</f>
        <v>1.0699999999999999E-2</v>
      </c>
      <c r="Y38" s="507">
        <f t="shared" ref="Y38:Y39" si="45">$F$10*(1+X$63)</f>
        <v>2066.3999999999996</v>
      </c>
      <c r="Z38" s="399">
        <f t="shared" ref="Z38:Z39" si="46">Y38*X38</f>
        <v>22.110479999999995</v>
      </c>
      <c r="AA38" s="132"/>
      <c r="AB38" s="400">
        <f t="shared" si="13"/>
        <v>0</v>
      </c>
      <c r="AC38" s="401">
        <f t="shared" si="14"/>
        <v>0</v>
      </c>
      <c r="AD38" s="52"/>
      <c r="AE38" s="413">
        <f>IFERROR(VLOOKUP($C38,'Proposed Rates'!$B:$J,AE$11,FALSE),0)</f>
        <v>1.0699999999999999E-2</v>
      </c>
      <c r="AF38" s="507">
        <f t="shared" ref="AF38:AF39" si="47">$F$10*(1+AE$63)</f>
        <v>2066.3999999999996</v>
      </c>
      <c r="AG38" s="399">
        <f t="shared" ref="AG38:AG39" si="48">AF38*AE38</f>
        <v>22.110479999999995</v>
      </c>
      <c r="AH38" s="132"/>
      <c r="AI38" s="400">
        <f t="shared" si="17"/>
        <v>0</v>
      </c>
      <c r="AJ38" s="401">
        <f t="shared" si="18"/>
        <v>0</v>
      </c>
      <c r="AK38" s="52"/>
      <c r="AL38" s="413">
        <f>IFERROR(VLOOKUP($C38,'Proposed Rates'!$B:$J,AL$11,FALSE),0)</f>
        <v>1.0699999999999999E-2</v>
      </c>
      <c r="AM38" s="507">
        <f t="shared" ref="AM38:AM39" si="49">$F$10*(1+AL$63)</f>
        <v>2066.3999999999996</v>
      </c>
      <c r="AN38" s="399">
        <f t="shared" ref="AN38:AN39" si="50">AM38*AL38</f>
        <v>22.110479999999995</v>
      </c>
      <c r="AO38" s="132"/>
      <c r="AP38" s="400">
        <f t="shared" si="21"/>
        <v>0</v>
      </c>
      <c r="AQ38" s="401">
        <f t="shared" si="22"/>
        <v>0</v>
      </c>
      <c r="AR38" s="402"/>
    </row>
    <row r="39" spans="1:44" ht="12" customHeight="1">
      <c r="A39" s="52"/>
      <c r="B39" s="132" t="s">
        <v>261</v>
      </c>
      <c r="C39" s="394" t="str">
        <f t="shared" si="38"/>
        <v>General Service &lt; 50 kW.RTSR - Line and Transformation Connection</v>
      </c>
      <c r="D39" s="425" t="s">
        <v>312</v>
      </c>
      <c r="E39" s="132"/>
      <c r="F39" s="413">
        <f>IFERROR(VLOOKUP($C39,'Proposed Rates'!$B:$J,F$11,FALSE),0)</f>
        <v>7.0000000000000001E-3</v>
      </c>
      <c r="G39" s="507">
        <f t="shared" si="39"/>
        <v>2067.6</v>
      </c>
      <c r="H39" s="399">
        <f t="shared" si="40"/>
        <v>14.4732</v>
      </c>
      <c r="I39" s="132"/>
      <c r="J39" s="413">
        <f>IFERROR(VLOOKUP($C39,'Proposed Rates'!$B:$J,J$11,FALSE),0)</f>
        <v>6.1000000000000004E-3</v>
      </c>
      <c r="K39" s="507">
        <f t="shared" si="41"/>
        <v>2066.3999999999996</v>
      </c>
      <c r="L39" s="399">
        <f t="shared" si="42"/>
        <v>12.605039999999999</v>
      </c>
      <c r="M39" s="132"/>
      <c r="N39" s="400">
        <f t="shared" si="5"/>
        <v>-1.8681600000000014</v>
      </c>
      <c r="O39" s="401">
        <f t="shared" si="6"/>
        <v>-0.12907719094602446</v>
      </c>
      <c r="P39" s="52"/>
      <c r="Q39" s="413">
        <f>IFERROR(VLOOKUP($C39,'Proposed Rates'!$B:$J,Q$11,FALSE),0)</f>
        <v>6.1000000000000004E-3</v>
      </c>
      <c r="R39" s="507">
        <f t="shared" si="43"/>
        <v>2066.3999999999996</v>
      </c>
      <c r="S39" s="399">
        <f t="shared" si="44"/>
        <v>12.605039999999999</v>
      </c>
      <c r="T39" s="132"/>
      <c r="U39" s="400">
        <f t="shared" si="9"/>
        <v>0</v>
      </c>
      <c r="V39" s="401">
        <f t="shared" si="10"/>
        <v>0</v>
      </c>
      <c r="W39" s="52"/>
      <c r="X39" s="413">
        <f>IFERROR(VLOOKUP($C39,'Proposed Rates'!$B:$J,X$11,FALSE),0)</f>
        <v>6.1000000000000004E-3</v>
      </c>
      <c r="Y39" s="507">
        <f t="shared" si="45"/>
        <v>2066.3999999999996</v>
      </c>
      <c r="Z39" s="399">
        <f t="shared" si="46"/>
        <v>12.605039999999999</v>
      </c>
      <c r="AA39" s="132"/>
      <c r="AB39" s="400">
        <f t="shared" si="13"/>
        <v>0</v>
      </c>
      <c r="AC39" s="401">
        <f t="shared" si="14"/>
        <v>0</v>
      </c>
      <c r="AD39" s="52"/>
      <c r="AE39" s="413">
        <f>IFERROR(VLOOKUP($C39,'Proposed Rates'!$B:$J,AE$11,FALSE),0)</f>
        <v>6.1000000000000004E-3</v>
      </c>
      <c r="AF39" s="507">
        <f t="shared" si="47"/>
        <v>2066.3999999999996</v>
      </c>
      <c r="AG39" s="399">
        <f t="shared" si="48"/>
        <v>12.605039999999999</v>
      </c>
      <c r="AH39" s="132"/>
      <c r="AI39" s="400">
        <f t="shared" si="17"/>
        <v>0</v>
      </c>
      <c r="AJ39" s="401">
        <f t="shared" si="18"/>
        <v>0</v>
      </c>
      <c r="AK39" s="52"/>
      <c r="AL39" s="413">
        <f>IFERROR(VLOOKUP($C39,'Proposed Rates'!$B:$J,AL$11,FALSE),0)</f>
        <v>6.1000000000000004E-3</v>
      </c>
      <c r="AM39" s="507">
        <f t="shared" si="49"/>
        <v>2066.3999999999996</v>
      </c>
      <c r="AN39" s="399">
        <f t="shared" si="50"/>
        <v>12.605039999999999</v>
      </c>
      <c r="AO39" s="132"/>
      <c r="AP39" s="400">
        <f t="shared" si="21"/>
        <v>0</v>
      </c>
      <c r="AQ39" s="401">
        <f t="shared" si="22"/>
        <v>0</v>
      </c>
      <c r="AR39" s="402"/>
    </row>
    <row r="40" spans="1:44" ht="12" customHeight="1">
      <c r="A40" s="52"/>
      <c r="B40" s="404" t="s">
        <v>318</v>
      </c>
      <c r="C40" s="426"/>
      <c r="D40" s="426"/>
      <c r="E40" s="426"/>
      <c r="F40" s="427"/>
      <c r="G40" s="500"/>
      <c r="H40" s="408">
        <f>SUM(H37:H39)</f>
        <v>134.34461199999998</v>
      </c>
      <c r="I40" s="409"/>
      <c r="J40" s="427"/>
      <c r="K40" s="500"/>
      <c r="L40" s="501">
        <f>SUM(L37:L39)</f>
        <v>140.26683199999997</v>
      </c>
      <c r="M40" s="409"/>
      <c r="N40" s="410">
        <f t="shared" si="5"/>
        <v>5.9222199999999816</v>
      </c>
      <c r="O40" s="411">
        <f t="shared" si="6"/>
        <v>4.4082303799425779E-2</v>
      </c>
      <c r="P40" s="52"/>
      <c r="Q40" s="427"/>
      <c r="R40" s="500"/>
      <c r="S40" s="408">
        <f>SUM(S37:S39)</f>
        <v>145.93683199999995</v>
      </c>
      <c r="T40" s="409"/>
      <c r="U40" s="410">
        <f t="shared" si="9"/>
        <v>5.6699999999999875</v>
      </c>
      <c r="V40" s="411">
        <f t="shared" si="10"/>
        <v>4.0422956155450843E-2</v>
      </c>
      <c r="W40" s="52"/>
      <c r="X40" s="427"/>
      <c r="Y40" s="500"/>
      <c r="Z40" s="408">
        <f>SUM(Z37:Z39)</f>
        <v>152.62683199999995</v>
      </c>
      <c r="AA40" s="409"/>
      <c r="AB40" s="410">
        <f t="shared" si="13"/>
        <v>6.6899999999999977</v>
      </c>
      <c r="AC40" s="411">
        <f t="shared" si="14"/>
        <v>4.5841751587426538E-2</v>
      </c>
      <c r="AD40" s="52"/>
      <c r="AE40" s="427"/>
      <c r="AF40" s="500"/>
      <c r="AG40" s="408">
        <f>SUM(AG37:AG39)</f>
        <v>154.60683199999997</v>
      </c>
      <c r="AH40" s="409"/>
      <c r="AI40" s="410">
        <f t="shared" si="17"/>
        <v>1.9800000000000182</v>
      </c>
      <c r="AJ40" s="411">
        <f t="shared" si="18"/>
        <v>1.2972817256667024E-2</v>
      </c>
      <c r="AK40" s="52"/>
      <c r="AL40" s="427"/>
      <c r="AM40" s="500"/>
      <c r="AN40" s="408">
        <f>SUM(AN37:AN39)</f>
        <v>156.25683199999995</v>
      </c>
      <c r="AO40" s="409"/>
      <c r="AP40" s="410">
        <f t="shared" si="21"/>
        <v>1.6499999999999773</v>
      </c>
      <c r="AQ40" s="411">
        <f t="shared" si="22"/>
        <v>1.0672232130078039E-2</v>
      </c>
      <c r="AR40" s="412"/>
    </row>
    <row r="41" spans="1:44" ht="12" customHeight="1">
      <c r="A41" s="52"/>
      <c r="B41" s="321" t="s">
        <v>262</v>
      </c>
      <c r="C41" s="394" t="str">
        <f t="shared" ref="C41:C48" si="51">D$6&amp;"."&amp;B41</f>
        <v>General Service &lt; 50 kW.Wholesale Market Service Charge (WMSC)</v>
      </c>
      <c r="D41" s="395" t="s">
        <v>312</v>
      </c>
      <c r="E41" s="321"/>
      <c r="F41" s="413">
        <f>IFERROR(VLOOKUP($C41,'Proposed Rates'!$B:$J,F$11,FALSE),0)</f>
        <v>4.4999999999999997E-3</v>
      </c>
      <c r="G41" s="507">
        <f t="shared" ref="G41:G42" si="52">$F$10*(1+F$63)</f>
        <v>2067.6</v>
      </c>
      <c r="H41" s="399">
        <f t="shared" ref="H41:H48" si="53">G41*F41</f>
        <v>9.304199999999998</v>
      </c>
      <c r="I41" s="132"/>
      <c r="J41" s="413">
        <f>IFERROR(VLOOKUP($C41,'Proposed Rates'!$B:$J,J$11,FALSE),0)</f>
        <v>4.7000000000000002E-3</v>
      </c>
      <c r="K41" s="507">
        <f t="shared" ref="K41:K42" si="54">$F$10*(1+J$63)</f>
        <v>2066.3999999999996</v>
      </c>
      <c r="L41" s="399">
        <f t="shared" ref="L41:L48" si="55">K41*J41</f>
        <v>9.7120799999999985</v>
      </c>
      <c r="M41" s="132"/>
      <c r="N41" s="400">
        <f t="shared" si="5"/>
        <v>0.40788000000000046</v>
      </c>
      <c r="O41" s="401">
        <f t="shared" si="6"/>
        <v>4.3838266589282318E-2</v>
      </c>
      <c r="P41" s="52"/>
      <c r="Q41" s="413">
        <f>IFERROR(VLOOKUP($C41,'Proposed Rates'!$B:$J,Q$11,FALSE),0)</f>
        <v>4.7000000000000002E-3</v>
      </c>
      <c r="R41" s="507">
        <f t="shared" ref="R41:R42" si="56">$F$10*(1+Q$63)</f>
        <v>2066.3999999999996</v>
      </c>
      <c r="S41" s="399">
        <f t="shared" ref="S41:S48" si="57">R41*Q41</f>
        <v>9.7120799999999985</v>
      </c>
      <c r="T41" s="132"/>
      <c r="U41" s="400">
        <f t="shared" si="9"/>
        <v>0</v>
      </c>
      <c r="V41" s="401">
        <f t="shared" si="10"/>
        <v>0</v>
      </c>
      <c r="W41" s="52"/>
      <c r="X41" s="413">
        <f>IFERROR(VLOOKUP($C41,'Proposed Rates'!$B:$J,X$11,FALSE),0)</f>
        <v>4.7000000000000002E-3</v>
      </c>
      <c r="Y41" s="507">
        <f t="shared" ref="Y41:Y42" si="58">$F$10*(1+X$63)</f>
        <v>2066.3999999999996</v>
      </c>
      <c r="Z41" s="399">
        <f t="shared" ref="Z41:Z48" si="59">Y41*X41</f>
        <v>9.7120799999999985</v>
      </c>
      <c r="AA41" s="132"/>
      <c r="AB41" s="400">
        <f t="shared" si="13"/>
        <v>0</v>
      </c>
      <c r="AC41" s="401">
        <f t="shared" si="14"/>
        <v>0</v>
      </c>
      <c r="AD41" s="52"/>
      <c r="AE41" s="413">
        <f>IFERROR(VLOOKUP($C41,'Proposed Rates'!$B:$J,AE$11,FALSE),0)</f>
        <v>4.7000000000000002E-3</v>
      </c>
      <c r="AF41" s="507">
        <f t="shared" ref="AF41:AF42" si="60">$F$10*(1+AE$63)</f>
        <v>2066.3999999999996</v>
      </c>
      <c r="AG41" s="399">
        <f t="shared" ref="AG41:AG48" si="61">AF41*AE41</f>
        <v>9.7120799999999985</v>
      </c>
      <c r="AH41" s="132"/>
      <c r="AI41" s="400">
        <f t="shared" si="17"/>
        <v>0</v>
      </c>
      <c r="AJ41" s="401">
        <f t="shared" si="18"/>
        <v>0</v>
      </c>
      <c r="AK41" s="52"/>
      <c r="AL41" s="413">
        <f>IFERROR(VLOOKUP($C41,'Proposed Rates'!$B:$J,AL$11,FALSE),0)</f>
        <v>4.7000000000000002E-3</v>
      </c>
      <c r="AM41" s="507">
        <f t="shared" ref="AM41:AM42" si="62">$F$10*(1+AL$63)</f>
        <v>2066.3999999999996</v>
      </c>
      <c r="AN41" s="399">
        <f t="shared" ref="AN41:AN48" si="63">AM41*AL41</f>
        <v>9.7120799999999985</v>
      </c>
      <c r="AO41" s="132"/>
      <c r="AP41" s="400">
        <f t="shared" si="21"/>
        <v>0</v>
      </c>
      <c r="AQ41" s="401">
        <f t="shared" si="22"/>
        <v>0</v>
      </c>
      <c r="AR41" s="402"/>
    </row>
    <row r="42" spans="1:44" ht="12" customHeight="1">
      <c r="A42" s="52"/>
      <c r="B42" s="321" t="s">
        <v>263</v>
      </c>
      <c r="C42" s="394" t="str">
        <f t="shared" si="51"/>
        <v>General Service &lt; 50 kW.Rural and Remote Rate Protection (RRRP)</v>
      </c>
      <c r="D42" s="395" t="s">
        <v>312</v>
      </c>
      <c r="E42" s="321"/>
      <c r="F42" s="413">
        <f>IFERROR(VLOOKUP($C42,'Proposed Rates'!$B:$J,F$11,FALSE),0)</f>
        <v>1.5E-3</v>
      </c>
      <c r="G42" s="507">
        <f t="shared" si="52"/>
        <v>2067.6</v>
      </c>
      <c r="H42" s="399">
        <f t="shared" si="53"/>
        <v>3.1013999999999999</v>
      </c>
      <c r="I42" s="132"/>
      <c r="J42" s="413">
        <f>IFERROR(VLOOKUP($C42,'Proposed Rates'!$B:$J,J$11,FALSE),0)</f>
        <v>5.9999999999999995E-4</v>
      </c>
      <c r="K42" s="507">
        <f t="shared" si="54"/>
        <v>2066.3999999999996</v>
      </c>
      <c r="L42" s="399">
        <f t="shared" si="55"/>
        <v>1.2398399999999996</v>
      </c>
      <c r="M42" s="132"/>
      <c r="N42" s="400">
        <f t="shared" si="5"/>
        <v>-1.8615600000000003</v>
      </c>
      <c r="O42" s="401">
        <f t="shared" si="6"/>
        <v>-0.60023215322112611</v>
      </c>
      <c r="P42" s="52"/>
      <c r="Q42" s="413">
        <f>IFERROR(VLOOKUP($C42,'Proposed Rates'!$B:$J,Q$11,FALSE),0)</f>
        <v>5.9999999999999995E-4</v>
      </c>
      <c r="R42" s="507">
        <f t="shared" si="56"/>
        <v>2066.3999999999996</v>
      </c>
      <c r="S42" s="399">
        <f t="shared" si="57"/>
        <v>1.2398399999999996</v>
      </c>
      <c r="T42" s="132"/>
      <c r="U42" s="400">
        <f t="shared" si="9"/>
        <v>0</v>
      </c>
      <c r="V42" s="401">
        <f t="shared" si="10"/>
        <v>0</v>
      </c>
      <c r="W42" s="52"/>
      <c r="X42" s="413">
        <f>IFERROR(VLOOKUP($C42,'Proposed Rates'!$B:$J,X$11,FALSE),0)</f>
        <v>5.9999999999999995E-4</v>
      </c>
      <c r="Y42" s="507">
        <f t="shared" si="58"/>
        <v>2066.3999999999996</v>
      </c>
      <c r="Z42" s="399">
        <f t="shared" si="59"/>
        <v>1.2398399999999996</v>
      </c>
      <c r="AA42" s="132"/>
      <c r="AB42" s="400">
        <f t="shared" si="13"/>
        <v>0</v>
      </c>
      <c r="AC42" s="401">
        <f t="shared" si="14"/>
        <v>0</v>
      </c>
      <c r="AD42" s="52"/>
      <c r="AE42" s="413">
        <f>IFERROR(VLOOKUP($C42,'Proposed Rates'!$B:$J,AE$11,FALSE),0)</f>
        <v>5.9999999999999995E-4</v>
      </c>
      <c r="AF42" s="507">
        <f t="shared" si="60"/>
        <v>2066.3999999999996</v>
      </c>
      <c r="AG42" s="399">
        <f t="shared" si="61"/>
        <v>1.2398399999999996</v>
      </c>
      <c r="AH42" s="132"/>
      <c r="AI42" s="400">
        <f t="shared" si="17"/>
        <v>0</v>
      </c>
      <c r="AJ42" s="401">
        <f t="shared" si="18"/>
        <v>0</v>
      </c>
      <c r="AK42" s="52"/>
      <c r="AL42" s="413">
        <f>IFERROR(VLOOKUP($C42,'Proposed Rates'!$B:$J,AL$11,FALSE),0)</f>
        <v>5.9999999999999995E-4</v>
      </c>
      <c r="AM42" s="507">
        <f t="shared" si="62"/>
        <v>2066.3999999999996</v>
      </c>
      <c r="AN42" s="399">
        <f t="shared" si="63"/>
        <v>1.2398399999999996</v>
      </c>
      <c r="AO42" s="132"/>
      <c r="AP42" s="400">
        <f t="shared" si="21"/>
        <v>0</v>
      </c>
      <c r="AQ42" s="401">
        <f t="shared" si="22"/>
        <v>0</v>
      </c>
      <c r="AR42" s="402"/>
    </row>
    <row r="43" spans="1:44" ht="12" customHeight="1">
      <c r="A43" s="52"/>
      <c r="B43" s="321" t="s">
        <v>264</v>
      </c>
      <c r="C43" s="394" t="str">
        <f t="shared" si="51"/>
        <v>General Service &lt; 50 kW.Standard Supply Service Charge</v>
      </c>
      <c r="D43" s="395" t="s">
        <v>310</v>
      </c>
      <c r="E43" s="321"/>
      <c r="F43" s="396">
        <f>IFERROR(VLOOKUP($C43,'Proposed Rates'!$B:$J,F$11,FALSE),0)</f>
        <v>0.25</v>
      </c>
      <c r="G43" s="397">
        <f>IF($D43="Monthly",1,IF($D43="per KWH",$F$10,0))</f>
        <v>1</v>
      </c>
      <c r="H43" s="399">
        <f t="shared" si="53"/>
        <v>0.25</v>
      </c>
      <c r="I43" s="132"/>
      <c r="J43" s="396">
        <f>IFERROR(VLOOKUP($C43,'Proposed Rates'!$B:$J,J$11,FALSE),0)</f>
        <v>0.25</v>
      </c>
      <c r="K43" s="397">
        <f>IF($D43="Monthly",1,IF($D43="per KWH",$F$10,0))</f>
        <v>1</v>
      </c>
      <c r="L43" s="399">
        <f t="shared" si="55"/>
        <v>0.25</v>
      </c>
      <c r="M43" s="132"/>
      <c r="N43" s="400">
        <f t="shared" si="5"/>
        <v>0</v>
      </c>
      <c r="O43" s="401">
        <f t="shared" si="6"/>
        <v>0</v>
      </c>
      <c r="P43" s="52"/>
      <c r="Q43" s="396">
        <f>IFERROR(VLOOKUP($C43,'Proposed Rates'!$B:$J,Q$11,FALSE),0)</f>
        <v>0.25</v>
      </c>
      <c r="R43" s="397">
        <f>IF($D43="Monthly",1,IF($D43="per KWH",$F$10,0))</f>
        <v>1</v>
      </c>
      <c r="S43" s="399">
        <f t="shared" si="57"/>
        <v>0.25</v>
      </c>
      <c r="T43" s="132"/>
      <c r="U43" s="400">
        <f t="shared" si="9"/>
        <v>0</v>
      </c>
      <c r="V43" s="401">
        <f t="shared" si="10"/>
        <v>0</v>
      </c>
      <c r="W43" s="52"/>
      <c r="X43" s="396">
        <f>IFERROR(VLOOKUP($C43,'Proposed Rates'!$B:$J,X$11,FALSE),0)</f>
        <v>0.25</v>
      </c>
      <c r="Y43" s="397">
        <f>IF($D43="Monthly",1,IF($D43="per KWH",$F$10,0))</f>
        <v>1</v>
      </c>
      <c r="Z43" s="399">
        <f t="shared" si="59"/>
        <v>0.25</v>
      </c>
      <c r="AA43" s="132"/>
      <c r="AB43" s="400">
        <f t="shared" si="13"/>
        <v>0</v>
      </c>
      <c r="AC43" s="401">
        <f t="shared" si="14"/>
        <v>0</v>
      </c>
      <c r="AD43" s="52"/>
      <c r="AE43" s="396">
        <f>IFERROR(VLOOKUP($C43,'Proposed Rates'!$B:$J,AE$11,FALSE),0)</f>
        <v>0.25</v>
      </c>
      <c r="AF43" s="397">
        <f>IF($D43="Monthly",1,IF($D43="per KWH",$F$10,0))</f>
        <v>1</v>
      </c>
      <c r="AG43" s="399">
        <f t="shared" si="61"/>
        <v>0.25</v>
      </c>
      <c r="AH43" s="132"/>
      <c r="AI43" s="400">
        <f t="shared" si="17"/>
        <v>0</v>
      </c>
      <c r="AJ43" s="401">
        <f t="shared" si="18"/>
        <v>0</v>
      </c>
      <c r="AK43" s="52"/>
      <c r="AL43" s="396">
        <f>IFERROR(VLOOKUP($C43,'Proposed Rates'!$B:$J,AL$11,FALSE),0)</f>
        <v>0.25</v>
      </c>
      <c r="AM43" s="397">
        <f>IF($D43="Monthly",1,IF($D43="per KWH",$F$10,0))</f>
        <v>1</v>
      </c>
      <c r="AN43" s="399">
        <f t="shared" si="63"/>
        <v>0.25</v>
      </c>
      <c r="AO43" s="132"/>
      <c r="AP43" s="400">
        <f t="shared" si="21"/>
        <v>0</v>
      </c>
      <c r="AQ43" s="401">
        <f t="shared" si="22"/>
        <v>0</v>
      </c>
      <c r="AR43" s="402"/>
    </row>
    <row r="44" spans="1:44" ht="12" customHeight="1">
      <c r="A44" s="52"/>
      <c r="B44" s="321" t="s">
        <v>266</v>
      </c>
      <c r="C44" s="394" t="str">
        <f t="shared" si="51"/>
        <v>General Service &lt; 50 kW.TOU - Off Peak</v>
      </c>
      <c r="D44" s="395" t="s">
        <v>312</v>
      </c>
      <c r="E44" s="321"/>
      <c r="F44" s="429">
        <f>VLOOKUP($B44,'Proposed Rates'!$D$252:$J$258,+F$11-2,FALSE)</f>
        <v>9.8000000000000004E-2</v>
      </c>
      <c r="G44" s="507">
        <f>'Proposed Rates'!$K$253*$F$10</f>
        <v>1280</v>
      </c>
      <c r="H44" s="399">
        <f t="shared" si="53"/>
        <v>125.44</v>
      </c>
      <c r="I44" s="132"/>
      <c r="J44" s="429">
        <f>VLOOKUP($B44,'Proposed Rates'!$D$252:$J$258,+J$11-2,FALSE)</f>
        <v>9.8000000000000004E-2</v>
      </c>
      <c r="K44" s="507">
        <f>'Proposed Rates'!$K$253*$F$10</f>
        <v>1280</v>
      </c>
      <c r="L44" s="399">
        <f t="shared" si="55"/>
        <v>125.44</v>
      </c>
      <c r="M44" s="132"/>
      <c r="N44" s="400">
        <f t="shared" si="5"/>
        <v>0</v>
      </c>
      <c r="O44" s="401">
        <f t="shared" si="6"/>
        <v>0</v>
      </c>
      <c r="P44" s="52"/>
      <c r="Q44" s="429">
        <f>VLOOKUP($B44,'Proposed Rates'!$D$252:$J$258,+Q$11-2,FALSE)</f>
        <v>9.8000000000000004E-2</v>
      </c>
      <c r="R44" s="507">
        <f>'Proposed Rates'!$K$253*$F$10</f>
        <v>1280</v>
      </c>
      <c r="S44" s="399">
        <f t="shared" si="57"/>
        <v>125.44</v>
      </c>
      <c r="T44" s="132"/>
      <c r="U44" s="400">
        <f t="shared" si="9"/>
        <v>0</v>
      </c>
      <c r="V44" s="401">
        <f t="shared" si="10"/>
        <v>0</v>
      </c>
      <c r="W44" s="52"/>
      <c r="X44" s="429">
        <f>VLOOKUP($B44,'Proposed Rates'!$D$252:$J$258,+X$11-2,FALSE)</f>
        <v>9.8000000000000004E-2</v>
      </c>
      <c r="Y44" s="507">
        <f>'Proposed Rates'!$K$253*$F$10</f>
        <v>1280</v>
      </c>
      <c r="Z44" s="399">
        <f t="shared" si="59"/>
        <v>125.44</v>
      </c>
      <c r="AA44" s="132"/>
      <c r="AB44" s="400">
        <f t="shared" si="13"/>
        <v>0</v>
      </c>
      <c r="AC44" s="401">
        <f t="shared" si="14"/>
        <v>0</v>
      </c>
      <c r="AD44" s="52"/>
      <c r="AE44" s="429">
        <f>VLOOKUP($B44,'Proposed Rates'!$D$252:$J$258,+AE$11-2,FALSE)</f>
        <v>9.8000000000000004E-2</v>
      </c>
      <c r="AF44" s="507">
        <f>'Proposed Rates'!$K$253*$F$10</f>
        <v>1280</v>
      </c>
      <c r="AG44" s="399">
        <f t="shared" si="61"/>
        <v>125.44</v>
      </c>
      <c r="AH44" s="132"/>
      <c r="AI44" s="400">
        <f t="shared" si="17"/>
        <v>0</v>
      </c>
      <c r="AJ44" s="401">
        <f t="shared" si="18"/>
        <v>0</v>
      </c>
      <c r="AK44" s="52"/>
      <c r="AL44" s="429">
        <f>VLOOKUP($B44,'Proposed Rates'!$D$252:$J$258,+AL$11-2,FALSE)</f>
        <v>9.8000000000000004E-2</v>
      </c>
      <c r="AM44" s="507">
        <f>'Proposed Rates'!$K$253*$F$10</f>
        <v>1280</v>
      </c>
      <c r="AN44" s="399">
        <f t="shared" si="63"/>
        <v>125.44</v>
      </c>
      <c r="AO44" s="132"/>
      <c r="AP44" s="400">
        <f t="shared" si="21"/>
        <v>0</v>
      </c>
      <c r="AQ44" s="401">
        <f t="shared" si="22"/>
        <v>0</v>
      </c>
      <c r="AR44" s="402"/>
    </row>
    <row r="45" spans="1:44" ht="12" customHeight="1">
      <c r="A45" s="52"/>
      <c r="B45" s="321" t="s">
        <v>267</v>
      </c>
      <c r="C45" s="394" t="str">
        <f t="shared" si="51"/>
        <v>General Service &lt; 50 kW.TOU - Mid Peak</v>
      </c>
      <c r="D45" s="395" t="s">
        <v>312</v>
      </c>
      <c r="E45" s="321"/>
      <c r="F45" s="429">
        <f>VLOOKUP($B45,'Proposed Rates'!$D$252:$J$258,+F$11-2,FALSE)</f>
        <v>0.157</v>
      </c>
      <c r="G45" s="507">
        <f>'Proposed Rates'!$K$254*$F$10</f>
        <v>360</v>
      </c>
      <c r="H45" s="399">
        <f t="shared" si="53"/>
        <v>56.52</v>
      </c>
      <c r="I45" s="132"/>
      <c r="J45" s="429">
        <f>VLOOKUP($B45,'Proposed Rates'!$D$252:$J$258,+J$11-2,FALSE)</f>
        <v>0.157</v>
      </c>
      <c r="K45" s="507">
        <f>'Proposed Rates'!$K$254*$F$10</f>
        <v>360</v>
      </c>
      <c r="L45" s="399">
        <f t="shared" si="55"/>
        <v>56.52</v>
      </c>
      <c r="M45" s="132"/>
      <c r="N45" s="400">
        <f t="shared" si="5"/>
        <v>0</v>
      </c>
      <c r="O45" s="401">
        <f t="shared" si="6"/>
        <v>0</v>
      </c>
      <c r="P45" s="52"/>
      <c r="Q45" s="429">
        <f>VLOOKUP($B45,'Proposed Rates'!$D$252:$J$258,+Q$11-2,FALSE)</f>
        <v>0.157</v>
      </c>
      <c r="R45" s="507">
        <f>'Proposed Rates'!$K$254*$F$10</f>
        <v>360</v>
      </c>
      <c r="S45" s="399">
        <f t="shared" si="57"/>
        <v>56.52</v>
      </c>
      <c r="T45" s="132"/>
      <c r="U45" s="400">
        <f t="shared" si="9"/>
        <v>0</v>
      </c>
      <c r="V45" s="401">
        <f t="shared" si="10"/>
        <v>0</v>
      </c>
      <c r="W45" s="52"/>
      <c r="X45" s="429">
        <f>VLOOKUP($B45,'Proposed Rates'!$D$252:$J$258,+X$11-2,FALSE)</f>
        <v>0.157</v>
      </c>
      <c r="Y45" s="507">
        <f>'Proposed Rates'!$K$254*$F$10</f>
        <v>360</v>
      </c>
      <c r="Z45" s="399">
        <f t="shared" si="59"/>
        <v>56.52</v>
      </c>
      <c r="AA45" s="132"/>
      <c r="AB45" s="400">
        <f t="shared" si="13"/>
        <v>0</v>
      </c>
      <c r="AC45" s="401">
        <f t="shared" si="14"/>
        <v>0</v>
      </c>
      <c r="AD45" s="52"/>
      <c r="AE45" s="429">
        <f>VLOOKUP($B45,'Proposed Rates'!$D$252:$J$258,+AE$11-2,FALSE)</f>
        <v>0.157</v>
      </c>
      <c r="AF45" s="507">
        <f>'Proposed Rates'!$K$254*$F$10</f>
        <v>360</v>
      </c>
      <c r="AG45" s="399">
        <f t="shared" si="61"/>
        <v>56.52</v>
      </c>
      <c r="AH45" s="132"/>
      <c r="AI45" s="400">
        <f t="shared" si="17"/>
        <v>0</v>
      </c>
      <c r="AJ45" s="401">
        <f t="shared" si="18"/>
        <v>0</v>
      </c>
      <c r="AK45" s="52"/>
      <c r="AL45" s="429">
        <f>VLOOKUP($B45,'Proposed Rates'!$D$252:$J$258,+AL$11-2,FALSE)</f>
        <v>0.157</v>
      </c>
      <c r="AM45" s="507">
        <f>'Proposed Rates'!$K$254*$F$10</f>
        <v>360</v>
      </c>
      <c r="AN45" s="399">
        <f t="shared" si="63"/>
        <v>56.52</v>
      </c>
      <c r="AO45" s="132"/>
      <c r="AP45" s="400">
        <f t="shared" si="21"/>
        <v>0</v>
      </c>
      <c r="AQ45" s="401">
        <f t="shared" si="22"/>
        <v>0</v>
      </c>
      <c r="AR45" s="402"/>
    </row>
    <row r="46" spans="1:44" ht="12" customHeight="1">
      <c r="A46" s="52"/>
      <c r="B46" s="52" t="s">
        <v>268</v>
      </c>
      <c r="C46" s="394" t="str">
        <f t="shared" si="51"/>
        <v>General Service &lt; 50 kW.TOU - On Peak</v>
      </c>
      <c r="D46" s="395" t="s">
        <v>312</v>
      </c>
      <c r="E46" s="321"/>
      <c r="F46" s="429">
        <f>VLOOKUP($B46,'Proposed Rates'!$D$252:$J$258,+F$11-2,FALSE)</f>
        <v>0.20300000000000001</v>
      </c>
      <c r="G46" s="507">
        <f>'Proposed Rates'!$K$255*$F$10</f>
        <v>360</v>
      </c>
      <c r="H46" s="399">
        <f t="shared" si="53"/>
        <v>73.08</v>
      </c>
      <c r="I46" s="132"/>
      <c r="J46" s="429">
        <f>VLOOKUP($B46,'Proposed Rates'!$D$252:$J$258,+J$11-2,FALSE)</f>
        <v>0.20300000000000001</v>
      </c>
      <c r="K46" s="507">
        <f>'Proposed Rates'!$K$255*$F$10</f>
        <v>360</v>
      </c>
      <c r="L46" s="399">
        <f t="shared" si="55"/>
        <v>73.08</v>
      </c>
      <c r="M46" s="132"/>
      <c r="N46" s="400">
        <f t="shared" si="5"/>
        <v>0</v>
      </c>
      <c r="O46" s="401">
        <f t="shared" si="6"/>
        <v>0</v>
      </c>
      <c r="P46" s="52"/>
      <c r="Q46" s="429">
        <f>VLOOKUP($B46,'Proposed Rates'!$D$252:$J$258,+Q$11-2,FALSE)</f>
        <v>0.20300000000000001</v>
      </c>
      <c r="R46" s="507">
        <f>'Proposed Rates'!$K$255*$F$10</f>
        <v>360</v>
      </c>
      <c r="S46" s="399">
        <f t="shared" si="57"/>
        <v>73.08</v>
      </c>
      <c r="T46" s="132"/>
      <c r="U46" s="400">
        <f t="shared" si="9"/>
        <v>0</v>
      </c>
      <c r="V46" s="401">
        <f t="shared" si="10"/>
        <v>0</v>
      </c>
      <c r="W46" s="52"/>
      <c r="X46" s="429">
        <f>VLOOKUP($B46,'Proposed Rates'!$D$252:$J$258,+X$11-2,FALSE)</f>
        <v>0.20300000000000001</v>
      </c>
      <c r="Y46" s="507">
        <f>'Proposed Rates'!$K$255*$F$10</f>
        <v>360</v>
      </c>
      <c r="Z46" s="399">
        <f t="shared" si="59"/>
        <v>73.08</v>
      </c>
      <c r="AA46" s="132"/>
      <c r="AB46" s="400">
        <f t="shared" si="13"/>
        <v>0</v>
      </c>
      <c r="AC46" s="401">
        <f t="shared" si="14"/>
        <v>0</v>
      </c>
      <c r="AD46" s="52"/>
      <c r="AE46" s="429">
        <f>VLOOKUP($B46,'Proposed Rates'!$D$252:$J$258,+AE$11-2,FALSE)</f>
        <v>0.20300000000000001</v>
      </c>
      <c r="AF46" s="507">
        <f>'Proposed Rates'!$K$255*$F$10</f>
        <v>360</v>
      </c>
      <c r="AG46" s="399">
        <f t="shared" si="61"/>
        <v>73.08</v>
      </c>
      <c r="AH46" s="132"/>
      <c r="AI46" s="400">
        <f t="shared" si="17"/>
        <v>0</v>
      </c>
      <c r="AJ46" s="401">
        <f t="shared" si="18"/>
        <v>0</v>
      </c>
      <c r="AK46" s="52"/>
      <c r="AL46" s="429">
        <f>VLOOKUP($B46,'Proposed Rates'!$D$252:$J$258,+AL$11-2,FALSE)</f>
        <v>0.20300000000000001</v>
      </c>
      <c r="AM46" s="507">
        <f>'Proposed Rates'!$K$255*$F$10</f>
        <v>360</v>
      </c>
      <c r="AN46" s="399">
        <f t="shared" si="63"/>
        <v>73.08</v>
      </c>
      <c r="AO46" s="132"/>
      <c r="AP46" s="400">
        <f t="shared" si="21"/>
        <v>0</v>
      </c>
      <c r="AQ46" s="401">
        <f t="shared" si="22"/>
        <v>0</v>
      </c>
      <c r="AR46" s="402"/>
    </row>
    <row r="47" spans="1:44" ht="12" customHeight="1">
      <c r="A47" s="52"/>
      <c r="B47" s="321" t="s">
        <v>269</v>
      </c>
      <c r="C47" s="394" t="str">
        <f t="shared" si="51"/>
        <v>General Service &lt; 50 kW.Energy - RPP - Tier 1</v>
      </c>
      <c r="D47" s="395" t="s">
        <v>312</v>
      </c>
      <c r="E47" s="321"/>
      <c r="F47" s="429">
        <f>VLOOKUP($B47,'Proposed Rates'!$D$252:$J$258,+F$11-2,FALSE)</f>
        <v>0.12</v>
      </c>
      <c r="G47" s="507">
        <f>IF(AND($S$2=1, $F$10&gt;=750), 750, IF(AND($S$2=1, AND($F$10&lt;750, $F$10&gt;=0)), $F$10, IF(AND($S$2=2, $F$10&gt;=1000), 1000, IF(AND($S$2=2, AND($F$10&lt;1000, $F$10&gt;=0)), $F$10))))</f>
        <v>750</v>
      </c>
      <c r="H47" s="399">
        <f t="shared" si="53"/>
        <v>90</v>
      </c>
      <c r="I47" s="132"/>
      <c r="J47" s="429">
        <f>VLOOKUP($B47,'Proposed Rates'!$D$252:$J$258,+J$11-2,FALSE)</f>
        <v>0.12</v>
      </c>
      <c r="K47" s="507">
        <f>IF(AND($S$2=1, $F$10&gt;=750), 750, IF(AND($S$2=1, AND($F$10&lt;750, $F$10&gt;=0)), $F$10, IF(AND($S$2=2, $F$10&gt;=1000), 1000, IF(AND($S$2=2, AND($F$10&lt;1000, $F$10&gt;=0)), $F$10))))</f>
        <v>750</v>
      </c>
      <c r="L47" s="399">
        <f t="shared" si="55"/>
        <v>90</v>
      </c>
      <c r="M47" s="132"/>
      <c r="N47" s="400">
        <f t="shared" si="5"/>
        <v>0</v>
      </c>
      <c r="O47" s="401">
        <f t="shared" si="6"/>
        <v>0</v>
      </c>
      <c r="P47" s="52"/>
      <c r="Q47" s="429">
        <f>VLOOKUP($B47,'Proposed Rates'!$D$252:$J$258,+Q$11-2,FALSE)</f>
        <v>0.12</v>
      </c>
      <c r="R47" s="507">
        <f>IF(AND($S$2=1, $F$10&gt;=750), 750, IF(AND($S$2=1, AND($F$10&lt;750, $F$10&gt;=0)), $F$10, IF(AND($S$2=2, $F$10&gt;=1000), 1000, IF(AND($S$2=2, AND($F$10&lt;1000, $F$10&gt;=0)), $F$10))))</f>
        <v>750</v>
      </c>
      <c r="S47" s="399">
        <f t="shared" si="57"/>
        <v>90</v>
      </c>
      <c r="T47" s="132"/>
      <c r="U47" s="400">
        <f t="shared" si="9"/>
        <v>0</v>
      </c>
      <c r="V47" s="401">
        <f t="shared" si="10"/>
        <v>0</v>
      </c>
      <c r="W47" s="52"/>
      <c r="X47" s="429">
        <f>VLOOKUP($B47,'Proposed Rates'!$D$252:$J$258,+X$11-2,FALSE)</f>
        <v>0.12</v>
      </c>
      <c r="Y47" s="507">
        <f>IF(AND($S$2=1, $F$10&gt;=750), 750, IF(AND($S$2=1, AND($F$10&lt;750, $F$10&gt;=0)), $F$10, IF(AND($S$2=2, $F$10&gt;=1000), 1000, IF(AND($S$2=2, AND($F$10&lt;1000, $F$10&gt;=0)), $F$10))))</f>
        <v>750</v>
      </c>
      <c r="Z47" s="399">
        <f t="shared" si="59"/>
        <v>90</v>
      </c>
      <c r="AA47" s="132"/>
      <c r="AB47" s="400">
        <f t="shared" si="13"/>
        <v>0</v>
      </c>
      <c r="AC47" s="401">
        <f t="shared" si="14"/>
        <v>0</v>
      </c>
      <c r="AD47" s="52"/>
      <c r="AE47" s="429">
        <f>VLOOKUP($B47,'Proposed Rates'!$D$252:$J$258,+AE$11-2,FALSE)</f>
        <v>0.12</v>
      </c>
      <c r="AF47" s="507">
        <f>IF(AND($S$2=1, $F$10&gt;=750), 750, IF(AND($S$2=1, AND($F$10&lt;750, $F$10&gt;=0)), $F$10, IF(AND($S$2=2, $F$10&gt;=1000), 1000, IF(AND($S$2=2, AND($F$10&lt;1000, $F$10&gt;=0)), $F$10))))</f>
        <v>750</v>
      </c>
      <c r="AG47" s="399">
        <f t="shared" si="61"/>
        <v>90</v>
      </c>
      <c r="AH47" s="132"/>
      <c r="AI47" s="400">
        <f t="shared" si="17"/>
        <v>0</v>
      </c>
      <c r="AJ47" s="401">
        <f t="shared" si="18"/>
        <v>0</v>
      </c>
      <c r="AK47" s="52"/>
      <c r="AL47" s="429">
        <f>VLOOKUP($B47,'Proposed Rates'!$D$252:$J$258,+AL$11-2,FALSE)</f>
        <v>0.12</v>
      </c>
      <c r="AM47" s="507">
        <f>IF(AND($S$2=1, $F$10&gt;=750), 750, IF(AND($S$2=1, AND($F$10&lt;750, $F$10&gt;=0)), $F$10, IF(AND($S$2=2, $F$10&gt;=1000), 1000, IF(AND($S$2=2, AND($F$10&lt;1000, $F$10&gt;=0)), $F$10))))</f>
        <v>750</v>
      </c>
      <c r="AN47" s="399">
        <f t="shared" si="63"/>
        <v>90</v>
      </c>
      <c r="AO47" s="132"/>
      <c r="AP47" s="400">
        <f t="shared" si="21"/>
        <v>0</v>
      </c>
      <c r="AQ47" s="401">
        <f t="shared" si="22"/>
        <v>0</v>
      </c>
      <c r="AR47" s="402"/>
    </row>
    <row r="48" spans="1:44" ht="12" customHeight="1">
      <c r="A48" s="52"/>
      <c r="B48" s="321" t="s">
        <v>270</v>
      </c>
      <c r="C48" s="394" t="str">
        <f t="shared" si="51"/>
        <v>General Service &lt; 50 kW.Energy - RPP - Tier 2</v>
      </c>
      <c r="D48" s="395" t="s">
        <v>312</v>
      </c>
      <c r="E48" s="321"/>
      <c r="F48" s="429">
        <f>VLOOKUP($B48,'Proposed Rates'!$D$252:$J$258,+F$11-2,FALSE)</f>
        <v>0.14199999999999999</v>
      </c>
      <c r="G48" s="507">
        <f>IF(AND($S$2=1, $F$10&gt;=750), $F$10-750, IF(AND($S$2=1, AND($F$10&lt;750, $F$10&gt;=0)), 0, IF(AND($S$2=2, $F$10&gt;=1000), $F$10-1000, IF(AND($S$2=2, AND($F$10&lt;1000, $F$10&gt;=0)), 0))))</f>
        <v>1250</v>
      </c>
      <c r="H48" s="399">
        <f t="shared" si="53"/>
        <v>177.49999999999997</v>
      </c>
      <c r="I48" s="132"/>
      <c r="J48" s="429">
        <f>VLOOKUP($B48,'Proposed Rates'!$D$252:$J$258,+J$11-2,FALSE)</f>
        <v>0.14199999999999999</v>
      </c>
      <c r="K48" s="507">
        <f>IF(AND($S$2=1, $F$10&gt;=750), $F$10-750, IF(AND($S$2=1, AND($F$10&lt;750, $F$10&gt;=0)), 0, IF(AND($S$2=2, $F$10&gt;=1000), $F$10-1000, IF(AND($S$2=2, AND($F$10&lt;1000, $F$10&gt;=0)), 0))))</f>
        <v>1250</v>
      </c>
      <c r="L48" s="399">
        <f t="shared" si="55"/>
        <v>177.49999999999997</v>
      </c>
      <c r="M48" s="132"/>
      <c r="N48" s="400">
        <f t="shared" si="5"/>
        <v>0</v>
      </c>
      <c r="O48" s="401">
        <f t="shared" si="6"/>
        <v>0</v>
      </c>
      <c r="P48" s="52"/>
      <c r="Q48" s="429">
        <f>VLOOKUP($B48,'Proposed Rates'!$D$252:$J$258,+Q$11-2,FALSE)</f>
        <v>0.14199999999999999</v>
      </c>
      <c r="R48" s="507">
        <f>IF(AND($S$2=1, $F$10&gt;=750), $F$10-750, IF(AND($S$2=1, AND($F$10&lt;750, $F$10&gt;=0)), 0, IF(AND($S$2=2, $F$10&gt;=1000), $F$10-1000, IF(AND($S$2=2, AND($F$10&lt;1000, $F$10&gt;=0)), 0))))</f>
        <v>1250</v>
      </c>
      <c r="S48" s="399">
        <f t="shared" si="57"/>
        <v>177.49999999999997</v>
      </c>
      <c r="T48" s="132"/>
      <c r="U48" s="400">
        <f t="shared" si="9"/>
        <v>0</v>
      </c>
      <c r="V48" s="401">
        <f t="shared" si="10"/>
        <v>0</v>
      </c>
      <c r="W48" s="52"/>
      <c r="X48" s="429">
        <f>VLOOKUP($B48,'Proposed Rates'!$D$252:$J$258,+X$11-2,FALSE)</f>
        <v>0.14199999999999999</v>
      </c>
      <c r="Y48" s="507">
        <f>IF(AND($S$2=1, $F$10&gt;=750), $F$10-750, IF(AND($S$2=1, AND($F$10&lt;750, $F$10&gt;=0)), 0, IF(AND($S$2=2, $F$10&gt;=1000), $F$10-1000, IF(AND($S$2=2, AND($F$10&lt;1000, $F$10&gt;=0)), 0))))</f>
        <v>1250</v>
      </c>
      <c r="Z48" s="399">
        <f t="shared" si="59"/>
        <v>177.49999999999997</v>
      </c>
      <c r="AA48" s="132"/>
      <c r="AB48" s="400">
        <f t="shared" si="13"/>
        <v>0</v>
      </c>
      <c r="AC48" s="401">
        <f t="shared" si="14"/>
        <v>0</v>
      </c>
      <c r="AD48" s="52"/>
      <c r="AE48" s="429">
        <f>VLOOKUP($B48,'Proposed Rates'!$D$252:$J$258,+AE$11-2,FALSE)</f>
        <v>0.14199999999999999</v>
      </c>
      <c r="AF48" s="507">
        <f>IF(AND($S$2=1, $F$10&gt;=750), $F$10-750, IF(AND($S$2=1, AND($F$10&lt;750, $F$10&gt;=0)), 0, IF(AND($S$2=2, $F$10&gt;=1000), $F$10-1000, IF(AND($S$2=2, AND($F$10&lt;1000, $F$10&gt;=0)), 0))))</f>
        <v>1250</v>
      </c>
      <c r="AG48" s="399">
        <f t="shared" si="61"/>
        <v>177.49999999999997</v>
      </c>
      <c r="AH48" s="132"/>
      <c r="AI48" s="400">
        <f t="shared" si="17"/>
        <v>0</v>
      </c>
      <c r="AJ48" s="401">
        <f t="shared" si="18"/>
        <v>0</v>
      </c>
      <c r="AK48" s="52"/>
      <c r="AL48" s="429">
        <f>VLOOKUP($B48,'Proposed Rates'!$D$252:$J$258,+AL$11-2,FALSE)</f>
        <v>0.14199999999999999</v>
      </c>
      <c r="AM48" s="507">
        <f>IF(AND($S$2=1, $F$10&gt;=750), $F$10-750, IF(AND($S$2=1, AND($F$10&lt;750, $F$10&gt;=0)), 0, IF(AND($S$2=2, $F$10&gt;=1000), $F$10-1000, IF(AND($S$2=2, AND($F$10&lt;1000, $F$10&gt;=0)), 0))))</f>
        <v>1250</v>
      </c>
      <c r="AN48" s="399">
        <f t="shared" si="63"/>
        <v>177.49999999999997</v>
      </c>
      <c r="AO48" s="132"/>
      <c r="AP48" s="400">
        <f t="shared" si="21"/>
        <v>0</v>
      </c>
      <c r="AQ48" s="401">
        <f t="shared" si="22"/>
        <v>0</v>
      </c>
      <c r="AR48" s="402"/>
    </row>
    <row r="49" spans="1:44" ht="12"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402.040212</v>
      </c>
      <c r="I50" s="481"/>
      <c r="J50" s="444"/>
      <c r="K50" s="445"/>
      <c r="L50" s="447">
        <f>SUM(L41:L46,L40)</f>
        <v>406.50875199999996</v>
      </c>
      <c r="M50" s="448"/>
      <c r="N50" s="447">
        <f t="shared" ref="N50:N54" si="64">L50-H50</f>
        <v>4.4685399999999618</v>
      </c>
      <c r="O50" s="449">
        <f t="shared" ref="O50:O54" si="65">IF((H50)=0,"",(N50/H50))</f>
        <v>1.111465934656298E-2</v>
      </c>
      <c r="P50" s="52"/>
      <c r="Q50" s="444"/>
      <c r="R50" s="445"/>
      <c r="S50" s="447">
        <f>SUM(S41:S46,S40)</f>
        <v>412.17875199999992</v>
      </c>
      <c r="T50" s="448"/>
      <c r="U50" s="447">
        <f t="shared" ref="U50:U54" si="66">S50-L50</f>
        <v>5.6699999999999591</v>
      </c>
      <c r="V50" s="449">
        <f t="shared" ref="V50:V54" si="67">IF((L50)=0,"",(U50/L50))</f>
        <v>1.3948039180223996E-2</v>
      </c>
      <c r="W50" s="52"/>
      <c r="X50" s="444"/>
      <c r="Y50" s="445"/>
      <c r="Z50" s="447">
        <f>SUM(Z41:Z46,Z40)</f>
        <v>418.86875199999997</v>
      </c>
      <c r="AA50" s="448"/>
      <c r="AB50" s="447">
        <f t="shared" ref="AB50:AB54" si="68">Z50-S50</f>
        <v>6.6900000000000546</v>
      </c>
      <c r="AC50" s="449">
        <f t="shared" ref="AC50:AC54" si="69">IF((S50)=0,"",(AB50/S50))</f>
        <v>1.6230822107006757E-2</v>
      </c>
      <c r="AD50" s="52"/>
      <c r="AE50" s="444"/>
      <c r="AF50" s="445"/>
      <c r="AG50" s="447">
        <f>SUM(AG41:AG46,AG40)</f>
        <v>420.84875199999999</v>
      </c>
      <c r="AH50" s="448"/>
      <c r="AI50" s="447">
        <f t="shared" ref="AI50:AI54" si="70">AG50-Z50</f>
        <v>1.9800000000000182</v>
      </c>
      <c r="AJ50" s="449">
        <f t="shared" ref="AJ50:AJ54" si="71">IF((Z50)=0,"",(AI50/Z50))</f>
        <v>4.727017688824919E-3</v>
      </c>
      <c r="AK50" s="52"/>
      <c r="AL50" s="444"/>
      <c r="AM50" s="445"/>
      <c r="AN50" s="447">
        <f>SUM(AN41:AN46,AN40)</f>
        <v>422.49875199999997</v>
      </c>
      <c r="AO50" s="448"/>
      <c r="AP50" s="447">
        <f t="shared" ref="AP50:AP54" si="72">AN50-AG50</f>
        <v>1.6499999999999773</v>
      </c>
      <c r="AQ50" s="449">
        <f t="shared" ref="AQ50:AQ54" si="73">IF((AG50)=0,"",(AP50/AG50))</f>
        <v>3.9206484328602152E-3</v>
      </c>
      <c r="AR50" s="450"/>
    </row>
    <row r="51" spans="1:44" ht="12" customHeight="1">
      <c r="A51" s="52"/>
      <c r="B51" s="451" t="s">
        <v>320</v>
      </c>
      <c r="C51" s="321"/>
      <c r="D51" s="321"/>
      <c r="E51" s="321"/>
      <c r="F51" s="444">
        <v>0.13</v>
      </c>
      <c r="G51" s="132"/>
      <c r="H51" s="489">
        <f>H50*F51</f>
        <v>52.26522756</v>
      </c>
      <c r="I51" s="416"/>
      <c r="J51" s="444">
        <v>0.13</v>
      </c>
      <c r="K51" s="416"/>
      <c r="L51" s="399">
        <f>L50*J51</f>
        <v>52.846137759999998</v>
      </c>
      <c r="M51" s="132"/>
      <c r="N51" s="400">
        <f t="shared" si="64"/>
        <v>0.58091019999999816</v>
      </c>
      <c r="O51" s="401">
        <f t="shared" si="65"/>
        <v>1.1114659346563039E-2</v>
      </c>
      <c r="P51" s="52"/>
      <c r="Q51" s="444">
        <v>0.13</v>
      </c>
      <c r="R51" s="416"/>
      <c r="S51" s="399">
        <f>S50*Q51</f>
        <v>53.583237759999989</v>
      </c>
      <c r="T51" s="132"/>
      <c r="U51" s="400">
        <f t="shared" si="66"/>
        <v>0.73709999999999098</v>
      </c>
      <c r="V51" s="401">
        <f t="shared" si="67"/>
        <v>1.3948039180223925E-2</v>
      </c>
      <c r="W51" s="52"/>
      <c r="X51" s="444">
        <v>0.13</v>
      </c>
      <c r="Y51" s="416"/>
      <c r="Z51" s="399">
        <f>Z50*X51</f>
        <v>54.452937759999998</v>
      </c>
      <c r="AA51" s="132"/>
      <c r="AB51" s="400">
        <f t="shared" si="68"/>
        <v>0.8697000000000088</v>
      </c>
      <c r="AC51" s="401">
        <f t="shared" si="69"/>
        <v>1.6230822107006791E-2</v>
      </c>
      <c r="AD51" s="52"/>
      <c r="AE51" s="444">
        <v>0.13</v>
      </c>
      <c r="AF51" s="416"/>
      <c r="AG51" s="399">
        <f>AG50*AE51</f>
        <v>54.710337760000002</v>
      </c>
      <c r="AH51" s="132"/>
      <c r="AI51" s="400">
        <f t="shared" si="70"/>
        <v>0.25740000000000407</v>
      </c>
      <c r="AJ51" s="401">
        <f t="shared" si="71"/>
        <v>4.7270176888249502E-3</v>
      </c>
      <c r="AK51" s="52"/>
      <c r="AL51" s="444">
        <v>0.13</v>
      </c>
      <c r="AM51" s="416"/>
      <c r="AN51" s="399">
        <f>AN50*AL51</f>
        <v>54.924837759999996</v>
      </c>
      <c r="AO51" s="132"/>
      <c r="AP51" s="400">
        <f t="shared" si="72"/>
        <v>0.21449999999999392</v>
      </c>
      <c r="AQ51" s="401">
        <f t="shared" si="73"/>
        <v>3.920648432860158E-3</v>
      </c>
      <c r="AR51" s="402"/>
    </row>
    <row r="52" spans="1:44" ht="12" customHeight="1">
      <c r="A52" s="52"/>
      <c r="B52" s="453" t="s">
        <v>369</v>
      </c>
      <c r="C52" s="321"/>
      <c r="D52" s="321"/>
      <c r="E52" s="321"/>
      <c r="F52" s="454"/>
      <c r="G52" s="132"/>
      <c r="H52" s="489">
        <f>H50+H51</f>
        <v>454.30543955999997</v>
      </c>
      <c r="I52" s="416"/>
      <c r="J52" s="454"/>
      <c r="K52" s="416"/>
      <c r="L52" s="399">
        <f>L50+L51</f>
        <v>459.35488975999993</v>
      </c>
      <c r="M52" s="132"/>
      <c r="N52" s="400">
        <f t="shared" si="64"/>
        <v>5.049450199999967</v>
      </c>
      <c r="O52" s="401">
        <f t="shared" si="65"/>
        <v>1.1114659346563003E-2</v>
      </c>
      <c r="P52" s="52"/>
      <c r="Q52" s="454"/>
      <c r="R52" s="416"/>
      <c r="S52" s="399">
        <f>S50+S51</f>
        <v>465.76198975999989</v>
      </c>
      <c r="T52" s="132"/>
      <c r="U52" s="400">
        <f t="shared" si="66"/>
        <v>6.4070999999999572</v>
      </c>
      <c r="V52" s="401">
        <f t="shared" si="67"/>
        <v>1.3948039180224003E-2</v>
      </c>
      <c r="W52" s="52"/>
      <c r="X52" s="454"/>
      <c r="Y52" s="416"/>
      <c r="Z52" s="399">
        <f>Z50+Z51</f>
        <v>473.32168975999997</v>
      </c>
      <c r="AA52" s="132"/>
      <c r="AB52" s="400">
        <f t="shared" si="68"/>
        <v>7.5597000000000776</v>
      </c>
      <c r="AC52" s="401">
        <f t="shared" si="69"/>
        <v>1.6230822107006791E-2</v>
      </c>
      <c r="AD52" s="52"/>
      <c r="AE52" s="454"/>
      <c r="AF52" s="416"/>
      <c r="AG52" s="399">
        <f>AG50+AG51</f>
        <v>475.55908976000001</v>
      </c>
      <c r="AH52" s="132"/>
      <c r="AI52" s="400">
        <f t="shared" si="70"/>
        <v>2.2374000000000365</v>
      </c>
      <c r="AJ52" s="401">
        <f t="shared" si="71"/>
        <v>4.7270176888249528E-3</v>
      </c>
      <c r="AK52" s="52"/>
      <c r="AL52" s="454"/>
      <c r="AM52" s="416"/>
      <c r="AN52" s="399">
        <f>AN50+AN51</f>
        <v>477.42358975999997</v>
      </c>
      <c r="AO52" s="132"/>
      <c r="AP52" s="400">
        <f t="shared" si="72"/>
        <v>1.8644999999999641</v>
      </c>
      <c r="AQ52" s="401">
        <f t="shared" si="73"/>
        <v>3.9206484328601935E-3</v>
      </c>
      <c r="AR52" s="402"/>
    </row>
    <row r="53" spans="1:44" ht="12" customHeight="1">
      <c r="A53" s="52"/>
      <c r="B53" s="632" t="s">
        <v>277</v>
      </c>
      <c r="C53" s="623"/>
      <c r="D53" s="623"/>
      <c r="E53" s="321"/>
      <c r="F53" s="455">
        <f>'Proposed Rates'!E291</f>
        <v>0.23499999999999999</v>
      </c>
      <c r="G53" s="132"/>
      <c r="H53" s="491">
        <f>F53*H50</f>
        <v>94.479449819999999</v>
      </c>
      <c r="I53" s="416"/>
      <c r="J53" s="455">
        <f>'Proposed Rates'!I291</f>
        <v>0.23499999999999999</v>
      </c>
      <c r="K53" s="416"/>
      <c r="L53" s="456">
        <f>J53*L50</f>
        <v>95.529556719999988</v>
      </c>
      <c r="M53" s="132"/>
      <c r="N53" s="456">
        <f t="shared" si="64"/>
        <v>1.0501068999999887</v>
      </c>
      <c r="O53" s="458">
        <f t="shared" si="65"/>
        <v>1.1114659346562956E-2</v>
      </c>
      <c r="P53" s="52"/>
      <c r="Q53" s="455">
        <f>'Proposed Rates'!H291</f>
        <v>0.23499999999999999</v>
      </c>
      <c r="R53" s="416"/>
      <c r="S53" s="456">
        <f>Q53*S50</f>
        <v>96.862006719999968</v>
      </c>
      <c r="T53" s="132"/>
      <c r="U53" s="456">
        <f t="shared" si="66"/>
        <v>1.3324499999999802</v>
      </c>
      <c r="V53" s="458">
        <f t="shared" si="67"/>
        <v>1.3948039180223889E-2</v>
      </c>
      <c r="W53" s="52"/>
      <c r="X53" s="455">
        <f>'Proposed Rates'!J291</f>
        <v>0.23499999999999999</v>
      </c>
      <c r="Y53" s="416"/>
      <c r="Z53" s="456">
        <f>X53*Z50</f>
        <v>98.43415671999999</v>
      </c>
      <c r="AA53" s="132"/>
      <c r="AB53" s="456">
        <f t="shared" si="68"/>
        <v>1.5721500000000219</v>
      </c>
      <c r="AC53" s="458">
        <f t="shared" si="69"/>
        <v>1.6230822107006854E-2</v>
      </c>
      <c r="AD53" s="52"/>
      <c r="AE53" s="455">
        <f>'Proposed Rates'!J291</f>
        <v>0.23499999999999999</v>
      </c>
      <c r="AF53" s="416"/>
      <c r="AG53" s="456">
        <f>AE53*AG50</f>
        <v>98.899456719999989</v>
      </c>
      <c r="AH53" s="132"/>
      <c r="AI53" s="456">
        <f t="shared" si="70"/>
        <v>0.46529999999999916</v>
      </c>
      <c r="AJ53" s="458">
        <f t="shared" si="71"/>
        <v>4.7270176888248678E-3</v>
      </c>
      <c r="AK53" s="52"/>
      <c r="AL53" s="455">
        <f>'Proposed Rates'!J291</f>
        <v>0.23499999999999999</v>
      </c>
      <c r="AM53" s="416"/>
      <c r="AN53" s="456">
        <f>AL53*AN50</f>
        <v>99.287206719999986</v>
      </c>
      <c r="AO53" s="132"/>
      <c r="AP53" s="456">
        <f t="shared" si="72"/>
        <v>0.38774999999999693</v>
      </c>
      <c r="AQ53" s="458">
        <f t="shared" si="73"/>
        <v>3.9206484328602386E-3</v>
      </c>
      <c r="AR53" s="459"/>
    </row>
    <row r="54" spans="1:44" ht="12" customHeight="1">
      <c r="A54" s="52"/>
      <c r="B54" s="634" t="s">
        <v>322</v>
      </c>
      <c r="C54" s="615"/>
      <c r="D54" s="615"/>
      <c r="E54" s="460"/>
      <c r="F54" s="461"/>
      <c r="G54" s="492"/>
      <c r="H54" s="493">
        <f>H52-H53</f>
        <v>359.82598973999995</v>
      </c>
      <c r="I54" s="462"/>
      <c r="J54" s="461"/>
      <c r="K54" s="462"/>
      <c r="L54" s="463">
        <f>L52-L53</f>
        <v>363.82533303999992</v>
      </c>
      <c r="M54" s="464"/>
      <c r="N54" s="465">
        <f t="shared" si="64"/>
        <v>3.9993432999999641</v>
      </c>
      <c r="O54" s="466">
        <f t="shared" si="65"/>
        <v>1.1114659346562977E-2</v>
      </c>
      <c r="P54" s="52"/>
      <c r="Q54" s="461"/>
      <c r="R54" s="462"/>
      <c r="S54" s="463">
        <f>S52-S53</f>
        <v>368.89998303999994</v>
      </c>
      <c r="T54" s="464"/>
      <c r="U54" s="465">
        <f t="shared" si="66"/>
        <v>5.0746500000000196</v>
      </c>
      <c r="V54" s="466">
        <f t="shared" si="67"/>
        <v>1.3948039180224152E-2</v>
      </c>
      <c r="W54" s="52"/>
      <c r="X54" s="461"/>
      <c r="Y54" s="462"/>
      <c r="Z54" s="463">
        <f>Z52-Z53</f>
        <v>374.88753303999999</v>
      </c>
      <c r="AA54" s="464"/>
      <c r="AB54" s="465">
        <f t="shared" si="68"/>
        <v>5.9875500000000557</v>
      </c>
      <c r="AC54" s="466">
        <f t="shared" si="69"/>
        <v>1.6230822107006777E-2</v>
      </c>
      <c r="AD54" s="52"/>
      <c r="AE54" s="461"/>
      <c r="AF54" s="462"/>
      <c r="AG54" s="463">
        <f>AG52-AG53</f>
        <v>376.65963304000002</v>
      </c>
      <c r="AH54" s="464"/>
      <c r="AI54" s="465">
        <f t="shared" si="70"/>
        <v>1.7721000000000231</v>
      </c>
      <c r="AJ54" s="466">
        <f t="shared" si="71"/>
        <v>4.7270176888249372E-3</v>
      </c>
      <c r="AK54" s="52"/>
      <c r="AL54" s="461"/>
      <c r="AM54" s="462"/>
      <c r="AN54" s="463">
        <f>AN52-AN53</f>
        <v>378.13638304</v>
      </c>
      <c r="AO54" s="464"/>
      <c r="AP54" s="465">
        <f t="shared" si="72"/>
        <v>1.4767499999999814</v>
      </c>
      <c r="AQ54" s="466">
        <f t="shared" si="73"/>
        <v>3.9206484328602196E-3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414.50021199999998</v>
      </c>
      <c r="I56" s="481"/>
      <c r="J56" s="444"/>
      <c r="K56" s="445"/>
      <c r="L56" s="447">
        <f>SUM(L47:L48,L40,L41:L43)</f>
        <v>418.96875199999999</v>
      </c>
      <c r="M56" s="448"/>
      <c r="N56" s="447">
        <f t="shared" ref="N56:N60" si="74">L56-H56</f>
        <v>4.4685400000000186</v>
      </c>
      <c r="O56" s="449">
        <f t="shared" ref="O56:O60" si="75">IF((H56)=0,"",(N56/H56))</f>
        <v>1.0780549371588786E-2</v>
      </c>
      <c r="P56" s="52"/>
      <c r="Q56" s="444"/>
      <c r="R56" s="445"/>
      <c r="S56" s="447">
        <f>SUM(S47:S48,S40,S41:S43)</f>
        <v>424.63875200000001</v>
      </c>
      <c r="T56" s="448"/>
      <c r="U56" s="447">
        <f t="shared" ref="U56:U60" si="76">S56-L56</f>
        <v>5.6700000000000159</v>
      </c>
      <c r="V56" s="449">
        <f t="shared" ref="V56:V60" si="77">IF((L56)=0,"",(U56/L56))</f>
        <v>1.3533228845668223E-2</v>
      </c>
      <c r="W56" s="52"/>
      <c r="X56" s="444"/>
      <c r="Y56" s="445"/>
      <c r="Z56" s="447">
        <f>SUM(Z47:Z48,Z40,Z41:Z43)</f>
        <v>431.32875199999995</v>
      </c>
      <c r="AA56" s="448"/>
      <c r="AB56" s="447">
        <f t="shared" ref="AB56:AB60" si="78">Z56-S56</f>
        <v>6.6899999999999409</v>
      </c>
      <c r="AC56" s="449">
        <f t="shared" ref="AC56:AC60" si="79">IF((S56)=0,"",(AB56/S56))</f>
        <v>1.5754567779061156E-2</v>
      </c>
      <c r="AD56" s="52"/>
      <c r="AE56" s="444"/>
      <c r="AF56" s="445"/>
      <c r="AG56" s="447">
        <f>SUM(AG47:AG48,AG40,AG41:AG43)</f>
        <v>433.30875199999997</v>
      </c>
      <c r="AH56" s="448"/>
      <c r="AI56" s="447">
        <f t="shared" ref="AI56:AI60" si="80">AG56-Z56</f>
        <v>1.9800000000000182</v>
      </c>
      <c r="AJ56" s="449">
        <f t="shared" ref="AJ56:AJ60" si="81">IF((Z56)=0,"",(AI56/Z56))</f>
        <v>4.5904660675159872E-3</v>
      </c>
      <c r="AK56" s="52"/>
      <c r="AL56" s="444"/>
      <c r="AM56" s="445"/>
      <c r="AN56" s="447">
        <f>SUM(AN47:AN48,AN40,AN41:AN43)</f>
        <v>434.95875199999995</v>
      </c>
      <c r="AO56" s="448"/>
      <c r="AP56" s="447">
        <f t="shared" ref="AP56:AP60" si="82">AN56-AG56</f>
        <v>1.6499999999999773</v>
      </c>
      <c r="AQ56" s="449">
        <f t="shared" ref="AQ56:AQ60" si="83">IF((AG56)=0,"",(AP56/AG56))</f>
        <v>3.8079083156852033E-3</v>
      </c>
      <c r="AR56" s="450"/>
    </row>
    <row r="57" spans="1:44" ht="12" customHeight="1">
      <c r="A57" s="52"/>
      <c r="B57" s="451" t="s">
        <v>320</v>
      </c>
      <c r="C57" s="321"/>
      <c r="D57" s="321"/>
      <c r="E57" s="321"/>
      <c r="F57" s="444">
        <v>0.13</v>
      </c>
      <c r="G57" s="488"/>
      <c r="H57" s="489">
        <f>H56*F57</f>
        <v>53.885027559999997</v>
      </c>
      <c r="I57" s="416"/>
      <c r="J57" s="444">
        <v>0.13</v>
      </c>
      <c r="K57" s="452"/>
      <c r="L57" s="400">
        <f>L56*J57</f>
        <v>54.465937760000003</v>
      </c>
      <c r="M57" s="132"/>
      <c r="N57" s="400">
        <f t="shared" si="74"/>
        <v>0.58091020000000526</v>
      </c>
      <c r="O57" s="401">
        <f t="shared" si="75"/>
        <v>1.078054937158884E-2</v>
      </c>
      <c r="P57" s="52"/>
      <c r="Q57" s="444">
        <v>0.13</v>
      </c>
      <c r="R57" s="452"/>
      <c r="S57" s="399">
        <f>S56*Q57</f>
        <v>55.203037760000001</v>
      </c>
      <c r="T57" s="132"/>
      <c r="U57" s="400">
        <f t="shared" si="76"/>
        <v>0.73709999999999809</v>
      </c>
      <c r="V57" s="401">
        <f t="shared" si="77"/>
        <v>1.353322884566815E-2</v>
      </c>
      <c r="W57" s="52"/>
      <c r="X57" s="444">
        <v>0.13</v>
      </c>
      <c r="Y57" s="452"/>
      <c r="Z57" s="399">
        <f>Z56*X57</f>
        <v>56.072737759999995</v>
      </c>
      <c r="AA57" s="132"/>
      <c r="AB57" s="400">
        <f t="shared" si="78"/>
        <v>0.86969999999999459</v>
      </c>
      <c r="AC57" s="401">
        <f t="shared" si="79"/>
        <v>1.5754567779061198E-2</v>
      </c>
      <c r="AD57" s="52"/>
      <c r="AE57" s="444">
        <v>0.13</v>
      </c>
      <c r="AF57" s="452"/>
      <c r="AG57" s="400">
        <f>AG56*AE57</f>
        <v>56.33013776</v>
      </c>
      <c r="AH57" s="132"/>
      <c r="AI57" s="400">
        <f t="shared" si="80"/>
        <v>0.25740000000000407</v>
      </c>
      <c r="AJ57" s="401">
        <f t="shared" si="81"/>
        <v>4.5904660675160176E-3</v>
      </c>
      <c r="AK57" s="52"/>
      <c r="AL57" s="444">
        <v>0.13</v>
      </c>
      <c r="AM57" s="452"/>
      <c r="AN57" s="399">
        <f>AN56*AL57</f>
        <v>56.544637759999993</v>
      </c>
      <c r="AO57" s="132"/>
      <c r="AP57" s="400">
        <f t="shared" si="82"/>
        <v>0.21449999999999392</v>
      </c>
      <c r="AQ57" s="401">
        <f t="shared" si="83"/>
        <v>3.8079083156851473E-3</v>
      </c>
      <c r="AR57" s="402"/>
    </row>
    <row r="58" spans="1:44" ht="12" customHeight="1">
      <c r="A58" s="52"/>
      <c r="B58" s="453" t="s">
        <v>370</v>
      </c>
      <c r="C58" s="321"/>
      <c r="D58" s="321"/>
      <c r="E58" s="321"/>
      <c r="F58" s="454"/>
      <c r="G58" s="132"/>
      <c r="H58" s="489">
        <f>H56+H57</f>
        <v>468.38523955999995</v>
      </c>
      <c r="I58" s="416"/>
      <c r="J58" s="454"/>
      <c r="K58" s="416"/>
      <c r="L58" s="399">
        <f>L56+L57</f>
        <v>473.43468975999997</v>
      </c>
      <c r="M58" s="132"/>
      <c r="N58" s="400">
        <f t="shared" si="74"/>
        <v>5.0494502000000239</v>
      </c>
      <c r="O58" s="401">
        <f t="shared" si="75"/>
        <v>1.0780549371588793E-2</v>
      </c>
      <c r="P58" s="52"/>
      <c r="Q58" s="454"/>
      <c r="R58" s="416"/>
      <c r="S58" s="399">
        <f>S56+S57</f>
        <v>479.84178975999998</v>
      </c>
      <c r="T58" s="132"/>
      <c r="U58" s="400">
        <f t="shared" si="76"/>
        <v>6.407100000000014</v>
      </c>
      <c r="V58" s="401">
        <f t="shared" si="77"/>
        <v>1.3533228845668216E-2</v>
      </c>
      <c r="W58" s="52"/>
      <c r="X58" s="454"/>
      <c r="Y58" s="416"/>
      <c r="Z58" s="399">
        <f>Z56+Z57</f>
        <v>487.40148975999995</v>
      </c>
      <c r="AA58" s="132"/>
      <c r="AB58" s="400">
        <f t="shared" si="78"/>
        <v>7.5596999999999639</v>
      </c>
      <c r="AC58" s="401">
        <f t="shared" si="79"/>
        <v>1.5754567779061219E-2</v>
      </c>
      <c r="AD58" s="52"/>
      <c r="AE58" s="454"/>
      <c r="AF58" s="416"/>
      <c r="AG58" s="399">
        <f>AG56+AG57</f>
        <v>489.63888975999998</v>
      </c>
      <c r="AH58" s="132"/>
      <c r="AI58" s="400">
        <f t="shared" si="80"/>
        <v>2.2374000000000365</v>
      </c>
      <c r="AJ58" s="401">
        <f t="shared" si="81"/>
        <v>4.5904660675160193E-3</v>
      </c>
      <c r="AK58" s="52"/>
      <c r="AL58" s="454"/>
      <c r="AM58" s="416"/>
      <c r="AN58" s="399">
        <f>AN56+AN57</f>
        <v>491.50338975999995</v>
      </c>
      <c r="AO58" s="132"/>
      <c r="AP58" s="400">
        <f t="shared" si="82"/>
        <v>1.8644999999999641</v>
      </c>
      <c r="AQ58" s="401">
        <f t="shared" si="83"/>
        <v>3.807908315685182E-3</v>
      </c>
      <c r="AR58" s="402"/>
    </row>
    <row r="59" spans="1:44" ht="12" customHeight="1">
      <c r="A59" s="52"/>
      <c r="B59" s="632" t="s">
        <v>277</v>
      </c>
      <c r="C59" s="623"/>
      <c r="D59" s="623"/>
      <c r="E59" s="321"/>
      <c r="F59" s="455">
        <f>F53</f>
        <v>0.23499999999999999</v>
      </c>
      <c r="G59" s="132"/>
      <c r="H59" s="491">
        <f>F59*H56</f>
        <v>97.407549819999986</v>
      </c>
      <c r="I59" s="416"/>
      <c r="J59" s="455">
        <f>J53</f>
        <v>0.23499999999999999</v>
      </c>
      <c r="K59" s="416"/>
      <c r="L59" s="456">
        <f>J59*L56</f>
        <v>98.457656719999989</v>
      </c>
      <c r="M59" s="132"/>
      <c r="N59" s="456">
        <f t="shared" si="74"/>
        <v>1.050106900000003</v>
      </c>
      <c r="O59" s="458">
        <f t="shared" si="75"/>
        <v>1.0780549371588772E-2</v>
      </c>
      <c r="P59" s="52"/>
      <c r="Q59" s="455">
        <f>Q53</f>
        <v>0.23499999999999999</v>
      </c>
      <c r="R59" s="416"/>
      <c r="S59" s="456">
        <f>Q59*S56</f>
        <v>99.790106719999997</v>
      </c>
      <c r="T59" s="132"/>
      <c r="U59" s="456">
        <f t="shared" si="76"/>
        <v>1.3324500000000086</v>
      </c>
      <c r="V59" s="458">
        <f t="shared" si="77"/>
        <v>1.3533228845668273E-2</v>
      </c>
      <c r="W59" s="52"/>
      <c r="X59" s="455">
        <f>X53</f>
        <v>0.23499999999999999</v>
      </c>
      <c r="Y59" s="416"/>
      <c r="Z59" s="456">
        <f>X59*Z56</f>
        <v>101.36225671999998</v>
      </c>
      <c r="AA59" s="132"/>
      <c r="AB59" s="456">
        <f t="shared" si="78"/>
        <v>1.5721499999999793</v>
      </c>
      <c r="AC59" s="458">
        <f t="shared" si="79"/>
        <v>1.5754567779061087E-2</v>
      </c>
      <c r="AD59" s="52"/>
      <c r="AE59" s="455">
        <f>AE53</f>
        <v>0.23499999999999999</v>
      </c>
      <c r="AF59" s="416"/>
      <c r="AG59" s="456">
        <f>AE59*AG56</f>
        <v>101.82755671999999</v>
      </c>
      <c r="AH59" s="132"/>
      <c r="AI59" s="456">
        <f t="shared" si="80"/>
        <v>0.46530000000001337</v>
      </c>
      <c r="AJ59" s="458">
        <f t="shared" si="81"/>
        <v>4.5904660675160774E-3</v>
      </c>
      <c r="AK59" s="52"/>
      <c r="AL59" s="455">
        <f>AL53</f>
        <v>0.23499999999999999</v>
      </c>
      <c r="AM59" s="416"/>
      <c r="AN59" s="456">
        <f>AL59*AN56</f>
        <v>102.21530671999999</v>
      </c>
      <c r="AO59" s="132"/>
      <c r="AP59" s="456">
        <f t="shared" si="82"/>
        <v>0.38774999999999693</v>
      </c>
      <c r="AQ59" s="458">
        <f t="shared" si="83"/>
        <v>3.8079083156852254E-3</v>
      </c>
      <c r="AR59" s="459"/>
    </row>
    <row r="60" spans="1:44" ht="12" customHeight="1">
      <c r="A60" s="52"/>
      <c r="B60" s="634" t="s">
        <v>325</v>
      </c>
      <c r="C60" s="615"/>
      <c r="D60" s="615"/>
      <c r="E60" s="460"/>
      <c r="F60" s="468"/>
      <c r="G60" s="494"/>
      <c r="H60" s="495">
        <f>H58-H59</f>
        <v>370.97768973999996</v>
      </c>
      <c r="I60" s="469"/>
      <c r="J60" s="468"/>
      <c r="K60" s="469"/>
      <c r="L60" s="470">
        <f>L58-L59</f>
        <v>374.97703303999998</v>
      </c>
      <c r="M60" s="471"/>
      <c r="N60" s="472">
        <f t="shared" si="74"/>
        <v>3.9993433000000209</v>
      </c>
      <c r="O60" s="473">
        <f t="shared" si="75"/>
        <v>1.0780549371588798E-2</v>
      </c>
      <c r="P60" s="52"/>
      <c r="Q60" s="468"/>
      <c r="R60" s="469"/>
      <c r="S60" s="470">
        <f>S58-S59</f>
        <v>380.05168304</v>
      </c>
      <c r="T60" s="471"/>
      <c r="U60" s="472">
        <f t="shared" si="76"/>
        <v>5.0746500000000196</v>
      </c>
      <c r="V60" s="473">
        <f t="shared" si="77"/>
        <v>1.3533228845668238E-2</v>
      </c>
      <c r="W60" s="52"/>
      <c r="X60" s="468"/>
      <c r="Y60" s="469"/>
      <c r="Z60" s="470">
        <f>Z58-Z59</f>
        <v>386.03923304</v>
      </c>
      <c r="AA60" s="471"/>
      <c r="AB60" s="472">
        <f t="shared" si="78"/>
        <v>5.9875499999999988</v>
      </c>
      <c r="AC60" s="473">
        <f t="shared" si="79"/>
        <v>1.5754567779061292E-2</v>
      </c>
      <c r="AD60" s="52"/>
      <c r="AE60" s="468"/>
      <c r="AF60" s="469"/>
      <c r="AG60" s="470">
        <f>AG58-AG59</f>
        <v>387.81133304000002</v>
      </c>
      <c r="AH60" s="471"/>
      <c r="AI60" s="472">
        <f t="shared" si="80"/>
        <v>1.7721000000000231</v>
      </c>
      <c r="AJ60" s="473">
        <f t="shared" si="81"/>
        <v>4.5904660675160046E-3</v>
      </c>
      <c r="AK60" s="52"/>
      <c r="AL60" s="468"/>
      <c r="AM60" s="469"/>
      <c r="AN60" s="470">
        <f>AN58-AN59</f>
        <v>389.28808303999995</v>
      </c>
      <c r="AO60" s="471"/>
      <c r="AP60" s="472">
        <f t="shared" si="82"/>
        <v>1.4767499999999245</v>
      </c>
      <c r="AQ60" s="473">
        <f t="shared" si="83"/>
        <v>3.8079083156850606E-3</v>
      </c>
      <c r="AR60" s="467"/>
    </row>
    <row r="61" spans="1:44"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331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332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333</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336</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79"/>
      <c r="B73" s="52" t="s">
        <v>337</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338</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300-000000000000}">
      <formula1>"TOU,non-TOU"</formula1>
    </dataValidation>
    <dataValidation type="list" allowBlank="1" showErrorMessage="1" sqref="E15:E28 E30:E36 E38:E39 E41:E49 E55 E61" xr:uid="{00000000-0002-0000-1300-000001000000}">
      <formula1>#REF!</formula1>
    </dataValidation>
    <dataValidation type="list" allowBlank="1" showInputMessage="1" showErrorMessage="1" prompt="Select Charge Unit - monthly, per kWh, per kW" sqref="D15:D28 D30:D36 D38:D39 D41:D49 D55 D61" xr:uid="{00000000-0002-0000-1300-000002000000}">
      <formula1>"Monthly,per kWh,per kW"</formula1>
    </dataValidation>
  </dataValidations>
  <pageMargins left="0.74803149606299213" right="0.74803149606299213" top="0.98425196850393704" bottom="0.98425196850393704"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0.7109375" customWidth="1"/>
    <col min="3" max="3" width="4.4257812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1.710937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2"/>
      <c r="B1" s="52"/>
      <c r="C1" s="52"/>
      <c r="D1" s="52"/>
      <c r="E1" s="52"/>
      <c r="F1" s="52"/>
      <c r="G1" s="52"/>
      <c r="H1" s="52"/>
      <c r="I1" s="52"/>
      <c r="J1" s="52"/>
      <c r="K1" s="52"/>
      <c r="L1" s="3"/>
      <c r="M1" s="3"/>
      <c r="N1" s="3"/>
      <c r="O1" s="3"/>
      <c r="P1" s="3"/>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c r="AS1" s="3"/>
      <c r="AT1" s="3"/>
    </row>
    <row r="2" spans="1:46" ht="12" customHeight="1">
      <c r="A2" s="52"/>
      <c r="B2" s="52"/>
      <c r="C2" s="378"/>
      <c r="D2" s="378"/>
      <c r="E2" s="378"/>
      <c r="F2" s="378" t="s">
        <v>295</v>
      </c>
      <c r="G2" s="378"/>
      <c r="H2" s="378"/>
      <c r="I2" s="378"/>
      <c r="J2" s="378"/>
      <c r="K2" s="378"/>
      <c r="L2" s="378"/>
      <c r="M2" s="378"/>
      <c r="N2" s="378"/>
      <c r="O2" s="378"/>
      <c r="P2" s="3"/>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c r="AS2" s="3"/>
      <c r="AT2" s="3"/>
    </row>
    <row r="3" spans="1:46" ht="12" customHeight="1">
      <c r="A3" s="52"/>
      <c r="B3" s="52"/>
      <c r="C3" s="378"/>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row>
    <row r="4" spans="1:46"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row>
    <row r="5" spans="1:46"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row>
    <row r="6" spans="1:46" ht="12" customHeight="1">
      <c r="A6" s="52"/>
      <c r="B6" s="320" t="s">
        <v>298</v>
      </c>
      <c r="C6" s="52"/>
      <c r="D6" s="504" t="s">
        <v>223</v>
      </c>
      <c r="E6" s="505"/>
      <c r="F6" s="505"/>
      <c r="G6" s="505"/>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row>
    <row r="8" spans="1:46"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row>
    <row r="9" spans="1:46"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row>
    <row r="10" spans="1:46" ht="12" customHeight="1">
      <c r="A10" s="52"/>
      <c r="B10" s="52"/>
      <c r="C10" s="52"/>
      <c r="D10" s="307" t="s">
        <v>301</v>
      </c>
      <c r="E10" s="307"/>
      <c r="F10" s="385">
        <v>2400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row>
    <row r="11" spans="1:46"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
      <c r="AT11" s="3"/>
    </row>
    <row r="12" spans="1:46"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
      <c r="AT12" s="3"/>
    </row>
    <row r="13" spans="1:46"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
      <c r="AT13" s="3"/>
    </row>
    <row r="14" spans="1:46"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
      <c r="AT14" s="3"/>
    </row>
    <row r="15" spans="1:46" ht="12" customHeight="1">
      <c r="A15" s="52"/>
      <c r="B15" s="321" t="s">
        <v>221</v>
      </c>
      <c r="C15" s="394" t="str">
        <f t="shared" ref="C15:C28" si="0">D$6&amp;"."&amp;B15</f>
        <v>General Service &lt; 50 kW.Monthly Service Charge</v>
      </c>
      <c r="D15" s="395" t="s">
        <v>310</v>
      </c>
      <c r="E15" s="321"/>
      <c r="F15" s="396">
        <f>IFERROR(VLOOKUP($C15,'Proposed Rates'!$B:$J,F$11,FALSE),0)</f>
        <v>23.53</v>
      </c>
      <c r="G15" s="397">
        <f t="shared" ref="G15:G28" si="1">IF($D15="Monthly",1,IF($D15="per KWH",$F$10,0))</f>
        <v>1</v>
      </c>
      <c r="H15" s="399">
        <f t="shared" ref="H15:H28" si="2">G15*F15</f>
        <v>23.53</v>
      </c>
      <c r="I15" s="132"/>
      <c r="J15" s="396">
        <f>IFERROR(VLOOKUP($C15,'Proposed Rates'!$B:$J,J$11,FALSE),0)</f>
        <v>27.14</v>
      </c>
      <c r="K15" s="397">
        <f t="shared" ref="K15:K28" si="3">IF($D15="Monthly",1,IF($D15="per KWH",$F$10,0))</f>
        <v>1</v>
      </c>
      <c r="L15" s="399">
        <f t="shared" ref="L15:L28" si="4">K15*J15</f>
        <v>27.14</v>
      </c>
      <c r="M15" s="132"/>
      <c r="N15" s="400">
        <f t="shared" ref="N15:N48" si="5">L15-H15</f>
        <v>3.6099999999999994</v>
      </c>
      <c r="O15" s="401">
        <f t="shared" ref="O15:O48" si="6">IF((H15)=0,"",(N15/H15))</f>
        <v>0.15342116447088819</v>
      </c>
      <c r="P15" s="52"/>
      <c r="Q15" s="396">
        <f>IFERROR(VLOOKUP($C15,'Proposed Rates'!$B:$J,Q$11,FALSE),0)</f>
        <v>28.41</v>
      </c>
      <c r="R15" s="397">
        <f t="shared" ref="R15:R28" si="7">IF($D15="Monthly",1,IF($D15="per KWH",$F$10,0))</f>
        <v>1</v>
      </c>
      <c r="S15" s="399">
        <f t="shared" ref="S15:S28" si="8">R15*Q15</f>
        <v>28.41</v>
      </c>
      <c r="T15" s="132"/>
      <c r="U15" s="400">
        <f t="shared" ref="U15:U48" si="9">S15-L15</f>
        <v>1.2699999999999996</v>
      </c>
      <c r="V15" s="401">
        <f t="shared" ref="V15:V48" si="10">IF((L15)=0,"",(U15/L15))</f>
        <v>4.6794399410464239E-2</v>
      </c>
      <c r="W15" s="52"/>
      <c r="X15" s="396">
        <f>IFERROR(VLOOKUP($C15,'Proposed Rates'!$B:$J,X$11,FALSE),0)</f>
        <v>30.29</v>
      </c>
      <c r="Y15" s="397">
        <f t="shared" ref="Y15:Y28" si="11">IF($D15="Monthly",1,IF($D15="per KWH",$F$10,0))</f>
        <v>1</v>
      </c>
      <c r="Z15" s="399">
        <f t="shared" ref="Z15:Z28" si="12">Y15*X15</f>
        <v>30.29</v>
      </c>
      <c r="AA15" s="132"/>
      <c r="AB15" s="400">
        <f t="shared" ref="AB15:AB48" si="13">Z15-S15</f>
        <v>1.879999999999999</v>
      </c>
      <c r="AC15" s="401">
        <f t="shared" ref="AC15:AC48" si="14">IF((S15)=0,"",(AB15/S15))</f>
        <v>6.6173882435762027E-2</v>
      </c>
      <c r="AD15" s="52"/>
      <c r="AE15" s="396">
        <f>IFERROR(VLOOKUP($C15,'Proposed Rates'!$B:$J,AE$11,FALSE),0)</f>
        <v>30.86</v>
      </c>
      <c r="AF15" s="397">
        <f t="shared" ref="AF15:AF28" si="15">IF($D15="Monthly",1,IF($D15="per KWH",$F$10,0))</f>
        <v>1</v>
      </c>
      <c r="AG15" s="399">
        <f t="shared" ref="AG15:AG28" si="16">AF15*AE15</f>
        <v>30.86</v>
      </c>
      <c r="AH15" s="132"/>
      <c r="AI15" s="400">
        <f t="shared" ref="AI15:AI48" si="17">AG15-Z15</f>
        <v>0.57000000000000028</v>
      </c>
      <c r="AJ15" s="401">
        <f t="shared" ref="AJ15:AJ48" si="18">IF((Z15)=0,"",(AI15/Z15))</f>
        <v>1.8818091779465178E-2</v>
      </c>
      <c r="AK15" s="52"/>
      <c r="AL15" s="396">
        <f>IFERROR(VLOOKUP($C15,'Proposed Rates'!$B:$J,AL$11,FALSE),0)</f>
        <v>31.3</v>
      </c>
      <c r="AM15" s="397">
        <f t="shared" ref="AM15:AM28" si="19">IF($D15="Monthly",1,IF($D15="per KWH",$F$10,0))</f>
        <v>1</v>
      </c>
      <c r="AN15" s="399">
        <f t="shared" ref="AN15:AN16" si="20">AM15*AL15</f>
        <v>31.3</v>
      </c>
      <c r="AO15" s="132"/>
      <c r="AP15" s="400">
        <f t="shared" ref="AP15:AP48" si="21">AN15-AG15</f>
        <v>0.44000000000000128</v>
      </c>
      <c r="AQ15" s="401">
        <f t="shared" ref="AQ15:AQ48" si="22">IF((AG15)=0,"",(AP15/AG15))</f>
        <v>1.4257939079714883E-2</v>
      </c>
      <c r="AR15" s="402"/>
      <c r="AS15" s="3"/>
      <c r="AT15" s="3"/>
    </row>
    <row r="16" spans="1:46" ht="12" customHeight="1">
      <c r="A16" s="52"/>
      <c r="B16" s="321" t="s">
        <v>311</v>
      </c>
      <c r="C16" s="394" t="str">
        <f t="shared" si="0"/>
        <v>General Service &lt; 50 kW.Smart Meter Rate Adder</v>
      </c>
      <c r="D16" s="395" t="s">
        <v>310</v>
      </c>
      <c r="E16" s="321"/>
      <c r="F16" s="413">
        <f>IFERROR(VLOOKUP($C16,'Proposed Rates'!$B:$J,F$11,FALSE),0)</f>
        <v>0</v>
      </c>
      <c r="G16" s="397">
        <f t="shared" si="1"/>
        <v>1</v>
      </c>
      <c r="H16" s="399">
        <f t="shared" si="2"/>
        <v>0</v>
      </c>
      <c r="I16" s="132"/>
      <c r="J16" s="413">
        <f>IFERROR(VLOOKUP($C16,'Proposed Rates'!$B:$J,J$11,FALSE),0)</f>
        <v>0</v>
      </c>
      <c r="K16" s="397">
        <f t="shared" si="3"/>
        <v>1</v>
      </c>
      <c r="L16" s="399">
        <f t="shared" si="4"/>
        <v>0</v>
      </c>
      <c r="M16" s="132"/>
      <c r="N16" s="400">
        <f t="shared" si="5"/>
        <v>0</v>
      </c>
      <c r="O16" s="401" t="str">
        <f t="shared" si="6"/>
        <v/>
      </c>
      <c r="P16" s="52"/>
      <c r="Q16" s="413">
        <f>IFERROR(VLOOKUP($C16,'Proposed Rates'!$B:$J,Q$11,FALSE),0)</f>
        <v>0</v>
      </c>
      <c r="R16" s="397">
        <f t="shared" si="7"/>
        <v>1</v>
      </c>
      <c r="S16" s="399">
        <f t="shared" si="8"/>
        <v>0</v>
      </c>
      <c r="T16" s="132"/>
      <c r="U16" s="400">
        <f t="shared" si="9"/>
        <v>0</v>
      </c>
      <c r="V16" s="401" t="str">
        <f t="shared" si="10"/>
        <v/>
      </c>
      <c r="W16" s="52"/>
      <c r="X16" s="413">
        <f>IFERROR(VLOOKUP($C16,'Proposed Rates'!$B:$J,X$11,FALSE),0)</f>
        <v>0</v>
      </c>
      <c r="Y16" s="397">
        <f t="shared" si="11"/>
        <v>1</v>
      </c>
      <c r="Z16" s="399">
        <f t="shared" si="12"/>
        <v>0</v>
      </c>
      <c r="AA16" s="132"/>
      <c r="AB16" s="400">
        <f t="shared" si="13"/>
        <v>0</v>
      </c>
      <c r="AC16" s="401" t="str">
        <f t="shared" si="14"/>
        <v/>
      </c>
      <c r="AD16" s="52"/>
      <c r="AE16" s="413">
        <f>IFERROR(VLOOKUP($C16,'Proposed Rates'!$B:$J,AE$11,FALSE),0)</f>
        <v>0</v>
      </c>
      <c r="AF16" s="397">
        <f t="shared" si="15"/>
        <v>1</v>
      </c>
      <c r="AG16" s="399">
        <f t="shared" si="16"/>
        <v>0</v>
      </c>
      <c r="AH16" s="132"/>
      <c r="AI16" s="400">
        <f t="shared" si="17"/>
        <v>0</v>
      </c>
      <c r="AJ16" s="401" t="str">
        <f t="shared" si="18"/>
        <v/>
      </c>
      <c r="AK16" s="52"/>
      <c r="AL16" s="413">
        <f>IFERROR(VLOOKUP($C16,'Proposed Rates'!$B:$J,AL$11,FALSE),0)</f>
        <v>0</v>
      </c>
      <c r="AM16" s="397">
        <f t="shared" si="19"/>
        <v>1</v>
      </c>
      <c r="AN16" s="399">
        <f t="shared" si="20"/>
        <v>0</v>
      </c>
      <c r="AO16" s="132"/>
      <c r="AP16" s="400">
        <f t="shared" si="21"/>
        <v>0</v>
      </c>
      <c r="AQ16" s="401" t="str">
        <f t="shared" si="22"/>
        <v/>
      </c>
      <c r="AR16" s="402"/>
      <c r="AS16" s="3"/>
      <c r="AT16" s="3"/>
    </row>
    <row r="17" spans="1:46" ht="12" customHeight="1">
      <c r="A17" s="52"/>
      <c r="B17" s="403" t="str">
        <f>'Proposed Rates'!C115</f>
        <v>Rate Rider Calculation for PILs</v>
      </c>
      <c r="C17" s="394" t="str">
        <f t="shared" si="0"/>
        <v>General Service &lt; 50 kW.Rate Rider Calculation for PILs</v>
      </c>
      <c r="D17" s="395" t="s">
        <v>312</v>
      </c>
      <c r="E17" s="321"/>
      <c r="F17" s="413">
        <f>IFERROR(VLOOKUP($C17,'Proposed Rates'!$B:$J,F$11,FALSE),0)</f>
        <v>0</v>
      </c>
      <c r="G17" s="397">
        <f t="shared" si="1"/>
        <v>2400</v>
      </c>
      <c r="H17" s="399">
        <f t="shared" si="2"/>
        <v>0</v>
      </c>
      <c r="I17" s="132"/>
      <c r="J17" s="413">
        <f>IFERROR(VLOOKUP($C17,'Proposed Rates'!$B:$J,J$11,FALSE),0)</f>
        <v>0</v>
      </c>
      <c r="K17" s="397">
        <f t="shared" si="3"/>
        <v>2400</v>
      </c>
      <c r="L17" s="399">
        <f t="shared" si="4"/>
        <v>0</v>
      </c>
      <c r="M17" s="132"/>
      <c r="N17" s="400">
        <f t="shared" si="5"/>
        <v>0</v>
      </c>
      <c r="O17" s="401" t="str">
        <f t="shared" si="6"/>
        <v/>
      </c>
      <c r="P17" s="52"/>
      <c r="Q17" s="413">
        <f>IFERROR(VLOOKUP($C17,'Proposed Rates'!$B:$J,Q$11,FALSE),0)</f>
        <v>0</v>
      </c>
      <c r="R17" s="397">
        <f t="shared" si="7"/>
        <v>2400</v>
      </c>
      <c r="S17" s="399">
        <f t="shared" si="8"/>
        <v>0</v>
      </c>
      <c r="T17" s="132"/>
      <c r="U17" s="400">
        <f t="shared" si="9"/>
        <v>0</v>
      </c>
      <c r="V17" s="401" t="str">
        <f t="shared" si="10"/>
        <v/>
      </c>
      <c r="W17" s="52"/>
      <c r="X17" s="413">
        <f>IFERROR(VLOOKUP($C17,'Proposed Rates'!$B:$J,X$11,FALSE),0)</f>
        <v>0</v>
      </c>
      <c r="Y17" s="397">
        <f t="shared" si="11"/>
        <v>2400</v>
      </c>
      <c r="Z17" s="399">
        <f t="shared" si="12"/>
        <v>0</v>
      </c>
      <c r="AA17" s="132"/>
      <c r="AB17" s="400">
        <f t="shared" si="13"/>
        <v>0</v>
      </c>
      <c r="AC17" s="401" t="str">
        <f t="shared" si="14"/>
        <v/>
      </c>
      <c r="AD17" s="52"/>
      <c r="AE17" s="413">
        <f>IFERROR(VLOOKUP($C17,'Proposed Rates'!$B:$J,AE$11,FALSE),0)</f>
        <v>0</v>
      </c>
      <c r="AF17" s="397">
        <f t="shared" si="15"/>
        <v>2400</v>
      </c>
      <c r="AG17" s="399">
        <f t="shared" si="16"/>
        <v>0</v>
      </c>
      <c r="AH17" s="132"/>
      <c r="AI17" s="400">
        <f t="shared" si="17"/>
        <v>0</v>
      </c>
      <c r="AJ17" s="401" t="str">
        <f t="shared" si="18"/>
        <v/>
      </c>
      <c r="AK17" s="52"/>
      <c r="AL17" s="413">
        <f>IFERROR(VLOOKUP($C17,'Proposed Rates'!$B:$J,AL$11,FALSE),0)</f>
        <v>0</v>
      </c>
      <c r="AM17" s="397">
        <f t="shared" si="19"/>
        <v>2400</v>
      </c>
      <c r="AN17" s="399">
        <f t="shared" ref="AN17:AN18" si="23">AL17*AM17</f>
        <v>0</v>
      </c>
      <c r="AO17" s="132"/>
      <c r="AP17" s="400">
        <f t="shared" si="21"/>
        <v>0</v>
      </c>
      <c r="AQ17" s="401" t="str">
        <f t="shared" si="22"/>
        <v/>
      </c>
      <c r="AR17" s="402"/>
      <c r="AS17" s="3"/>
      <c r="AT17" s="3"/>
    </row>
    <row r="18" spans="1:46" ht="12" customHeight="1">
      <c r="A18" s="52"/>
      <c r="B18" s="403" t="str">
        <f>'Proposed Rates'!C128</f>
        <v>Rate Rider Calculation for Generic</v>
      </c>
      <c r="C18" s="394" t="str">
        <f t="shared" si="0"/>
        <v>General Service &lt; 50 kW.Rate Rider Calculation for Generic</v>
      </c>
      <c r="D18" s="395" t="s">
        <v>310</v>
      </c>
      <c r="E18" s="321"/>
      <c r="F18" s="413">
        <f>IFERROR(VLOOKUP($C18,'Proposed Rates'!$B:$J,F$11,FALSE),0)</f>
        <v>0</v>
      </c>
      <c r="G18" s="397">
        <f t="shared" si="1"/>
        <v>1</v>
      </c>
      <c r="H18" s="399">
        <f t="shared" si="2"/>
        <v>0</v>
      </c>
      <c r="I18" s="132"/>
      <c r="J18" s="413">
        <f>IFERROR(VLOOKUP($C18,'Proposed Rates'!$B:$J,J$11,FALSE),0)</f>
        <v>0</v>
      </c>
      <c r="K18" s="397">
        <f t="shared" si="3"/>
        <v>1</v>
      </c>
      <c r="L18" s="399">
        <f t="shared" si="4"/>
        <v>0</v>
      </c>
      <c r="M18" s="132"/>
      <c r="N18" s="400">
        <f t="shared" si="5"/>
        <v>0</v>
      </c>
      <c r="O18" s="401" t="str">
        <f t="shared" si="6"/>
        <v/>
      </c>
      <c r="P18" s="52"/>
      <c r="Q18" s="413">
        <f>IFERROR(VLOOKUP($C18,'Proposed Rates'!$B:$J,Q$11,FALSE),0)</f>
        <v>0</v>
      </c>
      <c r="R18" s="397">
        <f t="shared" si="7"/>
        <v>1</v>
      </c>
      <c r="S18" s="399">
        <f t="shared" si="8"/>
        <v>0</v>
      </c>
      <c r="T18" s="132"/>
      <c r="U18" s="400">
        <f t="shared" si="9"/>
        <v>0</v>
      </c>
      <c r="V18" s="401" t="str">
        <f t="shared" si="10"/>
        <v/>
      </c>
      <c r="W18" s="52"/>
      <c r="X18" s="413">
        <f>IFERROR(VLOOKUP($C18,'Proposed Rates'!$B:$J,X$11,FALSE),0)</f>
        <v>0</v>
      </c>
      <c r="Y18" s="397">
        <f t="shared" si="11"/>
        <v>1</v>
      </c>
      <c r="Z18" s="399">
        <f t="shared" si="12"/>
        <v>0</v>
      </c>
      <c r="AA18" s="132"/>
      <c r="AB18" s="400">
        <f t="shared" si="13"/>
        <v>0</v>
      </c>
      <c r="AC18" s="401" t="str">
        <f t="shared" si="14"/>
        <v/>
      </c>
      <c r="AD18" s="52"/>
      <c r="AE18" s="413">
        <f>IFERROR(VLOOKUP($C18,'Proposed Rates'!$B:$J,AE$11,FALSE),0)</f>
        <v>0</v>
      </c>
      <c r="AF18" s="397">
        <f t="shared" si="15"/>
        <v>1</v>
      </c>
      <c r="AG18" s="399">
        <f t="shared" si="16"/>
        <v>0</v>
      </c>
      <c r="AH18" s="132"/>
      <c r="AI18" s="400">
        <f t="shared" si="17"/>
        <v>0</v>
      </c>
      <c r="AJ18" s="401" t="str">
        <f t="shared" si="18"/>
        <v/>
      </c>
      <c r="AK18" s="52"/>
      <c r="AL18" s="413">
        <f>IFERROR(VLOOKUP($C18,'Proposed Rates'!$B:$J,AL$11,FALSE),0)</f>
        <v>0</v>
      </c>
      <c r="AM18" s="397">
        <f t="shared" si="19"/>
        <v>1</v>
      </c>
      <c r="AN18" s="399">
        <f t="shared" si="23"/>
        <v>0</v>
      </c>
      <c r="AO18" s="132"/>
      <c r="AP18" s="400">
        <f t="shared" si="21"/>
        <v>0</v>
      </c>
      <c r="AQ18" s="401" t="str">
        <f t="shared" si="22"/>
        <v/>
      </c>
      <c r="AR18" s="402"/>
      <c r="AS18" s="3"/>
      <c r="AT18" s="3"/>
    </row>
    <row r="19" spans="1:46" ht="12" customHeight="1">
      <c r="A19" s="52"/>
      <c r="B19" s="321" t="s">
        <v>59</v>
      </c>
      <c r="C19" s="394" t="str">
        <f t="shared" si="0"/>
        <v>General Service &lt; 50 kW.Distribution Volumetric Rate</v>
      </c>
      <c r="D19" s="395" t="s">
        <v>312</v>
      </c>
      <c r="E19" s="321"/>
      <c r="F19" s="413">
        <f>IFERROR(VLOOKUP($C19,'Proposed Rates'!$B:$J,F$11,FALSE),0)</f>
        <v>3.0499999999999999E-2</v>
      </c>
      <c r="G19" s="397">
        <f t="shared" si="1"/>
        <v>2400</v>
      </c>
      <c r="H19" s="399">
        <f t="shared" si="2"/>
        <v>73.2</v>
      </c>
      <c r="I19" s="132"/>
      <c r="J19" s="413">
        <f>IFERROR(VLOOKUP($C19,'Proposed Rates'!$B:$J,J$11,FALSE),0)</f>
        <v>3.5200000000000002E-2</v>
      </c>
      <c r="K19" s="397">
        <f t="shared" si="3"/>
        <v>2400</v>
      </c>
      <c r="L19" s="399">
        <f t="shared" si="4"/>
        <v>84.48</v>
      </c>
      <c r="M19" s="132"/>
      <c r="N19" s="400">
        <f t="shared" si="5"/>
        <v>11.280000000000001</v>
      </c>
      <c r="O19" s="401">
        <f t="shared" si="6"/>
        <v>0.1540983606557377</v>
      </c>
      <c r="P19" s="52"/>
      <c r="Q19" s="413">
        <f>IFERROR(VLOOKUP($C19,'Proposed Rates'!$B:$J,Q$11,FALSE),0)</f>
        <v>3.6900000000000002E-2</v>
      </c>
      <c r="R19" s="397">
        <f t="shared" si="7"/>
        <v>2400</v>
      </c>
      <c r="S19" s="399">
        <f t="shared" si="8"/>
        <v>88.56</v>
      </c>
      <c r="T19" s="132"/>
      <c r="U19" s="400">
        <f t="shared" si="9"/>
        <v>4.0799999999999983</v>
      </c>
      <c r="V19" s="401">
        <f t="shared" si="10"/>
        <v>4.8295454545454523E-2</v>
      </c>
      <c r="W19" s="52"/>
      <c r="X19" s="413">
        <f>IFERROR(VLOOKUP($C19,'Proposed Rates'!$B:$J,X$11,FALSE),0)</f>
        <v>3.9300000000000002E-2</v>
      </c>
      <c r="Y19" s="397">
        <f t="shared" si="11"/>
        <v>2400</v>
      </c>
      <c r="Z19" s="399">
        <f t="shared" si="12"/>
        <v>94.320000000000007</v>
      </c>
      <c r="AA19" s="132"/>
      <c r="AB19" s="400">
        <f t="shared" si="13"/>
        <v>5.7600000000000051</v>
      </c>
      <c r="AC19" s="401">
        <f t="shared" si="14"/>
        <v>6.5040650406504127E-2</v>
      </c>
      <c r="AD19" s="52"/>
      <c r="AE19" s="413">
        <f>IFERROR(VLOOKUP($C19,'Proposed Rates'!$B:$J,AE$11,FALSE),0)</f>
        <v>0.04</v>
      </c>
      <c r="AF19" s="397">
        <f t="shared" si="15"/>
        <v>2400</v>
      </c>
      <c r="AG19" s="399">
        <f t="shared" si="16"/>
        <v>96</v>
      </c>
      <c r="AH19" s="132"/>
      <c r="AI19" s="400">
        <f t="shared" si="17"/>
        <v>1.6799999999999926</v>
      </c>
      <c r="AJ19" s="401">
        <f t="shared" si="18"/>
        <v>1.7811704834605518E-2</v>
      </c>
      <c r="AK19" s="52"/>
      <c r="AL19" s="413">
        <f>IFERROR(VLOOKUP($C19,'Proposed Rates'!$B:$J,AL$11,FALSE),0)</f>
        <v>4.0599999999999997E-2</v>
      </c>
      <c r="AM19" s="397">
        <f t="shared" si="19"/>
        <v>2400</v>
      </c>
      <c r="AN19" s="399">
        <f t="shared" ref="AN19:AN28" si="24">AM19*AL19</f>
        <v>97.44</v>
      </c>
      <c r="AO19" s="132"/>
      <c r="AP19" s="400">
        <f t="shared" si="21"/>
        <v>1.4399999999999977</v>
      </c>
      <c r="AQ19" s="401">
        <f t="shared" si="22"/>
        <v>1.4999999999999977E-2</v>
      </c>
      <c r="AR19" s="402"/>
      <c r="AS19" s="3"/>
      <c r="AT19" s="3"/>
    </row>
    <row r="20" spans="1:46" ht="12" customHeight="1">
      <c r="A20" s="52"/>
      <c r="B20" s="321" t="s">
        <v>313</v>
      </c>
      <c r="C20" s="394" t="str">
        <f t="shared" si="0"/>
        <v>General Service &lt; 50 kW.Smart Meter Disposition Rider</v>
      </c>
      <c r="D20" s="395" t="s">
        <v>312</v>
      </c>
      <c r="E20" s="321"/>
      <c r="F20" s="413">
        <f>IFERROR(VLOOKUP($C20,'Proposed Rates'!$B:$J,F$11,FALSE),0)</f>
        <v>0</v>
      </c>
      <c r="G20" s="397">
        <f t="shared" si="1"/>
        <v>2400</v>
      </c>
      <c r="H20" s="399">
        <f t="shared" si="2"/>
        <v>0</v>
      </c>
      <c r="I20" s="132"/>
      <c r="J20" s="413">
        <f>IFERROR(VLOOKUP($C20,'Proposed Rates'!$B:$J,J$11,FALSE),0)</f>
        <v>0</v>
      </c>
      <c r="K20" s="397">
        <f t="shared" si="3"/>
        <v>2400</v>
      </c>
      <c r="L20" s="399">
        <f t="shared" si="4"/>
        <v>0</v>
      </c>
      <c r="M20" s="132"/>
      <c r="N20" s="400">
        <f t="shared" si="5"/>
        <v>0</v>
      </c>
      <c r="O20" s="401" t="str">
        <f t="shared" si="6"/>
        <v/>
      </c>
      <c r="P20" s="52"/>
      <c r="Q20" s="413">
        <f>IFERROR(VLOOKUP($C20,'Proposed Rates'!$B:$J,Q$11,FALSE),0)</f>
        <v>0</v>
      </c>
      <c r="R20" s="397">
        <f t="shared" si="7"/>
        <v>2400</v>
      </c>
      <c r="S20" s="399">
        <f t="shared" si="8"/>
        <v>0</v>
      </c>
      <c r="T20" s="132"/>
      <c r="U20" s="400">
        <f t="shared" si="9"/>
        <v>0</v>
      </c>
      <c r="V20" s="401" t="str">
        <f t="shared" si="10"/>
        <v/>
      </c>
      <c r="W20" s="52"/>
      <c r="X20" s="413">
        <f>IFERROR(VLOOKUP($C20,'Proposed Rates'!$B:$J,X$11,FALSE),0)</f>
        <v>0</v>
      </c>
      <c r="Y20" s="397">
        <f t="shared" si="11"/>
        <v>2400</v>
      </c>
      <c r="Z20" s="399">
        <f t="shared" si="12"/>
        <v>0</v>
      </c>
      <c r="AA20" s="132"/>
      <c r="AB20" s="400">
        <f t="shared" si="13"/>
        <v>0</v>
      </c>
      <c r="AC20" s="401" t="str">
        <f t="shared" si="14"/>
        <v/>
      </c>
      <c r="AD20" s="52"/>
      <c r="AE20" s="413">
        <f>IFERROR(VLOOKUP($C20,'Proposed Rates'!$B:$J,AE$11,FALSE),0)</f>
        <v>0</v>
      </c>
      <c r="AF20" s="397">
        <f t="shared" si="15"/>
        <v>2400</v>
      </c>
      <c r="AG20" s="399">
        <f t="shared" si="16"/>
        <v>0</v>
      </c>
      <c r="AH20" s="132"/>
      <c r="AI20" s="400">
        <f t="shared" si="17"/>
        <v>0</v>
      </c>
      <c r="AJ20" s="401" t="str">
        <f t="shared" si="18"/>
        <v/>
      </c>
      <c r="AK20" s="52"/>
      <c r="AL20" s="413">
        <f>IFERROR(VLOOKUP($C20,'Proposed Rates'!$B:$J,AL$11,FALSE),0)</f>
        <v>0</v>
      </c>
      <c r="AM20" s="397">
        <f t="shared" si="19"/>
        <v>2400</v>
      </c>
      <c r="AN20" s="399">
        <f t="shared" si="24"/>
        <v>0</v>
      </c>
      <c r="AO20" s="132"/>
      <c r="AP20" s="400">
        <f t="shared" si="21"/>
        <v>0</v>
      </c>
      <c r="AQ20" s="401" t="str">
        <f t="shared" si="22"/>
        <v/>
      </c>
      <c r="AR20" s="402"/>
      <c r="AS20" s="3"/>
      <c r="AT20" s="3"/>
    </row>
    <row r="21" spans="1:46" ht="12" customHeight="1">
      <c r="A21" s="52"/>
      <c r="B21" s="321" t="s">
        <v>244</v>
      </c>
      <c r="C21" s="394" t="str">
        <f t="shared" si="0"/>
        <v>General Service &lt; 50 kW.LRAM Rate Rider</v>
      </c>
      <c r="D21" s="395" t="s">
        <v>312</v>
      </c>
      <c r="E21" s="321"/>
      <c r="F21" s="413">
        <f>'Proposed Rates'!E78+'Proposed Rates'!E91</f>
        <v>6.9999999999999999E-4</v>
      </c>
      <c r="G21" s="397">
        <f t="shared" si="1"/>
        <v>2400</v>
      </c>
      <c r="H21" s="399">
        <f t="shared" si="2"/>
        <v>1.68</v>
      </c>
      <c r="I21" s="132"/>
      <c r="J21" s="413">
        <f>'Proposed Rates'!F78+'Proposed Rates'!F91</f>
        <v>4.0000000000000002E-4</v>
      </c>
      <c r="K21" s="397">
        <f t="shared" si="3"/>
        <v>2400</v>
      </c>
      <c r="L21" s="399">
        <f t="shared" si="4"/>
        <v>0.96000000000000008</v>
      </c>
      <c r="M21" s="132"/>
      <c r="N21" s="400">
        <f t="shared" si="5"/>
        <v>-0.71999999999999986</v>
      </c>
      <c r="O21" s="401">
        <f t="shared" si="6"/>
        <v>-0.42857142857142849</v>
      </c>
      <c r="P21" s="52"/>
      <c r="Q21" s="413">
        <f>'Proposed Rates'!G78+'Proposed Rates'!G91</f>
        <v>0</v>
      </c>
      <c r="R21" s="397">
        <f t="shared" si="7"/>
        <v>2400</v>
      </c>
      <c r="S21" s="399">
        <f t="shared" si="8"/>
        <v>0</v>
      </c>
      <c r="T21" s="132"/>
      <c r="U21" s="400">
        <f t="shared" si="9"/>
        <v>-0.96000000000000008</v>
      </c>
      <c r="V21" s="401">
        <f t="shared" si="10"/>
        <v>-1</v>
      </c>
      <c r="W21" s="52"/>
      <c r="X21" s="413">
        <f>IFERROR(VLOOKUP($C21,'Proposed Rates'!$B:$J,X$11,FALSE),0)</f>
        <v>0</v>
      </c>
      <c r="Y21" s="397">
        <f t="shared" si="11"/>
        <v>2400</v>
      </c>
      <c r="Z21" s="399">
        <f t="shared" si="12"/>
        <v>0</v>
      </c>
      <c r="AA21" s="132"/>
      <c r="AB21" s="400">
        <f t="shared" si="13"/>
        <v>0</v>
      </c>
      <c r="AC21" s="401" t="str">
        <f t="shared" si="14"/>
        <v/>
      </c>
      <c r="AD21" s="52"/>
      <c r="AE21" s="413">
        <f>IFERROR(VLOOKUP($C21,'Proposed Rates'!$B:$J,AE$11,FALSE),0)</f>
        <v>0</v>
      </c>
      <c r="AF21" s="397">
        <f t="shared" si="15"/>
        <v>2400</v>
      </c>
      <c r="AG21" s="399">
        <f t="shared" si="16"/>
        <v>0</v>
      </c>
      <c r="AH21" s="132"/>
      <c r="AI21" s="400">
        <f t="shared" si="17"/>
        <v>0</v>
      </c>
      <c r="AJ21" s="401" t="str">
        <f t="shared" si="18"/>
        <v/>
      </c>
      <c r="AK21" s="52"/>
      <c r="AL21" s="413">
        <f>IFERROR(VLOOKUP($C21,'Proposed Rates'!$B:$J,AL$11,FALSE),0)</f>
        <v>0</v>
      </c>
      <c r="AM21" s="397">
        <f t="shared" si="19"/>
        <v>2400</v>
      </c>
      <c r="AN21" s="399">
        <f t="shared" si="24"/>
        <v>0</v>
      </c>
      <c r="AO21" s="132"/>
      <c r="AP21" s="400">
        <f t="shared" si="21"/>
        <v>0</v>
      </c>
      <c r="AQ21" s="401" t="str">
        <f t="shared" si="22"/>
        <v/>
      </c>
      <c r="AR21" s="402"/>
      <c r="AS21" s="3"/>
      <c r="AT21" s="3"/>
    </row>
    <row r="22" spans="1:46" ht="12" customHeight="1">
      <c r="A22" s="52"/>
      <c r="B22" s="403" t="s">
        <v>240</v>
      </c>
      <c r="C22" s="394" t="str">
        <f t="shared" si="0"/>
        <v>General Service &lt; 50 kW.Deferral/Variance Account Disposition Rate Rider Group 2</v>
      </c>
      <c r="D22" s="395" t="s">
        <v>312</v>
      </c>
      <c r="E22" s="321"/>
      <c r="F22" s="413">
        <f>IFERROR(VLOOKUP($C22,'Proposed Rates'!$B:$J,F$11,FALSE),0)</f>
        <v>0</v>
      </c>
      <c r="G22" s="397">
        <f t="shared" si="1"/>
        <v>2400</v>
      </c>
      <c r="H22" s="399">
        <f t="shared" si="2"/>
        <v>0</v>
      </c>
      <c r="I22" s="132"/>
      <c r="J22" s="413">
        <f>IFERROR(VLOOKUP($C22,'Proposed Rates'!$B:$J,J$11,FALSE),0)</f>
        <v>-8.0000000000000004E-4</v>
      </c>
      <c r="K22" s="397">
        <f t="shared" si="3"/>
        <v>2400</v>
      </c>
      <c r="L22" s="399">
        <f t="shared" si="4"/>
        <v>-1.9200000000000002</v>
      </c>
      <c r="M22" s="132"/>
      <c r="N22" s="400">
        <f t="shared" si="5"/>
        <v>-1.9200000000000002</v>
      </c>
      <c r="O22" s="401" t="str">
        <f t="shared" si="6"/>
        <v/>
      </c>
      <c r="P22" s="52"/>
      <c r="Q22" s="413">
        <f>IFERROR(VLOOKUP($C22,'Proposed Rates'!$B:$J,Q$11,FALSE),0)</f>
        <v>0</v>
      </c>
      <c r="R22" s="397">
        <f t="shared" si="7"/>
        <v>2400</v>
      </c>
      <c r="S22" s="399">
        <f t="shared" si="8"/>
        <v>0</v>
      </c>
      <c r="T22" s="132"/>
      <c r="U22" s="400">
        <f t="shared" si="9"/>
        <v>1.9200000000000002</v>
      </c>
      <c r="V22" s="401">
        <f t="shared" si="10"/>
        <v>-1</v>
      </c>
      <c r="W22" s="52"/>
      <c r="X22" s="413">
        <f>IFERROR(VLOOKUP($C22,'Proposed Rates'!$B:$J,X$11,FALSE),0)</f>
        <v>0</v>
      </c>
      <c r="Y22" s="397">
        <f t="shared" si="11"/>
        <v>2400</v>
      </c>
      <c r="Z22" s="399">
        <f t="shared" si="12"/>
        <v>0</v>
      </c>
      <c r="AA22" s="132"/>
      <c r="AB22" s="400">
        <f t="shared" si="13"/>
        <v>0</v>
      </c>
      <c r="AC22" s="401" t="str">
        <f t="shared" si="14"/>
        <v/>
      </c>
      <c r="AD22" s="52"/>
      <c r="AE22" s="413">
        <f>IFERROR(VLOOKUP($C22,'Proposed Rates'!$B:$J,AE$11,FALSE),0)</f>
        <v>0</v>
      </c>
      <c r="AF22" s="397">
        <f t="shared" si="15"/>
        <v>2400</v>
      </c>
      <c r="AG22" s="399">
        <f t="shared" si="16"/>
        <v>0</v>
      </c>
      <c r="AH22" s="132"/>
      <c r="AI22" s="400">
        <f t="shared" si="17"/>
        <v>0</v>
      </c>
      <c r="AJ22" s="401" t="str">
        <f t="shared" si="18"/>
        <v/>
      </c>
      <c r="AK22" s="52"/>
      <c r="AL22" s="413">
        <f>IFERROR(VLOOKUP($C22,'Proposed Rates'!$B:$J,AL$11,FALSE),0)</f>
        <v>0</v>
      </c>
      <c r="AM22" s="397">
        <f t="shared" si="19"/>
        <v>2400</v>
      </c>
      <c r="AN22" s="399">
        <f t="shared" si="24"/>
        <v>0</v>
      </c>
      <c r="AO22" s="132"/>
      <c r="AP22" s="400">
        <f t="shared" si="21"/>
        <v>0</v>
      </c>
      <c r="AQ22" s="401" t="str">
        <f t="shared" si="22"/>
        <v/>
      </c>
      <c r="AR22" s="402"/>
      <c r="AS22" s="3"/>
      <c r="AT22" s="3"/>
    </row>
    <row r="23" spans="1:46" ht="12" customHeight="1">
      <c r="A23" s="52"/>
      <c r="B23" s="403"/>
      <c r="C23" s="394" t="str">
        <f t="shared" si="0"/>
        <v>General Service &lt; 50 kW.</v>
      </c>
      <c r="D23" s="395"/>
      <c r="E23" s="321"/>
      <c r="F23" s="413">
        <f>IFERROR(VLOOKUP($C23,'Proposed Rates'!$B:$J,F$11,FALSE),0)</f>
        <v>0</v>
      </c>
      <c r="G23" s="397">
        <f t="shared" si="1"/>
        <v>0</v>
      </c>
      <c r="H23" s="399">
        <f t="shared" si="2"/>
        <v>0</v>
      </c>
      <c r="I23" s="132"/>
      <c r="J23" s="413">
        <f>IFERROR(VLOOKUP($C23,'Proposed Rates'!$B:$J,J$11,FALSE),0)</f>
        <v>0</v>
      </c>
      <c r="K23" s="397">
        <f t="shared" si="3"/>
        <v>0</v>
      </c>
      <c r="L23" s="399">
        <f t="shared" si="4"/>
        <v>0</v>
      </c>
      <c r="M23" s="132"/>
      <c r="N23" s="400">
        <f t="shared" si="5"/>
        <v>0</v>
      </c>
      <c r="O23" s="401" t="str">
        <f t="shared" si="6"/>
        <v/>
      </c>
      <c r="P23" s="52"/>
      <c r="Q23" s="413">
        <f>IFERROR(VLOOKUP($C23,'Proposed Rates'!$B:$J,Q$11,FALSE),0)</f>
        <v>0</v>
      </c>
      <c r="R23" s="397">
        <f t="shared" si="7"/>
        <v>0</v>
      </c>
      <c r="S23" s="399">
        <f t="shared" si="8"/>
        <v>0</v>
      </c>
      <c r="T23" s="132"/>
      <c r="U23" s="400">
        <f t="shared" si="9"/>
        <v>0</v>
      </c>
      <c r="V23" s="401" t="str">
        <f t="shared" si="10"/>
        <v/>
      </c>
      <c r="W23" s="52"/>
      <c r="X23" s="413">
        <f>IFERROR(VLOOKUP($C23,'Proposed Rates'!$B:$J,X$11,FALSE),0)</f>
        <v>0</v>
      </c>
      <c r="Y23" s="397">
        <f t="shared" si="11"/>
        <v>0</v>
      </c>
      <c r="Z23" s="399">
        <f t="shared" si="12"/>
        <v>0</v>
      </c>
      <c r="AA23" s="132"/>
      <c r="AB23" s="400">
        <f t="shared" si="13"/>
        <v>0</v>
      </c>
      <c r="AC23" s="401" t="str">
        <f t="shared" si="14"/>
        <v/>
      </c>
      <c r="AD23" s="52"/>
      <c r="AE23" s="413">
        <f>IFERROR(VLOOKUP($C23,'Proposed Rates'!$B:$J,AE$11,FALSE),0)</f>
        <v>0</v>
      </c>
      <c r="AF23" s="397">
        <f t="shared" si="15"/>
        <v>0</v>
      </c>
      <c r="AG23" s="399">
        <f t="shared" si="16"/>
        <v>0</v>
      </c>
      <c r="AH23" s="132"/>
      <c r="AI23" s="400">
        <f t="shared" si="17"/>
        <v>0</v>
      </c>
      <c r="AJ23" s="401" t="str">
        <f t="shared" si="18"/>
        <v/>
      </c>
      <c r="AK23" s="52"/>
      <c r="AL23" s="413">
        <f>IFERROR(VLOOKUP($C23,'Proposed Rates'!$B:$J,AL$11,FALSE),0)</f>
        <v>0</v>
      </c>
      <c r="AM23" s="397">
        <f t="shared" si="19"/>
        <v>0</v>
      </c>
      <c r="AN23" s="399">
        <f t="shared" si="24"/>
        <v>0</v>
      </c>
      <c r="AO23" s="132"/>
      <c r="AP23" s="400">
        <f t="shared" si="21"/>
        <v>0</v>
      </c>
      <c r="AQ23" s="401" t="str">
        <f t="shared" si="22"/>
        <v/>
      </c>
      <c r="AR23" s="402"/>
      <c r="AS23" s="3"/>
      <c r="AT23" s="3"/>
    </row>
    <row r="24" spans="1:46" ht="12" customHeight="1">
      <c r="A24" s="52"/>
      <c r="B24" s="403"/>
      <c r="C24" s="394" t="str">
        <f t="shared" si="0"/>
        <v>General Service &lt; 50 kW.</v>
      </c>
      <c r="D24" s="395"/>
      <c r="E24" s="321"/>
      <c r="F24" s="413">
        <f>IFERROR(VLOOKUP($C24,'Proposed Rates'!$B:$J,F$11,FALSE),0)</f>
        <v>0</v>
      </c>
      <c r="G24" s="397">
        <f t="shared" si="1"/>
        <v>0</v>
      </c>
      <c r="H24" s="399">
        <f t="shared" si="2"/>
        <v>0</v>
      </c>
      <c r="I24" s="132"/>
      <c r="J24" s="413">
        <f>IFERROR(VLOOKUP($C24,'Proposed Rates'!$B:$J,J$11,FALSE),0)</f>
        <v>0</v>
      </c>
      <c r="K24" s="397">
        <f t="shared" si="3"/>
        <v>0</v>
      </c>
      <c r="L24" s="399">
        <f t="shared" si="4"/>
        <v>0</v>
      </c>
      <c r="M24" s="132"/>
      <c r="N24" s="400">
        <f t="shared" si="5"/>
        <v>0</v>
      </c>
      <c r="O24" s="401" t="str">
        <f t="shared" si="6"/>
        <v/>
      </c>
      <c r="P24" s="52"/>
      <c r="Q24" s="413">
        <f>IFERROR(VLOOKUP($C24,'Proposed Rates'!$B:$J,Q$11,FALSE),0)</f>
        <v>0</v>
      </c>
      <c r="R24" s="397">
        <f t="shared" si="7"/>
        <v>0</v>
      </c>
      <c r="S24" s="399">
        <f t="shared" si="8"/>
        <v>0</v>
      </c>
      <c r="T24" s="132"/>
      <c r="U24" s="400">
        <f t="shared" si="9"/>
        <v>0</v>
      </c>
      <c r="V24" s="401" t="str">
        <f t="shared" si="10"/>
        <v/>
      </c>
      <c r="W24" s="52"/>
      <c r="X24" s="413">
        <f>IFERROR(VLOOKUP($C24,'Proposed Rates'!$B:$J,X$11,FALSE),0)</f>
        <v>0</v>
      </c>
      <c r="Y24" s="397">
        <f t="shared" si="11"/>
        <v>0</v>
      </c>
      <c r="Z24" s="399">
        <f t="shared" si="12"/>
        <v>0</v>
      </c>
      <c r="AA24" s="132"/>
      <c r="AB24" s="400">
        <f t="shared" si="13"/>
        <v>0</v>
      </c>
      <c r="AC24" s="401" t="str">
        <f t="shared" si="14"/>
        <v/>
      </c>
      <c r="AD24" s="52"/>
      <c r="AE24" s="413">
        <f>IFERROR(VLOOKUP($C24,'Proposed Rates'!$B:$J,AE$11,FALSE),0)</f>
        <v>0</v>
      </c>
      <c r="AF24" s="397">
        <f t="shared" si="15"/>
        <v>0</v>
      </c>
      <c r="AG24" s="399">
        <f t="shared" si="16"/>
        <v>0</v>
      </c>
      <c r="AH24" s="132"/>
      <c r="AI24" s="400">
        <f t="shared" si="17"/>
        <v>0</v>
      </c>
      <c r="AJ24" s="401" t="str">
        <f t="shared" si="18"/>
        <v/>
      </c>
      <c r="AK24" s="52"/>
      <c r="AL24" s="413">
        <f>IFERROR(VLOOKUP($C24,'Proposed Rates'!$B:$J,AL$11,FALSE),0)</f>
        <v>0</v>
      </c>
      <c r="AM24" s="397">
        <f t="shared" si="19"/>
        <v>0</v>
      </c>
      <c r="AN24" s="399">
        <f t="shared" si="24"/>
        <v>0</v>
      </c>
      <c r="AO24" s="132"/>
      <c r="AP24" s="400">
        <f t="shared" si="21"/>
        <v>0</v>
      </c>
      <c r="AQ24" s="401" t="str">
        <f t="shared" si="22"/>
        <v/>
      </c>
      <c r="AR24" s="402"/>
      <c r="AS24" s="3"/>
      <c r="AT24" s="3"/>
    </row>
    <row r="25" spans="1:46" ht="12" customHeight="1">
      <c r="A25" s="52"/>
      <c r="B25" s="403"/>
      <c r="C25" s="394" t="str">
        <f t="shared" si="0"/>
        <v>General Service &lt; 50 kW.</v>
      </c>
      <c r="D25" s="395"/>
      <c r="E25" s="321"/>
      <c r="F25" s="413">
        <f>IFERROR(VLOOKUP($C25,'Proposed Rates'!$B:$J,F$11,FALSE),0)</f>
        <v>0</v>
      </c>
      <c r="G25" s="397">
        <f t="shared" si="1"/>
        <v>0</v>
      </c>
      <c r="H25" s="399">
        <f t="shared" si="2"/>
        <v>0</v>
      </c>
      <c r="I25" s="132"/>
      <c r="J25" s="413">
        <f>IFERROR(VLOOKUP($C25,'Proposed Rates'!$B:$J,J$11,FALSE),0)</f>
        <v>0</v>
      </c>
      <c r="K25" s="397">
        <f t="shared" si="3"/>
        <v>0</v>
      </c>
      <c r="L25" s="399">
        <f t="shared" si="4"/>
        <v>0</v>
      </c>
      <c r="M25" s="132"/>
      <c r="N25" s="400">
        <f t="shared" si="5"/>
        <v>0</v>
      </c>
      <c r="O25" s="401" t="str">
        <f t="shared" si="6"/>
        <v/>
      </c>
      <c r="P25" s="52"/>
      <c r="Q25" s="413">
        <f>IFERROR(VLOOKUP($C25,'Proposed Rates'!$B:$J,Q$11,FALSE),0)</f>
        <v>0</v>
      </c>
      <c r="R25" s="397">
        <f t="shared" si="7"/>
        <v>0</v>
      </c>
      <c r="S25" s="399">
        <f t="shared" si="8"/>
        <v>0</v>
      </c>
      <c r="T25" s="132"/>
      <c r="U25" s="400">
        <f t="shared" si="9"/>
        <v>0</v>
      </c>
      <c r="V25" s="401" t="str">
        <f t="shared" si="10"/>
        <v/>
      </c>
      <c r="W25" s="52"/>
      <c r="X25" s="413">
        <f>IFERROR(VLOOKUP($C25,'Proposed Rates'!$B:$J,X$11,FALSE),0)</f>
        <v>0</v>
      </c>
      <c r="Y25" s="397">
        <f t="shared" si="11"/>
        <v>0</v>
      </c>
      <c r="Z25" s="399">
        <f t="shared" si="12"/>
        <v>0</v>
      </c>
      <c r="AA25" s="132"/>
      <c r="AB25" s="400">
        <f t="shared" si="13"/>
        <v>0</v>
      </c>
      <c r="AC25" s="401" t="str">
        <f t="shared" si="14"/>
        <v/>
      </c>
      <c r="AD25" s="52"/>
      <c r="AE25" s="413">
        <f>IFERROR(VLOOKUP($C25,'Proposed Rates'!$B:$J,AE$11,FALSE),0)</f>
        <v>0</v>
      </c>
      <c r="AF25" s="397">
        <f t="shared" si="15"/>
        <v>0</v>
      </c>
      <c r="AG25" s="399">
        <f t="shared" si="16"/>
        <v>0</v>
      </c>
      <c r="AH25" s="132"/>
      <c r="AI25" s="400">
        <f t="shared" si="17"/>
        <v>0</v>
      </c>
      <c r="AJ25" s="401" t="str">
        <f t="shared" si="18"/>
        <v/>
      </c>
      <c r="AK25" s="52"/>
      <c r="AL25" s="413">
        <f>IFERROR(VLOOKUP($C25,'Proposed Rates'!$B:$J,AL$11,FALSE),0)</f>
        <v>0</v>
      </c>
      <c r="AM25" s="397">
        <f t="shared" si="19"/>
        <v>0</v>
      </c>
      <c r="AN25" s="399">
        <f t="shared" si="24"/>
        <v>0</v>
      </c>
      <c r="AO25" s="132"/>
      <c r="AP25" s="400">
        <f t="shared" si="21"/>
        <v>0</v>
      </c>
      <c r="AQ25" s="401" t="str">
        <f t="shared" si="22"/>
        <v/>
      </c>
      <c r="AR25" s="402"/>
      <c r="AS25" s="3"/>
      <c r="AT25" s="3"/>
    </row>
    <row r="26" spans="1:46" ht="12" customHeight="1">
      <c r="A26" s="52"/>
      <c r="B26" s="403"/>
      <c r="C26" s="394" t="str">
        <f t="shared" si="0"/>
        <v>General Service &lt; 50 kW.</v>
      </c>
      <c r="D26" s="395"/>
      <c r="E26" s="321"/>
      <c r="F26" s="413">
        <f>IFERROR(VLOOKUP($C26,'Proposed Rates'!$B:$J,F$11,FALSE),0)</f>
        <v>0</v>
      </c>
      <c r="G26" s="397">
        <f t="shared" si="1"/>
        <v>0</v>
      </c>
      <c r="H26" s="399">
        <f t="shared" si="2"/>
        <v>0</v>
      </c>
      <c r="I26" s="132"/>
      <c r="J26" s="413">
        <f>IFERROR(VLOOKUP($C26,'Proposed Rates'!$B:$J,J$11,FALSE),0)</f>
        <v>0</v>
      </c>
      <c r="K26" s="397">
        <f t="shared" si="3"/>
        <v>0</v>
      </c>
      <c r="L26" s="399">
        <f t="shared" si="4"/>
        <v>0</v>
      </c>
      <c r="M26" s="132"/>
      <c r="N26" s="400">
        <f t="shared" si="5"/>
        <v>0</v>
      </c>
      <c r="O26" s="401" t="str">
        <f t="shared" si="6"/>
        <v/>
      </c>
      <c r="P26" s="52"/>
      <c r="Q26" s="413">
        <f>IFERROR(VLOOKUP($C26,'Proposed Rates'!$B:$J,Q$11,FALSE),0)</f>
        <v>0</v>
      </c>
      <c r="R26" s="397">
        <f t="shared" si="7"/>
        <v>0</v>
      </c>
      <c r="S26" s="399">
        <f t="shared" si="8"/>
        <v>0</v>
      </c>
      <c r="T26" s="132"/>
      <c r="U26" s="400">
        <f t="shared" si="9"/>
        <v>0</v>
      </c>
      <c r="V26" s="401" t="str">
        <f t="shared" si="10"/>
        <v/>
      </c>
      <c r="W26" s="52"/>
      <c r="X26" s="413">
        <f>IFERROR(VLOOKUP($C26,'Proposed Rates'!$B:$J,X$11,FALSE),0)</f>
        <v>0</v>
      </c>
      <c r="Y26" s="397">
        <f t="shared" si="11"/>
        <v>0</v>
      </c>
      <c r="Z26" s="399">
        <f t="shared" si="12"/>
        <v>0</v>
      </c>
      <c r="AA26" s="132"/>
      <c r="AB26" s="400">
        <f t="shared" si="13"/>
        <v>0</v>
      </c>
      <c r="AC26" s="401" t="str">
        <f t="shared" si="14"/>
        <v/>
      </c>
      <c r="AD26" s="52"/>
      <c r="AE26" s="413">
        <f>IFERROR(VLOOKUP($C26,'Proposed Rates'!$B:$J,AE$11,FALSE),0)</f>
        <v>0</v>
      </c>
      <c r="AF26" s="397">
        <f t="shared" si="15"/>
        <v>0</v>
      </c>
      <c r="AG26" s="399">
        <f t="shared" si="16"/>
        <v>0</v>
      </c>
      <c r="AH26" s="132"/>
      <c r="AI26" s="400">
        <f t="shared" si="17"/>
        <v>0</v>
      </c>
      <c r="AJ26" s="401" t="str">
        <f t="shared" si="18"/>
        <v/>
      </c>
      <c r="AK26" s="52"/>
      <c r="AL26" s="413">
        <f>IFERROR(VLOOKUP($C26,'Proposed Rates'!$B:$J,AL$11,FALSE),0)</f>
        <v>0</v>
      </c>
      <c r="AM26" s="397">
        <f t="shared" si="19"/>
        <v>0</v>
      </c>
      <c r="AN26" s="399">
        <f t="shared" si="24"/>
        <v>0</v>
      </c>
      <c r="AO26" s="132"/>
      <c r="AP26" s="400">
        <f t="shared" si="21"/>
        <v>0</v>
      </c>
      <c r="AQ26" s="401" t="str">
        <f t="shared" si="22"/>
        <v/>
      </c>
      <c r="AR26" s="402"/>
      <c r="AS26" s="3"/>
      <c r="AT26" s="3"/>
    </row>
    <row r="27" spans="1:46" ht="12" customHeight="1">
      <c r="A27" s="52"/>
      <c r="B27" s="403"/>
      <c r="C27" s="394" t="str">
        <f t="shared" si="0"/>
        <v>General Service &lt; 50 kW.</v>
      </c>
      <c r="D27" s="395"/>
      <c r="E27" s="321"/>
      <c r="F27" s="413">
        <f>IFERROR(VLOOKUP($C27,'Proposed Rates'!$B:$J,F$11,FALSE),0)</f>
        <v>0</v>
      </c>
      <c r="G27" s="397">
        <f t="shared" si="1"/>
        <v>0</v>
      </c>
      <c r="H27" s="399">
        <f t="shared" si="2"/>
        <v>0</v>
      </c>
      <c r="I27" s="132"/>
      <c r="J27" s="413">
        <f>IFERROR(VLOOKUP($C27,'Proposed Rates'!$B:$J,J$11,FALSE),0)</f>
        <v>0</v>
      </c>
      <c r="K27" s="397">
        <f t="shared" si="3"/>
        <v>0</v>
      </c>
      <c r="L27" s="399">
        <f t="shared" si="4"/>
        <v>0</v>
      </c>
      <c r="M27" s="132"/>
      <c r="N27" s="400">
        <f t="shared" si="5"/>
        <v>0</v>
      </c>
      <c r="O27" s="401" t="str">
        <f t="shared" si="6"/>
        <v/>
      </c>
      <c r="P27" s="52"/>
      <c r="Q27" s="413">
        <f>IFERROR(VLOOKUP($C27,'Proposed Rates'!$B:$J,Q$11,FALSE),0)</f>
        <v>0</v>
      </c>
      <c r="R27" s="397">
        <f t="shared" si="7"/>
        <v>0</v>
      </c>
      <c r="S27" s="399">
        <f t="shared" si="8"/>
        <v>0</v>
      </c>
      <c r="T27" s="132"/>
      <c r="U27" s="400">
        <f t="shared" si="9"/>
        <v>0</v>
      </c>
      <c r="V27" s="401" t="str">
        <f t="shared" si="10"/>
        <v/>
      </c>
      <c r="W27" s="52"/>
      <c r="X27" s="413">
        <f>IFERROR(VLOOKUP($C27,'Proposed Rates'!$B:$J,X$11,FALSE),0)</f>
        <v>0</v>
      </c>
      <c r="Y27" s="397">
        <f t="shared" si="11"/>
        <v>0</v>
      </c>
      <c r="Z27" s="399">
        <f t="shared" si="12"/>
        <v>0</v>
      </c>
      <c r="AA27" s="132"/>
      <c r="AB27" s="400">
        <f t="shared" si="13"/>
        <v>0</v>
      </c>
      <c r="AC27" s="401" t="str">
        <f t="shared" si="14"/>
        <v/>
      </c>
      <c r="AD27" s="52"/>
      <c r="AE27" s="413">
        <f>IFERROR(VLOOKUP($C27,'Proposed Rates'!$B:$J,AE$11,FALSE),0)</f>
        <v>0</v>
      </c>
      <c r="AF27" s="397">
        <f t="shared" si="15"/>
        <v>0</v>
      </c>
      <c r="AG27" s="399">
        <f t="shared" si="16"/>
        <v>0</v>
      </c>
      <c r="AH27" s="132"/>
      <c r="AI27" s="400">
        <f t="shared" si="17"/>
        <v>0</v>
      </c>
      <c r="AJ27" s="401" t="str">
        <f t="shared" si="18"/>
        <v/>
      </c>
      <c r="AK27" s="52"/>
      <c r="AL27" s="413">
        <f>IFERROR(VLOOKUP($C27,'Proposed Rates'!$B:$J,AL$11,FALSE),0)</f>
        <v>0</v>
      </c>
      <c r="AM27" s="397">
        <f t="shared" si="19"/>
        <v>0</v>
      </c>
      <c r="AN27" s="399">
        <f t="shared" si="24"/>
        <v>0</v>
      </c>
      <c r="AO27" s="132"/>
      <c r="AP27" s="400">
        <f t="shared" si="21"/>
        <v>0</v>
      </c>
      <c r="AQ27" s="401" t="str">
        <f t="shared" si="22"/>
        <v/>
      </c>
      <c r="AR27" s="402"/>
      <c r="AS27" s="3"/>
      <c r="AT27" s="3"/>
    </row>
    <row r="28" spans="1:46" ht="12" customHeight="1">
      <c r="A28" s="52"/>
      <c r="B28" s="403"/>
      <c r="C28" s="394" t="str">
        <f t="shared" si="0"/>
        <v>General Service &lt; 50 kW.</v>
      </c>
      <c r="D28" s="395"/>
      <c r="E28" s="321"/>
      <c r="F28" s="413">
        <f>IFERROR(VLOOKUP($C28,'Proposed Rates'!$B:$J,F$11,FALSE),0)</f>
        <v>0</v>
      </c>
      <c r="G28" s="397">
        <f t="shared" si="1"/>
        <v>0</v>
      </c>
      <c r="H28" s="399">
        <f t="shared" si="2"/>
        <v>0</v>
      </c>
      <c r="I28" s="132"/>
      <c r="J28" s="413">
        <f>IFERROR(VLOOKUP($C28,'Proposed Rates'!$B:$J,J$11,FALSE),0)</f>
        <v>0</v>
      </c>
      <c r="K28" s="397">
        <f t="shared" si="3"/>
        <v>0</v>
      </c>
      <c r="L28" s="399">
        <f t="shared" si="4"/>
        <v>0</v>
      </c>
      <c r="M28" s="132"/>
      <c r="N28" s="400">
        <f t="shared" si="5"/>
        <v>0</v>
      </c>
      <c r="O28" s="401" t="str">
        <f t="shared" si="6"/>
        <v/>
      </c>
      <c r="P28" s="52"/>
      <c r="Q28" s="413">
        <f>IFERROR(VLOOKUP($C28,'Proposed Rates'!$B:$J,Q$11,FALSE),0)</f>
        <v>0</v>
      </c>
      <c r="R28" s="397">
        <f t="shared" si="7"/>
        <v>0</v>
      </c>
      <c r="S28" s="399">
        <f t="shared" si="8"/>
        <v>0</v>
      </c>
      <c r="T28" s="132"/>
      <c r="U28" s="400">
        <f t="shared" si="9"/>
        <v>0</v>
      </c>
      <c r="V28" s="401" t="str">
        <f t="shared" si="10"/>
        <v/>
      </c>
      <c r="W28" s="52"/>
      <c r="X28" s="413">
        <f>IFERROR(VLOOKUP($C28,'Proposed Rates'!$B:$J,X$11,FALSE),0)</f>
        <v>0</v>
      </c>
      <c r="Y28" s="397">
        <f t="shared" si="11"/>
        <v>0</v>
      </c>
      <c r="Z28" s="399">
        <f t="shared" si="12"/>
        <v>0</v>
      </c>
      <c r="AA28" s="132"/>
      <c r="AB28" s="400">
        <f t="shared" si="13"/>
        <v>0</v>
      </c>
      <c r="AC28" s="401" t="str">
        <f t="shared" si="14"/>
        <v/>
      </c>
      <c r="AD28" s="52"/>
      <c r="AE28" s="413">
        <f>IFERROR(VLOOKUP($C28,'Proposed Rates'!$B:$J,AE$11,FALSE),0)</f>
        <v>0</v>
      </c>
      <c r="AF28" s="397">
        <f t="shared" si="15"/>
        <v>0</v>
      </c>
      <c r="AG28" s="399">
        <f t="shared" si="16"/>
        <v>0</v>
      </c>
      <c r="AH28" s="132"/>
      <c r="AI28" s="400">
        <f t="shared" si="17"/>
        <v>0</v>
      </c>
      <c r="AJ28" s="401" t="str">
        <f t="shared" si="18"/>
        <v/>
      </c>
      <c r="AK28" s="52"/>
      <c r="AL28" s="413">
        <f>IFERROR(VLOOKUP($C28,'Proposed Rates'!$B:$J,AL$11,FALSE),0)</f>
        <v>0</v>
      </c>
      <c r="AM28" s="397">
        <f t="shared" si="19"/>
        <v>0</v>
      </c>
      <c r="AN28" s="399">
        <f t="shared" si="24"/>
        <v>0</v>
      </c>
      <c r="AO28" s="132"/>
      <c r="AP28" s="400">
        <f t="shared" si="21"/>
        <v>0</v>
      </c>
      <c r="AQ28" s="401" t="str">
        <f t="shared" si="22"/>
        <v/>
      </c>
      <c r="AR28" s="402"/>
      <c r="AS28" s="3"/>
      <c r="AT28" s="3"/>
    </row>
    <row r="29" spans="1:46" ht="12" customHeight="1">
      <c r="A29" s="307"/>
      <c r="B29" s="404" t="s">
        <v>314</v>
      </c>
      <c r="C29" s="405"/>
      <c r="D29" s="405"/>
      <c r="E29" s="405"/>
      <c r="F29" s="406"/>
      <c r="G29" s="499"/>
      <c r="H29" s="408">
        <f>SUM(H15:H28)</f>
        <v>98.410000000000011</v>
      </c>
      <c r="I29" s="409"/>
      <c r="J29" s="406"/>
      <c r="K29" s="499"/>
      <c r="L29" s="501">
        <f>SUM(L15:L28)</f>
        <v>110.66</v>
      </c>
      <c r="M29" s="409"/>
      <c r="N29" s="410">
        <f t="shared" si="5"/>
        <v>12.249999999999986</v>
      </c>
      <c r="O29" s="411">
        <f t="shared" si="6"/>
        <v>0.12447921959150476</v>
      </c>
      <c r="P29" s="307"/>
      <c r="Q29" s="406"/>
      <c r="R29" s="499"/>
      <c r="S29" s="408">
        <f>SUM(S15:S28)</f>
        <v>116.97</v>
      </c>
      <c r="T29" s="409"/>
      <c r="U29" s="410">
        <f t="shared" si="9"/>
        <v>6.3100000000000023</v>
      </c>
      <c r="V29" s="411">
        <f t="shared" si="10"/>
        <v>5.7021507319718077E-2</v>
      </c>
      <c r="W29" s="307"/>
      <c r="X29" s="406"/>
      <c r="Y29" s="499"/>
      <c r="Z29" s="408">
        <f>SUM(Z15:Z28)</f>
        <v>124.61000000000001</v>
      </c>
      <c r="AA29" s="409"/>
      <c r="AB29" s="410">
        <f t="shared" si="13"/>
        <v>7.6400000000000148</v>
      </c>
      <c r="AC29" s="411">
        <f t="shared" si="14"/>
        <v>6.5315892964007999E-2</v>
      </c>
      <c r="AD29" s="307"/>
      <c r="AE29" s="406"/>
      <c r="AF29" s="499"/>
      <c r="AG29" s="408">
        <f>SUM(AG15:AG28)</f>
        <v>126.86</v>
      </c>
      <c r="AH29" s="409"/>
      <c r="AI29" s="410">
        <f t="shared" si="17"/>
        <v>2.2499999999999858</v>
      </c>
      <c r="AJ29" s="411">
        <f t="shared" si="18"/>
        <v>1.8056335767594779E-2</v>
      </c>
      <c r="AK29" s="307"/>
      <c r="AL29" s="406"/>
      <c r="AM29" s="499"/>
      <c r="AN29" s="408">
        <f>SUM(AN15:AN28)</f>
        <v>128.74</v>
      </c>
      <c r="AO29" s="409"/>
      <c r="AP29" s="410">
        <f t="shared" si="21"/>
        <v>1.8800000000000097</v>
      </c>
      <c r="AQ29" s="411">
        <f t="shared" si="22"/>
        <v>1.4819486047611616E-2</v>
      </c>
      <c r="AR29" s="412"/>
      <c r="AS29" s="3"/>
      <c r="AT29" s="3"/>
    </row>
    <row r="30" spans="1:46" ht="12" customHeight="1">
      <c r="A30" s="52"/>
      <c r="B30" s="403" t="s">
        <v>237</v>
      </c>
      <c r="C30" s="394" t="str">
        <f t="shared" ref="C30:C36" si="25">D$6&amp;"."&amp;B30</f>
        <v>General Service &lt; 50 kW.DVA Disposition Rate Rider Group 1 -2025</v>
      </c>
      <c r="D30" s="395" t="s">
        <v>312</v>
      </c>
      <c r="E30" s="321"/>
      <c r="F30" s="413">
        <f>IFERROR(VLOOKUP($C30,'Proposed Rates'!$B:$J,F$11,FALSE),0)</f>
        <v>0</v>
      </c>
      <c r="G30" s="397">
        <f t="shared" ref="G30:G33" si="26">IF($D30="Monthly",1,IF($D30="per KWH",$F$10,0))</f>
        <v>2400</v>
      </c>
      <c r="H30" s="399">
        <f t="shared" ref="H30:H36" si="27">G30*F30</f>
        <v>0</v>
      </c>
      <c r="I30" s="132"/>
      <c r="J30" s="413">
        <f>IFERROR(VLOOKUP($C30,'Proposed Rates'!$B:$J,J$11,FALSE),0)</f>
        <v>-5.0000000000000001E-4</v>
      </c>
      <c r="K30" s="397">
        <f t="shared" ref="K30:K33" si="28">IF($D30="Monthly",1,IF($D30="per KWH",$F$10,0))</f>
        <v>2400</v>
      </c>
      <c r="L30" s="399">
        <f t="shared" ref="L30:L36" si="29">K30*J30</f>
        <v>-1.2</v>
      </c>
      <c r="M30" s="132"/>
      <c r="N30" s="400">
        <f t="shared" si="5"/>
        <v>-1.2</v>
      </c>
      <c r="O30" s="401" t="str">
        <f t="shared" si="6"/>
        <v/>
      </c>
      <c r="P30" s="52"/>
      <c r="Q30" s="413">
        <f>IFERROR(VLOOKUP($C30,'Proposed Rates'!$B:$J,Q$11,FALSE),0)</f>
        <v>0</v>
      </c>
      <c r="R30" s="397">
        <f t="shared" ref="R30:R33" si="30">IF($D30="Monthly",1,IF($D30="per KWH",$F$10,0))</f>
        <v>2400</v>
      </c>
      <c r="S30" s="399">
        <f t="shared" ref="S30:S36" si="31">R30*Q30</f>
        <v>0</v>
      </c>
      <c r="T30" s="132"/>
      <c r="U30" s="400">
        <f t="shared" si="9"/>
        <v>1.2</v>
      </c>
      <c r="V30" s="401">
        <f t="shared" si="10"/>
        <v>-1</v>
      </c>
      <c r="W30" s="52"/>
      <c r="X30" s="413">
        <f>IFERROR(VLOOKUP($C30,'Proposed Rates'!$B:$J,X$11,FALSE),0)</f>
        <v>0</v>
      </c>
      <c r="Y30" s="397">
        <f t="shared" ref="Y30:Y33" si="32">IF($D30="Monthly",1,IF($D30="per KWH",$F$10,0))</f>
        <v>2400</v>
      </c>
      <c r="Z30" s="399">
        <f t="shared" ref="Z30:Z36" si="33">Y30*X30</f>
        <v>0</v>
      </c>
      <c r="AA30" s="132"/>
      <c r="AB30" s="400">
        <f t="shared" si="13"/>
        <v>0</v>
      </c>
      <c r="AC30" s="401" t="str">
        <f t="shared" si="14"/>
        <v/>
      </c>
      <c r="AD30" s="52"/>
      <c r="AE30" s="413">
        <f>IFERROR(VLOOKUP($C30,'Proposed Rates'!$B:$J,AE$11,FALSE),0)</f>
        <v>0</v>
      </c>
      <c r="AF30" s="397">
        <f t="shared" ref="AF30:AF33" si="34">IF($D30="Monthly",1,IF($D30="per KWH",$F$10,0))</f>
        <v>2400</v>
      </c>
      <c r="AG30" s="399">
        <f t="shared" ref="AG30:AG36" si="35">AF30*AE30</f>
        <v>0</v>
      </c>
      <c r="AH30" s="132"/>
      <c r="AI30" s="400">
        <f t="shared" si="17"/>
        <v>0</v>
      </c>
      <c r="AJ30" s="401" t="str">
        <f t="shared" si="18"/>
        <v/>
      </c>
      <c r="AK30" s="52"/>
      <c r="AL30" s="413">
        <f>IFERROR(VLOOKUP($C30,'Proposed Rates'!$B:$J,AL$11,FALSE),0)</f>
        <v>0</v>
      </c>
      <c r="AM30" s="397">
        <f t="shared" ref="AM30:AM33" si="36">IF($D30="Monthly",1,IF($D30="per KWH",$F$10,0))</f>
        <v>2400</v>
      </c>
      <c r="AN30" s="399">
        <f t="shared" ref="AN30:AN36" si="37">AM30*AL30</f>
        <v>0</v>
      </c>
      <c r="AO30" s="132"/>
      <c r="AP30" s="400">
        <f t="shared" si="21"/>
        <v>0</v>
      </c>
      <c r="AQ30" s="401" t="str">
        <f t="shared" si="22"/>
        <v/>
      </c>
      <c r="AR30" s="402"/>
      <c r="AS30" s="3"/>
      <c r="AT30" s="3"/>
    </row>
    <row r="31" spans="1:46" ht="12" customHeight="1">
      <c r="A31" s="52"/>
      <c r="B31" s="403" t="s">
        <v>239</v>
      </c>
      <c r="C31" s="394" t="str">
        <f t="shared" si="25"/>
        <v>General Service &lt; 50 kW.DVA Disposition Rate Rider Group 1 - 2024</v>
      </c>
      <c r="D31" s="395" t="s">
        <v>312</v>
      </c>
      <c r="E31" s="321"/>
      <c r="F31" s="413">
        <f>IFERROR(VLOOKUP($C31,'Proposed Rates'!$B:$J,F$11,FALSE),0)</f>
        <v>0</v>
      </c>
      <c r="G31" s="397">
        <f t="shared" si="26"/>
        <v>2400</v>
      </c>
      <c r="H31" s="399">
        <f t="shared" si="27"/>
        <v>0</v>
      </c>
      <c r="I31" s="484"/>
      <c r="J31" s="413">
        <f>IFERROR(VLOOKUP($C31,'Proposed Rates'!$B:$J,J$11,FALSE),0)</f>
        <v>0</v>
      </c>
      <c r="K31" s="397">
        <f t="shared" si="28"/>
        <v>2400</v>
      </c>
      <c r="L31" s="399">
        <f t="shared" si="29"/>
        <v>0</v>
      </c>
      <c r="M31" s="416"/>
      <c r="N31" s="400">
        <f t="shared" si="5"/>
        <v>0</v>
      </c>
      <c r="O31" s="401" t="str">
        <f t="shared" si="6"/>
        <v/>
      </c>
      <c r="P31" s="52"/>
      <c r="Q31" s="413">
        <f>IFERROR(VLOOKUP($C31,'Proposed Rates'!$B:$J,Q$11,FALSE),0)</f>
        <v>0</v>
      </c>
      <c r="R31" s="397">
        <f t="shared" si="30"/>
        <v>2400</v>
      </c>
      <c r="S31" s="399">
        <f t="shared" si="31"/>
        <v>0</v>
      </c>
      <c r="T31" s="416"/>
      <c r="U31" s="400">
        <f t="shared" si="9"/>
        <v>0</v>
      </c>
      <c r="V31" s="401" t="str">
        <f t="shared" si="10"/>
        <v/>
      </c>
      <c r="W31" s="52"/>
      <c r="X31" s="413">
        <f>IFERROR(VLOOKUP($C31,'Proposed Rates'!$B:$J,X$11,FALSE),0)</f>
        <v>0</v>
      </c>
      <c r="Y31" s="397">
        <f t="shared" si="32"/>
        <v>2400</v>
      </c>
      <c r="Z31" s="399">
        <f t="shared" si="33"/>
        <v>0</v>
      </c>
      <c r="AA31" s="416"/>
      <c r="AB31" s="400">
        <f t="shared" si="13"/>
        <v>0</v>
      </c>
      <c r="AC31" s="401" t="str">
        <f t="shared" si="14"/>
        <v/>
      </c>
      <c r="AD31" s="52"/>
      <c r="AE31" s="413">
        <f>IFERROR(VLOOKUP($C31,'Proposed Rates'!$B:$J,AE$11,FALSE),0)</f>
        <v>0</v>
      </c>
      <c r="AF31" s="397">
        <f t="shared" si="34"/>
        <v>2400</v>
      </c>
      <c r="AG31" s="399">
        <f t="shared" si="35"/>
        <v>0</v>
      </c>
      <c r="AH31" s="416"/>
      <c r="AI31" s="400">
        <f t="shared" si="17"/>
        <v>0</v>
      </c>
      <c r="AJ31" s="401" t="str">
        <f t="shared" si="18"/>
        <v/>
      </c>
      <c r="AK31" s="52"/>
      <c r="AL31" s="413">
        <f>IFERROR(VLOOKUP($C31,'Proposed Rates'!$B:$J,AL$11,FALSE),0)</f>
        <v>0</v>
      </c>
      <c r="AM31" s="397">
        <f t="shared" si="36"/>
        <v>2400</v>
      </c>
      <c r="AN31" s="399">
        <f t="shared" si="37"/>
        <v>0</v>
      </c>
      <c r="AO31" s="416"/>
      <c r="AP31" s="400">
        <f t="shared" si="21"/>
        <v>0</v>
      </c>
      <c r="AQ31" s="401" t="str">
        <f t="shared" si="22"/>
        <v/>
      </c>
      <c r="AR31" s="402"/>
      <c r="AS31" s="3"/>
      <c r="AT31" s="3"/>
    </row>
    <row r="32" spans="1:46" ht="12" customHeight="1">
      <c r="A32" s="52"/>
      <c r="B32" s="403" t="s">
        <v>247</v>
      </c>
      <c r="C32" s="394" t="str">
        <f t="shared" si="25"/>
        <v>General Service &lt; 50 kW.CBR Class B Rate Riders</v>
      </c>
      <c r="D32" s="395" t="s">
        <v>312</v>
      </c>
      <c r="E32" s="321"/>
      <c r="F32" s="413">
        <f>IFERROR(VLOOKUP($C32,'Proposed Rates'!$B:$J,F$11,FALSE),0)</f>
        <v>2.0000000000000001E-4</v>
      </c>
      <c r="G32" s="397">
        <f t="shared" si="26"/>
        <v>2400</v>
      </c>
      <c r="H32" s="399">
        <f t="shared" si="27"/>
        <v>0.48000000000000004</v>
      </c>
      <c r="I32" s="484"/>
      <c r="J32" s="413">
        <f>IFERROR(VLOOKUP($C32,'Proposed Rates'!$B:$J,J$11,FALSE),0)</f>
        <v>4.0000000000000002E-4</v>
      </c>
      <c r="K32" s="397">
        <f t="shared" si="28"/>
        <v>2400</v>
      </c>
      <c r="L32" s="399">
        <f t="shared" si="29"/>
        <v>0.96000000000000008</v>
      </c>
      <c r="M32" s="416"/>
      <c r="N32" s="400">
        <f t="shared" si="5"/>
        <v>0.48000000000000004</v>
      </c>
      <c r="O32" s="401">
        <f t="shared" si="6"/>
        <v>1</v>
      </c>
      <c r="P32" s="52"/>
      <c r="Q32" s="413">
        <f>IFERROR(VLOOKUP($C32,'Proposed Rates'!$B:$J,Q$11,FALSE),0)</f>
        <v>0</v>
      </c>
      <c r="R32" s="397">
        <f t="shared" si="30"/>
        <v>2400</v>
      </c>
      <c r="S32" s="399">
        <f t="shared" si="31"/>
        <v>0</v>
      </c>
      <c r="T32" s="416"/>
      <c r="U32" s="400">
        <f t="shared" si="9"/>
        <v>-0.96000000000000008</v>
      </c>
      <c r="V32" s="401">
        <f t="shared" si="10"/>
        <v>-1</v>
      </c>
      <c r="W32" s="52"/>
      <c r="X32" s="413">
        <f>IFERROR(VLOOKUP($C32,'Proposed Rates'!$B:$J,X$11,FALSE),0)</f>
        <v>0</v>
      </c>
      <c r="Y32" s="397">
        <f t="shared" si="32"/>
        <v>2400</v>
      </c>
      <c r="Z32" s="399">
        <f t="shared" si="33"/>
        <v>0</v>
      </c>
      <c r="AA32" s="416"/>
      <c r="AB32" s="400">
        <f t="shared" si="13"/>
        <v>0</v>
      </c>
      <c r="AC32" s="401" t="str">
        <f t="shared" si="14"/>
        <v/>
      </c>
      <c r="AD32" s="52"/>
      <c r="AE32" s="413">
        <f>IFERROR(VLOOKUP($C32,'Proposed Rates'!$B:$J,AE$11,FALSE),0)</f>
        <v>0</v>
      </c>
      <c r="AF32" s="397">
        <f t="shared" si="34"/>
        <v>2400</v>
      </c>
      <c r="AG32" s="399">
        <f t="shared" si="35"/>
        <v>0</v>
      </c>
      <c r="AH32" s="416"/>
      <c r="AI32" s="400">
        <f t="shared" si="17"/>
        <v>0</v>
      </c>
      <c r="AJ32" s="401" t="str">
        <f t="shared" si="18"/>
        <v/>
      </c>
      <c r="AK32" s="52"/>
      <c r="AL32" s="413">
        <f>IFERROR(VLOOKUP($C32,'Proposed Rates'!$B:$J,AL$11,FALSE),0)</f>
        <v>0</v>
      </c>
      <c r="AM32" s="397">
        <f t="shared" si="36"/>
        <v>2400</v>
      </c>
      <c r="AN32" s="399">
        <f t="shared" si="37"/>
        <v>0</v>
      </c>
      <c r="AO32" s="416"/>
      <c r="AP32" s="400">
        <f t="shared" si="21"/>
        <v>0</v>
      </c>
      <c r="AQ32" s="401" t="str">
        <f t="shared" si="22"/>
        <v/>
      </c>
      <c r="AR32" s="402"/>
      <c r="AS32" s="3"/>
      <c r="AT32" s="3"/>
    </row>
    <row r="33" spans="1:46" ht="12" customHeight="1">
      <c r="A33" s="52"/>
      <c r="B33" s="403" t="s">
        <v>315</v>
      </c>
      <c r="C33" s="394" t="str">
        <f t="shared" si="25"/>
        <v>General Service &lt; 50 kW.GA Disposition Rate Rider-NonRPP</v>
      </c>
      <c r="D33" s="395" t="s">
        <v>312</v>
      </c>
      <c r="E33" s="321"/>
      <c r="F33" s="413">
        <f>IFERROR(VLOOKUP($C33,'Proposed Rates'!$B:$J,F$11,FALSE),0)</f>
        <v>0</v>
      </c>
      <c r="G33" s="397">
        <f t="shared" si="26"/>
        <v>2400</v>
      </c>
      <c r="H33" s="399">
        <f t="shared" si="27"/>
        <v>0</v>
      </c>
      <c r="I33" s="484"/>
      <c r="J33" s="413">
        <f>IFERROR(VLOOKUP($C33,'Proposed Rates'!$B:$J,J$11,FALSE),0)</f>
        <v>0</v>
      </c>
      <c r="K33" s="397">
        <f t="shared" si="28"/>
        <v>2400</v>
      </c>
      <c r="L33" s="399">
        <f t="shared" si="29"/>
        <v>0</v>
      </c>
      <c r="M33" s="416"/>
      <c r="N33" s="400">
        <f t="shared" si="5"/>
        <v>0</v>
      </c>
      <c r="O33" s="401" t="str">
        <f t="shared" si="6"/>
        <v/>
      </c>
      <c r="P33" s="52"/>
      <c r="Q33" s="413">
        <f>IFERROR(VLOOKUP($C33,'Proposed Rates'!$B:$J,Q$11,FALSE),0)</f>
        <v>0</v>
      </c>
      <c r="R33" s="397">
        <f t="shared" si="30"/>
        <v>2400</v>
      </c>
      <c r="S33" s="399">
        <f t="shared" si="31"/>
        <v>0</v>
      </c>
      <c r="T33" s="416"/>
      <c r="U33" s="400">
        <f t="shared" si="9"/>
        <v>0</v>
      </c>
      <c r="V33" s="401" t="str">
        <f t="shared" si="10"/>
        <v/>
      </c>
      <c r="W33" s="52"/>
      <c r="X33" s="413">
        <f>IFERROR(VLOOKUP($C33,'Proposed Rates'!$B:$J,X$11,FALSE),0)</f>
        <v>0</v>
      </c>
      <c r="Y33" s="397">
        <f t="shared" si="32"/>
        <v>2400</v>
      </c>
      <c r="Z33" s="399">
        <f t="shared" si="33"/>
        <v>0</v>
      </c>
      <c r="AA33" s="416"/>
      <c r="AB33" s="400">
        <f t="shared" si="13"/>
        <v>0</v>
      </c>
      <c r="AC33" s="401" t="str">
        <f t="shared" si="14"/>
        <v/>
      </c>
      <c r="AD33" s="52"/>
      <c r="AE33" s="413">
        <f>IFERROR(VLOOKUP($C33,'Proposed Rates'!$B:$J,AE$11,FALSE),0)</f>
        <v>0</v>
      </c>
      <c r="AF33" s="397">
        <f t="shared" si="34"/>
        <v>2400</v>
      </c>
      <c r="AG33" s="399">
        <f t="shared" si="35"/>
        <v>0</v>
      </c>
      <c r="AH33" s="416"/>
      <c r="AI33" s="400">
        <f t="shared" si="17"/>
        <v>0</v>
      </c>
      <c r="AJ33" s="401" t="str">
        <f t="shared" si="18"/>
        <v/>
      </c>
      <c r="AK33" s="52"/>
      <c r="AL33" s="413">
        <f>IFERROR(VLOOKUP($C33,'Proposed Rates'!$B:$J,AL$11,FALSE),0)</f>
        <v>0</v>
      </c>
      <c r="AM33" s="397">
        <f t="shared" si="36"/>
        <v>2400</v>
      </c>
      <c r="AN33" s="399">
        <f t="shared" si="37"/>
        <v>0</v>
      </c>
      <c r="AO33" s="416"/>
      <c r="AP33" s="400">
        <f t="shared" si="21"/>
        <v>0</v>
      </c>
      <c r="AQ33" s="401" t="str">
        <f t="shared" si="22"/>
        <v/>
      </c>
      <c r="AR33" s="402"/>
      <c r="AS33" s="3"/>
      <c r="AT33" s="3"/>
    </row>
    <row r="34" spans="1:46" ht="12" customHeight="1">
      <c r="A34" s="52"/>
      <c r="B34" s="321" t="s">
        <v>273</v>
      </c>
      <c r="C34" s="394" t="str">
        <f t="shared" si="25"/>
        <v>General Service &lt; 50 kW.Low Voltage Service Charge</v>
      </c>
      <c r="D34" s="395" t="s">
        <v>312</v>
      </c>
      <c r="E34" s="321"/>
      <c r="F34" s="417">
        <f>IFERROR(VLOOKUP($C34,'Proposed Rates'!$B:$J,F$11,FALSE),0)</f>
        <v>5.0000000000000002E-5</v>
      </c>
      <c r="G34" s="418">
        <f>$F$10*(1+F$63)</f>
        <v>2481.1200000000003</v>
      </c>
      <c r="H34" s="399">
        <f t="shared" si="27"/>
        <v>0.12405600000000003</v>
      </c>
      <c r="I34" s="132"/>
      <c r="J34" s="417">
        <f>IFERROR(VLOOKUP($C34,'Proposed Rates'!$B:$J,J$11,FALSE),0)</f>
        <v>6.0000000000000002E-5</v>
      </c>
      <c r="K34" s="418">
        <f>$F$10*(1+J$63)</f>
        <v>2479.6799999999998</v>
      </c>
      <c r="L34" s="399">
        <f t="shared" si="29"/>
        <v>0.14878079999999999</v>
      </c>
      <c r="M34" s="132"/>
      <c r="N34" s="400">
        <f t="shared" si="5"/>
        <v>2.4724799999999963E-2</v>
      </c>
      <c r="O34" s="401">
        <f t="shared" si="6"/>
        <v>0.19930354033662184</v>
      </c>
      <c r="P34" s="52"/>
      <c r="Q34" s="417">
        <f>IFERROR(VLOOKUP($C34,'Proposed Rates'!$B:$J,Q$11,FALSE),0)</f>
        <v>6.0000000000000002E-5</v>
      </c>
      <c r="R34" s="418">
        <f>$F$10*(1+Q$63)</f>
        <v>2479.6799999999998</v>
      </c>
      <c r="S34" s="399">
        <f t="shared" si="31"/>
        <v>0.14878079999999999</v>
      </c>
      <c r="T34" s="132"/>
      <c r="U34" s="400">
        <f t="shared" si="9"/>
        <v>0</v>
      </c>
      <c r="V34" s="401">
        <f t="shared" si="10"/>
        <v>0</v>
      </c>
      <c r="W34" s="52"/>
      <c r="X34" s="417">
        <f>IFERROR(VLOOKUP($C34,'Proposed Rates'!$B:$J,X$11,FALSE),0)</f>
        <v>6.0000000000000002E-5</v>
      </c>
      <c r="Y34" s="418">
        <f>$F$10*(1+X$63)</f>
        <v>2479.6799999999998</v>
      </c>
      <c r="Z34" s="399">
        <f t="shared" si="33"/>
        <v>0.14878079999999999</v>
      </c>
      <c r="AA34" s="132"/>
      <c r="AB34" s="400">
        <f t="shared" si="13"/>
        <v>0</v>
      </c>
      <c r="AC34" s="401">
        <f t="shared" si="14"/>
        <v>0</v>
      </c>
      <c r="AD34" s="52"/>
      <c r="AE34" s="508">
        <f>IFERROR(VLOOKUP($C34,'Proposed Rates'!$B:$J,AE$11,FALSE),0)</f>
        <v>6.0000000000000002E-5</v>
      </c>
      <c r="AF34" s="418">
        <f>$F$10*(1+AE$63)</f>
        <v>2479.6799999999998</v>
      </c>
      <c r="AG34" s="509">
        <f t="shared" si="35"/>
        <v>0.14878079999999999</v>
      </c>
      <c r="AH34" s="132"/>
      <c r="AI34" s="400">
        <f t="shared" si="17"/>
        <v>0</v>
      </c>
      <c r="AJ34" s="401">
        <f t="shared" si="18"/>
        <v>0</v>
      </c>
      <c r="AK34" s="52"/>
      <c r="AL34" s="417">
        <f>IFERROR(VLOOKUP($C34,'Proposed Rates'!$B:$J,AL$11,FALSE),0)</f>
        <v>6.0000000000000002E-5</v>
      </c>
      <c r="AM34" s="418">
        <f>$F$10*(1+AL$63)</f>
        <v>2479.6799999999998</v>
      </c>
      <c r="AN34" s="399">
        <f t="shared" si="37"/>
        <v>0.14878079999999999</v>
      </c>
      <c r="AO34" s="132"/>
      <c r="AP34" s="400">
        <f t="shared" si="21"/>
        <v>0</v>
      </c>
      <c r="AQ34" s="401">
        <f t="shared" si="22"/>
        <v>0</v>
      </c>
      <c r="AR34" s="402"/>
      <c r="AS34" s="3"/>
      <c r="AT34" s="3"/>
    </row>
    <row r="35" spans="1:46" ht="12" customHeight="1">
      <c r="A35" s="52"/>
      <c r="B35" s="321" t="s">
        <v>316</v>
      </c>
      <c r="C35" s="394" t="str">
        <f t="shared" si="25"/>
        <v>General Service &lt; 50 kW.Line Losses on Cost of Power</v>
      </c>
      <c r="D35" s="395" t="s">
        <v>312</v>
      </c>
      <c r="E35" s="321"/>
      <c r="F35" s="419">
        <f>'Proposed Rates'!$K$253*F$44+'Proposed Rates'!$K$254*F$45+'Proposed Rates'!$K$255*F$46</f>
        <v>0.12752000000000002</v>
      </c>
      <c r="G35" s="506">
        <f>$F$10*(1+F$63)-$F$10</f>
        <v>81.120000000000346</v>
      </c>
      <c r="H35" s="399">
        <f t="shared" si="27"/>
        <v>10.344422400000045</v>
      </c>
      <c r="I35" s="132"/>
      <c r="J35" s="419">
        <f>'Proposed Rates'!$K$253*J$44+'Proposed Rates'!$K$254*J$45+'Proposed Rates'!$K$255*J$46</f>
        <v>0.12752000000000002</v>
      </c>
      <c r="K35" s="506">
        <f>$F$10*(1+J$63)-$F$10</f>
        <v>79.679999999999836</v>
      </c>
      <c r="L35" s="399">
        <f t="shared" si="29"/>
        <v>10.16079359999998</v>
      </c>
      <c r="M35" s="132"/>
      <c r="N35" s="400">
        <f t="shared" si="5"/>
        <v>-0.18362880000006498</v>
      </c>
      <c r="O35" s="401">
        <f t="shared" si="6"/>
        <v>-1.7751479289947032E-2</v>
      </c>
      <c r="P35" s="52"/>
      <c r="Q35" s="419">
        <f>'Proposed Rates'!$K$253*Q$44+'Proposed Rates'!$K$254*Q$45+'Proposed Rates'!$K$255*Q$46</f>
        <v>0.12752000000000002</v>
      </c>
      <c r="R35" s="506">
        <f>$F$10*(1+Q$63)-$F$10</f>
        <v>79.679999999999836</v>
      </c>
      <c r="S35" s="399">
        <f t="shared" si="31"/>
        <v>10.16079359999998</v>
      </c>
      <c r="T35" s="132"/>
      <c r="U35" s="400">
        <f t="shared" si="9"/>
        <v>0</v>
      </c>
      <c r="V35" s="401">
        <f t="shared" si="10"/>
        <v>0</v>
      </c>
      <c r="W35" s="52"/>
      <c r="X35" s="419">
        <f>'Proposed Rates'!$K$253*X$44+'Proposed Rates'!$K$254*X$45+'Proposed Rates'!$K$255*X$46</f>
        <v>0.12752000000000002</v>
      </c>
      <c r="Y35" s="506">
        <f>$F$10*(1+X$63)-$F$10</f>
        <v>79.679999999999836</v>
      </c>
      <c r="Z35" s="399">
        <f t="shared" si="33"/>
        <v>10.16079359999998</v>
      </c>
      <c r="AA35" s="132"/>
      <c r="AB35" s="400">
        <f t="shared" si="13"/>
        <v>0</v>
      </c>
      <c r="AC35" s="401">
        <f t="shared" si="14"/>
        <v>0</v>
      </c>
      <c r="AD35" s="52"/>
      <c r="AE35" s="419">
        <f>'Proposed Rates'!$K$253*AE$44+'Proposed Rates'!$K$254*AE$45+'Proposed Rates'!$K$255*AE$46</f>
        <v>0.12752000000000002</v>
      </c>
      <c r="AF35" s="506">
        <f>$F$10*(1+AE$63)-$F$10</f>
        <v>79.679999999999836</v>
      </c>
      <c r="AG35" s="509">
        <f t="shared" si="35"/>
        <v>10.16079359999998</v>
      </c>
      <c r="AH35" s="132"/>
      <c r="AI35" s="400">
        <f t="shared" si="17"/>
        <v>0</v>
      </c>
      <c r="AJ35" s="401">
        <f t="shared" si="18"/>
        <v>0</v>
      </c>
      <c r="AK35" s="52"/>
      <c r="AL35" s="419">
        <f>'Proposed Rates'!$K$253*AL$44+'Proposed Rates'!$K$254*AL$45+'Proposed Rates'!$K$255*AL$46</f>
        <v>0.12752000000000002</v>
      </c>
      <c r="AM35" s="506">
        <f>$F$10*(1+AL$63)-$F$10</f>
        <v>79.679999999999836</v>
      </c>
      <c r="AN35" s="399">
        <f t="shared" si="37"/>
        <v>10.16079359999998</v>
      </c>
      <c r="AO35" s="132"/>
      <c r="AP35" s="400">
        <f t="shared" si="21"/>
        <v>0</v>
      </c>
      <c r="AQ35" s="401">
        <f t="shared" si="22"/>
        <v>0</v>
      </c>
      <c r="AR35" s="402"/>
      <c r="AS35" s="3"/>
      <c r="AT35" s="3"/>
    </row>
    <row r="36" spans="1:46" ht="12" customHeight="1">
      <c r="A36" s="52"/>
      <c r="B36" s="321" t="s">
        <v>275</v>
      </c>
      <c r="C36" s="394" t="str">
        <f t="shared" si="25"/>
        <v>General Service &lt; 50 kW.Smart Meter Entity Charge</v>
      </c>
      <c r="D36" s="395" t="s">
        <v>310</v>
      </c>
      <c r="E36" s="321"/>
      <c r="F36" s="396">
        <f>IFERROR(VLOOKUP($C36,'Proposed Rates'!$B:$J,F$11,FALSE),0)</f>
        <v>0.42</v>
      </c>
      <c r="G36" s="397">
        <f>IF($D36="Monthly",1,IF($D36="per KWH",$F$10,0))</f>
        <v>1</v>
      </c>
      <c r="H36" s="399">
        <f t="shared" si="27"/>
        <v>0.42</v>
      </c>
      <c r="I36" s="132"/>
      <c r="J36" s="396">
        <f>IFERROR(VLOOKUP($C36,'Proposed Rates'!$B:$J,J$11,FALSE),0)</f>
        <v>0.42</v>
      </c>
      <c r="K36" s="397">
        <f>IF($D36="Monthly",1,IF($D36="per KWH",$F$10,0))</f>
        <v>1</v>
      </c>
      <c r="L36" s="399">
        <f t="shared" si="29"/>
        <v>0.42</v>
      </c>
      <c r="M36" s="132"/>
      <c r="N36" s="400">
        <f t="shared" si="5"/>
        <v>0</v>
      </c>
      <c r="O36" s="401">
        <f t="shared" si="6"/>
        <v>0</v>
      </c>
      <c r="P36" s="52"/>
      <c r="Q36" s="396">
        <f>IFERROR(VLOOKUP($C36,'Proposed Rates'!$B:$J,Q$11,FALSE),0)</f>
        <v>0.42</v>
      </c>
      <c r="R36" s="397">
        <f>IF($D36="Monthly",1,IF($D36="per KWH",$F$10,0))</f>
        <v>1</v>
      </c>
      <c r="S36" s="399">
        <f t="shared" si="31"/>
        <v>0.42</v>
      </c>
      <c r="T36" s="132"/>
      <c r="U36" s="400">
        <f t="shared" si="9"/>
        <v>0</v>
      </c>
      <c r="V36" s="401">
        <f t="shared" si="10"/>
        <v>0</v>
      </c>
      <c r="W36" s="52"/>
      <c r="X36" s="396">
        <f>IFERROR(VLOOKUP($C36,'Proposed Rates'!$B:$J,X$11,FALSE),0)</f>
        <v>0.43</v>
      </c>
      <c r="Y36" s="397">
        <f>IF($D36="Monthly",1,IF($D36="per KWH",$F$10,0))</f>
        <v>1</v>
      </c>
      <c r="Z36" s="399">
        <f t="shared" si="33"/>
        <v>0.43</v>
      </c>
      <c r="AA36" s="132"/>
      <c r="AB36" s="400">
        <f t="shared" si="13"/>
        <v>1.0000000000000009E-2</v>
      </c>
      <c r="AC36" s="401">
        <f t="shared" si="14"/>
        <v>2.3809523809523832E-2</v>
      </c>
      <c r="AD36" s="52"/>
      <c r="AE36" s="396">
        <f>IFERROR(VLOOKUP($C36,'Proposed Rates'!$B:$J,AE$11,FALSE),0)</f>
        <v>0.44</v>
      </c>
      <c r="AF36" s="397">
        <f>IF($D36="Monthly",1,IF($D36="per KWH",$F$10,0))</f>
        <v>1</v>
      </c>
      <c r="AG36" s="509">
        <f t="shared" si="35"/>
        <v>0.44</v>
      </c>
      <c r="AH36" s="132"/>
      <c r="AI36" s="400">
        <f t="shared" si="17"/>
        <v>1.0000000000000009E-2</v>
      </c>
      <c r="AJ36" s="401">
        <f t="shared" si="18"/>
        <v>2.3255813953488393E-2</v>
      </c>
      <c r="AK36" s="52"/>
      <c r="AL36" s="396">
        <f>IFERROR(VLOOKUP($C36,'Proposed Rates'!$B:$J,AL$11,FALSE),0)</f>
        <v>0.45</v>
      </c>
      <c r="AM36" s="397">
        <f>IF($D36="Monthly",1,IF($D36="per KWH",$F$10,0))</f>
        <v>1</v>
      </c>
      <c r="AN36" s="399">
        <f t="shared" si="37"/>
        <v>0.45</v>
      </c>
      <c r="AO36" s="132"/>
      <c r="AP36" s="400">
        <f t="shared" si="21"/>
        <v>1.0000000000000009E-2</v>
      </c>
      <c r="AQ36" s="401">
        <f t="shared" si="22"/>
        <v>2.2727272727272749E-2</v>
      </c>
      <c r="AR36" s="402"/>
      <c r="AS36" s="3"/>
      <c r="AT36" s="3"/>
    </row>
    <row r="37" spans="1:46" ht="12" customHeight="1">
      <c r="A37" s="52"/>
      <c r="B37" s="404" t="s">
        <v>317</v>
      </c>
      <c r="C37" s="421"/>
      <c r="D37" s="421"/>
      <c r="E37" s="421"/>
      <c r="F37" s="422"/>
      <c r="G37" s="500"/>
      <c r="H37" s="408">
        <f>SUM(H30:H36)+H29</f>
        <v>109.77847840000005</v>
      </c>
      <c r="I37" s="424"/>
      <c r="J37" s="422"/>
      <c r="K37" s="500"/>
      <c r="L37" s="501">
        <f>SUM(L30:L36)+L29</f>
        <v>121.14957439999998</v>
      </c>
      <c r="M37" s="424"/>
      <c r="N37" s="410">
        <f t="shared" si="5"/>
        <v>11.371095999999923</v>
      </c>
      <c r="O37" s="411">
        <f t="shared" si="6"/>
        <v>0.10358219721872113</v>
      </c>
      <c r="P37" s="52"/>
      <c r="Q37" s="422"/>
      <c r="R37" s="500"/>
      <c r="S37" s="408">
        <f>SUM(S30:S36)+S29</f>
        <v>127.69957439999997</v>
      </c>
      <c r="T37" s="424"/>
      <c r="U37" s="410">
        <f t="shared" si="9"/>
        <v>6.5499999999999972</v>
      </c>
      <c r="V37" s="411">
        <f t="shared" si="10"/>
        <v>5.4065398351081609E-2</v>
      </c>
      <c r="W37" s="52"/>
      <c r="X37" s="422"/>
      <c r="Y37" s="500"/>
      <c r="Z37" s="408">
        <f>SUM(Z30:Z36)+Z29</f>
        <v>135.34957439999999</v>
      </c>
      <c r="AA37" s="424"/>
      <c r="AB37" s="410">
        <f t="shared" si="13"/>
        <v>7.6500000000000199</v>
      </c>
      <c r="AC37" s="411">
        <f t="shared" si="14"/>
        <v>5.9906229413400625E-2</v>
      </c>
      <c r="AD37" s="52"/>
      <c r="AE37" s="422"/>
      <c r="AF37" s="500"/>
      <c r="AG37" s="408">
        <f>SUM(AG30:AG36)+AG29</f>
        <v>137.60957439999999</v>
      </c>
      <c r="AH37" s="424"/>
      <c r="AI37" s="410">
        <f t="shared" si="17"/>
        <v>2.2599999999999909</v>
      </c>
      <c r="AJ37" s="411">
        <f t="shared" si="18"/>
        <v>1.6697503557129699E-2</v>
      </c>
      <c r="AK37" s="52"/>
      <c r="AL37" s="422"/>
      <c r="AM37" s="500"/>
      <c r="AN37" s="408">
        <f>SUM(AN30:AN36)+AN29</f>
        <v>139.4995744</v>
      </c>
      <c r="AO37" s="424"/>
      <c r="AP37" s="410">
        <f t="shared" si="21"/>
        <v>1.8900000000000148</v>
      </c>
      <c r="AQ37" s="411">
        <f t="shared" si="22"/>
        <v>1.3734509449947219E-2</v>
      </c>
      <c r="AR37" s="412"/>
      <c r="AS37" s="3"/>
      <c r="AT37" s="3"/>
    </row>
    <row r="38" spans="1:46" ht="12" customHeight="1">
      <c r="A38" s="52"/>
      <c r="B38" s="132" t="s">
        <v>258</v>
      </c>
      <c r="C38" s="394" t="str">
        <f t="shared" ref="C38:C39" si="38">D$6&amp;"."&amp;B38</f>
        <v>General Service &lt; 50 kW.RTSR - Network</v>
      </c>
      <c r="D38" s="425" t="s">
        <v>312</v>
      </c>
      <c r="E38" s="132"/>
      <c r="F38" s="413">
        <f>IFERROR(VLOOKUP($C38,'Proposed Rates'!$B:$J,F$11,FALSE),0)</f>
        <v>1.18E-2</v>
      </c>
      <c r="G38" s="507">
        <f t="shared" ref="G38:G39" si="39">$F$10*(1+F$63)</f>
        <v>2481.1200000000003</v>
      </c>
      <c r="H38" s="399">
        <f t="shared" ref="H38:H39" si="40">G38*F38</f>
        <v>29.277216000000003</v>
      </c>
      <c r="I38" s="132"/>
      <c r="J38" s="413">
        <f>IFERROR(VLOOKUP($C38,'Proposed Rates'!$B:$J,J$11,FALSE),0)</f>
        <v>1.0699999999999999E-2</v>
      </c>
      <c r="K38" s="507">
        <f t="shared" ref="K38:K39" si="41">$F$10*(1+J$63)</f>
        <v>2479.6799999999998</v>
      </c>
      <c r="L38" s="399">
        <f t="shared" ref="L38:L39" si="42">K38*J38</f>
        <v>26.532575999999995</v>
      </c>
      <c r="M38" s="132"/>
      <c r="N38" s="400">
        <f t="shared" si="5"/>
        <v>-2.7446400000000075</v>
      </c>
      <c r="O38" s="401">
        <f t="shared" si="6"/>
        <v>-9.374661853094253E-2</v>
      </c>
      <c r="P38" s="52"/>
      <c r="Q38" s="413">
        <f>IFERROR(VLOOKUP($C38,'Proposed Rates'!$B:$J,Q$11,FALSE),0)</f>
        <v>1.0699999999999999E-2</v>
      </c>
      <c r="R38" s="507">
        <f t="shared" ref="R38:R39" si="43">$F$10*(1+Q$63)</f>
        <v>2479.6799999999998</v>
      </c>
      <c r="S38" s="399">
        <f t="shared" ref="S38:S39" si="44">R38*Q38</f>
        <v>26.532575999999995</v>
      </c>
      <c r="T38" s="132"/>
      <c r="U38" s="400">
        <f t="shared" si="9"/>
        <v>0</v>
      </c>
      <c r="V38" s="401">
        <f t="shared" si="10"/>
        <v>0</v>
      </c>
      <c r="W38" s="52"/>
      <c r="X38" s="413">
        <f>IFERROR(VLOOKUP($C38,'Proposed Rates'!$B:$J,X$11,FALSE),0)</f>
        <v>1.0699999999999999E-2</v>
      </c>
      <c r="Y38" s="507">
        <f t="shared" ref="Y38:Y39" si="45">$F$10*(1+X$63)</f>
        <v>2479.6799999999998</v>
      </c>
      <c r="Z38" s="399">
        <f t="shared" ref="Z38:Z39" si="46">Y38*X38</f>
        <v>26.532575999999995</v>
      </c>
      <c r="AA38" s="132"/>
      <c r="AB38" s="400">
        <f t="shared" si="13"/>
        <v>0</v>
      </c>
      <c r="AC38" s="401">
        <f t="shared" si="14"/>
        <v>0</v>
      </c>
      <c r="AD38" s="52"/>
      <c r="AE38" s="413">
        <f>IFERROR(VLOOKUP($C38,'Proposed Rates'!$B:$J,AE$11,FALSE),0)</f>
        <v>1.0699999999999999E-2</v>
      </c>
      <c r="AF38" s="507">
        <f t="shared" ref="AF38:AF39" si="47">$F$10*(1+AE$63)</f>
        <v>2479.6799999999998</v>
      </c>
      <c r="AG38" s="399">
        <f t="shared" ref="AG38:AG39" si="48">AF38*AE38</f>
        <v>26.532575999999995</v>
      </c>
      <c r="AH38" s="132"/>
      <c r="AI38" s="400">
        <f t="shared" si="17"/>
        <v>0</v>
      </c>
      <c r="AJ38" s="401">
        <f t="shared" si="18"/>
        <v>0</v>
      </c>
      <c r="AK38" s="52"/>
      <c r="AL38" s="413">
        <f>IFERROR(VLOOKUP($C38,'Proposed Rates'!$B:$J,AL$11,FALSE),0)</f>
        <v>1.0699999999999999E-2</v>
      </c>
      <c r="AM38" s="507">
        <f t="shared" ref="AM38:AM39" si="49">$F$10*(1+AL$63)</f>
        <v>2479.6799999999998</v>
      </c>
      <c r="AN38" s="399">
        <f t="shared" ref="AN38:AN39" si="50">AM38*AL38</f>
        <v>26.532575999999995</v>
      </c>
      <c r="AO38" s="132"/>
      <c r="AP38" s="400">
        <f t="shared" si="21"/>
        <v>0</v>
      </c>
      <c r="AQ38" s="401">
        <f t="shared" si="22"/>
        <v>0</v>
      </c>
      <c r="AR38" s="402"/>
      <c r="AS38" s="3"/>
      <c r="AT38" s="3"/>
    </row>
    <row r="39" spans="1:46" ht="12" customHeight="1">
      <c r="A39" s="52"/>
      <c r="B39" s="132" t="s">
        <v>261</v>
      </c>
      <c r="C39" s="394" t="str">
        <f t="shared" si="38"/>
        <v>General Service &lt; 50 kW.RTSR - Line and Transformation Connection</v>
      </c>
      <c r="D39" s="425" t="s">
        <v>312</v>
      </c>
      <c r="E39" s="132"/>
      <c r="F39" s="413">
        <f>IFERROR(VLOOKUP($C39,'Proposed Rates'!$B:$J,F$11,FALSE),0)</f>
        <v>7.0000000000000001E-3</v>
      </c>
      <c r="G39" s="507">
        <f t="shared" si="39"/>
        <v>2481.1200000000003</v>
      </c>
      <c r="H39" s="399">
        <f t="shared" si="40"/>
        <v>17.367840000000001</v>
      </c>
      <c r="I39" s="132"/>
      <c r="J39" s="413">
        <f>IFERROR(VLOOKUP($C39,'Proposed Rates'!$B:$J,J$11,FALSE),0)</f>
        <v>6.1000000000000004E-3</v>
      </c>
      <c r="K39" s="507">
        <f t="shared" si="41"/>
        <v>2479.6799999999998</v>
      </c>
      <c r="L39" s="399">
        <f t="shared" si="42"/>
        <v>15.126048000000001</v>
      </c>
      <c r="M39" s="132"/>
      <c r="N39" s="400">
        <f t="shared" si="5"/>
        <v>-2.2417920000000002</v>
      </c>
      <c r="O39" s="401">
        <f t="shared" si="6"/>
        <v>-0.12907719094602438</v>
      </c>
      <c r="P39" s="52"/>
      <c r="Q39" s="413">
        <f>IFERROR(VLOOKUP($C39,'Proposed Rates'!$B:$J,Q$11,FALSE),0)</f>
        <v>6.1000000000000004E-3</v>
      </c>
      <c r="R39" s="507">
        <f t="shared" si="43"/>
        <v>2479.6799999999998</v>
      </c>
      <c r="S39" s="399">
        <f t="shared" si="44"/>
        <v>15.126048000000001</v>
      </c>
      <c r="T39" s="132"/>
      <c r="U39" s="400">
        <f t="shared" si="9"/>
        <v>0</v>
      </c>
      <c r="V39" s="401">
        <f t="shared" si="10"/>
        <v>0</v>
      </c>
      <c r="W39" s="52"/>
      <c r="X39" s="413">
        <f>IFERROR(VLOOKUP($C39,'Proposed Rates'!$B:$J,X$11,FALSE),0)</f>
        <v>6.1000000000000004E-3</v>
      </c>
      <c r="Y39" s="507">
        <f t="shared" si="45"/>
        <v>2479.6799999999998</v>
      </c>
      <c r="Z39" s="399">
        <f t="shared" si="46"/>
        <v>15.126048000000001</v>
      </c>
      <c r="AA39" s="132"/>
      <c r="AB39" s="400">
        <f t="shared" si="13"/>
        <v>0</v>
      </c>
      <c r="AC39" s="401">
        <f t="shared" si="14"/>
        <v>0</v>
      </c>
      <c r="AD39" s="52"/>
      <c r="AE39" s="413">
        <f>IFERROR(VLOOKUP($C39,'Proposed Rates'!$B:$J,AE$11,FALSE),0)</f>
        <v>6.1000000000000004E-3</v>
      </c>
      <c r="AF39" s="507">
        <f t="shared" si="47"/>
        <v>2479.6799999999998</v>
      </c>
      <c r="AG39" s="399">
        <f t="shared" si="48"/>
        <v>15.126048000000001</v>
      </c>
      <c r="AH39" s="132"/>
      <c r="AI39" s="400">
        <f t="shared" si="17"/>
        <v>0</v>
      </c>
      <c r="AJ39" s="401">
        <f t="shared" si="18"/>
        <v>0</v>
      </c>
      <c r="AK39" s="52"/>
      <c r="AL39" s="413">
        <f>IFERROR(VLOOKUP($C39,'Proposed Rates'!$B:$J,AL$11,FALSE),0)</f>
        <v>6.1000000000000004E-3</v>
      </c>
      <c r="AM39" s="507">
        <f t="shared" si="49"/>
        <v>2479.6799999999998</v>
      </c>
      <c r="AN39" s="399">
        <f t="shared" si="50"/>
        <v>15.126048000000001</v>
      </c>
      <c r="AO39" s="132"/>
      <c r="AP39" s="400">
        <f t="shared" si="21"/>
        <v>0</v>
      </c>
      <c r="AQ39" s="401">
        <f t="shared" si="22"/>
        <v>0</v>
      </c>
      <c r="AR39" s="402"/>
      <c r="AS39" s="3"/>
      <c r="AT39" s="3"/>
    </row>
    <row r="40" spans="1:46" ht="12" customHeight="1">
      <c r="A40" s="52"/>
      <c r="B40" s="404" t="s">
        <v>318</v>
      </c>
      <c r="C40" s="426"/>
      <c r="D40" s="426"/>
      <c r="E40" s="426"/>
      <c r="F40" s="427"/>
      <c r="G40" s="500"/>
      <c r="H40" s="408">
        <f>SUM(H37:H39)</f>
        <v>156.42353440000005</v>
      </c>
      <c r="I40" s="409"/>
      <c r="J40" s="427"/>
      <c r="K40" s="500"/>
      <c r="L40" s="501">
        <f>SUM(L37:L39)</f>
        <v>162.80819839999998</v>
      </c>
      <c r="M40" s="409"/>
      <c r="N40" s="410">
        <f t="shared" si="5"/>
        <v>6.3846639999999297</v>
      </c>
      <c r="O40" s="411">
        <f t="shared" si="6"/>
        <v>4.0816517952300707E-2</v>
      </c>
      <c r="P40" s="52"/>
      <c r="Q40" s="427"/>
      <c r="R40" s="500"/>
      <c r="S40" s="408">
        <f>SUM(S37:S39)</f>
        <v>169.35819839999996</v>
      </c>
      <c r="T40" s="409"/>
      <c r="U40" s="410">
        <f t="shared" si="9"/>
        <v>6.5499999999999829</v>
      </c>
      <c r="V40" s="411">
        <f t="shared" si="10"/>
        <v>4.0231389232054687E-2</v>
      </c>
      <c r="W40" s="52"/>
      <c r="X40" s="427"/>
      <c r="Y40" s="500"/>
      <c r="Z40" s="408">
        <f>SUM(Z37:Z39)</f>
        <v>177.0081984</v>
      </c>
      <c r="AA40" s="409"/>
      <c r="AB40" s="410">
        <f t="shared" si="13"/>
        <v>7.6500000000000341</v>
      </c>
      <c r="AC40" s="411">
        <f t="shared" si="14"/>
        <v>4.5170532470662113E-2</v>
      </c>
      <c r="AD40" s="52"/>
      <c r="AE40" s="427"/>
      <c r="AF40" s="500"/>
      <c r="AG40" s="408">
        <f>SUM(AG37:AG39)</f>
        <v>179.26819839999999</v>
      </c>
      <c r="AH40" s="409"/>
      <c r="AI40" s="410">
        <f t="shared" si="17"/>
        <v>2.2599999999999909</v>
      </c>
      <c r="AJ40" s="411">
        <f t="shared" si="18"/>
        <v>1.2767770196117599E-2</v>
      </c>
      <c r="AK40" s="52"/>
      <c r="AL40" s="427"/>
      <c r="AM40" s="500"/>
      <c r="AN40" s="408">
        <f>SUM(AN37:AN39)</f>
        <v>181.1581984</v>
      </c>
      <c r="AO40" s="409"/>
      <c r="AP40" s="410">
        <f t="shared" si="21"/>
        <v>1.8900000000000148</v>
      </c>
      <c r="AQ40" s="411">
        <f t="shared" si="22"/>
        <v>1.0542862687685799E-2</v>
      </c>
      <c r="AR40" s="412"/>
      <c r="AS40" s="3"/>
      <c r="AT40" s="3"/>
    </row>
    <row r="41" spans="1:46" ht="12" customHeight="1">
      <c r="A41" s="52"/>
      <c r="B41" s="321" t="s">
        <v>262</v>
      </c>
      <c r="C41" s="394" t="str">
        <f t="shared" ref="C41:C48" si="51">D$6&amp;"."&amp;B41</f>
        <v>General Service &lt; 50 kW.Wholesale Market Service Charge (WMSC)</v>
      </c>
      <c r="D41" s="395" t="s">
        <v>312</v>
      </c>
      <c r="E41" s="321"/>
      <c r="F41" s="413">
        <f>IFERROR(VLOOKUP($C41,'Proposed Rates'!$B:$J,F$11,FALSE),0)</f>
        <v>4.4999999999999997E-3</v>
      </c>
      <c r="G41" s="507">
        <f t="shared" ref="G41:G42" si="52">$F$10*(1+F$63)</f>
        <v>2481.1200000000003</v>
      </c>
      <c r="H41" s="399">
        <f t="shared" ref="H41:H48" si="53">G41*F41</f>
        <v>11.165040000000001</v>
      </c>
      <c r="I41" s="132"/>
      <c r="J41" s="413">
        <f>IFERROR(VLOOKUP($C41,'Proposed Rates'!$B:$J,J$11,FALSE),0)</f>
        <v>4.7000000000000002E-3</v>
      </c>
      <c r="K41" s="507">
        <f t="shared" ref="K41:K42" si="54">$F$10*(1+J$63)</f>
        <v>2479.6799999999998</v>
      </c>
      <c r="L41" s="399">
        <f t="shared" ref="L41:L48" si="55">K41*J41</f>
        <v>11.654496</v>
      </c>
      <c r="M41" s="132"/>
      <c r="N41" s="400">
        <f t="shared" si="5"/>
        <v>0.48945599999999878</v>
      </c>
      <c r="O41" s="401">
        <f t="shared" si="6"/>
        <v>4.3838266589282145E-2</v>
      </c>
      <c r="P41" s="52"/>
      <c r="Q41" s="413">
        <f>IFERROR(VLOOKUP($C41,'Proposed Rates'!$B:$J,Q$11,FALSE),0)</f>
        <v>4.7000000000000002E-3</v>
      </c>
      <c r="R41" s="507">
        <f t="shared" ref="R41:R42" si="56">$F$10*(1+Q$63)</f>
        <v>2479.6799999999998</v>
      </c>
      <c r="S41" s="399">
        <f t="shared" ref="S41:S48" si="57">R41*Q41</f>
        <v>11.654496</v>
      </c>
      <c r="T41" s="132"/>
      <c r="U41" s="400">
        <f t="shared" si="9"/>
        <v>0</v>
      </c>
      <c r="V41" s="401">
        <f t="shared" si="10"/>
        <v>0</v>
      </c>
      <c r="W41" s="52"/>
      <c r="X41" s="413">
        <f>IFERROR(VLOOKUP($C41,'Proposed Rates'!$B:$J,X$11,FALSE),0)</f>
        <v>4.7000000000000002E-3</v>
      </c>
      <c r="Y41" s="507">
        <f t="shared" ref="Y41:Y42" si="58">$F$10*(1+X$63)</f>
        <v>2479.6799999999998</v>
      </c>
      <c r="Z41" s="399">
        <f t="shared" ref="Z41:Z48" si="59">Y41*X41</f>
        <v>11.654496</v>
      </c>
      <c r="AA41" s="132"/>
      <c r="AB41" s="400">
        <f t="shared" si="13"/>
        <v>0</v>
      </c>
      <c r="AC41" s="401">
        <f t="shared" si="14"/>
        <v>0</v>
      </c>
      <c r="AD41" s="52"/>
      <c r="AE41" s="413">
        <f>IFERROR(VLOOKUP($C41,'Proposed Rates'!$B:$J,AE$11,FALSE),0)</f>
        <v>4.7000000000000002E-3</v>
      </c>
      <c r="AF41" s="507">
        <f t="shared" ref="AF41:AF42" si="60">$F$10*(1+AE$63)</f>
        <v>2479.6799999999998</v>
      </c>
      <c r="AG41" s="399">
        <f t="shared" ref="AG41:AG48" si="61">AF41*AE41</f>
        <v>11.654496</v>
      </c>
      <c r="AH41" s="132"/>
      <c r="AI41" s="400">
        <f t="shared" si="17"/>
        <v>0</v>
      </c>
      <c r="AJ41" s="401">
        <f t="shared" si="18"/>
        <v>0</v>
      </c>
      <c r="AK41" s="52"/>
      <c r="AL41" s="413">
        <f>IFERROR(VLOOKUP($C41,'Proposed Rates'!$B:$J,AL$11,FALSE),0)</f>
        <v>4.7000000000000002E-3</v>
      </c>
      <c r="AM41" s="507">
        <f t="shared" ref="AM41:AM42" si="62">$F$10*(1+AL$63)</f>
        <v>2479.6799999999998</v>
      </c>
      <c r="AN41" s="399">
        <f t="shared" ref="AN41:AN48" si="63">AM41*AL41</f>
        <v>11.654496</v>
      </c>
      <c r="AO41" s="132"/>
      <c r="AP41" s="400">
        <f t="shared" si="21"/>
        <v>0</v>
      </c>
      <c r="AQ41" s="401">
        <f t="shared" si="22"/>
        <v>0</v>
      </c>
      <c r="AR41" s="402"/>
      <c r="AS41" s="3"/>
      <c r="AT41" s="3"/>
    </row>
    <row r="42" spans="1:46" ht="12" customHeight="1">
      <c r="A42" s="52"/>
      <c r="B42" s="321" t="s">
        <v>263</v>
      </c>
      <c r="C42" s="394" t="str">
        <f t="shared" si="51"/>
        <v>General Service &lt; 50 kW.Rural and Remote Rate Protection (RRRP)</v>
      </c>
      <c r="D42" s="395" t="s">
        <v>312</v>
      </c>
      <c r="E42" s="321"/>
      <c r="F42" s="413">
        <f>IFERROR(VLOOKUP($C42,'Proposed Rates'!$B:$J,F$11,FALSE),0)</f>
        <v>1.5E-3</v>
      </c>
      <c r="G42" s="507">
        <f t="shared" si="52"/>
        <v>2481.1200000000003</v>
      </c>
      <c r="H42" s="399">
        <f t="shared" si="53"/>
        <v>3.7216800000000005</v>
      </c>
      <c r="I42" s="132"/>
      <c r="J42" s="413">
        <f>IFERROR(VLOOKUP($C42,'Proposed Rates'!$B:$J,J$11,FALSE),0)</f>
        <v>5.9999999999999995E-4</v>
      </c>
      <c r="K42" s="507">
        <f t="shared" si="54"/>
        <v>2479.6799999999998</v>
      </c>
      <c r="L42" s="399">
        <f t="shared" si="55"/>
        <v>1.4878079999999998</v>
      </c>
      <c r="M42" s="132"/>
      <c r="N42" s="400">
        <f t="shared" si="5"/>
        <v>-2.2338720000000007</v>
      </c>
      <c r="O42" s="401">
        <f t="shared" si="6"/>
        <v>-0.60023215322112611</v>
      </c>
      <c r="P42" s="52"/>
      <c r="Q42" s="413">
        <f>IFERROR(VLOOKUP($C42,'Proposed Rates'!$B:$J,Q$11,FALSE),0)</f>
        <v>5.9999999999999995E-4</v>
      </c>
      <c r="R42" s="507">
        <f t="shared" si="56"/>
        <v>2479.6799999999998</v>
      </c>
      <c r="S42" s="399">
        <f t="shared" si="57"/>
        <v>1.4878079999999998</v>
      </c>
      <c r="T42" s="132"/>
      <c r="U42" s="400">
        <f t="shared" si="9"/>
        <v>0</v>
      </c>
      <c r="V42" s="401">
        <f t="shared" si="10"/>
        <v>0</v>
      </c>
      <c r="W42" s="52"/>
      <c r="X42" s="413">
        <f>IFERROR(VLOOKUP($C42,'Proposed Rates'!$B:$J,X$11,FALSE),0)</f>
        <v>5.9999999999999995E-4</v>
      </c>
      <c r="Y42" s="507">
        <f t="shared" si="58"/>
        <v>2479.6799999999998</v>
      </c>
      <c r="Z42" s="399">
        <f t="shared" si="59"/>
        <v>1.4878079999999998</v>
      </c>
      <c r="AA42" s="132"/>
      <c r="AB42" s="400">
        <f t="shared" si="13"/>
        <v>0</v>
      </c>
      <c r="AC42" s="401">
        <f t="shared" si="14"/>
        <v>0</v>
      </c>
      <c r="AD42" s="52"/>
      <c r="AE42" s="413">
        <f>IFERROR(VLOOKUP($C42,'Proposed Rates'!$B:$J,AE$11,FALSE),0)</f>
        <v>5.9999999999999995E-4</v>
      </c>
      <c r="AF42" s="507">
        <f t="shared" si="60"/>
        <v>2479.6799999999998</v>
      </c>
      <c r="AG42" s="399">
        <f t="shared" si="61"/>
        <v>1.4878079999999998</v>
      </c>
      <c r="AH42" s="132"/>
      <c r="AI42" s="400">
        <f t="shared" si="17"/>
        <v>0</v>
      </c>
      <c r="AJ42" s="401">
        <f t="shared" si="18"/>
        <v>0</v>
      </c>
      <c r="AK42" s="52"/>
      <c r="AL42" s="413">
        <f>IFERROR(VLOOKUP($C42,'Proposed Rates'!$B:$J,AL$11,FALSE),0)</f>
        <v>5.9999999999999995E-4</v>
      </c>
      <c r="AM42" s="507">
        <f t="shared" si="62"/>
        <v>2479.6799999999998</v>
      </c>
      <c r="AN42" s="399">
        <f t="shared" si="63"/>
        <v>1.4878079999999998</v>
      </c>
      <c r="AO42" s="132"/>
      <c r="AP42" s="400">
        <f t="shared" si="21"/>
        <v>0</v>
      </c>
      <c r="AQ42" s="401">
        <f t="shared" si="22"/>
        <v>0</v>
      </c>
      <c r="AR42" s="402"/>
      <c r="AS42" s="3"/>
      <c r="AT42" s="3"/>
    </row>
    <row r="43" spans="1:46" ht="12" customHeight="1">
      <c r="A43" s="52"/>
      <c r="B43" s="321" t="s">
        <v>264</v>
      </c>
      <c r="C43" s="394" t="str">
        <f t="shared" si="51"/>
        <v>General Service &lt; 50 kW.Standard Supply Service Charge</v>
      </c>
      <c r="D43" s="395" t="s">
        <v>310</v>
      </c>
      <c r="E43" s="321"/>
      <c r="F43" s="396">
        <f>IFERROR(VLOOKUP($C43,'Proposed Rates'!$B:$J,F$11,FALSE),0)</f>
        <v>0.25</v>
      </c>
      <c r="G43" s="397">
        <f>IF($D43="Monthly",1,IF($D43="per KWH",$F$10,0))</f>
        <v>1</v>
      </c>
      <c r="H43" s="399">
        <f t="shared" si="53"/>
        <v>0.25</v>
      </c>
      <c r="I43" s="132"/>
      <c r="J43" s="396">
        <f>IFERROR(VLOOKUP($C43,'Proposed Rates'!$B:$J,J$11,FALSE),0)</f>
        <v>0.25</v>
      </c>
      <c r="K43" s="397">
        <f>IF($D43="Monthly",1,IF($D43="per KWH",$F$10,0))</f>
        <v>1</v>
      </c>
      <c r="L43" s="399">
        <f t="shared" si="55"/>
        <v>0.25</v>
      </c>
      <c r="M43" s="132"/>
      <c r="N43" s="400">
        <f t="shared" si="5"/>
        <v>0</v>
      </c>
      <c r="O43" s="401">
        <f t="shared" si="6"/>
        <v>0</v>
      </c>
      <c r="P43" s="52"/>
      <c r="Q43" s="396">
        <f>IFERROR(VLOOKUP($C43,'Proposed Rates'!$B:$J,Q$11,FALSE),0)</f>
        <v>0.25</v>
      </c>
      <c r="R43" s="397">
        <f>IF($D43="Monthly",1,IF($D43="per KWH",$F$10,0))</f>
        <v>1</v>
      </c>
      <c r="S43" s="399">
        <f t="shared" si="57"/>
        <v>0.25</v>
      </c>
      <c r="T43" s="132"/>
      <c r="U43" s="400">
        <f t="shared" si="9"/>
        <v>0</v>
      </c>
      <c r="V43" s="401">
        <f t="shared" si="10"/>
        <v>0</v>
      </c>
      <c r="W43" s="52"/>
      <c r="X43" s="396">
        <f>IFERROR(VLOOKUP($C43,'Proposed Rates'!$B:$J,X$11,FALSE),0)</f>
        <v>0.25</v>
      </c>
      <c r="Y43" s="397">
        <f>IF($D43="Monthly",1,IF($D43="per KWH",$F$10,0))</f>
        <v>1</v>
      </c>
      <c r="Z43" s="399">
        <f t="shared" si="59"/>
        <v>0.25</v>
      </c>
      <c r="AA43" s="132"/>
      <c r="AB43" s="400">
        <f t="shared" si="13"/>
        <v>0</v>
      </c>
      <c r="AC43" s="401">
        <f t="shared" si="14"/>
        <v>0</v>
      </c>
      <c r="AD43" s="52"/>
      <c r="AE43" s="396">
        <f>IFERROR(VLOOKUP($C43,'Proposed Rates'!$B:$J,AE$11,FALSE),0)</f>
        <v>0.25</v>
      </c>
      <c r="AF43" s="397">
        <f>IF($D43="Monthly",1,IF($D43="per KWH",$F$10,0))</f>
        <v>1</v>
      </c>
      <c r="AG43" s="399">
        <f t="shared" si="61"/>
        <v>0.25</v>
      </c>
      <c r="AH43" s="132"/>
      <c r="AI43" s="400">
        <f t="shared" si="17"/>
        <v>0</v>
      </c>
      <c r="AJ43" s="401">
        <f t="shared" si="18"/>
        <v>0</v>
      </c>
      <c r="AK43" s="52"/>
      <c r="AL43" s="396">
        <f>IFERROR(VLOOKUP($C43,'Proposed Rates'!$B:$J,AL$11,FALSE),0)</f>
        <v>0.25</v>
      </c>
      <c r="AM43" s="397">
        <f>IF($D43="Monthly",1,IF($D43="per KWH",$F$10,0))</f>
        <v>1</v>
      </c>
      <c r="AN43" s="399">
        <f t="shared" si="63"/>
        <v>0.25</v>
      </c>
      <c r="AO43" s="132"/>
      <c r="AP43" s="400">
        <f t="shared" si="21"/>
        <v>0</v>
      </c>
      <c r="AQ43" s="401">
        <f t="shared" si="22"/>
        <v>0</v>
      </c>
      <c r="AR43" s="402"/>
      <c r="AS43" s="3"/>
      <c r="AT43" s="3"/>
    </row>
    <row r="44" spans="1:46" ht="12" customHeight="1">
      <c r="A44" s="52"/>
      <c r="B44" s="321" t="s">
        <v>266</v>
      </c>
      <c r="C44" s="394" t="str">
        <f t="shared" si="51"/>
        <v>General Service &lt; 50 kW.TOU - Off Peak</v>
      </c>
      <c r="D44" s="395" t="s">
        <v>312</v>
      </c>
      <c r="E44" s="321"/>
      <c r="F44" s="429">
        <f>VLOOKUP($B44,'Proposed Rates'!$D$252:$J$258,+F$11-2,FALSE)</f>
        <v>9.8000000000000004E-2</v>
      </c>
      <c r="G44" s="507">
        <f>'Proposed Rates'!$K$253*$F$10</f>
        <v>1536</v>
      </c>
      <c r="H44" s="399">
        <f t="shared" si="53"/>
        <v>150.52800000000002</v>
      </c>
      <c r="I44" s="132"/>
      <c r="J44" s="429">
        <f>VLOOKUP($B44,'Proposed Rates'!$D$252:$J$258,+J$11-2,FALSE)</f>
        <v>9.8000000000000004E-2</v>
      </c>
      <c r="K44" s="507">
        <f>'Proposed Rates'!$K$253*$F$10</f>
        <v>1536</v>
      </c>
      <c r="L44" s="399">
        <f t="shared" si="55"/>
        <v>150.52800000000002</v>
      </c>
      <c r="M44" s="132"/>
      <c r="N44" s="400">
        <f t="shared" si="5"/>
        <v>0</v>
      </c>
      <c r="O44" s="401">
        <f t="shared" si="6"/>
        <v>0</v>
      </c>
      <c r="P44" s="52"/>
      <c r="Q44" s="429">
        <f>VLOOKUP($B44,'Proposed Rates'!$D$252:$J$258,+Q$11-2,FALSE)</f>
        <v>9.8000000000000004E-2</v>
      </c>
      <c r="R44" s="507">
        <f>'Proposed Rates'!$K$253*$F$10</f>
        <v>1536</v>
      </c>
      <c r="S44" s="399">
        <f t="shared" si="57"/>
        <v>150.52800000000002</v>
      </c>
      <c r="T44" s="132"/>
      <c r="U44" s="400">
        <f t="shared" si="9"/>
        <v>0</v>
      </c>
      <c r="V44" s="401">
        <f t="shared" si="10"/>
        <v>0</v>
      </c>
      <c r="W44" s="52"/>
      <c r="X44" s="429">
        <f>VLOOKUP($B44,'Proposed Rates'!$D$252:$J$258,+X$11-2,FALSE)</f>
        <v>9.8000000000000004E-2</v>
      </c>
      <c r="Y44" s="507">
        <f>'Proposed Rates'!$K$253*$F$10</f>
        <v>1536</v>
      </c>
      <c r="Z44" s="399">
        <f t="shared" si="59"/>
        <v>150.52800000000002</v>
      </c>
      <c r="AA44" s="132"/>
      <c r="AB44" s="400">
        <f t="shared" si="13"/>
        <v>0</v>
      </c>
      <c r="AC44" s="401">
        <f t="shared" si="14"/>
        <v>0</v>
      </c>
      <c r="AD44" s="52"/>
      <c r="AE44" s="429">
        <f>VLOOKUP($B44,'Proposed Rates'!$D$252:$J$258,+AE$11-2,FALSE)</f>
        <v>9.8000000000000004E-2</v>
      </c>
      <c r="AF44" s="507">
        <f>'Proposed Rates'!$K$253*$F$10</f>
        <v>1536</v>
      </c>
      <c r="AG44" s="399">
        <f t="shared" si="61"/>
        <v>150.52800000000002</v>
      </c>
      <c r="AH44" s="132"/>
      <c r="AI44" s="400">
        <f t="shared" si="17"/>
        <v>0</v>
      </c>
      <c r="AJ44" s="401">
        <f t="shared" si="18"/>
        <v>0</v>
      </c>
      <c r="AK44" s="52"/>
      <c r="AL44" s="429">
        <f>VLOOKUP($B44,'Proposed Rates'!$D$252:$J$258,+AL$11-2,FALSE)</f>
        <v>9.8000000000000004E-2</v>
      </c>
      <c r="AM44" s="507">
        <f>'Proposed Rates'!$K$253*$F$10</f>
        <v>1536</v>
      </c>
      <c r="AN44" s="399">
        <f t="shared" si="63"/>
        <v>150.52800000000002</v>
      </c>
      <c r="AO44" s="132"/>
      <c r="AP44" s="400">
        <f t="shared" si="21"/>
        <v>0</v>
      </c>
      <c r="AQ44" s="401">
        <f t="shared" si="22"/>
        <v>0</v>
      </c>
      <c r="AR44" s="402"/>
      <c r="AS44" s="3"/>
      <c r="AT44" s="3"/>
    </row>
    <row r="45" spans="1:46" ht="12" customHeight="1">
      <c r="A45" s="52"/>
      <c r="B45" s="321" t="s">
        <v>267</v>
      </c>
      <c r="C45" s="394" t="str">
        <f t="shared" si="51"/>
        <v>General Service &lt; 50 kW.TOU - Mid Peak</v>
      </c>
      <c r="D45" s="395" t="s">
        <v>312</v>
      </c>
      <c r="E45" s="321"/>
      <c r="F45" s="429">
        <f>VLOOKUP($B45,'Proposed Rates'!$D$252:$J$258,+F$11-2,FALSE)</f>
        <v>0.157</v>
      </c>
      <c r="G45" s="507">
        <f>'Proposed Rates'!$K$254*$F$10</f>
        <v>432</v>
      </c>
      <c r="H45" s="399">
        <f t="shared" si="53"/>
        <v>67.823999999999998</v>
      </c>
      <c r="I45" s="132"/>
      <c r="J45" s="429">
        <f>VLOOKUP($B45,'Proposed Rates'!$D$252:$J$258,+J$11-2,FALSE)</f>
        <v>0.157</v>
      </c>
      <c r="K45" s="507">
        <f>'Proposed Rates'!$K$254*$F$10</f>
        <v>432</v>
      </c>
      <c r="L45" s="399">
        <f t="shared" si="55"/>
        <v>67.823999999999998</v>
      </c>
      <c r="M45" s="132"/>
      <c r="N45" s="400">
        <f t="shared" si="5"/>
        <v>0</v>
      </c>
      <c r="O45" s="401">
        <f t="shared" si="6"/>
        <v>0</v>
      </c>
      <c r="P45" s="52"/>
      <c r="Q45" s="429">
        <f>VLOOKUP($B45,'Proposed Rates'!$D$252:$J$258,+Q$11-2,FALSE)</f>
        <v>0.157</v>
      </c>
      <c r="R45" s="507">
        <f>'Proposed Rates'!$K$254*$F$10</f>
        <v>432</v>
      </c>
      <c r="S45" s="399">
        <f t="shared" si="57"/>
        <v>67.823999999999998</v>
      </c>
      <c r="T45" s="132"/>
      <c r="U45" s="400">
        <f t="shared" si="9"/>
        <v>0</v>
      </c>
      <c r="V45" s="401">
        <f t="shared" si="10"/>
        <v>0</v>
      </c>
      <c r="W45" s="52"/>
      <c r="X45" s="429">
        <f>VLOOKUP($B45,'Proposed Rates'!$D$252:$J$258,+X$11-2,FALSE)</f>
        <v>0.157</v>
      </c>
      <c r="Y45" s="507">
        <f>'Proposed Rates'!$K$254*$F$10</f>
        <v>432</v>
      </c>
      <c r="Z45" s="399">
        <f t="shared" si="59"/>
        <v>67.823999999999998</v>
      </c>
      <c r="AA45" s="132"/>
      <c r="AB45" s="400">
        <f t="shared" si="13"/>
        <v>0</v>
      </c>
      <c r="AC45" s="401">
        <f t="shared" si="14"/>
        <v>0</v>
      </c>
      <c r="AD45" s="52"/>
      <c r="AE45" s="429">
        <f>VLOOKUP($B45,'Proposed Rates'!$D$252:$J$258,+AE$11-2,FALSE)</f>
        <v>0.157</v>
      </c>
      <c r="AF45" s="507">
        <f>'Proposed Rates'!$K$254*$F$10</f>
        <v>432</v>
      </c>
      <c r="AG45" s="399">
        <f t="shared" si="61"/>
        <v>67.823999999999998</v>
      </c>
      <c r="AH45" s="132"/>
      <c r="AI45" s="400">
        <f t="shared" si="17"/>
        <v>0</v>
      </c>
      <c r="AJ45" s="401">
        <f t="shared" si="18"/>
        <v>0</v>
      </c>
      <c r="AK45" s="52"/>
      <c r="AL45" s="429">
        <f>VLOOKUP($B45,'Proposed Rates'!$D$252:$J$258,+AL$11-2,FALSE)</f>
        <v>0.157</v>
      </c>
      <c r="AM45" s="507">
        <f>'Proposed Rates'!$K$254*$F$10</f>
        <v>432</v>
      </c>
      <c r="AN45" s="399">
        <f t="shared" si="63"/>
        <v>67.823999999999998</v>
      </c>
      <c r="AO45" s="132"/>
      <c r="AP45" s="400">
        <f t="shared" si="21"/>
        <v>0</v>
      </c>
      <c r="AQ45" s="401">
        <f t="shared" si="22"/>
        <v>0</v>
      </c>
      <c r="AR45" s="402"/>
      <c r="AS45" s="3"/>
      <c r="AT45" s="3"/>
    </row>
    <row r="46" spans="1:46" ht="12" customHeight="1">
      <c r="A46" s="52"/>
      <c r="B46" s="52" t="s">
        <v>268</v>
      </c>
      <c r="C46" s="394" t="str">
        <f t="shared" si="51"/>
        <v>General Service &lt; 50 kW.TOU - On Peak</v>
      </c>
      <c r="D46" s="395" t="s">
        <v>312</v>
      </c>
      <c r="E46" s="321"/>
      <c r="F46" s="429">
        <f>VLOOKUP($B46,'Proposed Rates'!$D$252:$J$258,+F$11-2,FALSE)</f>
        <v>0.20300000000000001</v>
      </c>
      <c r="G46" s="507">
        <f>'Proposed Rates'!$K$255*$F$10</f>
        <v>432</v>
      </c>
      <c r="H46" s="399">
        <f t="shared" si="53"/>
        <v>87.696000000000012</v>
      </c>
      <c r="I46" s="132"/>
      <c r="J46" s="429">
        <f>VLOOKUP($B46,'Proposed Rates'!$D$252:$J$258,+J$11-2,FALSE)</f>
        <v>0.20300000000000001</v>
      </c>
      <c r="K46" s="507">
        <f>'Proposed Rates'!$K$255*$F$10</f>
        <v>432</v>
      </c>
      <c r="L46" s="399">
        <f t="shared" si="55"/>
        <v>87.696000000000012</v>
      </c>
      <c r="M46" s="132"/>
      <c r="N46" s="400">
        <f t="shared" si="5"/>
        <v>0</v>
      </c>
      <c r="O46" s="401">
        <f t="shared" si="6"/>
        <v>0</v>
      </c>
      <c r="P46" s="52"/>
      <c r="Q46" s="429">
        <f>VLOOKUP($B46,'Proposed Rates'!$D$252:$J$258,+Q$11-2,FALSE)</f>
        <v>0.20300000000000001</v>
      </c>
      <c r="R46" s="507">
        <f>'Proposed Rates'!$K$255*$F$10</f>
        <v>432</v>
      </c>
      <c r="S46" s="399">
        <f t="shared" si="57"/>
        <v>87.696000000000012</v>
      </c>
      <c r="T46" s="132"/>
      <c r="U46" s="400">
        <f t="shared" si="9"/>
        <v>0</v>
      </c>
      <c r="V46" s="401">
        <f t="shared" si="10"/>
        <v>0</v>
      </c>
      <c r="W46" s="52"/>
      <c r="X46" s="429">
        <f>VLOOKUP($B46,'Proposed Rates'!$D$252:$J$258,+X$11-2,FALSE)</f>
        <v>0.20300000000000001</v>
      </c>
      <c r="Y46" s="507">
        <f>'Proposed Rates'!$K$255*$F$10</f>
        <v>432</v>
      </c>
      <c r="Z46" s="399">
        <f t="shared" si="59"/>
        <v>87.696000000000012</v>
      </c>
      <c r="AA46" s="132"/>
      <c r="AB46" s="400">
        <f t="shared" si="13"/>
        <v>0</v>
      </c>
      <c r="AC46" s="401">
        <f t="shared" si="14"/>
        <v>0</v>
      </c>
      <c r="AD46" s="52"/>
      <c r="AE46" s="429">
        <f>VLOOKUP($B46,'Proposed Rates'!$D$252:$J$258,+AE$11-2,FALSE)</f>
        <v>0.20300000000000001</v>
      </c>
      <c r="AF46" s="507">
        <f>'Proposed Rates'!$K$255*$F$10</f>
        <v>432</v>
      </c>
      <c r="AG46" s="399">
        <f t="shared" si="61"/>
        <v>87.696000000000012</v>
      </c>
      <c r="AH46" s="132"/>
      <c r="AI46" s="400">
        <f t="shared" si="17"/>
        <v>0</v>
      </c>
      <c r="AJ46" s="401">
        <f t="shared" si="18"/>
        <v>0</v>
      </c>
      <c r="AK46" s="52"/>
      <c r="AL46" s="429">
        <f>VLOOKUP($B46,'Proposed Rates'!$D$252:$J$258,+AL$11-2,FALSE)</f>
        <v>0.20300000000000001</v>
      </c>
      <c r="AM46" s="507">
        <f>'Proposed Rates'!$K$255*$F$10</f>
        <v>432</v>
      </c>
      <c r="AN46" s="399">
        <f t="shared" si="63"/>
        <v>87.696000000000012</v>
      </c>
      <c r="AO46" s="132"/>
      <c r="AP46" s="400">
        <f t="shared" si="21"/>
        <v>0</v>
      </c>
      <c r="AQ46" s="401">
        <f t="shared" si="22"/>
        <v>0</v>
      </c>
      <c r="AR46" s="402"/>
      <c r="AS46" s="3"/>
      <c r="AT46" s="3"/>
    </row>
    <row r="47" spans="1:46" ht="12" customHeight="1">
      <c r="A47" s="52"/>
      <c r="B47" s="321" t="s">
        <v>269</v>
      </c>
      <c r="C47" s="394" t="str">
        <f t="shared" si="51"/>
        <v>General Service &lt; 50 kW.Energy - RPP - Tier 1</v>
      </c>
      <c r="D47" s="395" t="s">
        <v>312</v>
      </c>
      <c r="E47" s="321"/>
      <c r="F47" s="429">
        <f>VLOOKUP($B47,'Proposed Rates'!$D$252:$J$258,+F$11-2,FALSE)</f>
        <v>0.12</v>
      </c>
      <c r="G47" s="507">
        <f>IF(AND($S$2=1, $F$10&gt;=750), 750, IF(AND($S$2=1, AND($F$10&lt;750, $F$10&gt;=0)), $F$10, IF(AND($S$2=2, $F$10&gt;=1000), 1000, IF(AND($S$2=2, AND($F$10&lt;1000, $F$10&gt;=0)), $F$10))))</f>
        <v>750</v>
      </c>
      <c r="H47" s="399">
        <f t="shared" si="53"/>
        <v>90</v>
      </c>
      <c r="I47" s="132"/>
      <c r="J47" s="429">
        <f>VLOOKUP($B47,'Proposed Rates'!$D$252:$J$258,+J$11-2,FALSE)</f>
        <v>0.12</v>
      </c>
      <c r="K47" s="507">
        <f>IF(AND($S$2=1, $F$10&gt;=750), 750, IF(AND($S$2=1, AND($F$10&lt;750, $F$10&gt;=0)), $F$10, IF(AND($S$2=2, $F$10&gt;=1000), 1000, IF(AND($S$2=2, AND($F$10&lt;1000, $F$10&gt;=0)), $F$10))))</f>
        <v>750</v>
      </c>
      <c r="L47" s="399">
        <f t="shared" si="55"/>
        <v>90</v>
      </c>
      <c r="M47" s="132"/>
      <c r="N47" s="400">
        <f t="shared" si="5"/>
        <v>0</v>
      </c>
      <c r="O47" s="401">
        <f t="shared" si="6"/>
        <v>0</v>
      </c>
      <c r="P47" s="52"/>
      <c r="Q47" s="429">
        <f>VLOOKUP($B47,'Proposed Rates'!$D$252:$J$258,+Q$11-2,FALSE)</f>
        <v>0.12</v>
      </c>
      <c r="R47" s="507">
        <f>IF(AND($S$2=1, $F$10&gt;=750), 750, IF(AND($S$2=1, AND($F$10&lt;750, $F$10&gt;=0)), $F$10, IF(AND($S$2=2, $F$10&gt;=1000), 1000, IF(AND($S$2=2, AND($F$10&lt;1000, $F$10&gt;=0)), $F$10))))</f>
        <v>750</v>
      </c>
      <c r="S47" s="399">
        <f t="shared" si="57"/>
        <v>90</v>
      </c>
      <c r="T47" s="132"/>
      <c r="U47" s="400">
        <f t="shared" si="9"/>
        <v>0</v>
      </c>
      <c r="V47" s="401">
        <f t="shared" si="10"/>
        <v>0</v>
      </c>
      <c r="W47" s="52"/>
      <c r="X47" s="429">
        <f>VLOOKUP($B47,'Proposed Rates'!$D$252:$J$258,+X$11-2,FALSE)</f>
        <v>0.12</v>
      </c>
      <c r="Y47" s="507">
        <f>IF(AND($S$2=1, $F$10&gt;=750), 750, IF(AND($S$2=1, AND($F$10&lt;750, $F$10&gt;=0)), $F$10, IF(AND($S$2=2, $F$10&gt;=1000), 1000, IF(AND($S$2=2, AND($F$10&lt;1000, $F$10&gt;=0)), $F$10))))</f>
        <v>750</v>
      </c>
      <c r="Z47" s="399">
        <f t="shared" si="59"/>
        <v>90</v>
      </c>
      <c r="AA47" s="132"/>
      <c r="AB47" s="400">
        <f t="shared" si="13"/>
        <v>0</v>
      </c>
      <c r="AC47" s="401">
        <f t="shared" si="14"/>
        <v>0</v>
      </c>
      <c r="AD47" s="52"/>
      <c r="AE47" s="429">
        <f>VLOOKUP($B47,'Proposed Rates'!$D$252:$J$258,+AE$11-2,FALSE)</f>
        <v>0.12</v>
      </c>
      <c r="AF47" s="507">
        <f>IF(AND($S$2=1, $F$10&gt;=750), 750, IF(AND($S$2=1, AND($F$10&lt;750, $F$10&gt;=0)), $F$10, IF(AND($S$2=2, $F$10&gt;=1000), 1000, IF(AND($S$2=2, AND($F$10&lt;1000, $F$10&gt;=0)), $F$10))))</f>
        <v>750</v>
      </c>
      <c r="AG47" s="399">
        <f t="shared" si="61"/>
        <v>90</v>
      </c>
      <c r="AH47" s="132"/>
      <c r="AI47" s="400">
        <f t="shared" si="17"/>
        <v>0</v>
      </c>
      <c r="AJ47" s="401">
        <f t="shared" si="18"/>
        <v>0</v>
      </c>
      <c r="AK47" s="52"/>
      <c r="AL47" s="429">
        <f>VLOOKUP($B47,'Proposed Rates'!$D$252:$J$258,+AL$11-2,FALSE)</f>
        <v>0.12</v>
      </c>
      <c r="AM47" s="507">
        <f>IF(AND($S$2=1, $F$10&gt;=750), 750, IF(AND($S$2=1, AND($F$10&lt;750, $F$10&gt;=0)), $F$10, IF(AND($S$2=2, $F$10&gt;=1000), 1000, IF(AND($S$2=2, AND($F$10&lt;1000, $F$10&gt;=0)), $F$10))))</f>
        <v>750</v>
      </c>
      <c r="AN47" s="399">
        <f t="shared" si="63"/>
        <v>90</v>
      </c>
      <c r="AO47" s="132"/>
      <c r="AP47" s="400">
        <f t="shared" si="21"/>
        <v>0</v>
      </c>
      <c r="AQ47" s="401">
        <f t="shared" si="22"/>
        <v>0</v>
      </c>
      <c r="AR47" s="402"/>
      <c r="AS47" s="3"/>
      <c r="AT47" s="3"/>
    </row>
    <row r="48" spans="1:46" ht="12" customHeight="1">
      <c r="A48" s="52"/>
      <c r="B48" s="321" t="s">
        <v>270</v>
      </c>
      <c r="C48" s="394" t="str">
        <f t="shared" si="51"/>
        <v>General Service &lt; 50 kW.Energy - RPP - Tier 2</v>
      </c>
      <c r="D48" s="395" t="s">
        <v>312</v>
      </c>
      <c r="E48" s="321"/>
      <c r="F48" s="429">
        <f>VLOOKUP($B48,'Proposed Rates'!$D$252:$J$258,+F$11-2,FALSE)</f>
        <v>0.14199999999999999</v>
      </c>
      <c r="G48" s="507">
        <f>IF(AND($S$2=1, $F$10&gt;=750), $F$10-750, IF(AND($S$2=1, AND($F$10&lt;750, $F$10&gt;=0)), 0, IF(AND($S$2=2, $F$10&gt;=1000), $F$10-1000, IF(AND($S$2=2, AND($F$10&lt;1000, $F$10&gt;=0)), 0))))</f>
        <v>1650</v>
      </c>
      <c r="H48" s="399">
        <f t="shared" si="53"/>
        <v>234.29999999999998</v>
      </c>
      <c r="I48" s="132"/>
      <c r="J48" s="429">
        <f>VLOOKUP($B48,'Proposed Rates'!$D$252:$J$258,+J$11-2,FALSE)</f>
        <v>0.14199999999999999</v>
      </c>
      <c r="K48" s="507">
        <f>IF(AND($S$2=1, $F$10&gt;=750), $F$10-750, IF(AND($S$2=1, AND($F$10&lt;750, $F$10&gt;=0)), 0, IF(AND($S$2=2, $F$10&gt;=1000), $F$10-1000, IF(AND($S$2=2, AND($F$10&lt;1000, $F$10&gt;=0)), 0))))</f>
        <v>1650</v>
      </c>
      <c r="L48" s="399">
        <f t="shared" si="55"/>
        <v>234.29999999999998</v>
      </c>
      <c r="M48" s="132"/>
      <c r="N48" s="400">
        <f t="shared" si="5"/>
        <v>0</v>
      </c>
      <c r="O48" s="401">
        <f t="shared" si="6"/>
        <v>0</v>
      </c>
      <c r="P48" s="52"/>
      <c r="Q48" s="429">
        <f>VLOOKUP($B48,'Proposed Rates'!$D$252:$J$258,+Q$11-2,FALSE)</f>
        <v>0.14199999999999999</v>
      </c>
      <c r="R48" s="507">
        <f>IF(AND($S$2=1, $F$10&gt;=750), $F$10-750, IF(AND($S$2=1, AND($F$10&lt;750, $F$10&gt;=0)), 0, IF(AND($S$2=2, $F$10&gt;=1000), $F$10-1000, IF(AND($S$2=2, AND($F$10&lt;1000, $F$10&gt;=0)), 0))))</f>
        <v>1650</v>
      </c>
      <c r="S48" s="399">
        <f t="shared" si="57"/>
        <v>234.29999999999998</v>
      </c>
      <c r="T48" s="132"/>
      <c r="U48" s="400">
        <f t="shared" si="9"/>
        <v>0</v>
      </c>
      <c r="V48" s="401">
        <f t="shared" si="10"/>
        <v>0</v>
      </c>
      <c r="W48" s="52"/>
      <c r="X48" s="429">
        <f>VLOOKUP($B48,'Proposed Rates'!$D$252:$J$258,+X$11-2,FALSE)</f>
        <v>0.14199999999999999</v>
      </c>
      <c r="Y48" s="507">
        <f>IF(AND($S$2=1, $F$10&gt;=750), $F$10-750, IF(AND($S$2=1, AND($F$10&lt;750, $F$10&gt;=0)), 0, IF(AND($S$2=2, $F$10&gt;=1000), $F$10-1000, IF(AND($S$2=2, AND($F$10&lt;1000, $F$10&gt;=0)), 0))))</f>
        <v>1650</v>
      </c>
      <c r="Z48" s="399">
        <f t="shared" si="59"/>
        <v>234.29999999999998</v>
      </c>
      <c r="AA48" s="132"/>
      <c r="AB48" s="400">
        <f t="shared" si="13"/>
        <v>0</v>
      </c>
      <c r="AC48" s="401">
        <f t="shared" si="14"/>
        <v>0</v>
      </c>
      <c r="AD48" s="52"/>
      <c r="AE48" s="429">
        <f>VLOOKUP($B48,'Proposed Rates'!$D$252:$J$258,+AE$11-2,FALSE)</f>
        <v>0.14199999999999999</v>
      </c>
      <c r="AF48" s="507">
        <f>IF(AND($S$2=1, $F$10&gt;=750), $F$10-750, IF(AND($S$2=1, AND($F$10&lt;750, $F$10&gt;=0)), 0, IF(AND($S$2=2, $F$10&gt;=1000), $F$10-1000, IF(AND($S$2=2, AND($F$10&lt;1000, $F$10&gt;=0)), 0))))</f>
        <v>1650</v>
      </c>
      <c r="AG48" s="399">
        <f t="shared" si="61"/>
        <v>234.29999999999998</v>
      </c>
      <c r="AH48" s="132"/>
      <c r="AI48" s="400">
        <f t="shared" si="17"/>
        <v>0</v>
      </c>
      <c r="AJ48" s="401">
        <f t="shared" si="18"/>
        <v>0</v>
      </c>
      <c r="AK48" s="52"/>
      <c r="AL48" s="429">
        <f>VLOOKUP($B48,'Proposed Rates'!$D$252:$J$258,+AL$11-2,FALSE)</f>
        <v>0.14199999999999999</v>
      </c>
      <c r="AM48" s="507">
        <f>IF(AND($S$2=1, $F$10&gt;=750), $F$10-750, IF(AND($S$2=1, AND($F$10&lt;750, $F$10&gt;=0)), 0, IF(AND($S$2=2, $F$10&gt;=1000), $F$10-1000, IF(AND($S$2=2, AND($F$10&lt;1000, $F$10&gt;=0)), 0))))</f>
        <v>1650</v>
      </c>
      <c r="AN48" s="399">
        <f t="shared" si="63"/>
        <v>234.29999999999998</v>
      </c>
      <c r="AO48" s="132"/>
      <c r="AP48" s="400">
        <f t="shared" si="21"/>
        <v>0</v>
      </c>
      <c r="AQ48" s="401">
        <f t="shared" si="22"/>
        <v>0</v>
      </c>
      <c r="AR48" s="402"/>
      <c r="AS48" s="3"/>
      <c r="AT48" s="3"/>
    </row>
    <row r="49" spans="1:46" ht="12"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c r="AS49" s="3"/>
      <c r="AT49" s="3"/>
    </row>
    <row r="50" spans="1:46" ht="12" customHeight="1">
      <c r="A50" s="52"/>
      <c r="B50" s="443" t="s">
        <v>319</v>
      </c>
      <c r="C50" s="321"/>
      <c r="D50" s="321"/>
      <c r="E50" s="321"/>
      <c r="F50" s="444"/>
      <c r="G50" s="488"/>
      <c r="H50" s="446">
        <f>SUM(H41:H46,H40)</f>
        <v>477.60825440000008</v>
      </c>
      <c r="I50" s="481"/>
      <c r="J50" s="444"/>
      <c r="K50" s="445"/>
      <c r="L50" s="447">
        <f>SUM(L41:L46,L40)</f>
        <v>482.24850240000001</v>
      </c>
      <c r="M50" s="448"/>
      <c r="N50" s="447">
        <f t="shared" ref="N50:N54" si="64">L50-H50</f>
        <v>4.6402479999999287</v>
      </c>
      <c r="O50" s="449">
        <f t="shared" ref="O50:O54" si="65">IF((H50)=0,"",(N50/H50))</f>
        <v>9.71559422864097E-3</v>
      </c>
      <c r="P50" s="52"/>
      <c r="Q50" s="444"/>
      <c r="R50" s="445"/>
      <c r="S50" s="447">
        <f>SUM(S41:S46,S40)</f>
        <v>488.79850239999996</v>
      </c>
      <c r="T50" s="448"/>
      <c r="U50" s="447">
        <f t="shared" ref="U50:U54" si="66">S50-L50</f>
        <v>6.5499999999999545</v>
      </c>
      <c r="V50" s="449">
        <f t="shared" ref="V50:V54" si="67">IF((L50)=0,"",(U50/L50))</f>
        <v>1.358220910464761E-2</v>
      </c>
      <c r="W50" s="52"/>
      <c r="X50" s="444"/>
      <c r="Y50" s="445"/>
      <c r="Z50" s="447">
        <f>SUM(Z41:Z46,Z40)</f>
        <v>496.44850240000005</v>
      </c>
      <c r="AA50" s="448"/>
      <c r="AB50" s="447">
        <f t="shared" ref="AB50:AB54" si="68">Z50-S50</f>
        <v>7.6500000000000909</v>
      </c>
      <c r="AC50" s="449">
        <f t="shared" ref="AC50:AC54" si="69">IF((S50)=0,"",(AB50/S50))</f>
        <v>1.5650620782262224E-2</v>
      </c>
      <c r="AD50" s="52"/>
      <c r="AE50" s="444"/>
      <c r="AF50" s="445"/>
      <c r="AG50" s="447">
        <f>SUM(AG41:AG46,AG40)</f>
        <v>498.70850240000004</v>
      </c>
      <c r="AH50" s="448"/>
      <c r="AI50" s="447">
        <f t="shared" ref="AI50:AI54" si="70">AG50-Z50</f>
        <v>2.2599999999999909</v>
      </c>
      <c r="AJ50" s="449">
        <f t="shared" ref="AJ50:AJ54" si="71">IF((Z50)=0,"",(AI50/Z50))</f>
        <v>4.5523352151822117E-3</v>
      </c>
      <c r="AK50" s="52"/>
      <c r="AL50" s="444"/>
      <c r="AM50" s="445"/>
      <c r="AN50" s="447">
        <f>SUM(AN41:AN46,AN40)</f>
        <v>500.59850240000003</v>
      </c>
      <c r="AO50" s="448"/>
      <c r="AP50" s="447">
        <f t="shared" ref="AP50:AP54" si="72">AN50-AG50</f>
        <v>1.8899999999999864</v>
      </c>
      <c r="AQ50" s="449">
        <f t="shared" ref="AQ50:AQ54" si="73">IF((AG50)=0,"",(AP50/AG50))</f>
        <v>3.7897890068135849E-3</v>
      </c>
      <c r="AR50" s="450"/>
      <c r="AS50" s="3"/>
      <c r="AT50" s="3"/>
    </row>
    <row r="51" spans="1:46" ht="12" customHeight="1">
      <c r="A51" s="52"/>
      <c r="B51" s="451" t="s">
        <v>320</v>
      </c>
      <c r="C51" s="321"/>
      <c r="D51" s="321"/>
      <c r="E51" s="321"/>
      <c r="F51" s="444">
        <v>0.13</v>
      </c>
      <c r="G51" s="132"/>
      <c r="H51" s="489">
        <f>H50*F51</f>
        <v>62.089073072000012</v>
      </c>
      <c r="I51" s="416"/>
      <c r="J51" s="444">
        <v>0.13</v>
      </c>
      <c r="K51" s="416"/>
      <c r="L51" s="399">
        <f>L50*J51</f>
        <v>62.692305312000002</v>
      </c>
      <c r="M51" s="132"/>
      <c r="N51" s="400">
        <f t="shared" si="64"/>
        <v>0.60323223999998987</v>
      </c>
      <c r="O51" s="401">
        <f t="shared" si="65"/>
        <v>9.7155942286409561E-3</v>
      </c>
      <c r="P51" s="52"/>
      <c r="Q51" s="444">
        <v>0.13</v>
      </c>
      <c r="R51" s="416"/>
      <c r="S51" s="399">
        <f>S50*Q51</f>
        <v>63.543805311999996</v>
      </c>
      <c r="T51" s="132"/>
      <c r="U51" s="400">
        <f t="shared" si="66"/>
        <v>0.85149999999999437</v>
      </c>
      <c r="V51" s="401">
        <f t="shared" si="67"/>
        <v>1.3582209104647613E-2</v>
      </c>
      <c r="W51" s="52"/>
      <c r="X51" s="444">
        <v>0.13</v>
      </c>
      <c r="Y51" s="416"/>
      <c r="Z51" s="399">
        <f>Z50*X51</f>
        <v>64.538305312000006</v>
      </c>
      <c r="AA51" s="132"/>
      <c r="AB51" s="400">
        <f t="shared" si="68"/>
        <v>0.99450000000000927</v>
      </c>
      <c r="AC51" s="401">
        <f t="shared" si="69"/>
        <v>1.5650620782262183E-2</v>
      </c>
      <c r="AD51" s="52"/>
      <c r="AE51" s="444">
        <v>0.13</v>
      </c>
      <c r="AF51" s="416"/>
      <c r="AG51" s="399">
        <f>AG50*AE51</f>
        <v>64.83210531200001</v>
      </c>
      <c r="AH51" s="132"/>
      <c r="AI51" s="400">
        <f t="shared" si="70"/>
        <v>0.2938000000000045</v>
      </c>
      <c r="AJ51" s="401">
        <f t="shared" si="71"/>
        <v>4.5523352151822993E-3</v>
      </c>
      <c r="AK51" s="52"/>
      <c r="AL51" s="444">
        <v>0.13</v>
      </c>
      <c r="AM51" s="416"/>
      <c r="AN51" s="399">
        <f>AN50*AL51</f>
        <v>65.07780531200001</v>
      </c>
      <c r="AO51" s="132"/>
      <c r="AP51" s="400">
        <f t="shared" si="72"/>
        <v>0.24569999999999936</v>
      </c>
      <c r="AQ51" s="401">
        <f t="shared" si="73"/>
        <v>3.7897890068136018E-3</v>
      </c>
      <c r="AR51" s="402"/>
      <c r="AS51" s="3"/>
      <c r="AT51" s="3"/>
    </row>
    <row r="52" spans="1:46" ht="12" customHeight="1">
      <c r="A52" s="52"/>
      <c r="B52" s="453" t="s">
        <v>371</v>
      </c>
      <c r="C52" s="321"/>
      <c r="D52" s="321"/>
      <c r="E52" s="321"/>
      <c r="F52" s="454"/>
      <c r="G52" s="132"/>
      <c r="H52" s="489">
        <f>H50+H51</f>
        <v>539.6973274720001</v>
      </c>
      <c r="I52" s="416"/>
      <c r="J52" s="454"/>
      <c r="K52" s="416"/>
      <c r="L52" s="399">
        <f>L50+L51</f>
        <v>544.94080771200004</v>
      </c>
      <c r="M52" s="132"/>
      <c r="N52" s="400">
        <f t="shared" si="64"/>
        <v>5.2434802399999398</v>
      </c>
      <c r="O52" s="401">
        <f t="shared" si="65"/>
        <v>9.7155942286410064E-3</v>
      </c>
      <c r="P52" s="52"/>
      <c r="Q52" s="454"/>
      <c r="R52" s="416"/>
      <c r="S52" s="399">
        <f>S50+S51</f>
        <v>552.34230771199998</v>
      </c>
      <c r="T52" s="132"/>
      <c r="U52" s="400">
        <f t="shared" si="66"/>
        <v>7.4014999999999418</v>
      </c>
      <c r="V52" s="401">
        <f t="shared" si="67"/>
        <v>1.3582209104647596E-2</v>
      </c>
      <c r="W52" s="52"/>
      <c r="X52" s="454"/>
      <c r="Y52" s="416"/>
      <c r="Z52" s="399">
        <f>Z50+Z51</f>
        <v>560.98680771200009</v>
      </c>
      <c r="AA52" s="132"/>
      <c r="AB52" s="400">
        <f t="shared" si="68"/>
        <v>8.6445000000001073</v>
      </c>
      <c r="AC52" s="401">
        <f t="shared" si="69"/>
        <v>1.5650620782262231E-2</v>
      </c>
      <c r="AD52" s="52"/>
      <c r="AE52" s="454"/>
      <c r="AF52" s="416"/>
      <c r="AG52" s="399">
        <f>AG50+AG51</f>
        <v>563.54060771200011</v>
      </c>
      <c r="AH52" s="132"/>
      <c r="AI52" s="400">
        <f t="shared" si="70"/>
        <v>2.5538000000000238</v>
      </c>
      <c r="AJ52" s="401">
        <f t="shared" si="71"/>
        <v>4.5523352151822724E-3</v>
      </c>
      <c r="AK52" s="52"/>
      <c r="AL52" s="454"/>
      <c r="AM52" s="416"/>
      <c r="AN52" s="399">
        <f>AN50+AN51</f>
        <v>565.67630771200004</v>
      </c>
      <c r="AO52" s="132"/>
      <c r="AP52" s="400">
        <f t="shared" si="72"/>
        <v>2.1356999999999289</v>
      </c>
      <c r="AQ52" s="401">
        <f t="shared" si="73"/>
        <v>3.7897890068134855E-3</v>
      </c>
      <c r="AR52" s="402"/>
      <c r="AS52" s="3"/>
      <c r="AT52" s="3"/>
    </row>
    <row r="53" spans="1:46" ht="12" customHeight="1">
      <c r="A53" s="52"/>
      <c r="B53" s="632" t="s">
        <v>277</v>
      </c>
      <c r="C53" s="623"/>
      <c r="D53" s="623"/>
      <c r="E53" s="321"/>
      <c r="F53" s="455">
        <f>'Proposed Rates'!E291</f>
        <v>0.23499999999999999</v>
      </c>
      <c r="G53" s="132"/>
      <c r="H53" s="491">
        <f>F53*H50</f>
        <v>112.23793978400001</v>
      </c>
      <c r="I53" s="416"/>
      <c r="J53" s="455">
        <f>'Proposed Rates'!I291</f>
        <v>0.23499999999999999</v>
      </c>
      <c r="K53" s="416"/>
      <c r="L53" s="456">
        <f>J53*L50</f>
        <v>113.328398064</v>
      </c>
      <c r="M53" s="132"/>
      <c r="N53" s="456">
        <f t="shared" si="64"/>
        <v>1.0904582799999929</v>
      </c>
      <c r="O53" s="458">
        <f t="shared" si="65"/>
        <v>9.7155942286410567E-3</v>
      </c>
      <c r="P53" s="52"/>
      <c r="Q53" s="455">
        <f>'Proposed Rates'!H291</f>
        <v>0.23499999999999999</v>
      </c>
      <c r="R53" s="416"/>
      <c r="S53" s="456">
        <f>Q53*S50</f>
        <v>114.86764806399998</v>
      </c>
      <c r="T53" s="132"/>
      <c r="U53" s="456">
        <f t="shared" si="66"/>
        <v>1.5392499999999814</v>
      </c>
      <c r="V53" s="458">
        <f t="shared" si="67"/>
        <v>1.358220910464754E-2</v>
      </c>
      <c r="W53" s="52"/>
      <c r="X53" s="455">
        <f>'Proposed Rates'!J291</f>
        <v>0.23499999999999999</v>
      </c>
      <c r="Y53" s="416"/>
      <c r="Z53" s="456">
        <f>X53*Z50</f>
        <v>116.665398064</v>
      </c>
      <c r="AA53" s="132"/>
      <c r="AB53" s="456">
        <f t="shared" si="68"/>
        <v>1.7977500000000219</v>
      </c>
      <c r="AC53" s="458">
        <f t="shared" si="69"/>
        <v>1.5650620782262231E-2</v>
      </c>
      <c r="AD53" s="52"/>
      <c r="AE53" s="455">
        <f>'Proposed Rates'!J291</f>
        <v>0.23499999999999999</v>
      </c>
      <c r="AF53" s="416"/>
      <c r="AG53" s="456">
        <f>AE53*AG50</f>
        <v>117.196498064</v>
      </c>
      <c r="AH53" s="132"/>
      <c r="AI53" s="456">
        <f t="shared" si="70"/>
        <v>0.53109999999999502</v>
      </c>
      <c r="AJ53" s="458">
        <f t="shared" si="71"/>
        <v>4.5523352151821874E-3</v>
      </c>
      <c r="AK53" s="52"/>
      <c r="AL53" s="455">
        <f>'Proposed Rates'!J291</f>
        <v>0.23499999999999999</v>
      </c>
      <c r="AM53" s="416"/>
      <c r="AN53" s="456">
        <f>AL53*AN50</f>
        <v>117.640648064</v>
      </c>
      <c r="AO53" s="132"/>
      <c r="AP53" s="456">
        <f t="shared" si="72"/>
        <v>0.44415000000000759</v>
      </c>
      <c r="AQ53" s="458">
        <f t="shared" si="73"/>
        <v>3.7897890068136772E-3</v>
      </c>
      <c r="AR53" s="459"/>
      <c r="AS53" s="3"/>
      <c r="AT53" s="3"/>
    </row>
    <row r="54" spans="1:46" ht="12" customHeight="1">
      <c r="A54" s="52"/>
      <c r="B54" s="634" t="s">
        <v>322</v>
      </c>
      <c r="C54" s="615"/>
      <c r="D54" s="615"/>
      <c r="E54" s="460"/>
      <c r="F54" s="461"/>
      <c r="G54" s="492"/>
      <c r="H54" s="493">
        <f>H52-H53</f>
        <v>427.45938768800011</v>
      </c>
      <c r="I54" s="462"/>
      <c r="J54" s="461"/>
      <c r="K54" s="462"/>
      <c r="L54" s="463">
        <f>L52-L53</f>
        <v>431.61240964800004</v>
      </c>
      <c r="M54" s="464"/>
      <c r="N54" s="465">
        <f t="shared" si="64"/>
        <v>4.1530219599999327</v>
      </c>
      <c r="O54" s="466">
        <f t="shared" si="65"/>
        <v>9.7155942286409613E-3</v>
      </c>
      <c r="P54" s="52"/>
      <c r="Q54" s="461"/>
      <c r="R54" s="462"/>
      <c r="S54" s="463">
        <f>S52-S53</f>
        <v>437.474659648</v>
      </c>
      <c r="T54" s="464"/>
      <c r="U54" s="465">
        <f t="shared" si="66"/>
        <v>5.8622499999999604</v>
      </c>
      <c r="V54" s="466">
        <f t="shared" si="67"/>
        <v>1.3582209104647611E-2</v>
      </c>
      <c r="W54" s="52"/>
      <c r="X54" s="461"/>
      <c r="Y54" s="462"/>
      <c r="Z54" s="463">
        <f>Z52-Z53</f>
        <v>444.3214096480001</v>
      </c>
      <c r="AA54" s="464"/>
      <c r="AB54" s="465">
        <f t="shared" si="68"/>
        <v>6.8467500000000996</v>
      </c>
      <c r="AC54" s="466">
        <f t="shared" si="69"/>
        <v>1.5650620782262266E-2</v>
      </c>
      <c r="AD54" s="52"/>
      <c r="AE54" s="461"/>
      <c r="AF54" s="462"/>
      <c r="AG54" s="463">
        <f>AG52-AG53</f>
        <v>446.34410964800009</v>
      </c>
      <c r="AH54" s="464"/>
      <c r="AI54" s="465">
        <f t="shared" si="70"/>
        <v>2.0226999999999862</v>
      </c>
      <c r="AJ54" s="466">
        <f t="shared" si="71"/>
        <v>4.5523352151821978E-3</v>
      </c>
      <c r="AK54" s="52"/>
      <c r="AL54" s="461"/>
      <c r="AM54" s="462"/>
      <c r="AN54" s="463">
        <f>AN52-AN53</f>
        <v>448.03565964800003</v>
      </c>
      <c r="AO54" s="464"/>
      <c r="AP54" s="465">
        <f t="shared" si="72"/>
        <v>1.6915499999999497</v>
      </c>
      <c r="AQ54" s="466">
        <f t="shared" si="73"/>
        <v>3.789789006813499E-3</v>
      </c>
      <c r="AR54" s="467"/>
      <c r="AS54" s="3"/>
      <c r="AT54" s="3"/>
    </row>
    <row r="55" spans="1:46"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c r="AS55" s="3"/>
      <c r="AT55" s="3"/>
    </row>
    <row r="56" spans="1:46" ht="12" customHeight="1">
      <c r="A56" s="52"/>
      <c r="B56" s="443" t="s">
        <v>323</v>
      </c>
      <c r="C56" s="321"/>
      <c r="D56" s="321"/>
      <c r="E56" s="321"/>
      <c r="F56" s="444"/>
      <c r="G56" s="488"/>
      <c r="H56" s="446">
        <f>SUM(H47:H48,H40,H41:H43)</f>
        <v>495.86025439999997</v>
      </c>
      <c r="I56" s="481"/>
      <c r="J56" s="444"/>
      <c r="K56" s="445"/>
      <c r="L56" s="447">
        <f>SUM(L47:L48,L40,L41:L43)</f>
        <v>500.5005023999999</v>
      </c>
      <c r="M56" s="448"/>
      <c r="N56" s="447">
        <f t="shared" ref="N56:N60" si="74">L56-H56</f>
        <v>4.6402479999999287</v>
      </c>
      <c r="O56" s="449">
        <f t="shared" ref="O56:O60" si="75">IF((H56)=0,"",(N56/H56))</f>
        <v>9.3579752739301799E-3</v>
      </c>
      <c r="P56" s="52"/>
      <c r="Q56" s="444"/>
      <c r="R56" s="445"/>
      <c r="S56" s="447">
        <f>SUM(S47:S48,S40,S41:S43)</f>
        <v>507.05050239999991</v>
      </c>
      <c r="T56" s="448"/>
      <c r="U56" s="447">
        <f t="shared" ref="U56:U60" si="76">S56-L56</f>
        <v>6.5500000000000114</v>
      </c>
      <c r="V56" s="449">
        <f t="shared" ref="V56:V60" si="77">IF((L56)=0,"",(U56/L56))</f>
        <v>1.3086899950332622E-2</v>
      </c>
      <c r="W56" s="52"/>
      <c r="X56" s="444"/>
      <c r="Y56" s="445"/>
      <c r="Z56" s="447">
        <f>SUM(Z47:Z48,Z40,Z41:Z43)</f>
        <v>514.70050239999989</v>
      </c>
      <c r="AA56" s="448"/>
      <c r="AB56" s="447">
        <f t="shared" ref="AB56:AB60" si="78">Z56-S56</f>
        <v>7.6499999999999773</v>
      </c>
      <c r="AC56" s="449">
        <f t="shared" ref="AC56:AC60" si="79">IF((S56)=0,"",(AB56/S56))</f>
        <v>1.5087254551155295E-2</v>
      </c>
      <c r="AD56" s="52"/>
      <c r="AE56" s="444"/>
      <c r="AF56" s="445"/>
      <c r="AG56" s="447">
        <f>SUM(AG47:AG48,AG40,AG41:AG43)</f>
        <v>516.96050239999988</v>
      </c>
      <c r="AH56" s="448"/>
      <c r="AI56" s="447">
        <f t="shared" ref="AI56:AI60" si="80">AG56-Z56</f>
        <v>2.2599999999999909</v>
      </c>
      <c r="AJ56" s="449">
        <f t="shared" ref="AJ56:AJ60" si="81">IF((Z56)=0,"",(AI56/Z56))</f>
        <v>4.3909030386833203E-3</v>
      </c>
      <c r="AK56" s="52"/>
      <c r="AL56" s="444"/>
      <c r="AM56" s="445"/>
      <c r="AN56" s="447">
        <f>SUM(AN47:AN48,AN40,AN41:AN43)</f>
        <v>518.85050239999998</v>
      </c>
      <c r="AO56" s="448"/>
      <c r="AP56" s="447">
        <f t="shared" ref="AP56:AP60" si="82">AN56-AG56</f>
        <v>1.8900000000001</v>
      </c>
      <c r="AQ56" s="449">
        <f t="shared" ref="AQ56:AQ60" si="83">IF((AG56)=0,"",(AP56/AG56))</f>
        <v>3.6559853049231727E-3</v>
      </c>
      <c r="AR56" s="450"/>
      <c r="AS56" s="3"/>
      <c r="AT56" s="3"/>
    </row>
    <row r="57" spans="1:46" ht="12" customHeight="1">
      <c r="A57" s="52"/>
      <c r="B57" s="451" t="s">
        <v>320</v>
      </c>
      <c r="C57" s="321"/>
      <c r="D57" s="321"/>
      <c r="E57" s="321"/>
      <c r="F57" s="444">
        <v>0.13</v>
      </c>
      <c r="G57" s="488"/>
      <c r="H57" s="489">
        <f>H56*F57</f>
        <v>64.461833072000005</v>
      </c>
      <c r="I57" s="416"/>
      <c r="J57" s="444">
        <v>0.13</v>
      </c>
      <c r="K57" s="452"/>
      <c r="L57" s="400">
        <f>L56*J57</f>
        <v>65.065065311999987</v>
      </c>
      <c r="M57" s="132"/>
      <c r="N57" s="400">
        <f t="shared" si="74"/>
        <v>0.60323223999998277</v>
      </c>
      <c r="O57" s="401">
        <f t="shared" si="75"/>
        <v>9.357975273930055E-3</v>
      </c>
      <c r="P57" s="52"/>
      <c r="Q57" s="444">
        <v>0.13</v>
      </c>
      <c r="R57" s="452"/>
      <c r="S57" s="399">
        <f>S56*Q57</f>
        <v>65.916565311999989</v>
      </c>
      <c r="T57" s="132"/>
      <c r="U57" s="400">
        <f t="shared" si="76"/>
        <v>0.85150000000000148</v>
      </c>
      <c r="V57" s="401">
        <f t="shared" si="77"/>
        <v>1.3086899950332622E-2</v>
      </c>
      <c r="W57" s="52"/>
      <c r="X57" s="444">
        <v>0.13</v>
      </c>
      <c r="Y57" s="452"/>
      <c r="Z57" s="399">
        <f>Z56*X57</f>
        <v>66.911065311999991</v>
      </c>
      <c r="AA57" s="132"/>
      <c r="AB57" s="400">
        <f t="shared" si="78"/>
        <v>0.99450000000000216</v>
      </c>
      <c r="AC57" s="401">
        <f t="shared" si="79"/>
        <v>1.5087254551155373E-2</v>
      </c>
      <c r="AD57" s="52"/>
      <c r="AE57" s="444">
        <v>0.13</v>
      </c>
      <c r="AF57" s="452"/>
      <c r="AG57" s="400">
        <f>AG56*AE57</f>
        <v>67.204865311999981</v>
      </c>
      <c r="AH57" s="132"/>
      <c r="AI57" s="400">
        <f t="shared" si="80"/>
        <v>0.29379999999999029</v>
      </c>
      <c r="AJ57" s="401">
        <f t="shared" si="81"/>
        <v>4.3909030386831919E-3</v>
      </c>
      <c r="AK57" s="52"/>
      <c r="AL57" s="444">
        <v>0.13</v>
      </c>
      <c r="AM57" s="452"/>
      <c r="AN57" s="399">
        <f>AN56*AL57</f>
        <v>67.450565311999995</v>
      </c>
      <c r="AO57" s="132"/>
      <c r="AP57" s="400">
        <f t="shared" si="82"/>
        <v>0.24570000000001357</v>
      </c>
      <c r="AQ57" s="401">
        <f t="shared" si="83"/>
        <v>3.6559853049231814E-3</v>
      </c>
      <c r="AR57" s="402"/>
      <c r="AS57" s="3"/>
      <c r="AT57" s="3"/>
    </row>
    <row r="58" spans="1:46" ht="12" customHeight="1">
      <c r="A58" s="52"/>
      <c r="B58" s="453" t="s">
        <v>372</v>
      </c>
      <c r="C58" s="321"/>
      <c r="D58" s="321"/>
      <c r="E58" s="321"/>
      <c r="F58" s="454"/>
      <c r="G58" s="132"/>
      <c r="H58" s="489">
        <f>H56+H57</f>
        <v>560.32208747200002</v>
      </c>
      <c r="I58" s="416"/>
      <c r="J58" s="454"/>
      <c r="K58" s="416"/>
      <c r="L58" s="399">
        <f>L56+L57</f>
        <v>565.56556771199985</v>
      </c>
      <c r="M58" s="132"/>
      <c r="N58" s="400">
        <f t="shared" si="74"/>
        <v>5.2434802399998262</v>
      </c>
      <c r="O58" s="401">
        <f t="shared" si="75"/>
        <v>9.3579752739300134E-3</v>
      </c>
      <c r="P58" s="52"/>
      <c r="Q58" s="454"/>
      <c r="R58" s="416"/>
      <c r="S58" s="399">
        <f>S56+S57</f>
        <v>572.9670677119999</v>
      </c>
      <c r="T58" s="132"/>
      <c r="U58" s="400">
        <f t="shared" si="76"/>
        <v>7.4015000000000555</v>
      </c>
      <c r="V58" s="401">
        <f t="shared" si="77"/>
        <v>1.3086899950332699E-2</v>
      </c>
      <c r="W58" s="52"/>
      <c r="X58" s="454"/>
      <c r="Y58" s="416"/>
      <c r="Z58" s="399">
        <f>Z56+Z57</f>
        <v>581.6115677119999</v>
      </c>
      <c r="AA58" s="132"/>
      <c r="AB58" s="400">
        <f t="shared" si="78"/>
        <v>8.6444999999999936</v>
      </c>
      <c r="AC58" s="401">
        <f t="shared" si="79"/>
        <v>1.5087254551155328E-2</v>
      </c>
      <c r="AD58" s="52"/>
      <c r="AE58" s="454"/>
      <c r="AF58" s="416"/>
      <c r="AG58" s="399">
        <f>AG56+AG57</f>
        <v>584.16536771199981</v>
      </c>
      <c r="AH58" s="132"/>
      <c r="AI58" s="400">
        <f t="shared" si="80"/>
        <v>2.5537999999999101</v>
      </c>
      <c r="AJ58" s="401">
        <f t="shared" si="81"/>
        <v>4.3909030386831832E-3</v>
      </c>
      <c r="AK58" s="52"/>
      <c r="AL58" s="454"/>
      <c r="AM58" s="416"/>
      <c r="AN58" s="399">
        <f>AN56+AN57</f>
        <v>586.30106771199996</v>
      </c>
      <c r="AO58" s="132"/>
      <c r="AP58" s="400">
        <f t="shared" si="82"/>
        <v>2.1357000000001563</v>
      </c>
      <c r="AQ58" s="401">
        <f t="shared" si="83"/>
        <v>3.6559853049232469E-3</v>
      </c>
      <c r="AR58" s="402"/>
      <c r="AS58" s="3"/>
      <c r="AT58" s="3"/>
    </row>
    <row r="59" spans="1:46" ht="12" customHeight="1">
      <c r="A59" s="52"/>
      <c r="B59" s="632" t="s">
        <v>277</v>
      </c>
      <c r="C59" s="623"/>
      <c r="D59" s="623"/>
      <c r="E59" s="321"/>
      <c r="F59" s="455">
        <f>F53</f>
        <v>0.23499999999999999</v>
      </c>
      <c r="G59" s="132"/>
      <c r="H59" s="491">
        <f>F59*H56</f>
        <v>116.52715978399999</v>
      </c>
      <c r="I59" s="416"/>
      <c r="J59" s="455">
        <f>J53</f>
        <v>0.23499999999999999</v>
      </c>
      <c r="K59" s="416"/>
      <c r="L59" s="456">
        <f>J59*L56</f>
        <v>117.61761806399997</v>
      </c>
      <c r="M59" s="132"/>
      <c r="N59" s="456">
        <f t="shared" si="74"/>
        <v>1.0904582799999787</v>
      </c>
      <c r="O59" s="458">
        <f t="shared" si="75"/>
        <v>9.3579752739301417E-3</v>
      </c>
      <c r="P59" s="52"/>
      <c r="Q59" s="455">
        <f>Q53</f>
        <v>0.23499999999999999</v>
      </c>
      <c r="R59" s="416"/>
      <c r="S59" s="456">
        <f>Q59*S56</f>
        <v>119.15686806399998</v>
      </c>
      <c r="T59" s="132"/>
      <c r="U59" s="456">
        <f t="shared" si="76"/>
        <v>1.5392500000000098</v>
      </c>
      <c r="V59" s="458">
        <f t="shared" si="77"/>
        <v>1.3086899950332683E-2</v>
      </c>
      <c r="W59" s="52"/>
      <c r="X59" s="455">
        <f>X53</f>
        <v>0.23499999999999999</v>
      </c>
      <c r="Y59" s="416"/>
      <c r="Z59" s="456">
        <f>X59*Z56</f>
        <v>120.95461806399997</v>
      </c>
      <c r="AA59" s="132"/>
      <c r="AB59" s="456">
        <f t="shared" si="78"/>
        <v>1.7977499999999935</v>
      </c>
      <c r="AC59" s="458">
        <f t="shared" si="79"/>
        <v>1.5087254551155284E-2</v>
      </c>
      <c r="AD59" s="52"/>
      <c r="AE59" s="455">
        <f>AE53</f>
        <v>0.23499999999999999</v>
      </c>
      <c r="AF59" s="416"/>
      <c r="AG59" s="456">
        <f>AE59*AG56</f>
        <v>121.48571806399997</v>
      </c>
      <c r="AH59" s="132"/>
      <c r="AI59" s="456">
        <f t="shared" si="80"/>
        <v>0.53109999999999502</v>
      </c>
      <c r="AJ59" s="458">
        <f t="shared" si="81"/>
        <v>4.3909030386832968E-3</v>
      </c>
      <c r="AK59" s="52"/>
      <c r="AL59" s="455">
        <f>AL53</f>
        <v>0.23499999999999999</v>
      </c>
      <c r="AM59" s="416"/>
      <c r="AN59" s="456">
        <f>AL59*AN56</f>
        <v>121.92986806399999</v>
      </c>
      <c r="AO59" s="132"/>
      <c r="AP59" s="456">
        <f t="shared" si="82"/>
        <v>0.44415000000002181</v>
      </c>
      <c r="AQ59" s="458">
        <f t="shared" si="83"/>
        <v>3.6559853049231588E-3</v>
      </c>
      <c r="AR59" s="459"/>
      <c r="AS59" s="3"/>
      <c r="AT59" s="3"/>
    </row>
    <row r="60" spans="1:46" ht="12" customHeight="1">
      <c r="A60" s="52"/>
      <c r="B60" s="634" t="s">
        <v>325</v>
      </c>
      <c r="C60" s="615"/>
      <c r="D60" s="615"/>
      <c r="E60" s="460"/>
      <c r="F60" s="468"/>
      <c r="G60" s="494"/>
      <c r="H60" s="495">
        <f>H58-H59</f>
        <v>443.79492768800003</v>
      </c>
      <c r="I60" s="469"/>
      <c r="J60" s="468"/>
      <c r="K60" s="469"/>
      <c r="L60" s="470">
        <f>L58-L59</f>
        <v>447.94794964799985</v>
      </c>
      <c r="M60" s="471"/>
      <c r="N60" s="472">
        <f t="shared" si="74"/>
        <v>4.153021959999819</v>
      </c>
      <c r="O60" s="473">
        <f t="shared" si="75"/>
        <v>9.3579752739299145E-3</v>
      </c>
      <c r="P60" s="52"/>
      <c r="Q60" s="468"/>
      <c r="R60" s="469"/>
      <c r="S60" s="470">
        <f>S58-S59</f>
        <v>453.81019964799992</v>
      </c>
      <c r="T60" s="471"/>
      <c r="U60" s="472">
        <f t="shared" si="76"/>
        <v>5.8622500000000741</v>
      </c>
      <c r="V60" s="473">
        <f t="shared" si="77"/>
        <v>1.3086899950332766E-2</v>
      </c>
      <c r="W60" s="52"/>
      <c r="X60" s="468"/>
      <c r="Y60" s="469"/>
      <c r="Z60" s="470">
        <f>Z58-Z59</f>
        <v>460.65694964799991</v>
      </c>
      <c r="AA60" s="471"/>
      <c r="AB60" s="472">
        <f t="shared" si="78"/>
        <v>6.8467499999999859</v>
      </c>
      <c r="AC60" s="473">
        <f t="shared" si="79"/>
        <v>1.5087254551155308E-2</v>
      </c>
      <c r="AD60" s="52"/>
      <c r="AE60" s="468"/>
      <c r="AF60" s="469"/>
      <c r="AG60" s="470">
        <f>AG58-AG59</f>
        <v>462.67964964799984</v>
      </c>
      <c r="AH60" s="471"/>
      <c r="AI60" s="472">
        <f t="shared" si="80"/>
        <v>2.0226999999999293</v>
      </c>
      <c r="AJ60" s="473">
        <f t="shared" si="81"/>
        <v>4.3909030386831841E-3</v>
      </c>
      <c r="AK60" s="52"/>
      <c r="AL60" s="468"/>
      <c r="AM60" s="469"/>
      <c r="AN60" s="470">
        <f>AN58-AN59</f>
        <v>464.37119964799996</v>
      </c>
      <c r="AO60" s="471"/>
      <c r="AP60" s="472">
        <f t="shared" si="82"/>
        <v>1.6915500000001202</v>
      </c>
      <c r="AQ60" s="473">
        <f t="shared" si="83"/>
        <v>3.6559853049232395E-3</v>
      </c>
      <c r="AR60" s="467"/>
      <c r="AS60" s="3"/>
      <c r="AT60" s="3"/>
    </row>
    <row r="61" spans="1:46"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c r="AS61" s="3"/>
      <c r="AT61" s="3"/>
    </row>
    <row r="62" spans="1:46"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c r="AS62" s="3"/>
      <c r="AT62" s="3"/>
    </row>
    <row r="63" spans="1:46"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c r="AS63" s="3"/>
      <c r="AT63" s="3"/>
    </row>
    <row r="64" spans="1:46"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3"/>
      <c r="AT64" s="3"/>
    </row>
    <row r="65" spans="1:46" ht="12" customHeight="1">
      <c r="A65" s="52" t="s">
        <v>331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3"/>
      <c r="AT65" s="3"/>
    </row>
    <row r="66" spans="1:46"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row>
    <row r="67" spans="1:46" ht="12" customHeight="1">
      <c r="A67" s="52" t="s">
        <v>332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row>
    <row r="68" spans="1:46" ht="12" customHeight="1">
      <c r="A68" s="52" t="s">
        <v>333</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row>
    <row r="69" spans="1:46" ht="12" customHeight="1">
      <c r="A69" s="52" t="s">
        <v>334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row>
    <row r="70" spans="1:46" ht="12" customHeight="1">
      <c r="A70" s="52" t="s">
        <v>335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row>
    <row r="71" spans="1:46" ht="12" customHeight="1">
      <c r="A71" s="52" t="s">
        <v>336</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row>
    <row r="72" spans="1:46"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row>
    <row r="73" spans="1:46" ht="12" customHeight="1">
      <c r="A73" s="479"/>
      <c r="B73" s="52" t="s">
        <v>337</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row>
    <row r="74" spans="1:46"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row>
    <row r="75" spans="1:46" ht="12" customHeight="1">
      <c r="A75" s="52"/>
      <c r="B75" s="52" t="s">
        <v>338</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row>
    <row r="76" spans="1:46"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row>
    <row r="77" spans="1:46"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row>
    <row r="78" spans="1:46"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row>
    <row r="79" spans="1:46"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row>
    <row r="80" spans="1:46"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row>
    <row r="81" spans="1:46"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row>
    <row r="82" spans="1:46"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row>
    <row r="83" spans="1:46"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row>
    <row r="84" spans="1:46"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row>
    <row r="85" spans="1:46"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row>
    <row r="86" spans="1:46"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row>
    <row r="87" spans="1:46"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row>
    <row r="88" spans="1:46"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row>
    <row r="89" spans="1:46"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row>
    <row r="90" spans="1:46"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row>
    <row r="91" spans="1:46"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row>
    <row r="92" spans="1:46"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row>
    <row r="93" spans="1:46"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row>
    <row r="94" spans="1:46"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row>
    <row r="95" spans="1:46"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row>
    <row r="96" spans="1:46"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row>
    <row r="97" spans="1:46"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row>
    <row r="98" spans="1:46"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row>
    <row r="99" spans="1:46"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row>
    <row r="100" spans="1:46"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row>
    <row r="101" spans="1:46"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row>
    <row r="102" spans="1:46"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row>
    <row r="103" spans="1:46"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row>
    <row r="104" spans="1:46"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row>
    <row r="105" spans="1:46"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row>
    <row r="106" spans="1:46"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row>
    <row r="107" spans="1:46"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row>
    <row r="108" spans="1:46"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row>
    <row r="109" spans="1:46"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row>
    <row r="110" spans="1:46"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row>
    <row r="111" spans="1:46"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row>
    <row r="112" spans="1:46"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row>
    <row r="113" spans="1:46"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row>
    <row r="114" spans="1:46"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row>
    <row r="115" spans="1:46"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row>
    <row r="116" spans="1:46"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row>
    <row r="117" spans="1:46"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row>
    <row r="118" spans="1:46"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row>
    <row r="119" spans="1:46"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row>
    <row r="120" spans="1:46"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row>
    <row r="121" spans="1:46"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row>
    <row r="122" spans="1:46"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row>
    <row r="123" spans="1:46"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row>
    <row r="124" spans="1:46"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row>
    <row r="125" spans="1:46"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row>
    <row r="126" spans="1:46"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row>
    <row r="127" spans="1:46"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row>
    <row r="128" spans="1:46"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row>
    <row r="129" spans="1:46"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row>
    <row r="130" spans="1:46"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row>
    <row r="131" spans="1:46"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row>
    <row r="132" spans="1:46"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row>
    <row r="133" spans="1:46"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row>
    <row r="134" spans="1:46"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row>
    <row r="135" spans="1:46"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row>
    <row r="136" spans="1:46"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row>
    <row r="137" spans="1:46"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row>
    <row r="138" spans="1:46"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row>
    <row r="139" spans="1:46"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row>
    <row r="140" spans="1:46"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row>
    <row r="141" spans="1:46"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row>
    <row r="142" spans="1:46"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row>
    <row r="143" spans="1:46"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row>
    <row r="144" spans="1:46"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row>
    <row r="145" spans="1:46"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row>
    <row r="146" spans="1:46"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row>
    <row r="147" spans="1:46"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row>
    <row r="148" spans="1:46"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row>
    <row r="149" spans="1:46"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row>
    <row r="150" spans="1:46"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row>
    <row r="151" spans="1:46"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row>
    <row r="152" spans="1:46"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row>
    <row r="153" spans="1:46"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row>
    <row r="154" spans="1:46"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row>
    <row r="155" spans="1:46"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row>
    <row r="156" spans="1:46"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row>
    <row r="157" spans="1:46"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row>
    <row r="158" spans="1:46"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row>
    <row r="159" spans="1:46"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row>
    <row r="160" spans="1:46"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row>
    <row r="161" spans="1:46"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row>
    <row r="162" spans="1:46"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row>
    <row r="163" spans="1:46"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row>
    <row r="164" spans="1:46"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row>
    <row r="165" spans="1:46"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row>
    <row r="166" spans="1:46"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row>
    <row r="167" spans="1:46"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row>
    <row r="168" spans="1:46"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row>
    <row r="169" spans="1:46"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row>
    <row r="170" spans="1:46"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row>
    <row r="171" spans="1:46"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row>
    <row r="172" spans="1:46"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row>
    <row r="173" spans="1:46"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row>
    <row r="174" spans="1:46"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row>
    <row r="175" spans="1:46"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row>
    <row r="176" spans="1:46"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row>
    <row r="177" spans="1:46"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row>
    <row r="178" spans="1:46"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row>
    <row r="179" spans="1:46"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row>
    <row r="180" spans="1:46"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row>
    <row r="181" spans="1:46"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row>
    <row r="182" spans="1:46"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row>
    <row r="183" spans="1:46"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row>
    <row r="184" spans="1:46"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row>
    <row r="185" spans="1:46"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row>
    <row r="186" spans="1:46"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row>
    <row r="187" spans="1:46"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row>
    <row r="188" spans="1:46"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row>
    <row r="189" spans="1:46"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row>
    <row r="190" spans="1:46"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row>
    <row r="191" spans="1:46"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3"/>
      <c r="AS191" s="3"/>
      <c r="AT191" s="3"/>
    </row>
    <row r="192" spans="1:46"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row>
    <row r="193" spans="1:46"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row>
    <row r="194" spans="1:46"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row>
    <row r="195" spans="1:46"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row>
    <row r="196" spans="1:46"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row>
    <row r="197" spans="1:46"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row>
    <row r="198" spans="1:46"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row>
    <row r="199" spans="1:46"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row>
    <row r="200" spans="1:46"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row>
    <row r="201" spans="1:46"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row>
    <row r="202" spans="1:46"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row>
    <row r="203" spans="1:46"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row>
    <row r="204" spans="1:46"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row>
    <row r="205" spans="1:46"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row>
    <row r="206" spans="1:46"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row>
    <row r="207" spans="1:46"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row>
    <row r="208" spans="1:46"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row>
    <row r="209" spans="1:46"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row>
    <row r="210" spans="1:46"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row>
    <row r="211" spans="1:46"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row>
    <row r="212" spans="1:46"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row>
    <row r="213" spans="1:46"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row>
    <row r="214" spans="1:46"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row>
    <row r="215" spans="1:46"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row>
    <row r="216" spans="1:46"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row>
    <row r="217" spans="1:46"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row>
    <row r="218" spans="1:46"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row>
    <row r="219" spans="1:46"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row>
    <row r="220" spans="1:46"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row>
    <row r="221" spans="1:46"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row>
    <row r="222" spans="1:46"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row>
    <row r="223" spans="1:46"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row>
    <row r="224" spans="1:46"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row>
    <row r="225" spans="1:46"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row>
    <row r="226" spans="1:46"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row>
    <row r="227" spans="1:46"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row>
    <row r="228" spans="1:46"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row>
    <row r="229" spans="1:46"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row>
    <row r="230" spans="1:46"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row>
    <row r="231" spans="1:46"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row>
    <row r="232" spans="1:46"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row>
    <row r="233" spans="1:46"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row>
    <row r="234" spans="1:46"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row>
    <row r="235" spans="1:46"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row>
    <row r="236" spans="1:46"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row>
    <row r="237" spans="1:46"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row>
    <row r="238" spans="1:46"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row>
    <row r="239" spans="1:46"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row>
    <row r="240" spans="1:46"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row>
    <row r="241" spans="1:46"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row>
    <row r="242" spans="1:46"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row>
    <row r="243" spans="1:46"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row>
    <row r="244" spans="1:46"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row>
    <row r="245" spans="1:46"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row>
    <row r="246" spans="1:46"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row>
    <row r="247" spans="1:46"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row>
    <row r="248" spans="1:46"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row>
    <row r="249" spans="1:46"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row>
    <row r="250" spans="1:46"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row>
    <row r="251" spans="1:46"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row>
    <row r="252" spans="1:46"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row>
    <row r="253" spans="1:46"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row>
    <row r="254" spans="1:46"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row>
    <row r="255" spans="1:46"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row>
    <row r="256" spans="1:46"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row>
    <row r="257" spans="1:46"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row>
    <row r="258" spans="1:46"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row>
    <row r="259" spans="1:46"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row>
    <row r="260" spans="1:46"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row>
    <row r="261" spans="1:46"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row>
    <row r="262" spans="1:46"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row>
    <row r="263" spans="1:46"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row>
    <row r="264" spans="1:46"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row>
    <row r="265" spans="1:46"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row>
    <row r="266" spans="1:46"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row>
    <row r="267" spans="1:46"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row>
    <row r="268" spans="1:46"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row>
    <row r="269" spans="1:46"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row>
    <row r="270" spans="1:46"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row>
    <row r="271" spans="1:46"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row>
    <row r="272" spans="1:46"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row>
    <row r="273" spans="1:46"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row>
    <row r="274" spans="1:46"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row>
    <row r="275" spans="1:46"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row>
    <row r="276" spans="1:4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400-000000000000}">
      <formula1>"TOU,non-TOU"</formula1>
    </dataValidation>
    <dataValidation type="list" allowBlank="1" showErrorMessage="1" sqref="E15:E28 E30:E36 E38:E39 E41:E49 E55 E61" xr:uid="{00000000-0002-0000-1400-000001000000}">
      <formula1>#REF!</formula1>
    </dataValidation>
    <dataValidation type="list" allowBlank="1" showInputMessage="1" showErrorMessage="1" prompt="Select Charge Unit - monthly, per kWh, per kW" sqref="D15:D28 D30:D36 D38:D39 D41:D49 D55 D61" xr:uid="{00000000-0002-0000-1400-000002000000}">
      <formula1>"Monthly,per kWh,per kW"</formula1>
    </dataValidation>
  </dataValidations>
  <pageMargins left="0.74803149606299213" right="0.74803149606299213" top="0.98425196850393704" bottom="0.98425196850393704"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11" customWidth="1"/>
    <col min="20" max="20" width="0.42578125" customWidth="1"/>
    <col min="21" max="21" width="9.42578125" customWidth="1"/>
    <col min="22" max="22" width="10" customWidth="1"/>
    <col min="23" max="23" width="1" customWidth="1"/>
    <col min="24" max="24" width="10.42578125" customWidth="1"/>
    <col min="25" max="25" width="8"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11" customWidth="1"/>
    <col min="41" max="41" width="0.42578125" customWidth="1"/>
    <col min="42" max="42" width="9.42578125" customWidth="1"/>
    <col min="43" max="43" width="10" customWidth="1"/>
    <col min="44" max="44" width="0.7109375" customWidth="1"/>
    <col min="45" max="47" width="12.42578125" customWidth="1"/>
  </cols>
  <sheetData>
    <row r="1" spans="1:47"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7"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7"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7"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7"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7" ht="12" customHeight="1">
      <c r="A6" s="52"/>
      <c r="B6" s="320" t="s">
        <v>298</v>
      </c>
      <c r="C6" s="52"/>
      <c r="D6" s="504" t="s">
        <v>223</v>
      </c>
      <c r="E6" s="505"/>
      <c r="F6" s="505"/>
      <c r="G6" s="505"/>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row>
    <row r="7" spans="1:47"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7"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7"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7" ht="12" customHeight="1">
      <c r="A10" s="52"/>
      <c r="B10" s="52"/>
      <c r="C10" s="52"/>
      <c r="D10" s="307" t="s">
        <v>301</v>
      </c>
      <c r="E10" s="307"/>
      <c r="F10" s="385">
        <v>5000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7"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7"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7"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7"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7" ht="12" customHeight="1">
      <c r="A15" s="52"/>
      <c r="B15" s="321" t="s">
        <v>221</v>
      </c>
      <c r="C15" s="394" t="str">
        <f t="shared" ref="C15:C28" si="0">D$6&amp;"."&amp;B15</f>
        <v>General Service &lt; 50 kW.Monthly Service Charge</v>
      </c>
      <c r="D15" s="395" t="s">
        <v>310</v>
      </c>
      <c r="E15" s="321"/>
      <c r="F15" s="396">
        <f>IFERROR(VLOOKUP($C15,'Proposed Rates'!$B:$J,F$11,FALSE),0)</f>
        <v>23.53</v>
      </c>
      <c r="G15" s="397">
        <f t="shared" ref="G15:G28" si="1">IF($D15="Monthly",1,IF($D15="per KWH",$F$10,0))</f>
        <v>1</v>
      </c>
      <c r="H15" s="399">
        <f t="shared" ref="H15:H28" si="2">G15*F15</f>
        <v>23.53</v>
      </c>
      <c r="I15" s="132"/>
      <c r="J15" s="396">
        <f>IFERROR(VLOOKUP($C15,'Proposed Rates'!$B:$J,J$11,FALSE),0)</f>
        <v>27.14</v>
      </c>
      <c r="K15" s="397">
        <f t="shared" ref="K15:K28" si="3">IF($D15="Monthly",1,IF($D15="per KWH",$F$10,0))</f>
        <v>1</v>
      </c>
      <c r="L15" s="399">
        <f t="shared" ref="L15:L28" si="4">K15*J15</f>
        <v>27.14</v>
      </c>
      <c r="M15" s="132"/>
      <c r="N15" s="400">
        <f t="shared" ref="N15:N48" si="5">L15-H15</f>
        <v>3.6099999999999994</v>
      </c>
      <c r="O15" s="401">
        <f t="shared" ref="O15:O48" si="6">IF((H15)=0,"",(N15/H15))</f>
        <v>0.15342116447088819</v>
      </c>
      <c r="P15" s="52"/>
      <c r="Q15" s="396">
        <f>IFERROR(VLOOKUP($C15,'Proposed Rates'!$B:$J,Q$11,FALSE),0)</f>
        <v>28.41</v>
      </c>
      <c r="R15" s="397">
        <f t="shared" ref="R15:R28" si="7">IF($D15="Monthly",1,IF($D15="per KWH",$F$10,0))</f>
        <v>1</v>
      </c>
      <c r="S15" s="399">
        <f t="shared" ref="S15:S28" si="8">R15*Q15</f>
        <v>28.41</v>
      </c>
      <c r="T15" s="132"/>
      <c r="U15" s="400">
        <f t="shared" ref="U15:U48" si="9">S15-L15</f>
        <v>1.2699999999999996</v>
      </c>
      <c r="V15" s="401">
        <f t="shared" ref="V15:V48" si="10">IF((L15)=0,"",(U15/L15))</f>
        <v>4.6794399410464239E-2</v>
      </c>
      <c r="W15" s="52"/>
      <c r="X15" s="396">
        <f>IFERROR(VLOOKUP($C15,'Proposed Rates'!$B:$J,X$11,FALSE),0)</f>
        <v>30.29</v>
      </c>
      <c r="Y15" s="397">
        <f t="shared" ref="Y15:Y28" si="11">IF($D15="Monthly",1,IF($D15="per KWH",$F$10,0))</f>
        <v>1</v>
      </c>
      <c r="Z15" s="399">
        <f t="shared" ref="Z15:Z28" si="12">Y15*X15</f>
        <v>30.29</v>
      </c>
      <c r="AA15" s="132"/>
      <c r="AB15" s="400">
        <f t="shared" ref="AB15:AB48" si="13">Z15-S15</f>
        <v>1.879999999999999</v>
      </c>
      <c r="AC15" s="401">
        <f t="shared" ref="AC15:AC48" si="14">IF((S15)=0,"",(AB15/S15))</f>
        <v>6.6173882435762027E-2</v>
      </c>
      <c r="AD15" s="52"/>
      <c r="AE15" s="396">
        <f>IFERROR(VLOOKUP($C15,'Proposed Rates'!$B:$J,AE$11,FALSE),0)</f>
        <v>30.86</v>
      </c>
      <c r="AF15" s="397">
        <f t="shared" ref="AF15:AF28" si="15">IF($D15="Monthly",1,IF($D15="per KWH",$F$10,0))</f>
        <v>1</v>
      </c>
      <c r="AG15" s="399">
        <f t="shared" ref="AG15:AG28" si="16">AF15*AE15</f>
        <v>30.86</v>
      </c>
      <c r="AH15" s="132"/>
      <c r="AI15" s="400">
        <f t="shared" ref="AI15:AI48" si="17">AG15-Z15</f>
        <v>0.57000000000000028</v>
      </c>
      <c r="AJ15" s="401">
        <f t="shared" ref="AJ15:AJ48" si="18">IF((Z15)=0,"",(AI15/Z15))</f>
        <v>1.8818091779465178E-2</v>
      </c>
      <c r="AK15" s="52"/>
      <c r="AL15" s="396">
        <f>IFERROR(VLOOKUP($C15,'Proposed Rates'!$B:$J,AL$11,FALSE),0)</f>
        <v>31.3</v>
      </c>
      <c r="AM15" s="397">
        <f t="shared" ref="AM15:AM28" si="19">IF($D15="Monthly",1,IF($D15="per KWH",$F$10,0))</f>
        <v>1</v>
      </c>
      <c r="AN15" s="399">
        <f t="shared" ref="AN15:AN16" si="20">AM15*AL15</f>
        <v>31.3</v>
      </c>
      <c r="AO15" s="132"/>
      <c r="AP15" s="400">
        <f t="shared" ref="AP15:AP48" si="21">AN15-AG15</f>
        <v>0.44000000000000128</v>
      </c>
      <c r="AQ15" s="401">
        <f t="shared" ref="AQ15:AQ48" si="22">IF((AG15)=0,"",(AP15/AG15))</f>
        <v>1.4257939079714883E-2</v>
      </c>
      <c r="AR15" s="402"/>
    </row>
    <row r="16" spans="1:47" ht="12" customHeight="1">
      <c r="A16" s="52"/>
      <c r="B16" s="321" t="s">
        <v>311</v>
      </c>
      <c r="C16" s="394" t="str">
        <f t="shared" si="0"/>
        <v>General Service &lt; 50 kW.Smart Meter Rate Adder</v>
      </c>
      <c r="D16" s="395" t="s">
        <v>310</v>
      </c>
      <c r="E16" s="321"/>
      <c r="F16" s="413">
        <f>IFERROR(VLOOKUP($C16,'Proposed Rates'!$B:$J,F$11,FALSE),0)</f>
        <v>0</v>
      </c>
      <c r="G16" s="397">
        <f t="shared" si="1"/>
        <v>1</v>
      </c>
      <c r="H16" s="399">
        <f t="shared" si="2"/>
        <v>0</v>
      </c>
      <c r="I16" s="132"/>
      <c r="J16" s="413">
        <f>IFERROR(VLOOKUP($C16,'Proposed Rates'!$B:$J,J$11,FALSE),0)</f>
        <v>0</v>
      </c>
      <c r="K16" s="397">
        <f t="shared" si="3"/>
        <v>1</v>
      </c>
      <c r="L16" s="399">
        <f t="shared" si="4"/>
        <v>0</v>
      </c>
      <c r="M16" s="132"/>
      <c r="N16" s="400">
        <f t="shared" si="5"/>
        <v>0</v>
      </c>
      <c r="O16" s="401" t="str">
        <f t="shared" si="6"/>
        <v/>
      </c>
      <c r="P16" s="52"/>
      <c r="Q16" s="413">
        <f>IFERROR(VLOOKUP($C16,'Proposed Rates'!$B:$J,Q$11,FALSE),0)</f>
        <v>0</v>
      </c>
      <c r="R16" s="397">
        <f t="shared" si="7"/>
        <v>1</v>
      </c>
      <c r="S16" s="399">
        <f t="shared" si="8"/>
        <v>0</v>
      </c>
      <c r="T16" s="132"/>
      <c r="U16" s="400">
        <f t="shared" si="9"/>
        <v>0</v>
      </c>
      <c r="V16" s="401" t="str">
        <f t="shared" si="10"/>
        <v/>
      </c>
      <c r="W16" s="52"/>
      <c r="X16" s="413">
        <f>IFERROR(VLOOKUP($C16,'Proposed Rates'!$B:$J,X$11,FALSE),0)</f>
        <v>0</v>
      </c>
      <c r="Y16" s="397">
        <f t="shared" si="11"/>
        <v>1</v>
      </c>
      <c r="Z16" s="399">
        <f t="shared" si="12"/>
        <v>0</v>
      </c>
      <c r="AA16" s="132"/>
      <c r="AB16" s="400">
        <f t="shared" si="13"/>
        <v>0</v>
      </c>
      <c r="AC16" s="401" t="str">
        <f t="shared" si="14"/>
        <v/>
      </c>
      <c r="AD16" s="52"/>
      <c r="AE16" s="413">
        <f>IFERROR(VLOOKUP($C16,'Proposed Rates'!$B:$J,AE$11,FALSE),0)</f>
        <v>0</v>
      </c>
      <c r="AF16" s="397">
        <f t="shared" si="15"/>
        <v>1</v>
      </c>
      <c r="AG16" s="399">
        <f t="shared" si="16"/>
        <v>0</v>
      </c>
      <c r="AH16" s="132"/>
      <c r="AI16" s="400">
        <f t="shared" si="17"/>
        <v>0</v>
      </c>
      <c r="AJ16" s="401" t="str">
        <f t="shared" si="18"/>
        <v/>
      </c>
      <c r="AK16" s="52"/>
      <c r="AL16" s="413">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General Service &lt; 50 kW.Rate Rider Calculation for PILs</v>
      </c>
      <c r="D17" s="395" t="s">
        <v>312</v>
      </c>
      <c r="E17" s="321"/>
      <c r="F17" s="413">
        <f>IFERROR(VLOOKUP($C17,'Proposed Rates'!$B:$J,F$11,FALSE),0)</f>
        <v>0</v>
      </c>
      <c r="G17" s="397">
        <f t="shared" si="1"/>
        <v>5000</v>
      </c>
      <c r="H17" s="399">
        <f t="shared" si="2"/>
        <v>0</v>
      </c>
      <c r="I17" s="132"/>
      <c r="J17" s="413">
        <f>IFERROR(VLOOKUP($C17,'Proposed Rates'!$B:$J,J$11,FALSE),0)</f>
        <v>0</v>
      </c>
      <c r="K17" s="397">
        <f t="shared" si="3"/>
        <v>5000</v>
      </c>
      <c r="L17" s="399">
        <f t="shared" si="4"/>
        <v>0</v>
      </c>
      <c r="M17" s="132"/>
      <c r="N17" s="400">
        <f t="shared" si="5"/>
        <v>0</v>
      </c>
      <c r="O17" s="401" t="str">
        <f t="shared" si="6"/>
        <v/>
      </c>
      <c r="P17" s="52"/>
      <c r="Q17" s="413">
        <f>IFERROR(VLOOKUP($C17,'Proposed Rates'!$B:$J,Q$11,FALSE),0)</f>
        <v>0</v>
      </c>
      <c r="R17" s="397">
        <f t="shared" si="7"/>
        <v>5000</v>
      </c>
      <c r="S17" s="399">
        <f t="shared" si="8"/>
        <v>0</v>
      </c>
      <c r="T17" s="132"/>
      <c r="U17" s="400">
        <f t="shared" si="9"/>
        <v>0</v>
      </c>
      <c r="V17" s="401" t="str">
        <f t="shared" si="10"/>
        <v/>
      </c>
      <c r="W17" s="52"/>
      <c r="X17" s="413">
        <f>IFERROR(VLOOKUP($C17,'Proposed Rates'!$B:$J,X$11,FALSE),0)</f>
        <v>0</v>
      </c>
      <c r="Y17" s="397">
        <f t="shared" si="11"/>
        <v>5000</v>
      </c>
      <c r="Z17" s="399">
        <f t="shared" si="12"/>
        <v>0</v>
      </c>
      <c r="AA17" s="132"/>
      <c r="AB17" s="400">
        <f t="shared" si="13"/>
        <v>0</v>
      </c>
      <c r="AC17" s="401" t="str">
        <f t="shared" si="14"/>
        <v/>
      </c>
      <c r="AD17" s="52"/>
      <c r="AE17" s="413">
        <f>IFERROR(VLOOKUP($C17,'Proposed Rates'!$B:$J,AE$11,FALSE),0)</f>
        <v>0</v>
      </c>
      <c r="AF17" s="397">
        <f t="shared" si="15"/>
        <v>5000</v>
      </c>
      <c r="AG17" s="399">
        <f t="shared" si="16"/>
        <v>0</v>
      </c>
      <c r="AH17" s="132"/>
      <c r="AI17" s="400">
        <f t="shared" si="17"/>
        <v>0</v>
      </c>
      <c r="AJ17" s="401" t="str">
        <f t="shared" si="18"/>
        <v/>
      </c>
      <c r="AK17" s="52"/>
      <c r="AL17" s="413">
        <f>IFERROR(VLOOKUP($C17,'Proposed Rates'!$B:$J,AL$11,FALSE),0)</f>
        <v>0</v>
      </c>
      <c r="AM17" s="397">
        <f t="shared" si="19"/>
        <v>5000</v>
      </c>
      <c r="AN17" s="399">
        <f t="shared" ref="AN17:AN18" si="23">AL17*AM17</f>
        <v>0</v>
      </c>
      <c r="AO17" s="132"/>
      <c r="AP17" s="400">
        <f t="shared" si="21"/>
        <v>0</v>
      </c>
      <c r="AQ17" s="401" t="str">
        <f t="shared" si="22"/>
        <v/>
      </c>
      <c r="AR17" s="402"/>
    </row>
    <row r="18" spans="1:44" ht="12" customHeight="1">
      <c r="A18" s="52"/>
      <c r="B18" s="403" t="str">
        <f>'Proposed Rates'!C128</f>
        <v>Rate Rider Calculation for Generic</v>
      </c>
      <c r="C18" s="394" t="str">
        <f t="shared" si="0"/>
        <v>General Service &lt; 50 kW.Rate Rider Calculation for Generic</v>
      </c>
      <c r="D18" s="395" t="s">
        <v>310</v>
      </c>
      <c r="E18" s="321"/>
      <c r="F18" s="413">
        <f>IFERROR(VLOOKUP($C18,'Proposed Rates'!$B:$J,F$11,FALSE),0)</f>
        <v>0</v>
      </c>
      <c r="G18" s="397">
        <f t="shared" si="1"/>
        <v>1</v>
      </c>
      <c r="H18" s="399">
        <f t="shared" si="2"/>
        <v>0</v>
      </c>
      <c r="I18" s="132"/>
      <c r="J18" s="413">
        <f>IFERROR(VLOOKUP($C18,'Proposed Rates'!$B:$J,J$11,FALSE),0)</f>
        <v>0</v>
      </c>
      <c r="K18" s="397">
        <f t="shared" si="3"/>
        <v>1</v>
      </c>
      <c r="L18" s="399">
        <f t="shared" si="4"/>
        <v>0</v>
      </c>
      <c r="M18" s="132"/>
      <c r="N18" s="400">
        <f t="shared" si="5"/>
        <v>0</v>
      </c>
      <c r="O18" s="401" t="str">
        <f t="shared" si="6"/>
        <v/>
      </c>
      <c r="P18" s="52"/>
      <c r="Q18" s="413">
        <f>IFERROR(VLOOKUP($C18,'Proposed Rates'!$B:$J,Q$11,FALSE),0)</f>
        <v>0</v>
      </c>
      <c r="R18" s="397">
        <f t="shared" si="7"/>
        <v>1</v>
      </c>
      <c r="S18" s="399">
        <f t="shared" si="8"/>
        <v>0</v>
      </c>
      <c r="T18" s="132"/>
      <c r="U18" s="400">
        <f t="shared" si="9"/>
        <v>0</v>
      </c>
      <c r="V18" s="401" t="str">
        <f t="shared" si="10"/>
        <v/>
      </c>
      <c r="W18" s="52"/>
      <c r="X18" s="413">
        <f>IFERROR(VLOOKUP($C18,'Proposed Rates'!$B:$J,X$11,FALSE),0)</f>
        <v>0</v>
      </c>
      <c r="Y18" s="397">
        <f t="shared" si="11"/>
        <v>1</v>
      </c>
      <c r="Z18" s="399">
        <f t="shared" si="12"/>
        <v>0</v>
      </c>
      <c r="AA18" s="132"/>
      <c r="AB18" s="400">
        <f t="shared" si="13"/>
        <v>0</v>
      </c>
      <c r="AC18" s="401" t="str">
        <f t="shared" si="14"/>
        <v/>
      </c>
      <c r="AD18" s="52"/>
      <c r="AE18" s="413">
        <f>IFERROR(VLOOKUP($C18,'Proposed Rates'!$B:$J,AE$11,FALSE),0)</f>
        <v>0</v>
      </c>
      <c r="AF18" s="397">
        <f t="shared" si="15"/>
        <v>1</v>
      </c>
      <c r="AG18" s="399">
        <f t="shared" si="16"/>
        <v>0</v>
      </c>
      <c r="AH18" s="132"/>
      <c r="AI18" s="400">
        <f t="shared" si="17"/>
        <v>0</v>
      </c>
      <c r="AJ18" s="401" t="str">
        <f t="shared" si="18"/>
        <v/>
      </c>
      <c r="AK18" s="52"/>
      <c r="AL18" s="413">
        <f>IFERROR(VLOOKUP($C18,'Proposed Rates'!$B:$J,AL$11,FALSE),0)</f>
        <v>0</v>
      </c>
      <c r="AM18" s="397">
        <f t="shared" si="19"/>
        <v>1</v>
      </c>
      <c r="AN18" s="399">
        <f t="shared" si="23"/>
        <v>0</v>
      </c>
      <c r="AO18" s="132"/>
      <c r="AP18" s="400">
        <f t="shared" si="21"/>
        <v>0</v>
      </c>
      <c r="AQ18" s="401" t="str">
        <f t="shared" si="22"/>
        <v/>
      </c>
      <c r="AR18" s="402"/>
    </row>
    <row r="19" spans="1:44" ht="12" customHeight="1">
      <c r="A19" s="52"/>
      <c r="B19" s="321" t="s">
        <v>59</v>
      </c>
      <c r="C19" s="394" t="str">
        <f t="shared" si="0"/>
        <v>General Service &lt; 50 kW.Distribution Volumetric Rate</v>
      </c>
      <c r="D19" s="395" t="s">
        <v>312</v>
      </c>
      <c r="E19" s="321"/>
      <c r="F19" s="413">
        <f>IFERROR(VLOOKUP($C19,'Proposed Rates'!$B:$J,F$11,FALSE),0)</f>
        <v>3.0499999999999999E-2</v>
      </c>
      <c r="G19" s="397">
        <f t="shared" si="1"/>
        <v>5000</v>
      </c>
      <c r="H19" s="399">
        <f t="shared" si="2"/>
        <v>152.5</v>
      </c>
      <c r="I19" s="132"/>
      <c r="J19" s="413">
        <f>IFERROR(VLOOKUP($C19,'Proposed Rates'!$B:$J,J$11,FALSE),0)</f>
        <v>3.5200000000000002E-2</v>
      </c>
      <c r="K19" s="397">
        <f t="shared" si="3"/>
        <v>5000</v>
      </c>
      <c r="L19" s="399">
        <f t="shared" si="4"/>
        <v>176</v>
      </c>
      <c r="M19" s="132"/>
      <c r="N19" s="400">
        <f t="shared" si="5"/>
        <v>23.5</v>
      </c>
      <c r="O19" s="401">
        <f t="shared" si="6"/>
        <v>0.1540983606557377</v>
      </c>
      <c r="P19" s="52"/>
      <c r="Q19" s="413">
        <f>IFERROR(VLOOKUP($C19,'Proposed Rates'!$B:$J,Q$11,FALSE),0)</f>
        <v>3.6900000000000002E-2</v>
      </c>
      <c r="R19" s="397">
        <f t="shared" si="7"/>
        <v>5000</v>
      </c>
      <c r="S19" s="399">
        <f t="shared" si="8"/>
        <v>184.5</v>
      </c>
      <c r="T19" s="132"/>
      <c r="U19" s="400">
        <f t="shared" si="9"/>
        <v>8.5</v>
      </c>
      <c r="V19" s="401">
        <f t="shared" si="10"/>
        <v>4.8295454545454544E-2</v>
      </c>
      <c r="W19" s="52"/>
      <c r="X19" s="413">
        <f>IFERROR(VLOOKUP($C19,'Proposed Rates'!$B:$J,X$11,FALSE),0)</f>
        <v>3.9300000000000002E-2</v>
      </c>
      <c r="Y19" s="397">
        <f t="shared" si="11"/>
        <v>5000</v>
      </c>
      <c r="Z19" s="399">
        <f t="shared" si="12"/>
        <v>196.5</v>
      </c>
      <c r="AA19" s="132"/>
      <c r="AB19" s="400">
        <f t="shared" si="13"/>
        <v>12</v>
      </c>
      <c r="AC19" s="401">
        <f t="shared" si="14"/>
        <v>6.5040650406504072E-2</v>
      </c>
      <c r="AD19" s="52"/>
      <c r="AE19" s="413">
        <f>IFERROR(VLOOKUP($C19,'Proposed Rates'!$B:$J,AE$11,FALSE),0)</f>
        <v>0.04</v>
      </c>
      <c r="AF19" s="397">
        <f t="shared" si="15"/>
        <v>5000</v>
      </c>
      <c r="AG19" s="399">
        <f t="shared" si="16"/>
        <v>200</v>
      </c>
      <c r="AH19" s="132"/>
      <c r="AI19" s="400">
        <f t="shared" si="17"/>
        <v>3.5</v>
      </c>
      <c r="AJ19" s="401">
        <f t="shared" si="18"/>
        <v>1.7811704834605598E-2</v>
      </c>
      <c r="AK19" s="52"/>
      <c r="AL19" s="413">
        <f>IFERROR(VLOOKUP($C19,'Proposed Rates'!$B:$J,AL$11,FALSE),0)</f>
        <v>4.0599999999999997E-2</v>
      </c>
      <c r="AM19" s="397">
        <f t="shared" si="19"/>
        <v>5000</v>
      </c>
      <c r="AN19" s="399">
        <f t="shared" ref="AN19:AN28" si="24">AM19*AL19</f>
        <v>203</v>
      </c>
      <c r="AO19" s="132"/>
      <c r="AP19" s="400">
        <f t="shared" si="21"/>
        <v>3</v>
      </c>
      <c r="AQ19" s="401">
        <f t="shared" si="22"/>
        <v>1.4999999999999999E-2</v>
      </c>
      <c r="AR19" s="402"/>
    </row>
    <row r="20" spans="1:44" ht="12" customHeight="1">
      <c r="A20" s="52"/>
      <c r="B20" s="321" t="s">
        <v>313</v>
      </c>
      <c r="C20" s="394" t="str">
        <f t="shared" si="0"/>
        <v>General Service &lt; 50 kW.Smart Meter Disposition Rider</v>
      </c>
      <c r="D20" s="395" t="s">
        <v>312</v>
      </c>
      <c r="E20" s="321"/>
      <c r="F20" s="413">
        <f>IFERROR(VLOOKUP($C20,'Proposed Rates'!$B:$J,F$11,FALSE),0)</f>
        <v>0</v>
      </c>
      <c r="G20" s="397">
        <f t="shared" si="1"/>
        <v>5000</v>
      </c>
      <c r="H20" s="399">
        <f t="shared" si="2"/>
        <v>0</v>
      </c>
      <c r="I20" s="132"/>
      <c r="J20" s="413">
        <f>IFERROR(VLOOKUP($C20,'Proposed Rates'!$B:$J,J$11,FALSE),0)</f>
        <v>0</v>
      </c>
      <c r="K20" s="397">
        <f t="shared" si="3"/>
        <v>5000</v>
      </c>
      <c r="L20" s="399">
        <f t="shared" si="4"/>
        <v>0</v>
      </c>
      <c r="M20" s="132"/>
      <c r="N20" s="400">
        <f t="shared" si="5"/>
        <v>0</v>
      </c>
      <c r="O20" s="401" t="str">
        <f t="shared" si="6"/>
        <v/>
      </c>
      <c r="P20" s="52"/>
      <c r="Q20" s="413">
        <f>IFERROR(VLOOKUP($C20,'Proposed Rates'!$B:$J,Q$11,FALSE),0)</f>
        <v>0</v>
      </c>
      <c r="R20" s="397">
        <f t="shared" si="7"/>
        <v>5000</v>
      </c>
      <c r="S20" s="399">
        <f t="shared" si="8"/>
        <v>0</v>
      </c>
      <c r="T20" s="132"/>
      <c r="U20" s="400">
        <f t="shared" si="9"/>
        <v>0</v>
      </c>
      <c r="V20" s="401" t="str">
        <f t="shared" si="10"/>
        <v/>
      </c>
      <c r="W20" s="52"/>
      <c r="X20" s="413">
        <f>IFERROR(VLOOKUP($C20,'Proposed Rates'!$B:$J,X$11,FALSE),0)</f>
        <v>0</v>
      </c>
      <c r="Y20" s="397">
        <f t="shared" si="11"/>
        <v>5000</v>
      </c>
      <c r="Z20" s="399">
        <f t="shared" si="12"/>
        <v>0</v>
      </c>
      <c r="AA20" s="132"/>
      <c r="AB20" s="400">
        <f t="shared" si="13"/>
        <v>0</v>
      </c>
      <c r="AC20" s="401" t="str">
        <f t="shared" si="14"/>
        <v/>
      </c>
      <c r="AD20" s="52"/>
      <c r="AE20" s="413">
        <f>IFERROR(VLOOKUP($C20,'Proposed Rates'!$B:$J,AE$11,FALSE),0)</f>
        <v>0</v>
      </c>
      <c r="AF20" s="397">
        <f t="shared" si="15"/>
        <v>5000</v>
      </c>
      <c r="AG20" s="399">
        <f t="shared" si="16"/>
        <v>0</v>
      </c>
      <c r="AH20" s="132"/>
      <c r="AI20" s="400">
        <f t="shared" si="17"/>
        <v>0</v>
      </c>
      <c r="AJ20" s="401" t="str">
        <f t="shared" si="18"/>
        <v/>
      </c>
      <c r="AK20" s="52"/>
      <c r="AL20" s="413">
        <f>IFERROR(VLOOKUP($C20,'Proposed Rates'!$B:$J,AL$11,FALSE),0)</f>
        <v>0</v>
      </c>
      <c r="AM20" s="397">
        <f t="shared" si="19"/>
        <v>5000</v>
      </c>
      <c r="AN20" s="399">
        <f t="shared" si="24"/>
        <v>0</v>
      </c>
      <c r="AO20" s="132"/>
      <c r="AP20" s="400">
        <f t="shared" si="21"/>
        <v>0</v>
      </c>
      <c r="AQ20" s="401" t="str">
        <f t="shared" si="22"/>
        <v/>
      </c>
      <c r="AR20" s="402"/>
    </row>
    <row r="21" spans="1:44" ht="12" customHeight="1">
      <c r="A21" s="52"/>
      <c r="B21" s="321" t="s">
        <v>244</v>
      </c>
      <c r="C21" s="394" t="str">
        <f t="shared" si="0"/>
        <v>General Service &lt; 50 kW.LRAM Rate Rider</v>
      </c>
      <c r="D21" s="395" t="s">
        <v>312</v>
      </c>
      <c r="E21" s="321"/>
      <c r="F21" s="413">
        <f>'Proposed Rates'!E78+'Proposed Rates'!E91</f>
        <v>6.9999999999999999E-4</v>
      </c>
      <c r="G21" s="397">
        <f t="shared" si="1"/>
        <v>5000</v>
      </c>
      <c r="H21" s="399">
        <f t="shared" si="2"/>
        <v>3.5</v>
      </c>
      <c r="I21" s="132"/>
      <c r="J21" s="413">
        <f>'Proposed Rates'!F78+'Proposed Rates'!F91</f>
        <v>4.0000000000000002E-4</v>
      </c>
      <c r="K21" s="397">
        <f t="shared" si="3"/>
        <v>5000</v>
      </c>
      <c r="L21" s="399">
        <f t="shared" si="4"/>
        <v>2</v>
      </c>
      <c r="M21" s="132"/>
      <c r="N21" s="400">
        <f t="shared" si="5"/>
        <v>-1.5</v>
      </c>
      <c r="O21" s="401">
        <f t="shared" si="6"/>
        <v>-0.42857142857142855</v>
      </c>
      <c r="P21" s="52"/>
      <c r="Q21" s="413">
        <f>'Proposed Rates'!G78+'Proposed Rates'!G91</f>
        <v>0</v>
      </c>
      <c r="R21" s="397">
        <f t="shared" si="7"/>
        <v>5000</v>
      </c>
      <c r="S21" s="399">
        <f t="shared" si="8"/>
        <v>0</v>
      </c>
      <c r="T21" s="132"/>
      <c r="U21" s="400">
        <f t="shared" si="9"/>
        <v>-2</v>
      </c>
      <c r="V21" s="401">
        <f t="shared" si="10"/>
        <v>-1</v>
      </c>
      <c r="W21" s="52"/>
      <c r="X21" s="413">
        <f>IFERROR(VLOOKUP($C21,'Proposed Rates'!$B:$J,X$11,FALSE),0)</f>
        <v>0</v>
      </c>
      <c r="Y21" s="397">
        <f t="shared" si="11"/>
        <v>5000</v>
      </c>
      <c r="Z21" s="399">
        <f t="shared" si="12"/>
        <v>0</v>
      </c>
      <c r="AA21" s="132"/>
      <c r="AB21" s="400">
        <f t="shared" si="13"/>
        <v>0</v>
      </c>
      <c r="AC21" s="401" t="str">
        <f t="shared" si="14"/>
        <v/>
      </c>
      <c r="AD21" s="52"/>
      <c r="AE21" s="413">
        <f>IFERROR(VLOOKUP($C21,'Proposed Rates'!$B:$J,AE$11,FALSE),0)</f>
        <v>0</v>
      </c>
      <c r="AF21" s="397">
        <f t="shared" si="15"/>
        <v>5000</v>
      </c>
      <c r="AG21" s="399">
        <f t="shared" si="16"/>
        <v>0</v>
      </c>
      <c r="AH21" s="132"/>
      <c r="AI21" s="400">
        <f t="shared" si="17"/>
        <v>0</v>
      </c>
      <c r="AJ21" s="401" t="str">
        <f t="shared" si="18"/>
        <v/>
      </c>
      <c r="AK21" s="52"/>
      <c r="AL21" s="413">
        <f>IFERROR(VLOOKUP($C21,'Proposed Rates'!$B:$J,AL$11,FALSE),0)</f>
        <v>0</v>
      </c>
      <c r="AM21" s="397">
        <f t="shared" si="19"/>
        <v>5000</v>
      </c>
      <c r="AN21" s="399">
        <f t="shared" si="24"/>
        <v>0</v>
      </c>
      <c r="AO21" s="132"/>
      <c r="AP21" s="400">
        <f t="shared" si="21"/>
        <v>0</v>
      </c>
      <c r="AQ21" s="401" t="str">
        <f t="shared" si="22"/>
        <v/>
      </c>
      <c r="AR21" s="402"/>
    </row>
    <row r="22" spans="1:44" ht="12" customHeight="1">
      <c r="A22" s="52"/>
      <c r="B22" s="403" t="s">
        <v>240</v>
      </c>
      <c r="C22" s="394" t="str">
        <f t="shared" si="0"/>
        <v>General Service &lt; 50 kW.Deferral/Variance Account Disposition Rate Rider Group 2</v>
      </c>
      <c r="D22" s="395" t="s">
        <v>312</v>
      </c>
      <c r="E22" s="321"/>
      <c r="F22" s="413">
        <f>IFERROR(VLOOKUP($C22,'Proposed Rates'!$B:$J,F$11,FALSE),0)</f>
        <v>0</v>
      </c>
      <c r="G22" s="397">
        <f t="shared" si="1"/>
        <v>5000</v>
      </c>
      <c r="H22" s="399">
        <f t="shared" si="2"/>
        <v>0</v>
      </c>
      <c r="I22" s="132"/>
      <c r="J22" s="413">
        <f>IFERROR(VLOOKUP($C22,'Proposed Rates'!$B:$J,J$11,FALSE),0)</f>
        <v>-8.0000000000000004E-4</v>
      </c>
      <c r="K22" s="397">
        <f t="shared" si="3"/>
        <v>5000</v>
      </c>
      <c r="L22" s="399">
        <f t="shared" si="4"/>
        <v>-4</v>
      </c>
      <c r="M22" s="132"/>
      <c r="N22" s="400">
        <f t="shared" si="5"/>
        <v>-4</v>
      </c>
      <c r="O22" s="401" t="str">
        <f t="shared" si="6"/>
        <v/>
      </c>
      <c r="P22" s="52"/>
      <c r="Q22" s="413">
        <f>IFERROR(VLOOKUP($C22,'Proposed Rates'!$B:$J,Q$11,FALSE),0)</f>
        <v>0</v>
      </c>
      <c r="R22" s="397">
        <f t="shared" si="7"/>
        <v>5000</v>
      </c>
      <c r="S22" s="399">
        <f t="shared" si="8"/>
        <v>0</v>
      </c>
      <c r="T22" s="132"/>
      <c r="U22" s="400">
        <f t="shared" si="9"/>
        <v>4</v>
      </c>
      <c r="V22" s="401">
        <f t="shared" si="10"/>
        <v>-1</v>
      </c>
      <c r="W22" s="52"/>
      <c r="X22" s="413">
        <f>IFERROR(VLOOKUP($C22,'Proposed Rates'!$B:$J,X$11,FALSE),0)</f>
        <v>0</v>
      </c>
      <c r="Y22" s="397">
        <f t="shared" si="11"/>
        <v>5000</v>
      </c>
      <c r="Z22" s="399">
        <f t="shared" si="12"/>
        <v>0</v>
      </c>
      <c r="AA22" s="132"/>
      <c r="AB22" s="400">
        <f t="shared" si="13"/>
        <v>0</v>
      </c>
      <c r="AC22" s="401" t="str">
        <f t="shared" si="14"/>
        <v/>
      </c>
      <c r="AD22" s="52"/>
      <c r="AE22" s="413">
        <f>IFERROR(VLOOKUP($C22,'Proposed Rates'!$B:$J,AE$11,FALSE),0)</f>
        <v>0</v>
      </c>
      <c r="AF22" s="397">
        <f t="shared" si="15"/>
        <v>5000</v>
      </c>
      <c r="AG22" s="399">
        <f t="shared" si="16"/>
        <v>0</v>
      </c>
      <c r="AH22" s="132"/>
      <c r="AI22" s="400">
        <f t="shared" si="17"/>
        <v>0</v>
      </c>
      <c r="AJ22" s="401" t="str">
        <f t="shared" si="18"/>
        <v/>
      </c>
      <c r="AK22" s="52"/>
      <c r="AL22" s="413">
        <f>IFERROR(VLOOKUP($C22,'Proposed Rates'!$B:$J,AL$11,FALSE),0)</f>
        <v>0</v>
      </c>
      <c r="AM22" s="397">
        <f t="shared" si="19"/>
        <v>5000</v>
      </c>
      <c r="AN22" s="399">
        <f t="shared" si="24"/>
        <v>0</v>
      </c>
      <c r="AO22" s="132"/>
      <c r="AP22" s="400">
        <f t="shared" si="21"/>
        <v>0</v>
      </c>
      <c r="AQ22" s="401" t="str">
        <f t="shared" si="22"/>
        <v/>
      </c>
      <c r="AR22" s="402"/>
    </row>
    <row r="23" spans="1:44" ht="12" customHeight="1">
      <c r="A23" s="52"/>
      <c r="B23" s="403"/>
      <c r="C23" s="394" t="str">
        <f t="shared" si="0"/>
        <v>General Service &lt; 50 kW.</v>
      </c>
      <c r="D23" s="395"/>
      <c r="E23" s="321"/>
      <c r="F23" s="413">
        <f>IFERROR(VLOOKUP($C23,'Proposed Rates'!$B:$J,F$11,FALSE),0)</f>
        <v>0</v>
      </c>
      <c r="G23" s="397">
        <f t="shared" si="1"/>
        <v>0</v>
      </c>
      <c r="H23" s="399">
        <f t="shared" si="2"/>
        <v>0</v>
      </c>
      <c r="I23" s="132"/>
      <c r="J23" s="413">
        <f>IFERROR(VLOOKUP($C23,'Proposed Rates'!$B:$J,J$11,FALSE),0)</f>
        <v>0</v>
      </c>
      <c r="K23" s="397">
        <f t="shared" si="3"/>
        <v>0</v>
      </c>
      <c r="L23" s="399">
        <f t="shared" si="4"/>
        <v>0</v>
      </c>
      <c r="M23" s="132"/>
      <c r="N23" s="400">
        <f t="shared" si="5"/>
        <v>0</v>
      </c>
      <c r="O23" s="401" t="str">
        <f t="shared" si="6"/>
        <v/>
      </c>
      <c r="P23" s="52"/>
      <c r="Q23" s="413">
        <f>IFERROR(VLOOKUP($C23,'Proposed Rates'!$B:$J,Q$11,FALSE),0)</f>
        <v>0</v>
      </c>
      <c r="R23" s="397">
        <f t="shared" si="7"/>
        <v>0</v>
      </c>
      <c r="S23" s="399">
        <f t="shared" si="8"/>
        <v>0</v>
      </c>
      <c r="T23" s="132"/>
      <c r="U23" s="400">
        <f t="shared" si="9"/>
        <v>0</v>
      </c>
      <c r="V23" s="401" t="str">
        <f t="shared" si="10"/>
        <v/>
      </c>
      <c r="W23" s="52"/>
      <c r="X23" s="413">
        <f>IFERROR(VLOOKUP($C23,'Proposed Rates'!$B:$J,X$11,FALSE),0)</f>
        <v>0</v>
      </c>
      <c r="Y23" s="397">
        <f t="shared" si="11"/>
        <v>0</v>
      </c>
      <c r="Z23" s="399">
        <f t="shared" si="12"/>
        <v>0</v>
      </c>
      <c r="AA23" s="132"/>
      <c r="AB23" s="400">
        <f t="shared" si="13"/>
        <v>0</v>
      </c>
      <c r="AC23" s="401" t="str">
        <f t="shared" si="14"/>
        <v/>
      </c>
      <c r="AD23" s="52"/>
      <c r="AE23" s="413">
        <f>IFERROR(VLOOKUP($C23,'Proposed Rates'!$B:$J,AE$11,FALSE),0)</f>
        <v>0</v>
      </c>
      <c r="AF23" s="397">
        <f t="shared" si="15"/>
        <v>0</v>
      </c>
      <c r="AG23" s="399">
        <f t="shared" si="16"/>
        <v>0</v>
      </c>
      <c r="AH23" s="132"/>
      <c r="AI23" s="400">
        <f t="shared" si="17"/>
        <v>0</v>
      </c>
      <c r="AJ23" s="401" t="str">
        <f t="shared" si="18"/>
        <v/>
      </c>
      <c r="AK23" s="52"/>
      <c r="AL23" s="413">
        <f>IFERROR(VLOOKUP($C23,'Proposed Rates'!$B:$J,AL$11,FALSE),0)</f>
        <v>0</v>
      </c>
      <c r="AM23" s="397">
        <f t="shared" si="19"/>
        <v>0</v>
      </c>
      <c r="AN23" s="399">
        <f t="shared" si="24"/>
        <v>0</v>
      </c>
      <c r="AO23" s="132"/>
      <c r="AP23" s="400">
        <f t="shared" si="21"/>
        <v>0</v>
      </c>
      <c r="AQ23" s="401" t="str">
        <f t="shared" si="22"/>
        <v/>
      </c>
      <c r="AR23" s="402"/>
    </row>
    <row r="24" spans="1:44" ht="12" customHeight="1">
      <c r="A24" s="52"/>
      <c r="B24" s="403"/>
      <c r="C24" s="394" t="str">
        <f t="shared" si="0"/>
        <v>General Service &lt; 50 kW.</v>
      </c>
      <c r="D24" s="395"/>
      <c r="E24" s="321"/>
      <c r="F24" s="413">
        <f>IFERROR(VLOOKUP($C24,'Proposed Rates'!$B:$J,F$11,FALSE),0)</f>
        <v>0</v>
      </c>
      <c r="G24" s="397">
        <f t="shared" si="1"/>
        <v>0</v>
      </c>
      <c r="H24" s="399">
        <f t="shared" si="2"/>
        <v>0</v>
      </c>
      <c r="I24" s="132"/>
      <c r="J24" s="413">
        <f>IFERROR(VLOOKUP($C24,'Proposed Rates'!$B:$J,J$11,FALSE),0)</f>
        <v>0</v>
      </c>
      <c r="K24" s="397">
        <f t="shared" si="3"/>
        <v>0</v>
      </c>
      <c r="L24" s="399">
        <f t="shared" si="4"/>
        <v>0</v>
      </c>
      <c r="M24" s="132"/>
      <c r="N24" s="400">
        <f t="shared" si="5"/>
        <v>0</v>
      </c>
      <c r="O24" s="401" t="str">
        <f t="shared" si="6"/>
        <v/>
      </c>
      <c r="P24" s="52"/>
      <c r="Q24" s="413">
        <f>IFERROR(VLOOKUP($C24,'Proposed Rates'!$B:$J,Q$11,FALSE),0)</f>
        <v>0</v>
      </c>
      <c r="R24" s="397">
        <f t="shared" si="7"/>
        <v>0</v>
      </c>
      <c r="S24" s="399">
        <f t="shared" si="8"/>
        <v>0</v>
      </c>
      <c r="T24" s="132"/>
      <c r="U24" s="400">
        <f t="shared" si="9"/>
        <v>0</v>
      </c>
      <c r="V24" s="401" t="str">
        <f t="shared" si="10"/>
        <v/>
      </c>
      <c r="W24" s="52"/>
      <c r="X24" s="413">
        <f>IFERROR(VLOOKUP($C24,'Proposed Rates'!$B:$J,X$11,FALSE),0)</f>
        <v>0</v>
      </c>
      <c r="Y24" s="397">
        <f t="shared" si="11"/>
        <v>0</v>
      </c>
      <c r="Z24" s="399">
        <f t="shared" si="12"/>
        <v>0</v>
      </c>
      <c r="AA24" s="132"/>
      <c r="AB24" s="400">
        <f t="shared" si="13"/>
        <v>0</v>
      </c>
      <c r="AC24" s="401" t="str">
        <f t="shared" si="14"/>
        <v/>
      </c>
      <c r="AD24" s="52"/>
      <c r="AE24" s="413">
        <f>IFERROR(VLOOKUP($C24,'Proposed Rates'!$B:$J,AE$11,FALSE),0)</f>
        <v>0</v>
      </c>
      <c r="AF24" s="397">
        <f t="shared" si="15"/>
        <v>0</v>
      </c>
      <c r="AG24" s="399">
        <f t="shared" si="16"/>
        <v>0</v>
      </c>
      <c r="AH24" s="132"/>
      <c r="AI24" s="400">
        <f t="shared" si="17"/>
        <v>0</v>
      </c>
      <c r="AJ24" s="401" t="str">
        <f t="shared" si="18"/>
        <v/>
      </c>
      <c r="AK24" s="52"/>
      <c r="AL24" s="413">
        <f>IFERROR(VLOOKUP($C24,'Proposed Rates'!$B:$J,AL$11,FALSE),0)</f>
        <v>0</v>
      </c>
      <c r="AM24" s="397">
        <f t="shared" si="19"/>
        <v>0</v>
      </c>
      <c r="AN24" s="399">
        <f t="shared" si="24"/>
        <v>0</v>
      </c>
      <c r="AO24" s="132"/>
      <c r="AP24" s="400">
        <f t="shared" si="21"/>
        <v>0</v>
      </c>
      <c r="AQ24" s="401" t="str">
        <f t="shared" si="22"/>
        <v/>
      </c>
      <c r="AR24" s="402"/>
    </row>
    <row r="25" spans="1:44" ht="12" customHeight="1">
      <c r="A25" s="52"/>
      <c r="B25" s="403"/>
      <c r="C25" s="394" t="str">
        <f t="shared" si="0"/>
        <v>General Service &lt; 50 kW.</v>
      </c>
      <c r="D25" s="395"/>
      <c r="E25" s="321"/>
      <c r="F25" s="413">
        <f>IFERROR(VLOOKUP($C25,'Proposed Rates'!$B:$J,F$11,FALSE),0)</f>
        <v>0</v>
      </c>
      <c r="G25" s="397">
        <f t="shared" si="1"/>
        <v>0</v>
      </c>
      <c r="H25" s="399">
        <f t="shared" si="2"/>
        <v>0</v>
      </c>
      <c r="I25" s="132"/>
      <c r="J25" s="413">
        <f>IFERROR(VLOOKUP($C25,'Proposed Rates'!$B:$J,J$11,FALSE),0)</f>
        <v>0</v>
      </c>
      <c r="K25" s="397">
        <f t="shared" si="3"/>
        <v>0</v>
      </c>
      <c r="L25" s="399">
        <f t="shared" si="4"/>
        <v>0</v>
      </c>
      <c r="M25" s="132"/>
      <c r="N25" s="400">
        <f t="shared" si="5"/>
        <v>0</v>
      </c>
      <c r="O25" s="401" t="str">
        <f t="shared" si="6"/>
        <v/>
      </c>
      <c r="P25" s="52"/>
      <c r="Q25" s="413">
        <f>IFERROR(VLOOKUP($C25,'Proposed Rates'!$B:$J,Q$11,FALSE),0)</f>
        <v>0</v>
      </c>
      <c r="R25" s="397">
        <f t="shared" si="7"/>
        <v>0</v>
      </c>
      <c r="S25" s="399">
        <f t="shared" si="8"/>
        <v>0</v>
      </c>
      <c r="T25" s="132"/>
      <c r="U25" s="400">
        <f t="shared" si="9"/>
        <v>0</v>
      </c>
      <c r="V25" s="401" t="str">
        <f t="shared" si="10"/>
        <v/>
      </c>
      <c r="W25" s="52"/>
      <c r="X25" s="413">
        <f>IFERROR(VLOOKUP($C25,'Proposed Rates'!$B:$J,X$11,FALSE),0)</f>
        <v>0</v>
      </c>
      <c r="Y25" s="397">
        <f t="shared" si="11"/>
        <v>0</v>
      </c>
      <c r="Z25" s="399">
        <f t="shared" si="12"/>
        <v>0</v>
      </c>
      <c r="AA25" s="132"/>
      <c r="AB25" s="400">
        <f t="shared" si="13"/>
        <v>0</v>
      </c>
      <c r="AC25" s="401" t="str">
        <f t="shared" si="14"/>
        <v/>
      </c>
      <c r="AD25" s="52"/>
      <c r="AE25" s="413">
        <f>IFERROR(VLOOKUP($C25,'Proposed Rates'!$B:$J,AE$11,FALSE),0)</f>
        <v>0</v>
      </c>
      <c r="AF25" s="397">
        <f t="shared" si="15"/>
        <v>0</v>
      </c>
      <c r="AG25" s="399">
        <f t="shared" si="16"/>
        <v>0</v>
      </c>
      <c r="AH25" s="132"/>
      <c r="AI25" s="400">
        <f t="shared" si="17"/>
        <v>0</v>
      </c>
      <c r="AJ25" s="401" t="str">
        <f t="shared" si="18"/>
        <v/>
      </c>
      <c r="AK25" s="52"/>
      <c r="AL25" s="413">
        <f>IFERROR(VLOOKUP($C25,'Proposed Rates'!$B:$J,AL$11,FALSE),0)</f>
        <v>0</v>
      </c>
      <c r="AM25" s="397">
        <f t="shared" si="19"/>
        <v>0</v>
      </c>
      <c r="AN25" s="399">
        <f t="shared" si="24"/>
        <v>0</v>
      </c>
      <c r="AO25" s="132"/>
      <c r="AP25" s="400">
        <f t="shared" si="21"/>
        <v>0</v>
      </c>
      <c r="AQ25" s="401" t="str">
        <f t="shared" si="22"/>
        <v/>
      </c>
      <c r="AR25" s="402"/>
    </row>
    <row r="26" spans="1:44" ht="12" customHeight="1">
      <c r="A26" s="52"/>
      <c r="B26" s="403"/>
      <c r="C26" s="394" t="str">
        <f t="shared" si="0"/>
        <v>General Service &lt; 50 kW.</v>
      </c>
      <c r="D26" s="395"/>
      <c r="E26" s="321"/>
      <c r="F26" s="413">
        <f>IFERROR(VLOOKUP($C26,'Proposed Rates'!$B:$J,F$11,FALSE),0)</f>
        <v>0</v>
      </c>
      <c r="G26" s="397">
        <f t="shared" si="1"/>
        <v>0</v>
      </c>
      <c r="H26" s="399">
        <f t="shared" si="2"/>
        <v>0</v>
      </c>
      <c r="I26" s="132"/>
      <c r="J26" s="413">
        <f>IFERROR(VLOOKUP($C26,'Proposed Rates'!$B:$J,J$11,FALSE),0)</f>
        <v>0</v>
      </c>
      <c r="K26" s="397">
        <f t="shared" si="3"/>
        <v>0</v>
      </c>
      <c r="L26" s="399">
        <f t="shared" si="4"/>
        <v>0</v>
      </c>
      <c r="M26" s="132"/>
      <c r="N26" s="400">
        <f t="shared" si="5"/>
        <v>0</v>
      </c>
      <c r="O26" s="401" t="str">
        <f t="shared" si="6"/>
        <v/>
      </c>
      <c r="P26" s="52"/>
      <c r="Q26" s="413">
        <f>IFERROR(VLOOKUP($C26,'Proposed Rates'!$B:$J,Q$11,FALSE),0)</f>
        <v>0</v>
      </c>
      <c r="R26" s="397">
        <f t="shared" si="7"/>
        <v>0</v>
      </c>
      <c r="S26" s="399">
        <f t="shared" si="8"/>
        <v>0</v>
      </c>
      <c r="T26" s="132"/>
      <c r="U26" s="400">
        <f t="shared" si="9"/>
        <v>0</v>
      </c>
      <c r="V26" s="401" t="str">
        <f t="shared" si="10"/>
        <v/>
      </c>
      <c r="W26" s="52"/>
      <c r="X26" s="413">
        <f>IFERROR(VLOOKUP($C26,'Proposed Rates'!$B:$J,X$11,FALSE),0)</f>
        <v>0</v>
      </c>
      <c r="Y26" s="397">
        <f t="shared" si="11"/>
        <v>0</v>
      </c>
      <c r="Z26" s="399">
        <f t="shared" si="12"/>
        <v>0</v>
      </c>
      <c r="AA26" s="132"/>
      <c r="AB26" s="400">
        <f t="shared" si="13"/>
        <v>0</v>
      </c>
      <c r="AC26" s="401" t="str">
        <f t="shared" si="14"/>
        <v/>
      </c>
      <c r="AD26" s="52"/>
      <c r="AE26" s="413">
        <f>IFERROR(VLOOKUP($C26,'Proposed Rates'!$B:$J,AE$11,FALSE),0)</f>
        <v>0</v>
      </c>
      <c r="AF26" s="397">
        <f t="shared" si="15"/>
        <v>0</v>
      </c>
      <c r="AG26" s="399">
        <f t="shared" si="16"/>
        <v>0</v>
      </c>
      <c r="AH26" s="132"/>
      <c r="AI26" s="400">
        <f t="shared" si="17"/>
        <v>0</v>
      </c>
      <c r="AJ26" s="401" t="str">
        <f t="shared" si="18"/>
        <v/>
      </c>
      <c r="AK26" s="52"/>
      <c r="AL26" s="413">
        <f>IFERROR(VLOOKUP($C26,'Proposed Rates'!$B:$J,AL$11,FALSE),0)</f>
        <v>0</v>
      </c>
      <c r="AM26" s="397">
        <f t="shared" si="19"/>
        <v>0</v>
      </c>
      <c r="AN26" s="399">
        <f t="shared" si="24"/>
        <v>0</v>
      </c>
      <c r="AO26" s="132"/>
      <c r="AP26" s="400">
        <f t="shared" si="21"/>
        <v>0</v>
      </c>
      <c r="AQ26" s="401" t="str">
        <f t="shared" si="22"/>
        <v/>
      </c>
      <c r="AR26" s="402"/>
    </row>
    <row r="27" spans="1:44" ht="12" customHeight="1">
      <c r="A27" s="52"/>
      <c r="B27" s="403"/>
      <c r="C27" s="394" t="str">
        <f t="shared" si="0"/>
        <v>General Service &lt; 50 kW.</v>
      </c>
      <c r="D27" s="395"/>
      <c r="E27" s="321"/>
      <c r="F27" s="413">
        <f>IFERROR(VLOOKUP($C27,'Proposed Rates'!$B:$J,F$11,FALSE),0)</f>
        <v>0</v>
      </c>
      <c r="G27" s="397">
        <f t="shared" si="1"/>
        <v>0</v>
      </c>
      <c r="H27" s="399">
        <f t="shared" si="2"/>
        <v>0</v>
      </c>
      <c r="I27" s="132"/>
      <c r="J27" s="413">
        <f>IFERROR(VLOOKUP($C27,'Proposed Rates'!$B:$J,J$11,FALSE),0)</f>
        <v>0</v>
      </c>
      <c r="K27" s="397">
        <f t="shared" si="3"/>
        <v>0</v>
      </c>
      <c r="L27" s="399">
        <f t="shared" si="4"/>
        <v>0</v>
      </c>
      <c r="M27" s="132"/>
      <c r="N27" s="400">
        <f t="shared" si="5"/>
        <v>0</v>
      </c>
      <c r="O27" s="401" t="str">
        <f t="shared" si="6"/>
        <v/>
      </c>
      <c r="P27" s="52"/>
      <c r="Q27" s="413">
        <f>IFERROR(VLOOKUP($C27,'Proposed Rates'!$B:$J,Q$11,FALSE),0)</f>
        <v>0</v>
      </c>
      <c r="R27" s="397">
        <f t="shared" si="7"/>
        <v>0</v>
      </c>
      <c r="S27" s="399">
        <f t="shared" si="8"/>
        <v>0</v>
      </c>
      <c r="T27" s="132"/>
      <c r="U27" s="400">
        <f t="shared" si="9"/>
        <v>0</v>
      </c>
      <c r="V27" s="401" t="str">
        <f t="shared" si="10"/>
        <v/>
      </c>
      <c r="W27" s="52"/>
      <c r="X27" s="413">
        <f>IFERROR(VLOOKUP($C27,'Proposed Rates'!$B:$J,X$11,FALSE),0)</f>
        <v>0</v>
      </c>
      <c r="Y27" s="397">
        <f t="shared" si="11"/>
        <v>0</v>
      </c>
      <c r="Z27" s="399">
        <f t="shared" si="12"/>
        <v>0</v>
      </c>
      <c r="AA27" s="132"/>
      <c r="AB27" s="400">
        <f t="shared" si="13"/>
        <v>0</v>
      </c>
      <c r="AC27" s="401" t="str">
        <f t="shared" si="14"/>
        <v/>
      </c>
      <c r="AD27" s="52"/>
      <c r="AE27" s="413">
        <f>IFERROR(VLOOKUP($C27,'Proposed Rates'!$B:$J,AE$11,FALSE),0)</f>
        <v>0</v>
      </c>
      <c r="AF27" s="397">
        <f t="shared" si="15"/>
        <v>0</v>
      </c>
      <c r="AG27" s="399">
        <f t="shared" si="16"/>
        <v>0</v>
      </c>
      <c r="AH27" s="132"/>
      <c r="AI27" s="400">
        <f t="shared" si="17"/>
        <v>0</v>
      </c>
      <c r="AJ27" s="401" t="str">
        <f t="shared" si="18"/>
        <v/>
      </c>
      <c r="AK27" s="52"/>
      <c r="AL27" s="413">
        <f>IFERROR(VLOOKUP($C27,'Proposed Rates'!$B:$J,AL$11,FALSE),0)</f>
        <v>0</v>
      </c>
      <c r="AM27" s="397">
        <f t="shared" si="19"/>
        <v>0</v>
      </c>
      <c r="AN27" s="399">
        <f t="shared" si="24"/>
        <v>0</v>
      </c>
      <c r="AO27" s="132"/>
      <c r="AP27" s="400">
        <f t="shared" si="21"/>
        <v>0</v>
      </c>
      <c r="AQ27" s="401" t="str">
        <f t="shared" si="22"/>
        <v/>
      </c>
      <c r="AR27" s="402"/>
    </row>
    <row r="28" spans="1:44" ht="12" customHeight="1">
      <c r="A28" s="52"/>
      <c r="B28" s="403"/>
      <c r="C28" s="394" t="str">
        <f t="shared" si="0"/>
        <v>General Service &lt; 50 kW.</v>
      </c>
      <c r="D28" s="395"/>
      <c r="E28" s="321"/>
      <c r="F28" s="413">
        <f>IFERROR(VLOOKUP($C28,'Proposed Rates'!$B:$J,F$11,FALSE),0)</f>
        <v>0</v>
      </c>
      <c r="G28" s="397">
        <f t="shared" si="1"/>
        <v>0</v>
      </c>
      <c r="H28" s="399">
        <f t="shared" si="2"/>
        <v>0</v>
      </c>
      <c r="I28" s="132"/>
      <c r="J28" s="413">
        <f>IFERROR(VLOOKUP($C28,'Proposed Rates'!$B:$J,J$11,FALSE),0)</f>
        <v>0</v>
      </c>
      <c r="K28" s="397">
        <f t="shared" si="3"/>
        <v>0</v>
      </c>
      <c r="L28" s="399">
        <f t="shared" si="4"/>
        <v>0</v>
      </c>
      <c r="M28" s="132"/>
      <c r="N28" s="400">
        <f t="shared" si="5"/>
        <v>0</v>
      </c>
      <c r="O28" s="401" t="str">
        <f t="shared" si="6"/>
        <v/>
      </c>
      <c r="P28" s="52"/>
      <c r="Q28" s="413">
        <f>IFERROR(VLOOKUP($C28,'Proposed Rates'!$B:$J,Q$11,FALSE),0)</f>
        <v>0</v>
      </c>
      <c r="R28" s="397">
        <f t="shared" si="7"/>
        <v>0</v>
      </c>
      <c r="S28" s="399">
        <f t="shared" si="8"/>
        <v>0</v>
      </c>
      <c r="T28" s="132"/>
      <c r="U28" s="400">
        <f t="shared" si="9"/>
        <v>0</v>
      </c>
      <c r="V28" s="401" t="str">
        <f t="shared" si="10"/>
        <v/>
      </c>
      <c r="W28" s="52"/>
      <c r="X28" s="413">
        <f>IFERROR(VLOOKUP($C28,'Proposed Rates'!$B:$J,X$11,FALSE),0)</f>
        <v>0</v>
      </c>
      <c r="Y28" s="397">
        <f t="shared" si="11"/>
        <v>0</v>
      </c>
      <c r="Z28" s="399">
        <f t="shared" si="12"/>
        <v>0</v>
      </c>
      <c r="AA28" s="132"/>
      <c r="AB28" s="400">
        <f t="shared" si="13"/>
        <v>0</v>
      </c>
      <c r="AC28" s="401" t="str">
        <f t="shared" si="14"/>
        <v/>
      </c>
      <c r="AD28" s="52"/>
      <c r="AE28" s="413">
        <f>IFERROR(VLOOKUP($C28,'Proposed Rates'!$B:$J,AE$11,FALSE),0)</f>
        <v>0</v>
      </c>
      <c r="AF28" s="397">
        <f t="shared" si="15"/>
        <v>0</v>
      </c>
      <c r="AG28" s="399">
        <f t="shared" si="16"/>
        <v>0</v>
      </c>
      <c r="AH28" s="132"/>
      <c r="AI28" s="400">
        <f t="shared" si="17"/>
        <v>0</v>
      </c>
      <c r="AJ28" s="401" t="str">
        <f t="shared" si="18"/>
        <v/>
      </c>
      <c r="AK28" s="52"/>
      <c r="AL28" s="413">
        <f>IFERROR(VLOOKUP($C28,'Proposed Rates'!$B:$J,AL$11,FALSE),0)</f>
        <v>0</v>
      </c>
      <c r="AM28" s="397">
        <f t="shared" si="19"/>
        <v>0</v>
      </c>
      <c r="AN28" s="399">
        <f t="shared" si="24"/>
        <v>0</v>
      </c>
      <c r="AO28" s="132"/>
      <c r="AP28" s="400">
        <f t="shared" si="21"/>
        <v>0</v>
      </c>
      <c r="AQ28" s="401" t="str">
        <f t="shared" si="22"/>
        <v/>
      </c>
      <c r="AR28" s="402"/>
    </row>
    <row r="29" spans="1:44" ht="12" customHeight="1">
      <c r="A29" s="307"/>
      <c r="B29" s="404" t="s">
        <v>314</v>
      </c>
      <c r="C29" s="405"/>
      <c r="D29" s="405"/>
      <c r="E29" s="405"/>
      <c r="F29" s="406"/>
      <c r="G29" s="499"/>
      <c r="H29" s="408">
        <f>SUM(H15:H28)</f>
        <v>179.53</v>
      </c>
      <c r="I29" s="409"/>
      <c r="J29" s="406"/>
      <c r="K29" s="499"/>
      <c r="L29" s="408">
        <f>SUM(L15:L28)</f>
        <v>201.14</v>
      </c>
      <c r="M29" s="409"/>
      <c r="N29" s="410">
        <f t="shared" si="5"/>
        <v>21.609999999999985</v>
      </c>
      <c r="O29" s="411">
        <f t="shared" si="6"/>
        <v>0.12036985462039762</v>
      </c>
      <c r="P29" s="307"/>
      <c r="Q29" s="406"/>
      <c r="R29" s="499"/>
      <c r="S29" s="408">
        <f>SUM(S15:S28)</f>
        <v>212.91</v>
      </c>
      <c r="T29" s="409"/>
      <c r="U29" s="410">
        <f t="shared" si="9"/>
        <v>11.77000000000001</v>
      </c>
      <c r="V29" s="411">
        <f t="shared" si="10"/>
        <v>5.8516456199661983E-2</v>
      </c>
      <c r="W29" s="307"/>
      <c r="X29" s="406"/>
      <c r="Y29" s="499"/>
      <c r="Z29" s="408">
        <f>SUM(Z15:Z28)</f>
        <v>226.79</v>
      </c>
      <c r="AA29" s="409"/>
      <c r="AB29" s="410">
        <f t="shared" si="13"/>
        <v>13.879999999999995</v>
      </c>
      <c r="AC29" s="411">
        <f t="shared" si="14"/>
        <v>6.5191865107322319E-2</v>
      </c>
      <c r="AD29" s="307"/>
      <c r="AE29" s="406"/>
      <c r="AF29" s="499"/>
      <c r="AG29" s="408">
        <f>SUM(AG15:AG28)</f>
        <v>230.86</v>
      </c>
      <c r="AH29" s="409"/>
      <c r="AI29" s="410">
        <f t="shared" si="17"/>
        <v>4.0700000000000216</v>
      </c>
      <c r="AJ29" s="411">
        <f t="shared" si="18"/>
        <v>1.794611755368412E-2</v>
      </c>
      <c r="AK29" s="307"/>
      <c r="AL29" s="406"/>
      <c r="AM29" s="499"/>
      <c r="AN29" s="408">
        <f>SUM(AN15:AN28)</f>
        <v>234.3</v>
      </c>
      <c r="AO29" s="409"/>
      <c r="AP29" s="410">
        <f t="shared" si="21"/>
        <v>3.4399999999999977</v>
      </c>
      <c r="AQ29" s="411">
        <f t="shared" si="22"/>
        <v>1.490080568309797E-2</v>
      </c>
      <c r="AR29" s="412"/>
    </row>
    <row r="30" spans="1:44" ht="12" customHeight="1">
      <c r="A30" s="52"/>
      <c r="B30" s="403" t="s">
        <v>237</v>
      </c>
      <c r="C30" s="394" t="str">
        <f t="shared" ref="C30:C36" si="25">D$6&amp;"."&amp;B30</f>
        <v>General Service &lt; 50 kW.DVA Disposition Rate Rider Group 1 -2025</v>
      </c>
      <c r="D30" s="395" t="s">
        <v>312</v>
      </c>
      <c r="E30" s="321"/>
      <c r="F30" s="413">
        <f>IFERROR(VLOOKUP($C30,'Proposed Rates'!$B:$J,F$11,FALSE),0)</f>
        <v>0</v>
      </c>
      <c r="G30" s="397">
        <f t="shared" ref="G30:G33" si="26">IF($D30="Monthly",1,IF($D30="per KWH",$F$10,0))</f>
        <v>5000</v>
      </c>
      <c r="H30" s="399">
        <f t="shared" ref="H30:H36" si="27">G30*F30</f>
        <v>0</v>
      </c>
      <c r="I30" s="132"/>
      <c r="J30" s="413">
        <f>IFERROR(VLOOKUP($C30,'Proposed Rates'!$B:$J,J$11,FALSE),0)</f>
        <v>-5.0000000000000001E-4</v>
      </c>
      <c r="K30" s="397">
        <f t="shared" ref="K30:K33" si="28">IF($D30="Monthly",1,IF($D30="per KWH",$F$10,0))</f>
        <v>5000</v>
      </c>
      <c r="L30" s="399">
        <f t="shared" ref="L30:L36" si="29">K30*J30</f>
        <v>-2.5</v>
      </c>
      <c r="M30" s="132"/>
      <c r="N30" s="400">
        <f t="shared" si="5"/>
        <v>-2.5</v>
      </c>
      <c r="O30" s="401" t="str">
        <f t="shared" si="6"/>
        <v/>
      </c>
      <c r="P30" s="52"/>
      <c r="Q30" s="413">
        <f>IFERROR(VLOOKUP($C30,'Proposed Rates'!$B:$J,Q$11,FALSE),0)</f>
        <v>0</v>
      </c>
      <c r="R30" s="397">
        <f t="shared" ref="R30:R33" si="30">IF($D30="Monthly",1,IF($D30="per KWH",$F$10,0))</f>
        <v>5000</v>
      </c>
      <c r="S30" s="399">
        <f t="shared" ref="S30:S36" si="31">R30*Q30</f>
        <v>0</v>
      </c>
      <c r="T30" s="132"/>
      <c r="U30" s="400">
        <f t="shared" si="9"/>
        <v>2.5</v>
      </c>
      <c r="V30" s="401">
        <f t="shared" si="10"/>
        <v>-1</v>
      </c>
      <c r="W30" s="52"/>
      <c r="X30" s="413">
        <f>IFERROR(VLOOKUP($C30,'Proposed Rates'!$B:$J,X$11,FALSE),0)</f>
        <v>0</v>
      </c>
      <c r="Y30" s="397">
        <f t="shared" ref="Y30:Y33" si="32">IF($D30="Monthly",1,IF($D30="per KWH",$F$10,0))</f>
        <v>5000</v>
      </c>
      <c r="Z30" s="399">
        <f t="shared" ref="Z30:Z36" si="33">Y30*X30</f>
        <v>0</v>
      </c>
      <c r="AA30" s="132"/>
      <c r="AB30" s="400">
        <f t="shared" si="13"/>
        <v>0</v>
      </c>
      <c r="AC30" s="401" t="str">
        <f t="shared" si="14"/>
        <v/>
      </c>
      <c r="AD30" s="52"/>
      <c r="AE30" s="413">
        <f>IFERROR(VLOOKUP($C30,'Proposed Rates'!$B:$J,AE$11,FALSE),0)</f>
        <v>0</v>
      </c>
      <c r="AF30" s="397">
        <f t="shared" ref="AF30:AF33" si="34">IF($D30="Monthly",1,IF($D30="per KWH",$F$10,0))</f>
        <v>5000</v>
      </c>
      <c r="AG30" s="399">
        <f t="shared" ref="AG30:AG36" si="35">AF30*AE30</f>
        <v>0</v>
      </c>
      <c r="AH30" s="132"/>
      <c r="AI30" s="400">
        <f t="shared" si="17"/>
        <v>0</v>
      </c>
      <c r="AJ30" s="401" t="str">
        <f t="shared" si="18"/>
        <v/>
      </c>
      <c r="AK30" s="52"/>
      <c r="AL30" s="413">
        <f>IFERROR(VLOOKUP($C30,'Proposed Rates'!$B:$J,AL$11,FALSE),0)</f>
        <v>0</v>
      </c>
      <c r="AM30" s="397">
        <f t="shared" ref="AM30:AM33" si="36">IF($D30="Monthly",1,IF($D30="per KWH",$F$10,0))</f>
        <v>5000</v>
      </c>
      <c r="AN30" s="399">
        <f t="shared" ref="AN30:AN36" si="37">AM30*AL30</f>
        <v>0</v>
      </c>
      <c r="AO30" s="132"/>
      <c r="AP30" s="400">
        <f t="shared" si="21"/>
        <v>0</v>
      </c>
      <c r="AQ30" s="401" t="str">
        <f t="shared" si="22"/>
        <v/>
      </c>
      <c r="AR30" s="402"/>
    </row>
    <row r="31" spans="1:44" ht="12" customHeight="1">
      <c r="A31" s="52"/>
      <c r="B31" s="403" t="s">
        <v>239</v>
      </c>
      <c r="C31" s="394" t="str">
        <f t="shared" si="25"/>
        <v>General Service &lt; 50 kW.DVA Disposition Rate Rider Group 1 - 2024</v>
      </c>
      <c r="D31" s="395" t="s">
        <v>312</v>
      </c>
      <c r="E31" s="321"/>
      <c r="F31" s="413">
        <f>IFERROR(VLOOKUP($C31,'Proposed Rates'!$B:$J,F$11,FALSE),0)</f>
        <v>0</v>
      </c>
      <c r="G31" s="397">
        <f t="shared" si="26"/>
        <v>5000</v>
      </c>
      <c r="H31" s="399">
        <f t="shared" si="27"/>
        <v>0</v>
      </c>
      <c r="I31" s="484"/>
      <c r="J31" s="413">
        <f>IFERROR(VLOOKUP($C31,'Proposed Rates'!$B:$J,J$11,FALSE),0)</f>
        <v>0</v>
      </c>
      <c r="K31" s="397">
        <f t="shared" si="28"/>
        <v>5000</v>
      </c>
      <c r="L31" s="399">
        <f t="shared" si="29"/>
        <v>0</v>
      </c>
      <c r="M31" s="416"/>
      <c r="N31" s="400">
        <f t="shared" si="5"/>
        <v>0</v>
      </c>
      <c r="O31" s="401" t="str">
        <f t="shared" si="6"/>
        <v/>
      </c>
      <c r="P31" s="52"/>
      <c r="Q31" s="413">
        <f>IFERROR(VLOOKUP($C31,'Proposed Rates'!$B:$J,Q$11,FALSE),0)</f>
        <v>0</v>
      </c>
      <c r="R31" s="397">
        <f t="shared" si="30"/>
        <v>5000</v>
      </c>
      <c r="S31" s="399">
        <f t="shared" si="31"/>
        <v>0</v>
      </c>
      <c r="T31" s="416"/>
      <c r="U31" s="400">
        <f t="shared" si="9"/>
        <v>0</v>
      </c>
      <c r="V31" s="401" t="str">
        <f t="shared" si="10"/>
        <v/>
      </c>
      <c r="W31" s="52"/>
      <c r="X31" s="413">
        <f>IFERROR(VLOOKUP($C31,'Proposed Rates'!$B:$J,X$11,FALSE),0)</f>
        <v>0</v>
      </c>
      <c r="Y31" s="397">
        <f t="shared" si="32"/>
        <v>5000</v>
      </c>
      <c r="Z31" s="399">
        <f t="shared" si="33"/>
        <v>0</v>
      </c>
      <c r="AA31" s="416"/>
      <c r="AB31" s="400">
        <f t="shared" si="13"/>
        <v>0</v>
      </c>
      <c r="AC31" s="401" t="str">
        <f t="shared" si="14"/>
        <v/>
      </c>
      <c r="AD31" s="52"/>
      <c r="AE31" s="413">
        <f>IFERROR(VLOOKUP($C31,'Proposed Rates'!$B:$J,AE$11,FALSE),0)</f>
        <v>0</v>
      </c>
      <c r="AF31" s="397">
        <f t="shared" si="34"/>
        <v>5000</v>
      </c>
      <c r="AG31" s="399">
        <f t="shared" si="35"/>
        <v>0</v>
      </c>
      <c r="AH31" s="416"/>
      <c r="AI31" s="400">
        <f t="shared" si="17"/>
        <v>0</v>
      </c>
      <c r="AJ31" s="401" t="str">
        <f t="shared" si="18"/>
        <v/>
      </c>
      <c r="AK31" s="52"/>
      <c r="AL31" s="413">
        <f>IFERROR(VLOOKUP($C31,'Proposed Rates'!$B:$J,AL$11,FALSE),0)</f>
        <v>0</v>
      </c>
      <c r="AM31" s="397">
        <f t="shared" si="36"/>
        <v>5000</v>
      </c>
      <c r="AN31" s="399">
        <f t="shared" si="37"/>
        <v>0</v>
      </c>
      <c r="AO31" s="416"/>
      <c r="AP31" s="400">
        <f t="shared" si="21"/>
        <v>0</v>
      </c>
      <c r="AQ31" s="401" t="str">
        <f t="shared" si="22"/>
        <v/>
      </c>
      <c r="AR31" s="402"/>
    </row>
    <row r="32" spans="1:44" ht="12" customHeight="1">
      <c r="A32" s="52"/>
      <c r="B32" s="403" t="s">
        <v>247</v>
      </c>
      <c r="C32" s="394" t="str">
        <f t="shared" si="25"/>
        <v>General Service &lt; 50 kW.CBR Class B Rate Riders</v>
      </c>
      <c r="D32" s="395" t="s">
        <v>312</v>
      </c>
      <c r="E32" s="321"/>
      <c r="F32" s="413">
        <f>IFERROR(VLOOKUP($C32,'Proposed Rates'!$B:$J,F$11,FALSE),0)</f>
        <v>2.0000000000000001E-4</v>
      </c>
      <c r="G32" s="397">
        <f t="shared" si="26"/>
        <v>5000</v>
      </c>
      <c r="H32" s="399">
        <f t="shared" si="27"/>
        <v>1</v>
      </c>
      <c r="I32" s="484"/>
      <c r="J32" s="413">
        <f>IFERROR(VLOOKUP($C32,'Proposed Rates'!$B:$J,J$11,FALSE),0)</f>
        <v>4.0000000000000002E-4</v>
      </c>
      <c r="K32" s="397">
        <f t="shared" si="28"/>
        <v>5000</v>
      </c>
      <c r="L32" s="399">
        <f t="shared" si="29"/>
        <v>2</v>
      </c>
      <c r="M32" s="416"/>
      <c r="N32" s="400">
        <f t="shared" si="5"/>
        <v>1</v>
      </c>
      <c r="O32" s="401">
        <f t="shared" si="6"/>
        <v>1</v>
      </c>
      <c r="P32" s="52"/>
      <c r="Q32" s="413">
        <f>IFERROR(VLOOKUP($C32,'Proposed Rates'!$B:$J,Q$11,FALSE),0)</f>
        <v>0</v>
      </c>
      <c r="R32" s="397">
        <f t="shared" si="30"/>
        <v>5000</v>
      </c>
      <c r="S32" s="399">
        <f t="shared" si="31"/>
        <v>0</v>
      </c>
      <c r="T32" s="416"/>
      <c r="U32" s="400">
        <f t="shared" si="9"/>
        <v>-2</v>
      </c>
      <c r="V32" s="401">
        <f t="shared" si="10"/>
        <v>-1</v>
      </c>
      <c r="W32" s="52"/>
      <c r="X32" s="413">
        <f>IFERROR(VLOOKUP($C32,'Proposed Rates'!$B:$J,X$11,FALSE),0)</f>
        <v>0</v>
      </c>
      <c r="Y32" s="397">
        <f t="shared" si="32"/>
        <v>5000</v>
      </c>
      <c r="Z32" s="399">
        <f t="shared" si="33"/>
        <v>0</v>
      </c>
      <c r="AA32" s="416"/>
      <c r="AB32" s="400">
        <f t="shared" si="13"/>
        <v>0</v>
      </c>
      <c r="AC32" s="401" t="str">
        <f t="shared" si="14"/>
        <v/>
      </c>
      <c r="AD32" s="52"/>
      <c r="AE32" s="413">
        <f>IFERROR(VLOOKUP($C32,'Proposed Rates'!$B:$J,AE$11,FALSE),0)</f>
        <v>0</v>
      </c>
      <c r="AF32" s="397">
        <f t="shared" si="34"/>
        <v>5000</v>
      </c>
      <c r="AG32" s="399">
        <f t="shared" si="35"/>
        <v>0</v>
      </c>
      <c r="AH32" s="416"/>
      <c r="AI32" s="400">
        <f t="shared" si="17"/>
        <v>0</v>
      </c>
      <c r="AJ32" s="401" t="str">
        <f t="shared" si="18"/>
        <v/>
      </c>
      <c r="AK32" s="52"/>
      <c r="AL32" s="413">
        <f>IFERROR(VLOOKUP($C32,'Proposed Rates'!$B:$J,AL$11,FALSE),0)</f>
        <v>0</v>
      </c>
      <c r="AM32" s="397">
        <f t="shared" si="36"/>
        <v>5000</v>
      </c>
      <c r="AN32" s="399">
        <f t="shared" si="37"/>
        <v>0</v>
      </c>
      <c r="AO32" s="416"/>
      <c r="AP32" s="400">
        <f t="shared" si="21"/>
        <v>0</v>
      </c>
      <c r="AQ32" s="401" t="str">
        <f t="shared" si="22"/>
        <v/>
      </c>
      <c r="AR32" s="402"/>
    </row>
    <row r="33" spans="1:44" ht="12" customHeight="1">
      <c r="A33" s="52"/>
      <c r="B33" s="403" t="s">
        <v>315</v>
      </c>
      <c r="C33" s="394" t="str">
        <f t="shared" si="25"/>
        <v>General Service &lt; 50 kW.GA Disposition Rate Rider-NonRPP</v>
      </c>
      <c r="D33" s="395" t="s">
        <v>312</v>
      </c>
      <c r="E33" s="321"/>
      <c r="F33" s="413">
        <f>IFERROR(VLOOKUP($C33,'Proposed Rates'!$B:$J,F$11,FALSE),0)</f>
        <v>0</v>
      </c>
      <c r="G33" s="397">
        <f t="shared" si="26"/>
        <v>5000</v>
      </c>
      <c r="H33" s="399">
        <f t="shared" si="27"/>
        <v>0</v>
      </c>
      <c r="I33" s="484"/>
      <c r="J33" s="413">
        <f>IFERROR(VLOOKUP($C33,'Proposed Rates'!$B:$J,J$11,FALSE),0)</f>
        <v>0</v>
      </c>
      <c r="K33" s="397">
        <f t="shared" si="28"/>
        <v>5000</v>
      </c>
      <c r="L33" s="399">
        <f t="shared" si="29"/>
        <v>0</v>
      </c>
      <c r="M33" s="416"/>
      <c r="N33" s="400">
        <f t="shared" si="5"/>
        <v>0</v>
      </c>
      <c r="O33" s="401" t="str">
        <f t="shared" si="6"/>
        <v/>
      </c>
      <c r="P33" s="52"/>
      <c r="Q33" s="413">
        <f>IFERROR(VLOOKUP($C33,'Proposed Rates'!$B:$J,Q$11,FALSE),0)</f>
        <v>0</v>
      </c>
      <c r="R33" s="397">
        <f t="shared" si="30"/>
        <v>5000</v>
      </c>
      <c r="S33" s="399">
        <f t="shared" si="31"/>
        <v>0</v>
      </c>
      <c r="T33" s="416"/>
      <c r="U33" s="400">
        <f t="shared" si="9"/>
        <v>0</v>
      </c>
      <c r="V33" s="401" t="str">
        <f t="shared" si="10"/>
        <v/>
      </c>
      <c r="W33" s="52"/>
      <c r="X33" s="413">
        <f>IFERROR(VLOOKUP($C33,'Proposed Rates'!$B:$J,X$11,FALSE),0)</f>
        <v>0</v>
      </c>
      <c r="Y33" s="397">
        <f t="shared" si="32"/>
        <v>5000</v>
      </c>
      <c r="Z33" s="399">
        <f t="shared" si="33"/>
        <v>0</v>
      </c>
      <c r="AA33" s="416"/>
      <c r="AB33" s="400">
        <f t="shared" si="13"/>
        <v>0</v>
      </c>
      <c r="AC33" s="401" t="str">
        <f t="shared" si="14"/>
        <v/>
      </c>
      <c r="AD33" s="52"/>
      <c r="AE33" s="413">
        <f>IFERROR(VLOOKUP($C33,'Proposed Rates'!$B:$J,AE$11,FALSE),0)</f>
        <v>0</v>
      </c>
      <c r="AF33" s="397">
        <f t="shared" si="34"/>
        <v>5000</v>
      </c>
      <c r="AG33" s="399">
        <f t="shared" si="35"/>
        <v>0</v>
      </c>
      <c r="AH33" s="416"/>
      <c r="AI33" s="400">
        <f t="shared" si="17"/>
        <v>0</v>
      </c>
      <c r="AJ33" s="401" t="str">
        <f t="shared" si="18"/>
        <v/>
      </c>
      <c r="AK33" s="52"/>
      <c r="AL33" s="413">
        <f>IFERROR(VLOOKUP($C33,'Proposed Rates'!$B:$J,AL$11,FALSE),0)</f>
        <v>0</v>
      </c>
      <c r="AM33" s="397">
        <f t="shared" si="36"/>
        <v>5000</v>
      </c>
      <c r="AN33" s="399">
        <f t="shared" si="37"/>
        <v>0</v>
      </c>
      <c r="AO33" s="416"/>
      <c r="AP33" s="400">
        <f t="shared" si="21"/>
        <v>0</v>
      </c>
      <c r="AQ33" s="401" t="str">
        <f t="shared" si="22"/>
        <v/>
      </c>
      <c r="AR33" s="402"/>
    </row>
    <row r="34" spans="1:44" ht="12" customHeight="1">
      <c r="A34" s="52"/>
      <c r="B34" s="321" t="s">
        <v>273</v>
      </c>
      <c r="C34" s="394" t="str">
        <f t="shared" si="25"/>
        <v>General Service &lt; 50 kW.Low Voltage Service Charge</v>
      </c>
      <c r="D34" s="395" t="s">
        <v>312</v>
      </c>
      <c r="E34" s="321"/>
      <c r="F34" s="417">
        <f>IFERROR(VLOOKUP($C34,'Proposed Rates'!$B:$J,F$11,FALSE),0)</f>
        <v>5.0000000000000002E-5</v>
      </c>
      <c r="G34" s="418">
        <f>$F$10*(1+F$63)</f>
        <v>5169</v>
      </c>
      <c r="H34" s="399">
        <f t="shared" si="27"/>
        <v>0.25845000000000001</v>
      </c>
      <c r="I34" s="132"/>
      <c r="J34" s="417">
        <f>IFERROR(VLOOKUP($C34,'Proposed Rates'!$B:$J,J$11,FALSE),0)</f>
        <v>6.0000000000000002E-5</v>
      </c>
      <c r="K34" s="418">
        <f>$F$10*(1+J$63)</f>
        <v>5165.9999999999991</v>
      </c>
      <c r="L34" s="399">
        <f t="shared" si="29"/>
        <v>0.30995999999999996</v>
      </c>
      <c r="M34" s="132"/>
      <c r="N34" s="400">
        <f t="shared" si="5"/>
        <v>5.1509999999999945E-2</v>
      </c>
      <c r="O34" s="401">
        <f t="shared" si="6"/>
        <v>0.19930354033662195</v>
      </c>
      <c r="P34" s="52"/>
      <c r="Q34" s="417">
        <f>IFERROR(VLOOKUP($C34,'Proposed Rates'!$B:$J,Q$11,FALSE),0)</f>
        <v>6.0000000000000002E-5</v>
      </c>
      <c r="R34" s="418">
        <f>$F$10*(1+Q$63)</f>
        <v>5165.9999999999991</v>
      </c>
      <c r="S34" s="399">
        <f t="shared" si="31"/>
        <v>0.30995999999999996</v>
      </c>
      <c r="T34" s="132"/>
      <c r="U34" s="400">
        <f t="shared" si="9"/>
        <v>0</v>
      </c>
      <c r="V34" s="401">
        <f t="shared" si="10"/>
        <v>0</v>
      </c>
      <c r="W34" s="52"/>
      <c r="X34" s="417">
        <f>IFERROR(VLOOKUP($C34,'Proposed Rates'!$B:$J,X$11,FALSE),0)</f>
        <v>6.0000000000000002E-5</v>
      </c>
      <c r="Y34" s="418">
        <f>$F$10*(1+X$63)</f>
        <v>5165.9999999999991</v>
      </c>
      <c r="Z34" s="399">
        <f t="shared" si="33"/>
        <v>0.30995999999999996</v>
      </c>
      <c r="AA34" s="132"/>
      <c r="AB34" s="400">
        <f t="shared" si="13"/>
        <v>0</v>
      </c>
      <c r="AC34" s="401">
        <f t="shared" si="14"/>
        <v>0</v>
      </c>
      <c r="AD34" s="52"/>
      <c r="AE34" s="417">
        <f>IFERROR(VLOOKUP($C34,'Proposed Rates'!$B:$J,AE$11,FALSE),0)</f>
        <v>6.0000000000000002E-5</v>
      </c>
      <c r="AF34" s="418">
        <f>$F$10*(1+AE$63)</f>
        <v>5165.9999999999991</v>
      </c>
      <c r="AG34" s="399">
        <f t="shared" si="35"/>
        <v>0.30995999999999996</v>
      </c>
      <c r="AH34" s="132"/>
      <c r="AI34" s="400">
        <f t="shared" si="17"/>
        <v>0</v>
      </c>
      <c r="AJ34" s="401">
        <f t="shared" si="18"/>
        <v>0</v>
      </c>
      <c r="AK34" s="52"/>
      <c r="AL34" s="417">
        <f>IFERROR(VLOOKUP($C34,'Proposed Rates'!$B:$J,AL$11,FALSE),0)</f>
        <v>6.0000000000000002E-5</v>
      </c>
      <c r="AM34" s="418">
        <f>$F$10*(1+AL$63)</f>
        <v>5165.9999999999991</v>
      </c>
      <c r="AN34" s="399">
        <f t="shared" si="37"/>
        <v>0.30995999999999996</v>
      </c>
      <c r="AO34" s="132"/>
      <c r="AP34" s="400">
        <f t="shared" si="21"/>
        <v>0</v>
      </c>
      <c r="AQ34" s="401">
        <f t="shared" si="22"/>
        <v>0</v>
      </c>
      <c r="AR34" s="402"/>
    </row>
    <row r="35" spans="1:44" ht="12" customHeight="1">
      <c r="A35" s="52"/>
      <c r="B35" s="321" t="s">
        <v>316</v>
      </c>
      <c r="C35" s="394" t="str">
        <f t="shared" si="25"/>
        <v>General Service &lt; 50 kW.Line Losses on Cost of Power</v>
      </c>
      <c r="D35" s="395" t="s">
        <v>312</v>
      </c>
      <c r="E35" s="321"/>
      <c r="F35" s="419">
        <f>'Proposed Rates'!$K$253*F$44+'Proposed Rates'!$K$254*F$45+'Proposed Rates'!$K$255*F$46</f>
        <v>0.12752000000000002</v>
      </c>
      <c r="G35" s="506">
        <f>$F$10*(1+F$63)-$F$10</f>
        <v>169</v>
      </c>
      <c r="H35" s="399">
        <f t="shared" si="27"/>
        <v>21.550880000000003</v>
      </c>
      <c r="I35" s="132"/>
      <c r="J35" s="419">
        <f>'Proposed Rates'!$K$253*J$44+'Proposed Rates'!$K$254*J$45+'Proposed Rates'!$K$255*J$46</f>
        <v>0.12752000000000002</v>
      </c>
      <c r="K35" s="506">
        <f>$F$10*(1+J$63)-$F$10</f>
        <v>165.99999999999909</v>
      </c>
      <c r="L35" s="399">
        <f t="shared" si="29"/>
        <v>21.168319999999888</v>
      </c>
      <c r="M35" s="132"/>
      <c r="N35" s="400">
        <f t="shared" si="5"/>
        <v>-0.38256000000011525</v>
      </c>
      <c r="O35" s="401">
        <f t="shared" si="6"/>
        <v>-1.7751479289946175E-2</v>
      </c>
      <c r="P35" s="52"/>
      <c r="Q35" s="419">
        <f>'Proposed Rates'!$K$253*Q$44+'Proposed Rates'!$K$254*Q$45+'Proposed Rates'!$K$255*Q$46</f>
        <v>0.12752000000000002</v>
      </c>
      <c r="R35" s="506">
        <f>$F$10*(1+Q$63)-$F$10</f>
        <v>165.99999999999909</v>
      </c>
      <c r="S35" s="399">
        <f t="shared" si="31"/>
        <v>21.168319999999888</v>
      </c>
      <c r="T35" s="132"/>
      <c r="U35" s="400">
        <f t="shared" si="9"/>
        <v>0</v>
      </c>
      <c r="V35" s="401">
        <f t="shared" si="10"/>
        <v>0</v>
      </c>
      <c r="W35" s="52"/>
      <c r="X35" s="419">
        <f>'Proposed Rates'!$K$253*X$44+'Proposed Rates'!$K$254*X$45+'Proposed Rates'!$K$255*X$46</f>
        <v>0.12752000000000002</v>
      </c>
      <c r="Y35" s="506">
        <f>$F$10*(1+X$63)-$F$10</f>
        <v>165.99999999999909</v>
      </c>
      <c r="Z35" s="399">
        <f t="shared" si="33"/>
        <v>21.168319999999888</v>
      </c>
      <c r="AA35" s="132"/>
      <c r="AB35" s="400">
        <f t="shared" si="13"/>
        <v>0</v>
      </c>
      <c r="AC35" s="401">
        <f t="shared" si="14"/>
        <v>0</v>
      </c>
      <c r="AD35" s="52"/>
      <c r="AE35" s="419">
        <f>'Proposed Rates'!$K$253*AE$44+'Proposed Rates'!$K$254*AE$45+'Proposed Rates'!$K$255*AE$46</f>
        <v>0.12752000000000002</v>
      </c>
      <c r="AF35" s="506">
        <f>$F$10*(1+AE$63)-$F$10</f>
        <v>165.99999999999909</v>
      </c>
      <c r="AG35" s="399">
        <f t="shared" si="35"/>
        <v>21.168319999999888</v>
      </c>
      <c r="AH35" s="132"/>
      <c r="AI35" s="400">
        <f t="shared" si="17"/>
        <v>0</v>
      </c>
      <c r="AJ35" s="401">
        <f t="shared" si="18"/>
        <v>0</v>
      </c>
      <c r="AK35" s="52"/>
      <c r="AL35" s="419">
        <f>'Proposed Rates'!$K$253*AL$44+'Proposed Rates'!$K$254*AL$45+'Proposed Rates'!$K$255*AL$46</f>
        <v>0.12752000000000002</v>
      </c>
      <c r="AM35" s="506">
        <f>$F$10*(1+AL$63)-$F$10</f>
        <v>165.99999999999909</v>
      </c>
      <c r="AN35" s="399">
        <f t="shared" si="37"/>
        <v>21.168319999999888</v>
      </c>
      <c r="AO35" s="132"/>
      <c r="AP35" s="400">
        <f t="shared" si="21"/>
        <v>0</v>
      </c>
      <c r="AQ35" s="401">
        <f t="shared" si="22"/>
        <v>0</v>
      </c>
      <c r="AR35" s="402"/>
    </row>
    <row r="36" spans="1:44" ht="12" customHeight="1">
      <c r="A36" s="52"/>
      <c r="B36" s="321" t="s">
        <v>275</v>
      </c>
      <c r="C36" s="394" t="str">
        <f t="shared" si="25"/>
        <v>General Service &lt; 50 kW.Smart Meter Entity Charge</v>
      </c>
      <c r="D36" s="395" t="s">
        <v>310</v>
      </c>
      <c r="E36" s="321"/>
      <c r="F36" s="396">
        <f>IFERROR(VLOOKUP($C36,'Proposed Rates'!$B:$J,F$11,FALSE),0)</f>
        <v>0.42</v>
      </c>
      <c r="G36" s="397">
        <f>IF($D36="Monthly",1,IF($D36="per KWH",$F$10,0))</f>
        <v>1</v>
      </c>
      <c r="H36" s="399">
        <f t="shared" si="27"/>
        <v>0.42</v>
      </c>
      <c r="I36" s="132"/>
      <c r="J36" s="396">
        <f>IFERROR(VLOOKUP($C36,'Proposed Rates'!$B:$J,J$11,FALSE),0)</f>
        <v>0.42</v>
      </c>
      <c r="K36" s="397">
        <f>IF($D36="Monthly",1,IF($D36="per KWH",$F$10,0))</f>
        <v>1</v>
      </c>
      <c r="L36" s="399">
        <f t="shared" si="29"/>
        <v>0.42</v>
      </c>
      <c r="M36" s="132"/>
      <c r="N36" s="400">
        <f t="shared" si="5"/>
        <v>0</v>
      </c>
      <c r="O36" s="401">
        <f t="shared" si="6"/>
        <v>0</v>
      </c>
      <c r="P36" s="52"/>
      <c r="Q36" s="396">
        <f>IFERROR(VLOOKUP($C36,'Proposed Rates'!$B:$J,Q$11,FALSE),0)</f>
        <v>0.42</v>
      </c>
      <c r="R36" s="397">
        <f>IF($D36="Monthly",1,IF($D36="per KWH",$F$10,0))</f>
        <v>1</v>
      </c>
      <c r="S36" s="399">
        <f t="shared" si="31"/>
        <v>0.42</v>
      </c>
      <c r="T36" s="132"/>
      <c r="U36" s="400">
        <f t="shared" si="9"/>
        <v>0</v>
      </c>
      <c r="V36" s="401">
        <f t="shared" si="10"/>
        <v>0</v>
      </c>
      <c r="W36" s="52"/>
      <c r="X36" s="396">
        <f>IFERROR(VLOOKUP($C36,'Proposed Rates'!$B:$J,X$11,FALSE),0)</f>
        <v>0.43</v>
      </c>
      <c r="Y36" s="397">
        <f>IF($D36="Monthly",1,IF($D36="per KWH",$F$10,0))</f>
        <v>1</v>
      </c>
      <c r="Z36" s="399">
        <f t="shared" si="33"/>
        <v>0.43</v>
      </c>
      <c r="AA36" s="132"/>
      <c r="AB36" s="400">
        <f t="shared" si="13"/>
        <v>1.0000000000000009E-2</v>
      </c>
      <c r="AC36" s="401">
        <f t="shared" si="14"/>
        <v>2.3809523809523832E-2</v>
      </c>
      <c r="AD36" s="52"/>
      <c r="AE36" s="396">
        <f>IFERROR(VLOOKUP($C36,'Proposed Rates'!$B:$J,AE$11,FALSE),0)</f>
        <v>0.44</v>
      </c>
      <c r="AF36" s="397">
        <f>IF($D36="Monthly",1,IF($D36="per KWH",$F$10,0))</f>
        <v>1</v>
      </c>
      <c r="AG36" s="399">
        <f t="shared" si="35"/>
        <v>0.44</v>
      </c>
      <c r="AH36" s="132"/>
      <c r="AI36" s="400">
        <f t="shared" si="17"/>
        <v>1.0000000000000009E-2</v>
      </c>
      <c r="AJ36" s="401">
        <f t="shared" si="18"/>
        <v>2.3255813953488393E-2</v>
      </c>
      <c r="AK36" s="52"/>
      <c r="AL36" s="396">
        <f>IFERROR(VLOOKUP($C36,'Proposed Rates'!$B:$J,AL$11,FALSE),0)</f>
        <v>0.45</v>
      </c>
      <c r="AM36" s="397">
        <f>IF($D36="Monthly",1,IF($D36="per KWH",$F$10,0))</f>
        <v>1</v>
      </c>
      <c r="AN36" s="399">
        <f t="shared" si="37"/>
        <v>0.45</v>
      </c>
      <c r="AO36" s="132"/>
      <c r="AP36" s="400">
        <f t="shared" si="21"/>
        <v>1.0000000000000009E-2</v>
      </c>
      <c r="AQ36" s="401">
        <f t="shared" si="22"/>
        <v>2.2727272727272749E-2</v>
      </c>
      <c r="AR36" s="402"/>
    </row>
    <row r="37" spans="1:44" ht="12" customHeight="1">
      <c r="A37" s="52"/>
      <c r="B37" s="404" t="s">
        <v>317</v>
      </c>
      <c r="C37" s="421"/>
      <c r="D37" s="421"/>
      <c r="E37" s="421"/>
      <c r="F37" s="422"/>
      <c r="G37" s="500"/>
      <c r="H37" s="408">
        <f>SUM(H30:H36)+H29</f>
        <v>202.75933000000001</v>
      </c>
      <c r="I37" s="424"/>
      <c r="J37" s="422"/>
      <c r="K37" s="500"/>
      <c r="L37" s="408">
        <f>SUM(L30:L36)+L29</f>
        <v>222.53827999999987</v>
      </c>
      <c r="M37" s="424"/>
      <c r="N37" s="410">
        <f t="shared" si="5"/>
        <v>19.778949999999867</v>
      </c>
      <c r="O37" s="411">
        <f t="shared" si="6"/>
        <v>9.7548901942020955E-2</v>
      </c>
      <c r="P37" s="52"/>
      <c r="Q37" s="422"/>
      <c r="R37" s="500"/>
      <c r="S37" s="408">
        <f>SUM(S30:S36)+S29</f>
        <v>234.80827999999988</v>
      </c>
      <c r="T37" s="424"/>
      <c r="U37" s="410">
        <f t="shared" si="9"/>
        <v>12.27000000000001</v>
      </c>
      <c r="V37" s="411">
        <f t="shared" si="10"/>
        <v>5.5136581445673155E-2</v>
      </c>
      <c r="W37" s="52"/>
      <c r="X37" s="422"/>
      <c r="Y37" s="500"/>
      <c r="Z37" s="408">
        <f>SUM(Z30:Z36)+Z29</f>
        <v>248.69827999999987</v>
      </c>
      <c r="AA37" s="424"/>
      <c r="AB37" s="410">
        <f t="shared" si="13"/>
        <v>13.889999999999986</v>
      </c>
      <c r="AC37" s="411">
        <f t="shared" si="14"/>
        <v>5.9154643098616427E-2</v>
      </c>
      <c r="AD37" s="52"/>
      <c r="AE37" s="422"/>
      <c r="AF37" s="500"/>
      <c r="AG37" s="408">
        <f>SUM(AG30:AG36)+AG29</f>
        <v>252.77827999999991</v>
      </c>
      <c r="AH37" s="424"/>
      <c r="AI37" s="410">
        <f t="shared" si="17"/>
        <v>4.0800000000000409</v>
      </c>
      <c r="AJ37" s="411">
        <f t="shared" si="18"/>
        <v>1.6405421058802831E-2</v>
      </c>
      <c r="AK37" s="52"/>
      <c r="AL37" s="422"/>
      <c r="AM37" s="500"/>
      <c r="AN37" s="408">
        <f>SUM(AN30:AN36)+AN29</f>
        <v>256.22827999999993</v>
      </c>
      <c r="AO37" s="424"/>
      <c r="AP37" s="410">
        <f t="shared" si="21"/>
        <v>3.4500000000000171</v>
      </c>
      <c r="AQ37" s="411">
        <f t="shared" si="22"/>
        <v>1.3648324531680564E-2</v>
      </c>
      <c r="AR37" s="412"/>
    </row>
    <row r="38" spans="1:44" ht="12" customHeight="1">
      <c r="A38" s="52"/>
      <c r="B38" s="132" t="s">
        <v>258</v>
      </c>
      <c r="C38" s="394" t="str">
        <f t="shared" ref="C38:C39" si="38">D$6&amp;"."&amp;B38</f>
        <v>General Service &lt; 50 kW.RTSR - Network</v>
      </c>
      <c r="D38" s="425" t="s">
        <v>312</v>
      </c>
      <c r="E38" s="132"/>
      <c r="F38" s="413">
        <f>IFERROR(VLOOKUP($C38,'Proposed Rates'!$B:$J,F$11,FALSE),0)</f>
        <v>1.18E-2</v>
      </c>
      <c r="G38" s="507">
        <f t="shared" ref="G38:G39" si="39">$F$10*(1+F$63)</f>
        <v>5169</v>
      </c>
      <c r="H38" s="399">
        <f t="shared" ref="H38:H39" si="40">G38*F38</f>
        <v>60.994199999999999</v>
      </c>
      <c r="I38" s="132"/>
      <c r="J38" s="413">
        <f>IFERROR(VLOOKUP($C38,'Proposed Rates'!$B:$J,J$11,FALSE),0)</f>
        <v>1.0699999999999999E-2</v>
      </c>
      <c r="K38" s="507">
        <f t="shared" ref="K38:K39" si="41">$F$10*(1+J$63)</f>
        <v>5165.9999999999991</v>
      </c>
      <c r="L38" s="399">
        <f t="shared" ref="L38:L39" si="42">K38*J38</f>
        <v>55.276199999999989</v>
      </c>
      <c r="M38" s="132"/>
      <c r="N38" s="400">
        <f t="shared" si="5"/>
        <v>-5.7180000000000106</v>
      </c>
      <c r="O38" s="401">
        <f t="shared" si="6"/>
        <v>-9.374661853094246E-2</v>
      </c>
      <c r="P38" s="52"/>
      <c r="Q38" s="413">
        <f>IFERROR(VLOOKUP($C38,'Proposed Rates'!$B:$J,Q$11,FALSE),0)</f>
        <v>1.0699999999999999E-2</v>
      </c>
      <c r="R38" s="507">
        <f t="shared" ref="R38:R39" si="43">$F$10*(1+Q$63)</f>
        <v>5165.9999999999991</v>
      </c>
      <c r="S38" s="399">
        <f t="shared" ref="S38:S39" si="44">R38*Q38</f>
        <v>55.276199999999989</v>
      </c>
      <c r="T38" s="132"/>
      <c r="U38" s="400">
        <f t="shared" si="9"/>
        <v>0</v>
      </c>
      <c r="V38" s="401">
        <f t="shared" si="10"/>
        <v>0</v>
      </c>
      <c r="W38" s="52"/>
      <c r="X38" s="413">
        <f>IFERROR(VLOOKUP($C38,'Proposed Rates'!$B:$J,X$11,FALSE),0)</f>
        <v>1.0699999999999999E-2</v>
      </c>
      <c r="Y38" s="507">
        <f t="shared" ref="Y38:Y39" si="45">$F$10*(1+X$63)</f>
        <v>5165.9999999999991</v>
      </c>
      <c r="Z38" s="399">
        <f t="shared" ref="Z38:Z39" si="46">Y38*X38</f>
        <v>55.276199999999989</v>
      </c>
      <c r="AA38" s="132"/>
      <c r="AB38" s="400">
        <f t="shared" si="13"/>
        <v>0</v>
      </c>
      <c r="AC38" s="401">
        <f t="shared" si="14"/>
        <v>0</v>
      </c>
      <c r="AD38" s="52"/>
      <c r="AE38" s="413">
        <f>IFERROR(VLOOKUP($C38,'Proposed Rates'!$B:$J,AE$11,FALSE),0)</f>
        <v>1.0699999999999999E-2</v>
      </c>
      <c r="AF38" s="507">
        <f t="shared" ref="AF38:AF39" si="47">$F$10*(1+AE$63)</f>
        <v>5165.9999999999991</v>
      </c>
      <c r="AG38" s="399">
        <f t="shared" ref="AG38:AG39" si="48">AF38*AE38</f>
        <v>55.276199999999989</v>
      </c>
      <c r="AH38" s="132"/>
      <c r="AI38" s="400">
        <f t="shared" si="17"/>
        <v>0</v>
      </c>
      <c r="AJ38" s="401">
        <f t="shared" si="18"/>
        <v>0</v>
      </c>
      <c r="AK38" s="52"/>
      <c r="AL38" s="413">
        <f>IFERROR(VLOOKUP($C38,'Proposed Rates'!$B:$J,AL$11,FALSE),0)</f>
        <v>1.0699999999999999E-2</v>
      </c>
      <c r="AM38" s="507">
        <f t="shared" ref="AM38:AM39" si="49">$F$10*(1+AL$63)</f>
        <v>5165.9999999999991</v>
      </c>
      <c r="AN38" s="399">
        <f t="shared" ref="AN38:AN39" si="50">AM38*AL38</f>
        <v>55.276199999999989</v>
      </c>
      <c r="AO38" s="132"/>
      <c r="AP38" s="400">
        <f t="shared" si="21"/>
        <v>0</v>
      </c>
      <c r="AQ38" s="401">
        <f t="shared" si="22"/>
        <v>0</v>
      </c>
      <c r="AR38" s="402"/>
    </row>
    <row r="39" spans="1:44" ht="12" customHeight="1">
      <c r="A39" s="52"/>
      <c r="B39" s="132" t="s">
        <v>261</v>
      </c>
      <c r="C39" s="394" t="str">
        <f t="shared" si="38"/>
        <v>General Service &lt; 50 kW.RTSR - Line and Transformation Connection</v>
      </c>
      <c r="D39" s="425" t="s">
        <v>312</v>
      </c>
      <c r="E39" s="132"/>
      <c r="F39" s="413">
        <f>IFERROR(VLOOKUP($C39,'Proposed Rates'!$B:$J,F$11,FALSE),0)</f>
        <v>7.0000000000000001E-3</v>
      </c>
      <c r="G39" s="507">
        <f t="shared" si="39"/>
        <v>5169</v>
      </c>
      <c r="H39" s="399">
        <f t="shared" si="40"/>
        <v>36.183</v>
      </c>
      <c r="I39" s="132"/>
      <c r="J39" s="413">
        <f>IFERROR(VLOOKUP($C39,'Proposed Rates'!$B:$J,J$11,FALSE),0)</f>
        <v>6.1000000000000004E-3</v>
      </c>
      <c r="K39" s="507">
        <f t="shared" si="41"/>
        <v>5165.9999999999991</v>
      </c>
      <c r="L39" s="399">
        <f t="shared" si="42"/>
        <v>31.512599999999996</v>
      </c>
      <c r="M39" s="132"/>
      <c r="N39" s="400">
        <f t="shared" si="5"/>
        <v>-4.6704000000000043</v>
      </c>
      <c r="O39" s="401">
        <f t="shared" si="6"/>
        <v>-0.12907719094602449</v>
      </c>
      <c r="P39" s="52"/>
      <c r="Q39" s="413">
        <f>IFERROR(VLOOKUP($C39,'Proposed Rates'!$B:$J,Q$11,FALSE),0)</f>
        <v>6.1000000000000004E-3</v>
      </c>
      <c r="R39" s="507">
        <f t="shared" si="43"/>
        <v>5165.9999999999991</v>
      </c>
      <c r="S39" s="399">
        <f t="shared" si="44"/>
        <v>31.512599999999996</v>
      </c>
      <c r="T39" s="132"/>
      <c r="U39" s="400">
        <f t="shared" si="9"/>
        <v>0</v>
      </c>
      <c r="V39" s="401">
        <f t="shared" si="10"/>
        <v>0</v>
      </c>
      <c r="W39" s="52"/>
      <c r="X39" s="413">
        <f>IFERROR(VLOOKUP($C39,'Proposed Rates'!$B:$J,X$11,FALSE),0)</f>
        <v>6.1000000000000004E-3</v>
      </c>
      <c r="Y39" s="507">
        <f t="shared" si="45"/>
        <v>5165.9999999999991</v>
      </c>
      <c r="Z39" s="399">
        <f t="shared" si="46"/>
        <v>31.512599999999996</v>
      </c>
      <c r="AA39" s="132"/>
      <c r="AB39" s="400">
        <f t="shared" si="13"/>
        <v>0</v>
      </c>
      <c r="AC39" s="401">
        <f t="shared" si="14"/>
        <v>0</v>
      </c>
      <c r="AD39" s="52"/>
      <c r="AE39" s="413">
        <f>IFERROR(VLOOKUP($C39,'Proposed Rates'!$B:$J,AE$11,FALSE),0)</f>
        <v>6.1000000000000004E-3</v>
      </c>
      <c r="AF39" s="507">
        <f t="shared" si="47"/>
        <v>5165.9999999999991</v>
      </c>
      <c r="AG39" s="399">
        <f t="shared" si="48"/>
        <v>31.512599999999996</v>
      </c>
      <c r="AH39" s="132"/>
      <c r="AI39" s="400">
        <f t="shared" si="17"/>
        <v>0</v>
      </c>
      <c r="AJ39" s="401">
        <f t="shared" si="18"/>
        <v>0</v>
      </c>
      <c r="AK39" s="52"/>
      <c r="AL39" s="413">
        <f>IFERROR(VLOOKUP($C39,'Proposed Rates'!$B:$J,AL$11,FALSE),0)</f>
        <v>6.1000000000000004E-3</v>
      </c>
      <c r="AM39" s="507">
        <f t="shared" si="49"/>
        <v>5165.9999999999991</v>
      </c>
      <c r="AN39" s="399">
        <f t="shared" si="50"/>
        <v>31.512599999999996</v>
      </c>
      <c r="AO39" s="132"/>
      <c r="AP39" s="400">
        <f t="shared" si="21"/>
        <v>0</v>
      </c>
      <c r="AQ39" s="401">
        <f t="shared" si="22"/>
        <v>0</v>
      </c>
      <c r="AR39" s="402"/>
    </row>
    <row r="40" spans="1:44" ht="12" customHeight="1">
      <c r="A40" s="52"/>
      <c r="B40" s="404" t="s">
        <v>318</v>
      </c>
      <c r="C40" s="426"/>
      <c r="D40" s="426"/>
      <c r="E40" s="426"/>
      <c r="F40" s="427"/>
      <c r="G40" s="500"/>
      <c r="H40" s="408">
        <f>SUM(H37:H39)</f>
        <v>299.93653</v>
      </c>
      <c r="I40" s="409"/>
      <c r="J40" s="427"/>
      <c r="K40" s="500"/>
      <c r="L40" s="408">
        <f>SUM(L37:L39)</f>
        <v>309.32707999999991</v>
      </c>
      <c r="M40" s="409"/>
      <c r="N40" s="410">
        <f t="shared" si="5"/>
        <v>9.3905499999999051</v>
      </c>
      <c r="O40" s="411">
        <f t="shared" si="6"/>
        <v>3.1308457159252678E-2</v>
      </c>
      <c r="P40" s="52"/>
      <c r="Q40" s="427"/>
      <c r="R40" s="500"/>
      <c r="S40" s="408">
        <f>SUM(S37:S39)</f>
        <v>321.59707999999989</v>
      </c>
      <c r="T40" s="409"/>
      <c r="U40" s="410">
        <f t="shared" si="9"/>
        <v>12.269999999999982</v>
      </c>
      <c r="V40" s="411">
        <f t="shared" si="10"/>
        <v>3.9666750159733782E-2</v>
      </c>
      <c r="W40" s="52"/>
      <c r="X40" s="427"/>
      <c r="Y40" s="500"/>
      <c r="Z40" s="408">
        <f>SUM(Z37:Z39)</f>
        <v>335.48707999999988</v>
      </c>
      <c r="AA40" s="409"/>
      <c r="AB40" s="410">
        <f t="shared" si="13"/>
        <v>13.889999999999986</v>
      </c>
      <c r="AC40" s="411">
        <f t="shared" si="14"/>
        <v>4.3190690661743546E-2</v>
      </c>
      <c r="AD40" s="52"/>
      <c r="AE40" s="427"/>
      <c r="AF40" s="500"/>
      <c r="AG40" s="408">
        <f>SUM(AG37:AG39)</f>
        <v>339.56707999999992</v>
      </c>
      <c r="AH40" s="409"/>
      <c r="AI40" s="410">
        <f t="shared" si="17"/>
        <v>4.0800000000000409</v>
      </c>
      <c r="AJ40" s="411">
        <f t="shared" si="18"/>
        <v>1.2161422132858417E-2</v>
      </c>
      <c r="AK40" s="52"/>
      <c r="AL40" s="427"/>
      <c r="AM40" s="500"/>
      <c r="AN40" s="408">
        <f>SUM(AN37:AN39)</f>
        <v>343.01707999999996</v>
      </c>
      <c r="AO40" s="409"/>
      <c r="AP40" s="410">
        <f t="shared" si="21"/>
        <v>3.4500000000000455</v>
      </c>
      <c r="AQ40" s="411">
        <f t="shared" si="22"/>
        <v>1.0159995486017214E-2</v>
      </c>
      <c r="AR40" s="412"/>
    </row>
    <row r="41" spans="1:44" ht="12" customHeight="1">
      <c r="A41" s="52"/>
      <c r="B41" s="321" t="s">
        <v>262</v>
      </c>
      <c r="C41" s="394" t="str">
        <f t="shared" ref="C41:C48" si="51">D$6&amp;"."&amp;B41</f>
        <v>General Service &lt; 50 kW.Wholesale Market Service Charge (WMSC)</v>
      </c>
      <c r="D41" s="395" t="s">
        <v>312</v>
      </c>
      <c r="E41" s="321"/>
      <c r="F41" s="413">
        <f>IFERROR(VLOOKUP($C41,'Proposed Rates'!$B:$J,F$11,FALSE),0)</f>
        <v>4.4999999999999997E-3</v>
      </c>
      <c r="G41" s="507">
        <f t="shared" ref="G41:G42" si="52">$F$10*(1+F$63)</f>
        <v>5169</v>
      </c>
      <c r="H41" s="399">
        <f t="shared" ref="H41:H48" si="53">G41*F41</f>
        <v>23.260499999999997</v>
      </c>
      <c r="I41" s="132"/>
      <c r="J41" s="413">
        <f>IFERROR(VLOOKUP($C41,'Proposed Rates'!$B:$J,J$11,FALSE),0)</f>
        <v>4.7000000000000002E-3</v>
      </c>
      <c r="K41" s="507">
        <f t="shared" ref="K41:K42" si="54">$F$10*(1+J$63)</f>
        <v>5165.9999999999991</v>
      </c>
      <c r="L41" s="399">
        <f t="shared" ref="L41:L48" si="55">K41*J41</f>
        <v>24.280199999999997</v>
      </c>
      <c r="M41" s="132"/>
      <c r="N41" s="400">
        <f t="shared" si="5"/>
        <v>1.0197000000000003</v>
      </c>
      <c r="O41" s="401">
        <f t="shared" si="6"/>
        <v>4.3838266589282276E-2</v>
      </c>
      <c r="P41" s="52"/>
      <c r="Q41" s="413">
        <f>IFERROR(VLOOKUP($C41,'Proposed Rates'!$B:$J,Q$11,FALSE),0)</f>
        <v>4.7000000000000002E-3</v>
      </c>
      <c r="R41" s="507">
        <f t="shared" ref="R41:R42" si="56">$F$10*(1+Q$63)</f>
        <v>5165.9999999999991</v>
      </c>
      <c r="S41" s="399">
        <f t="shared" ref="S41:S48" si="57">R41*Q41</f>
        <v>24.280199999999997</v>
      </c>
      <c r="T41" s="132"/>
      <c r="U41" s="400">
        <f t="shared" si="9"/>
        <v>0</v>
      </c>
      <c r="V41" s="401">
        <f t="shared" si="10"/>
        <v>0</v>
      </c>
      <c r="W41" s="52"/>
      <c r="X41" s="413">
        <f>IFERROR(VLOOKUP($C41,'Proposed Rates'!$B:$J,X$11,FALSE),0)</f>
        <v>4.7000000000000002E-3</v>
      </c>
      <c r="Y41" s="507">
        <f t="shared" ref="Y41:Y42" si="58">$F$10*(1+X$63)</f>
        <v>5165.9999999999991</v>
      </c>
      <c r="Z41" s="399">
        <f t="shared" ref="Z41:Z48" si="59">Y41*X41</f>
        <v>24.280199999999997</v>
      </c>
      <c r="AA41" s="132"/>
      <c r="AB41" s="400">
        <f t="shared" si="13"/>
        <v>0</v>
      </c>
      <c r="AC41" s="401">
        <f t="shared" si="14"/>
        <v>0</v>
      </c>
      <c r="AD41" s="52"/>
      <c r="AE41" s="413">
        <f>IFERROR(VLOOKUP($C41,'Proposed Rates'!$B:$J,AE$11,FALSE),0)</f>
        <v>4.7000000000000002E-3</v>
      </c>
      <c r="AF41" s="507">
        <f t="shared" ref="AF41:AF42" si="60">$F$10*(1+AE$63)</f>
        <v>5165.9999999999991</v>
      </c>
      <c r="AG41" s="399">
        <f t="shared" ref="AG41:AG48" si="61">AF41*AE41</f>
        <v>24.280199999999997</v>
      </c>
      <c r="AH41" s="132"/>
      <c r="AI41" s="400">
        <f t="shared" si="17"/>
        <v>0</v>
      </c>
      <c r="AJ41" s="401">
        <f t="shared" si="18"/>
        <v>0</v>
      </c>
      <c r="AK41" s="52"/>
      <c r="AL41" s="413">
        <f>IFERROR(VLOOKUP($C41,'Proposed Rates'!$B:$J,AL$11,FALSE),0)</f>
        <v>4.7000000000000002E-3</v>
      </c>
      <c r="AM41" s="507">
        <f t="shared" ref="AM41:AM42" si="62">$F$10*(1+AL$63)</f>
        <v>5165.9999999999991</v>
      </c>
      <c r="AN41" s="399">
        <f t="shared" ref="AN41:AN48" si="63">AM41*AL41</f>
        <v>24.280199999999997</v>
      </c>
      <c r="AO41" s="132"/>
      <c r="AP41" s="400">
        <f t="shared" si="21"/>
        <v>0</v>
      </c>
      <c r="AQ41" s="401">
        <f t="shared" si="22"/>
        <v>0</v>
      </c>
      <c r="AR41" s="402"/>
    </row>
    <row r="42" spans="1:44" ht="12" customHeight="1">
      <c r="A42" s="52"/>
      <c r="B42" s="321" t="s">
        <v>263</v>
      </c>
      <c r="C42" s="394" t="str">
        <f t="shared" si="51"/>
        <v>General Service &lt; 50 kW.Rural and Remote Rate Protection (RRRP)</v>
      </c>
      <c r="D42" s="395" t="s">
        <v>312</v>
      </c>
      <c r="E42" s="321"/>
      <c r="F42" s="413">
        <f>IFERROR(VLOOKUP($C42,'Proposed Rates'!$B:$J,F$11,FALSE),0)</f>
        <v>1.5E-3</v>
      </c>
      <c r="G42" s="507">
        <f t="shared" si="52"/>
        <v>5169</v>
      </c>
      <c r="H42" s="399">
        <f t="shared" si="53"/>
        <v>7.7534999999999998</v>
      </c>
      <c r="I42" s="132"/>
      <c r="J42" s="413">
        <f>IFERROR(VLOOKUP($C42,'Proposed Rates'!$B:$J,J$11,FALSE),0)</f>
        <v>5.9999999999999995E-4</v>
      </c>
      <c r="K42" s="507">
        <f t="shared" si="54"/>
        <v>5165.9999999999991</v>
      </c>
      <c r="L42" s="399">
        <f t="shared" si="55"/>
        <v>3.0995999999999992</v>
      </c>
      <c r="M42" s="132"/>
      <c r="N42" s="400">
        <f t="shared" si="5"/>
        <v>-4.6539000000000001</v>
      </c>
      <c r="O42" s="401">
        <f t="shared" si="6"/>
        <v>-0.600232153221126</v>
      </c>
      <c r="P42" s="52"/>
      <c r="Q42" s="413">
        <f>IFERROR(VLOOKUP($C42,'Proposed Rates'!$B:$J,Q$11,FALSE),0)</f>
        <v>5.9999999999999995E-4</v>
      </c>
      <c r="R42" s="507">
        <f t="shared" si="56"/>
        <v>5165.9999999999991</v>
      </c>
      <c r="S42" s="399">
        <f t="shared" si="57"/>
        <v>3.0995999999999992</v>
      </c>
      <c r="T42" s="132"/>
      <c r="U42" s="400">
        <f t="shared" si="9"/>
        <v>0</v>
      </c>
      <c r="V42" s="401">
        <f t="shared" si="10"/>
        <v>0</v>
      </c>
      <c r="W42" s="52"/>
      <c r="X42" s="413">
        <f>IFERROR(VLOOKUP($C42,'Proposed Rates'!$B:$J,X$11,FALSE),0)</f>
        <v>5.9999999999999995E-4</v>
      </c>
      <c r="Y42" s="507">
        <f t="shared" si="58"/>
        <v>5165.9999999999991</v>
      </c>
      <c r="Z42" s="399">
        <f t="shared" si="59"/>
        <v>3.0995999999999992</v>
      </c>
      <c r="AA42" s="132"/>
      <c r="AB42" s="400">
        <f t="shared" si="13"/>
        <v>0</v>
      </c>
      <c r="AC42" s="401">
        <f t="shared" si="14"/>
        <v>0</v>
      </c>
      <c r="AD42" s="52"/>
      <c r="AE42" s="413">
        <f>IFERROR(VLOOKUP($C42,'Proposed Rates'!$B:$J,AE$11,FALSE),0)</f>
        <v>5.9999999999999995E-4</v>
      </c>
      <c r="AF42" s="507">
        <f t="shared" si="60"/>
        <v>5165.9999999999991</v>
      </c>
      <c r="AG42" s="399">
        <f t="shared" si="61"/>
        <v>3.0995999999999992</v>
      </c>
      <c r="AH42" s="132"/>
      <c r="AI42" s="400">
        <f t="shared" si="17"/>
        <v>0</v>
      </c>
      <c r="AJ42" s="401">
        <f t="shared" si="18"/>
        <v>0</v>
      </c>
      <c r="AK42" s="52"/>
      <c r="AL42" s="413">
        <f>IFERROR(VLOOKUP($C42,'Proposed Rates'!$B:$J,AL$11,FALSE),0)</f>
        <v>5.9999999999999995E-4</v>
      </c>
      <c r="AM42" s="507">
        <f t="shared" si="62"/>
        <v>5165.9999999999991</v>
      </c>
      <c r="AN42" s="399">
        <f t="shared" si="63"/>
        <v>3.0995999999999992</v>
      </c>
      <c r="AO42" s="132"/>
      <c r="AP42" s="400">
        <f t="shared" si="21"/>
        <v>0</v>
      </c>
      <c r="AQ42" s="401">
        <f t="shared" si="22"/>
        <v>0</v>
      </c>
      <c r="AR42" s="402"/>
    </row>
    <row r="43" spans="1:44" ht="12" customHeight="1">
      <c r="A43" s="52"/>
      <c r="B43" s="321" t="s">
        <v>264</v>
      </c>
      <c r="C43" s="394" t="str">
        <f t="shared" si="51"/>
        <v>General Service &lt; 50 kW.Standard Supply Service Charge</v>
      </c>
      <c r="D43" s="395" t="s">
        <v>310</v>
      </c>
      <c r="E43" s="321"/>
      <c r="F43" s="396">
        <f>IFERROR(VLOOKUP($C43,'Proposed Rates'!$B:$J,F$11,FALSE),0)</f>
        <v>0.25</v>
      </c>
      <c r="G43" s="397">
        <f>IF($D43="Monthly",1,IF($D43="per KWH",$F$10,0))</f>
        <v>1</v>
      </c>
      <c r="H43" s="399">
        <f t="shared" si="53"/>
        <v>0.25</v>
      </c>
      <c r="I43" s="132"/>
      <c r="J43" s="396">
        <f>IFERROR(VLOOKUP($C43,'Proposed Rates'!$B:$J,J$11,FALSE),0)</f>
        <v>0.25</v>
      </c>
      <c r="K43" s="397">
        <f>IF($D43="Monthly",1,IF($D43="per KWH",$F$10,0))</f>
        <v>1</v>
      </c>
      <c r="L43" s="399">
        <f t="shared" si="55"/>
        <v>0.25</v>
      </c>
      <c r="M43" s="132"/>
      <c r="N43" s="400">
        <f t="shared" si="5"/>
        <v>0</v>
      </c>
      <c r="O43" s="401">
        <f t="shared" si="6"/>
        <v>0</v>
      </c>
      <c r="P43" s="52"/>
      <c r="Q43" s="396">
        <f>IFERROR(VLOOKUP($C43,'Proposed Rates'!$B:$J,Q$11,FALSE),0)</f>
        <v>0.25</v>
      </c>
      <c r="R43" s="397">
        <f>IF($D43="Monthly",1,IF($D43="per KWH",$F$10,0))</f>
        <v>1</v>
      </c>
      <c r="S43" s="399">
        <f t="shared" si="57"/>
        <v>0.25</v>
      </c>
      <c r="T43" s="132"/>
      <c r="U43" s="400">
        <f t="shared" si="9"/>
        <v>0</v>
      </c>
      <c r="V43" s="401">
        <f t="shared" si="10"/>
        <v>0</v>
      </c>
      <c r="W43" s="52"/>
      <c r="X43" s="396">
        <f>IFERROR(VLOOKUP($C43,'Proposed Rates'!$B:$J,X$11,FALSE),0)</f>
        <v>0.25</v>
      </c>
      <c r="Y43" s="397">
        <f>IF($D43="Monthly",1,IF($D43="per KWH",$F$10,0))</f>
        <v>1</v>
      </c>
      <c r="Z43" s="399">
        <f t="shared" si="59"/>
        <v>0.25</v>
      </c>
      <c r="AA43" s="132"/>
      <c r="AB43" s="400">
        <f t="shared" si="13"/>
        <v>0</v>
      </c>
      <c r="AC43" s="401">
        <f t="shared" si="14"/>
        <v>0</v>
      </c>
      <c r="AD43" s="52"/>
      <c r="AE43" s="396">
        <f>IFERROR(VLOOKUP($C43,'Proposed Rates'!$B:$J,AE$11,FALSE),0)</f>
        <v>0.25</v>
      </c>
      <c r="AF43" s="397">
        <f>IF($D43="Monthly",1,IF($D43="per KWH",$F$10,0))</f>
        <v>1</v>
      </c>
      <c r="AG43" s="399">
        <f t="shared" si="61"/>
        <v>0.25</v>
      </c>
      <c r="AH43" s="132"/>
      <c r="AI43" s="400">
        <f t="shared" si="17"/>
        <v>0</v>
      </c>
      <c r="AJ43" s="401">
        <f t="shared" si="18"/>
        <v>0</v>
      </c>
      <c r="AK43" s="52"/>
      <c r="AL43" s="396">
        <f>IFERROR(VLOOKUP($C43,'Proposed Rates'!$B:$J,AL$11,FALSE),0)</f>
        <v>0.25</v>
      </c>
      <c r="AM43" s="397">
        <f>IF($D43="Monthly",1,IF($D43="per KWH",$F$10,0))</f>
        <v>1</v>
      </c>
      <c r="AN43" s="399">
        <f t="shared" si="63"/>
        <v>0.25</v>
      </c>
      <c r="AO43" s="132"/>
      <c r="AP43" s="400">
        <f t="shared" si="21"/>
        <v>0</v>
      </c>
      <c r="AQ43" s="401">
        <f t="shared" si="22"/>
        <v>0</v>
      </c>
      <c r="AR43" s="402"/>
    </row>
    <row r="44" spans="1:44" ht="12" customHeight="1">
      <c r="A44" s="52"/>
      <c r="B44" s="321" t="s">
        <v>266</v>
      </c>
      <c r="C44" s="394" t="str">
        <f t="shared" si="51"/>
        <v>General Service &lt; 50 kW.TOU - Off Peak</v>
      </c>
      <c r="D44" s="395" t="s">
        <v>312</v>
      </c>
      <c r="E44" s="321"/>
      <c r="F44" s="429">
        <f>VLOOKUP($B44,'Proposed Rates'!$D$252:$J$258,+F$11-2,FALSE)</f>
        <v>9.8000000000000004E-2</v>
      </c>
      <c r="G44" s="507">
        <f>'Proposed Rates'!$K$253*$F$10</f>
        <v>3200</v>
      </c>
      <c r="H44" s="399">
        <f t="shared" si="53"/>
        <v>313.60000000000002</v>
      </c>
      <c r="I44" s="132"/>
      <c r="J44" s="429">
        <f>VLOOKUP($B44,'Proposed Rates'!$D$252:$J$258,+J$11-2,FALSE)</f>
        <v>9.8000000000000004E-2</v>
      </c>
      <c r="K44" s="507">
        <f>'Proposed Rates'!$K$253*$F$10</f>
        <v>3200</v>
      </c>
      <c r="L44" s="399">
        <f t="shared" si="55"/>
        <v>313.60000000000002</v>
      </c>
      <c r="M44" s="132"/>
      <c r="N44" s="400">
        <f t="shared" si="5"/>
        <v>0</v>
      </c>
      <c r="O44" s="401">
        <f t="shared" si="6"/>
        <v>0</v>
      </c>
      <c r="P44" s="52"/>
      <c r="Q44" s="429">
        <f>VLOOKUP($B44,'Proposed Rates'!$D$252:$J$258,+Q$11-2,FALSE)</f>
        <v>9.8000000000000004E-2</v>
      </c>
      <c r="R44" s="507">
        <f>'Proposed Rates'!$K$253*$F$10</f>
        <v>3200</v>
      </c>
      <c r="S44" s="399">
        <f t="shared" si="57"/>
        <v>313.60000000000002</v>
      </c>
      <c r="T44" s="132"/>
      <c r="U44" s="400">
        <f t="shared" si="9"/>
        <v>0</v>
      </c>
      <c r="V44" s="401">
        <f t="shared" si="10"/>
        <v>0</v>
      </c>
      <c r="W44" s="52"/>
      <c r="X44" s="429">
        <f>VLOOKUP($B44,'Proposed Rates'!$D$252:$J$258,+X$11-2,FALSE)</f>
        <v>9.8000000000000004E-2</v>
      </c>
      <c r="Y44" s="507">
        <f>'Proposed Rates'!$K$253*$F$10</f>
        <v>3200</v>
      </c>
      <c r="Z44" s="399">
        <f t="shared" si="59"/>
        <v>313.60000000000002</v>
      </c>
      <c r="AA44" s="132"/>
      <c r="AB44" s="400">
        <f t="shared" si="13"/>
        <v>0</v>
      </c>
      <c r="AC44" s="401">
        <f t="shared" si="14"/>
        <v>0</v>
      </c>
      <c r="AD44" s="52"/>
      <c r="AE44" s="429">
        <f>VLOOKUP($B44,'Proposed Rates'!$D$252:$J$258,+AE$11-2,FALSE)</f>
        <v>9.8000000000000004E-2</v>
      </c>
      <c r="AF44" s="507">
        <f>'Proposed Rates'!$K$253*$F$10</f>
        <v>3200</v>
      </c>
      <c r="AG44" s="399">
        <f t="shared" si="61"/>
        <v>313.60000000000002</v>
      </c>
      <c r="AH44" s="132"/>
      <c r="AI44" s="400">
        <f t="shared" si="17"/>
        <v>0</v>
      </c>
      <c r="AJ44" s="401">
        <f t="shared" si="18"/>
        <v>0</v>
      </c>
      <c r="AK44" s="52"/>
      <c r="AL44" s="429">
        <f>VLOOKUP($B44,'Proposed Rates'!$D$252:$J$258,+AL$11-2,FALSE)</f>
        <v>9.8000000000000004E-2</v>
      </c>
      <c r="AM44" s="507">
        <f>'Proposed Rates'!$K$253*$F$10</f>
        <v>3200</v>
      </c>
      <c r="AN44" s="399">
        <f t="shared" si="63"/>
        <v>313.60000000000002</v>
      </c>
      <c r="AO44" s="132"/>
      <c r="AP44" s="400">
        <f t="shared" si="21"/>
        <v>0</v>
      </c>
      <c r="AQ44" s="401">
        <f t="shared" si="22"/>
        <v>0</v>
      </c>
      <c r="AR44" s="402"/>
    </row>
    <row r="45" spans="1:44" ht="12" customHeight="1">
      <c r="A45" s="52"/>
      <c r="B45" s="321" t="s">
        <v>267</v>
      </c>
      <c r="C45" s="394" t="str">
        <f t="shared" si="51"/>
        <v>General Service &lt; 50 kW.TOU - Mid Peak</v>
      </c>
      <c r="D45" s="395" t="s">
        <v>312</v>
      </c>
      <c r="E45" s="321"/>
      <c r="F45" s="429">
        <f>VLOOKUP($B45,'Proposed Rates'!$D$252:$J$258,+F$11-2,FALSE)</f>
        <v>0.157</v>
      </c>
      <c r="G45" s="507">
        <f>'Proposed Rates'!$K$254*$F$10</f>
        <v>900</v>
      </c>
      <c r="H45" s="399">
        <f t="shared" si="53"/>
        <v>141.30000000000001</v>
      </c>
      <c r="I45" s="132"/>
      <c r="J45" s="429">
        <f>VLOOKUP($B45,'Proposed Rates'!$D$252:$J$258,+J$11-2,FALSE)</f>
        <v>0.157</v>
      </c>
      <c r="K45" s="507">
        <f>'Proposed Rates'!$K$254*$F$10</f>
        <v>900</v>
      </c>
      <c r="L45" s="399">
        <f t="shared" si="55"/>
        <v>141.30000000000001</v>
      </c>
      <c r="M45" s="132"/>
      <c r="N45" s="400">
        <f t="shared" si="5"/>
        <v>0</v>
      </c>
      <c r="O45" s="401">
        <f t="shared" si="6"/>
        <v>0</v>
      </c>
      <c r="P45" s="52"/>
      <c r="Q45" s="429">
        <f>VLOOKUP($B45,'Proposed Rates'!$D$252:$J$258,+Q$11-2,FALSE)</f>
        <v>0.157</v>
      </c>
      <c r="R45" s="507">
        <f>'Proposed Rates'!$K$254*$F$10</f>
        <v>900</v>
      </c>
      <c r="S45" s="399">
        <f t="shared" si="57"/>
        <v>141.30000000000001</v>
      </c>
      <c r="T45" s="132"/>
      <c r="U45" s="400">
        <f t="shared" si="9"/>
        <v>0</v>
      </c>
      <c r="V45" s="401">
        <f t="shared" si="10"/>
        <v>0</v>
      </c>
      <c r="W45" s="52"/>
      <c r="X45" s="429">
        <f>VLOOKUP($B45,'Proposed Rates'!$D$252:$J$258,+X$11-2,FALSE)</f>
        <v>0.157</v>
      </c>
      <c r="Y45" s="507">
        <f>'Proposed Rates'!$K$254*$F$10</f>
        <v>900</v>
      </c>
      <c r="Z45" s="399">
        <f t="shared" si="59"/>
        <v>141.30000000000001</v>
      </c>
      <c r="AA45" s="132"/>
      <c r="AB45" s="400">
        <f t="shared" si="13"/>
        <v>0</v>
      </c>
      <c r="AC45" s="401">
        <f t="shared" si="14"/>
        <v>0</v>
      </c>
      <c r="AD45" s="52"/>
      <c r="AE45" s="429">
        <f>VLOOKUP($B45,'Proposed Rates'!$D$252:$J$258,+AE$11-2,FALSE)</f>
        <v>0.157</v>
      </c>
      <c r="AF45" s="507">
        <f>'Proposed Rates'!$K$254*$F$10</f>
        <v>900</v>
      </c>
      <c r="AG45" s="399">
        <f t="shared" si="61"/>
        <v>141.30000000000001</v>
      </c>
      <c r="AH45" s="132"/>
      <c r="AI45" s="400">
        <f t="shared" si="17"/>
        <v>0</v>
      </c>
      <c r="AJ45" s="401">
        <f t="shared" si="18"/>
        <v>0</v>
      </c>
      <c r="AK45" s="52"/>
      <c r="AL45" s="429">
        <f>VLOOKUP($B45,'Proposed Rates'!$D$252:$J$258,+AL$11-2,FALSE)</f>
        <v>0.157</v>
      </c>
      <c r="AM45" s="507">
        <f>'Proposed Rates'!$K$254*$F$10</f>
        <v>900</v>
      </c>
      <c r="AN45" s="399">
        <f t="shared" si="63"/>
        <v>141.30000000000001</v>
      </c>
      <c r="AO45" s="132"/>
      <c r="AP45" s="400">
        <f t="shared" si="21"/>
        <v>0</v>
      </c>
      <c r="AQ45" s="401">
        <f t="shared" si="22"/>
        <v>0</v>
      </c>
      <c r="AR45" s="402"/>
    </row>
    <row r="46" spans="1:44" ht="12" customHeight="1">
      <c r="A46" s="52"/>
      <c r="B46" s="52" t="s">
        <v>268</v>
      </c>
      <c r="C46" s="394" t="str">
        <f t="shared" si="51"/>
        <v>General Service &lt; 50 kW.TOU - On Peak</v>
      </c>
      <c r="D46" s="395" t="s">
        <v>312</v>
      </c>
      <c r="E46" s="321"/>
      <c r="F46" s="429">
        <f>VLOOKUP($B46,'Proposed Rates'!$D$252:$J$258,+F$11-2,FALSE)</f>
        <v>0.20300000000000001</v>
      </c>
      <c r="G46" s="507">
        <f>'Proposed Rates'!$K$255*$F$10</f>
        <v>900</v>
      </c>
      <c r="H46" s="399">
        <f t="shared" si="53"/>
        <v>182.70000000000002</v>
      </c>
      <c r="I46" s="132"/>
      <c r="J46" s="429">
        <f>VLOOKUP($B46,'Proposed Rates'!$D$252:$J$258,+J$11-2,FALSE)</f>
        <v>0.20300000000000001</v>
      </c>
      <c r="K46" s="507">
        <f>'Proposed Rates'!$K$255*$F$10</f>
        <v>900</v>
      </c>
      <c r="L46" s="399">
        <f t="shared" si="55"/>
        <v>182.70000000000002</v>
      </c>
      <c r="M46" s="132"/>
      <c r="N46" s="400">
        <f t="shared" si="5"/>
        <v>0</v>
      </c>
      <c r="O46" s="401">
        <f t="shared" si="6"/>
        <v>0</v>
      </c>
      <c r="P46" s="52"/>
      <c r="Q46" s="429">
        <f>VLOOKUP($B46,'Proposed Rates'!$D$252:$J$258,+Q$11-2,FALSE)</f>
        <v>0.20300000000000001</v>
      </c>
      <c r="R46" s="507">
        <f>'Proposed Rates'!$K$255*$F$10</f>
        <v>900</v>
      </c>
      <c r="S46" s="399">
        <f t="shared" si="57"/>
        <v>182.70000000000002</v>
      </c>
      <c r="T46" s="132"/>
      <c r="U46" s="400">
        <f t="shared" si="9"/>
        <v>0</v>
      </c>
      <c r="V46" s="401">
        <f t="shared" si="10"/>
        <v>0</v>
      </c>
      <c r="W46" s="52"/>
      <c r="X46" s="429">
        <f>VLOOKUP($B46,'Proposed Rates'!$D$252:$J$258,+X$11-2,FALSE)</f>
        <v>0.20300000000000001</v>
      </c>
      <c r="Y46" s="507">
        <f>'Proposed Rates'!$K$255*$F$10</f>
        <v>900</v>
      </c>
      <c r="Z46" s="399">
        <f t="shared" si="59"/>
        <v>182.70000000000002</v>
      </c>
      <c r="AA46" s="132"/>
      <c r="AB46" s="400">
        <f t="shared" si="13"/>
        <v>0</v>
      </c>
      <c r="AC46" s="401">
        <f t="shared" si="14"/>
        <v>0</v>
      </c>
      <c r="AD46" s="52"/>
      <c r="AE46" s="429">
        <f>VLOOKUP($B46,'Proposed Rates'!$D$252:$J$258,+AE$11-2,FALSE)</f>
        <v>0.20300000000000001</v>
      </c>
      <c r="AF46" s="507">
        <f>'Proposed Rates'!$K$255*$F$10</f>
        <v>900</v>
      </c>
      <c r="AG46" s="399">
        <f t="shared" si="61"/>
        <v>182.70000000000002</v>
      </c>
      <c r="AH46" s="132"/>
      <c r="AI46" s="400">
        <f t="shared" si="17"/>
        <v>0</v>
      </c>
      <c r="AJ46" s="401">
        <f t="shared" si="18"/>
        <v>0</v>
      </c>
      <c r="AK46" s="52"/>
      <c r="AL46" s="429">
        <f>VLOOKUP($B46,'Proposed Rates'!$D$252:$J$258,+AL$11-2,FALSE)</f>
        <v>0.20300000000000001</v>
      </c>
      <c r="AM46" s="507">
        <f>'Proposed Rates'!$K$255*$F$10</f>
        <v>900</v>
      </c>
      <c r="AN46" s="399">
        <f t="shared" si="63"/>
        <v>182.70000000000002</v>
      </c>
      <c r="AO46" s="132"/>
      <c r="AP46" s="400">
        <f t="shared" si="21"/>
        <v>0</v>
      </c>
      <c r="AQ46" s="401">
        <f t="shared" si="22"/>
        <v>0</v>
      </c>
      <c r="AR46" s="402"/>
    </row>
    <row r="47" spans="1:44" ht="12" customHeight="1">
      <c r="A47" s="52"/>
      <c r="B47" s="321" t="s">
        <v>269</v>
      </c>
      <c r="C47" s="394" t="str">
        <f t="shared" si="51"/>
        <v>General Service &lt; 50 kW.Energy - RPP - Tier 1</v>
      </c>
      <c r="D47" s="395" t="s">
        <v>312</v>
      </c>
      <c r="E47" s="321"/>
      <c r="F47" s="429">
        <f>VLOOKUP($B47,'Proposed Rates'!$D$252:$J$258,+F$11-2,FALSE)</f>
        <v>0.12</v>
      </c>
      <c r="G47" s="507">
        <f>IF(AND($S$2=1, $F$10&gt;=750), 750, IF(AND($S$2=1, AND($F$10&lt;750, $F$10&gt;=0)), $F$10, IF(AND($S$2=2, $F$10&gt;=1000), 1000, IF(AND($S$2=2, AND($F$10&lt;1000, $F$10&gt;=0)), $F$10))))</f>
        <v>750</v>
      </c>
      <c r="H47" s="399">
        <f t="shared" si="53"/>
        <v>90</v>
      </c>
      <c r="I47" s="132"/>
      <c r="J47" s="429">
        <f>VLOOKUP($B47,'Proposed Rates'!$D$252:$J$258,+J$11-2,FALSE)</f>
        <v>0.12</v>
      </c>
      <c r="K47" s="507">
        <f>IF(AND($S$2=1, $F$10&gt;=750), 750, IF(AND($S$2=1, AND($F$10&lt;750, $F$10&gt;=0)), $F$10, IF(AND($S$2=2, $F$10&gt;=1000), 1000, IF(AND($S$2=2, AND($F$10&lt;1000, $F$10&gt;=0)), $F$10))))</f>
        <v>750</v>
      </c>
      <c r="L47" s="399">
        <f t="shared" si="55"/>
        <v>90</v>
      </c>
      <c r="M47" s="132"/>
      <c r="N47" s="400">
        <f t="shared" si="5"/>
        <v>0</v>
      </c>
      <c r="O47" s="401">
        <f t="shared" si="6"/>
        <v>0</v>
      </c>
      <c r="P47" s="52"/>
      <c r="Q47" s="429">
        <f>VLOOKUP($B47,'Proposed Rates'!$D$252:$J$258,+Q$11-2,FALSE)</f>
        <v>0.12</v>
      </c>
      <c r="R47" s="507">
        <f>IF(AND($S$2=1, $F$10&gt;=750), 750, IF(AND($S$2=1, AND($F$10&lt;750, $F$10&gt;=0)), $F$10, IF(AND($S$2=2, $F$10&gt;=1000), 1000, IF(AND($S$2=2, AND($F$10&lt;1000, $F$10&gt;=0)), $F$10))))</f>
        <v>750</v>
      </c>
      <c r="S47" s="399">
        <f t="shared" si="57"/>
        <v>90</v>
      </c>
      <c r="T47" s="132"/>
      <c r="U47" s="400">
        <f t="shared" si="9"/>
        <v>0</v>
      </c>
      <c r="V47" s="401">
        <f t="shared" si="10"/>
        <v>0</v>
      </c>
      <c r="W47" s="52"/>
      <c r="X47" s="429">
        <f>VLOOKUP($B47,'Proposed Rates'!$D$252:$J$258,+X$11-2,FALSE)</f>
        <v>0.12</v>
      </c>
      <c r="Y47" s="507">
        <f>IF(AND($S$2=1, $F$10&gt;=750), 750, IF(AND($S$2=1, AND($F$10&lt;750, $F$10&gt;=0)), $F$10, IF(AND($S$2=2, $F$10&gt;=1000), 1000, IF(AND($S$2=2, AND($F$10&lt;1000, $F$10&gt;=0)), $F$10))))</f>
        <v>750</v>
      </c>
      <c r="Z47" s="399">
        <f t="shared" si="59"/>
        <v>90</v>
      </c>
      <c r="AA47" s="132"/>
      <c r="AB47" s="400">
        <f t="shared" si="13"/>
        <v>0</v>
      </c>
      <c r="AC47" s="401">
        <f t="shared" si="14"/>
        <v>0</v>
      </c>
      <c r="AD47" s="52"/>
      <c r="AE47" s="429">
        <f>VLOOKUP($B47,'Proposed Rates'!$D$252:$J$258,+AE$11-2,FALSE)</f>
        <v>0.12</v>
      </c>
      <c r="AF47" s="507">
        <f>IF(AND($S$2=1, $F$10&gt;=750), 750, IF(AND($S$2=1, AND($F$10&lt;750, $F$10&gt;=0)), $F$10, IF(AND($S$2=2, $F$10&gt;=1000), 1000, IF(AND($S$2=2, AND($F$10&lt;1000, $F$10&gt;=0)), $F$10))))</f>
        <v>750</v>
      </c>
      <c r="AG47" s="399">
        <f t="shared" si="61"/>
        <v>90</v>
      </c>
      <c r="AH47" s="132"/>
      <c r="AI47" s="400">
        <f t="shared" si="17"/>
        <v>0</v>
      </c>
      <c r="AJ47" s="401">
        <f t="shared" si="18"/>
        <v>0</v>
      </c>
      <c r="AK47" s="52"/>
      <c r="AL47" s="429">
        <f>VLOOKUP($B47,'Proposed Rates'!$D$252:$J$258,+AL$11-2,FALSE)</f>
        <v>0.12</v>
      </c>
      <c r="AM47" s="507">
        <f>IF(AND($S$2=1, $F$10&gt;=750), 750, IF(AND($S$2=1, AND($F$10&lt;750, $F$10&gt;=0)), $F$10, IF(AND($S$2=2, $F$10&gt;=1000), 1000, IF(AND($S$2=2, AND($F$10&lt;1000, $F$10&gt;=0)), $F$10))))</f>
        <v>750</v>
      </c>
      <c r="AN47" s="399">
        <f t="shared" si="63"/>
        <v>90</v>
      </c>
      <c r="AO47" s="132"/>
      <c r="AP47" s="400">
        <f t="shared" si="21"/>
        <v>0</v>
      </c>
      <c r="AQ47" s="401">
        <f t="shared" si="22"/>
        <v>0</v>
      </c>
      <c r="AR47" s="402"/>
    </row>
    <row r="48" spans="1:44" ht="12" customHeight="1">
      <c r="A48" s="52"/>
      <c r="B48" s="321" t="s">
        <v>270</v>
      </c>
      <c r="C48" s="394" t="str">
        <f t="shared" si="51"/>
        <v>General Service &lt; 50 kW.Energy - RPP - Tier 2</v>
      </c>
      <c r="D48" s="395" t="s">
        <v>312</v>
      </c>
      <c r="E48" s="321"/>
      <c r="F48" s="429">
        <f>VLOOKUP($B48,'Proposed Rates'!$D$252:$J$258,+F$11-2,FALSE)</f>
        <v>0.14199999999999999</v>
      </c>
      <c r="G48" s="507">
        <f>IF(AND($S$2=1, $F$10&gt;=750), $F$10-750, IF(AND($S$2=1, AND($F$10&lt;750, $F$10&gt;=0)), 0, IF(AND($S$2=2, $F$10&gt;=1000), $F$10-1000, IF(AND($S$2=2, AND($F$10&lt;1000, $F$10&gt;=0)), 0))))</f>
        <v>4250</v>
      </c>
      <c r="H48" s="399">
        <f t="shared" si="53"/>
        <v>603.5</v>
      </c>
      <c r="I48" s="132"/>
      <c r="J48" s="429">
        <f>VLOOKUP($B48,'Proposed Rates'!$D$252:$J$258,+J$11-2,FALSE)</f>
        <v>0.14199999999999999</v>
      </c>
      <c r="K48" s="507">
        <f>IF(AND($S$2=1, $F$10&gt;=750), $F$10-750, IF(AND($S$2=1, AND($F$10&lt;750, $F$10&gt;=0)), 0, IF(AND($S$2=2, $F$10&gt;=1000), $F$10-1000, IF(AND($S$2=2, AND($F$10&lt;1000, $F$10&gt;=0)), 0))))</f>
        <v>4250</v>
      </c>
      <c r="L48" s="399">
        <f t="shared" si="55"/>
        <v>603.5</v>
      </c>
      <c r="M48" s="132"/>
      <c r="N48" s="400">
        <f t="shared" si="5"/>
        <v>0</v>
      </c>
      <c r="O48" s="401">
        <f t="shared" si="6"/>
        <v>0</v>
      </c>
      <c r="P48" s="52"/>
      <c r="Q48" s="429">
        <f>VLOOKUP($B48,'Proposed Rates'!$D$252:$J$258,+Q$11-2,FALSE)</f>
        <v>0.14199999999999999</v>
      </c>
      <c r="R48" s="507">
        <f>IF(AND($S$2=1, $F$10&gt;=750), $F$10-750, IF(AND($S$2=1, AND($F$10&lt;750, $F$10&gt;=0)), 0, IF(AND($S$2=2, $F$10&gt;=1000), $F$10-1000, IF(AND($S$2=2, AND($F$10&lt;1000, $F$10&gt;=0)), 0))))</f>
        <v>4250</v>
      </c>
      <c r="S48" s="399">
        <f t="shared" si="57"/>
        <v>603.5</v>
      </c>
      <c r="T48" s="132"/>
      <c r="U48" s="400">
        <f t="shared" si="9"/>
        <v>0</v>
      </c>
      <c r="V48" s="401">
        <f t="shared" si="10"/>
        <v>0</v>
      </c>
      <c r="W48" s="52"/>
      <c r="X48" s="429">
        <f>VLOOKUP($B48,'Proposed Rates'!$D$252:$J$258,+X$11-2,FALSE)</f>
        <v>0.14199999999999999</v>
      </c>
      <c r="Y48" s="507">
        <f>IF(AND($S$2=1, $F$10&gt;=750), $F$10-750, IF(AND($S$2=1, AND($F$10&lt;750, $F$10&gt;=0)), 0, IF(AND($S$2=2, $F$10&gt;=1000), $F$10-1000, IF(AND($S$2=2, AND($F$10&lt;1000, $F$10&gt;=0)), 0))))</f>
        <v>4250</v>
      </c>
      <c r="Z48" s="399">
        <f t="shared" si="59"/>
        <v>603.5</v>
      </c>
      <c r="AA48" s="132"/>
      <c r="AB48" s="400">
        <f t="shared" si="13"/>
        <v>0</v>
      </c>
      <c r="AC48" s="401">
        <f t="shared" si="14"/>
        <v>0</v>
      </c>
      <c r="AD48" s="52"/>
      <c r="AE48" s="429">
        <f>VLOOKUP($B48,'Proposed Rates'!$D$252:$J$258,+AE$11-2,FALSE)</f>
        <v>0.14199999999999999</v>
      </c>
      <c r="AF48" s="507">
        <f>IF(AND($S$2=1, $F$10&gt;=750), $F$10-750, IF(AND($S$2=1, AND($F$10&lt;750, $F$10&gt;=0)), 0, IF(AND($S$2=2, $F$10&gt;=1000), $F$10-1000, IF(AND($S$2=2, AND($F$10&lt;1000, $F$10&gt;=0)), 0))))</f>
        <v>4250</v>
      </c>
      <c r="AG48" s="399">
        <f t="shared" si="61"/>
        <v>603.5</v>
      </c>
      <c r="AH48" s="132"/>
      <c r="AI48" s="400">
        <f t="shared" si="17"/>
        <v>0</v>
      </c>
      <c r="AJ48" s="401">
        <f t="shared" si="18"/>
        <v>0</v>
      </c>
      <c r="AK48" s="52"/>
      <c r="AL48" s="429">
        <f>VLOOKUP($B48,'Proposed Rates'!$D$252:$J$258,+AL$11-2,FALSE)</f>
        <v>0.14199999999999999</v>
      </c>
      <c r="AM48" s="507">
        <f>IF(AND($S$2=1, $F$10&gt;=750), $F$10-750, IF(AND($S$2=1, AND($F$10&lt;750, $F$10&gt;=0)), 0, IF(AND($S$2=2, $F$10&gt;=1000), $F$10-1000, IF(AND($S$2=2, AND($F$10&lt;1000, $F$10&gt;=0)), 0))))</f>
        <v>4250</v>
      </c>
      <c r="AN48" s="399">
        <f t="shared" si="63"/>
        <v>603.5</v>
      </c>
      <c r="AO48" s="132"/>
      <c r="AP48" s="400">
        <f t="shared" si="21"/>
        <v>0</v>
      </c>
      <c r="AQ48" s="401">
        <f t="shared" si="22"/>
        <v>0</v>
      </c>
      <c r="AR48" s="402"/>
    </row>
    <row r="49" spans="1:44" ht="12" customHeight="1">
      <c r="A49" s="52"/>
      <c r="B49" s="433"/>
      <c r="C49" s="434"/>
      <c r="D49" s="434"/>
      <c r="E49" s="434"/>
      <c r="F49" s="435"/>
      <c r="G49" s="475"/>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968.80052999999998</v>
      </c>
      <c r="I50" s="481"/>
      <c r="J50" s="444"/>
      <c r="K50" s="445"/>
      <c r="L50" s="447">
        <f>SUM(L41:L46,L40)</f>
        <v>974.55687999999998</v>
      </c>
      <c r="M50" s="448"/>
      <c r="N50" s="447">
        <f t="shared" ref="N50:N54" si="64">L50-H50</f>
        <v>5.7563499999999976</v>
      </c>
      <c r="O50" s="449">
        <f t="shared" ref="O50:O54" si="65">IF((H50)=0,"",(N50/H50))</f>
        <v>5.9417287891037774E-3</v>
      </c>
      <c r="P50" s="52"/>
      <c r="Q50" s="444"/>
      <c r="R50" s="445"/>
      <c r="S50" s="447">
        <f>SUM(S41:S46,S40)</f>
        <v>986.82687999999996</v>
      </c>
      <c r="T50" s="448"/>
      <c r="U50" s="447">
        <f t="shared" ref="U50:U54" si="66">S50-L50</f>
        <v>12.269999999999982</v>
      </c>
      <c r="V50" s="449">
        <f t="shared" ref="V50:V54" si="67">IF((L50)=0,"",(U50/L50))</f>
        <v>1.2590337467013707E-2</v>
      </c>
      <c r="W50" s="52"/>
      <c r="X50" s="444"/>
      <c r="Y50" s="445"/>
      <c r="Z50" s="447">
        <f>SUM(Z41:Z46,Z40)</f>
        <v>1000.7168799999999</v>
      </c>
      <c r="AA50" s="448"/>
      <c r="AB50" s="447">
        <f t="shared" ref="AB50:AB54" si="68">Z50-S50</f>
        <v>13.889999999999986</v>
      </c>
      <c r="AC50" s="449">
        <f t="shared" ref="AC50:AC54" si="69">IF((S50)=0,"",(AB50/S50))</f>
        <v>1.4075417159289364E-2</v>
      </c>
      <c r="AD50" s="52"/>
      <c r="AE50" s="444"/>
      <c r="AF50" s="445"/>
      <c r="AG50" s="447">
        <f>SUM(AG41:AG46,AG40)</f>
        <v>1004.79688</v>
      </c>
      <c r="AH50" s="448"/>
      <c r="AI50" s="447">
        <f t="shared" ref="AI50:AI54" si="70">AG50-Z50</f>
        <v>4.0800000000000409</v>
      </c>
      <c r="AJ50" s="449">
        <f t="shared" ref="AJ50:AJ54" si="71">IF((Z50)=0,"",(AI50/Z50))</f>
        <v>4.0770772248790695E-3</v>
      </c>
      <c r="AK50" s="52"/>
      <c r="AL50" s="444"/>
      <c r="AM50" s="445"/>
      <c r="AN50" s="447">
        <f>SUM(AN41:AN46,AN40)</f>
        <v>1008.24688</v>
      </c>
      <c r="AO50" s="448"/>
      <c r="AP50" s="447">
        <f t="shared" ref="AP50:AP54" si="72">AN50-AG50</f>
        <v>3.4500000000000455</v>
      </c>
      <c r="AQ50" s="449">
        <f t="shared" ref="AQ50:AQ54" si="73">IF((AG50)=0,"",(AP50/AG50))</f>
        <v>3.4335297697182794E-3</v>
      </c>
      <c r="AR50" s="450"/>
    </row>
    <row r="51" spans="1:44" ht="12" customHeight="1">
      <c r="A51" s="52"/>
      <c r="B51" s="451" t="s">
        <v>320</v>
      </c>
      <c r="C51" s="321"/>
      <c r="D51" s="321"/>
      <c r="E51" s="321"/>
      <c r="F51" s="444">
        <v>0.13</v>
      </c>
      <c r="G51" s="132"/>
      <c r="H51" s="489">
        <f>H50*F51</f>
        <v>125.9440689</v>
      </c>
      <c r="I51" s="416"/>
      <c r="J51" s="444">
        <v>0.13</v>
      </c>
      <c r="K51" s="416"/>
      <c r="L51" s="399">
        <f>L50*J51</f>
        <v>126.6923944</v>
      </c>
      <c r="M51" s="132"/>
      <c r="N51" s="400">
        <f t="shared" si="64"/>
        <v>0.74832549999999287</v>
      </c>
      <c r="O51" s="401">
        <f t="shared" si="65"/>
        <v>5.9417287891037228E-3</v>
      </c>
      <c r="P51" s="52"/>
      <c r="Q51" s="444">
        <v>0.13</v>
      </c>
      <c r="R51" s="416"/>
      <c r="S51" s="399">
        <f>S50*Q51</f>
        <v>128.28749439999999</v>
      </c>
      <c r="T51" s="132"/>
      <c r="U51" s="400">
        <f t="shared" si="66"/>
        <v>1.595099999999988</v>
      </c>
      <c r="V51" s="401">
        <f t="shared" si="67"/>
        <v>1.2590337467013631E-2</v>
      </c>
      <c r="W51" s="52"/>
      <c r="X51" s="444">
        <v>0.13</v>
      </c>
      <c r="Y51" s="416"/>
      <c r="Z51" s="399">
        <f>Z50*X51</f>
        <v>130.09319439999999</v>
      </c>
      <c r="AA51" s="132"/>
      <c r="AB51" s="400">
        <f t="shared" si="68"/>
        <v>1.8057000000000016</v>
      </c>
      <c r="AC51" s="401">
        <f t="shared" si="69"/>
        <v>1.4075417159289392E-2</v>
      </c>
      <c r="AD51" s="52"/>
      <c r="AE51" s="444">
        <v>0.13</v>
      </c>
      <c r="AF51" s="416"/>
      <c r="AG51" s="399">
        <f>AG50*AE51</f>
        <v>130.6235944</v>
      </c>
      <c r="AH51" s="132"/>
      <c r="AI51" s="400">
        <f t="shared" si="70"/>
        <v>0.53040000000001442</v>
      </c>
      <c r="AJ51" s="401">
        <f t="shared" si="71"/>
        <v>4.0770772248791397E-3</v>
      </c>
      <c r="AK51" s="52"/>
      <c r="AL51" s="444">
        <v>0.13</v>
      </c>
      <c r="AM51" s="416"/>
      <c r="AN51" s="399">
        <f>AN50*AL51</f>
        <v>131.0720944</v>
      </c>
      <c r="AO51" s="132"/>
      <c r="AP51" s="400">
        <f t="shared" si="72"/>
        <v>0.44849999999999568</v>
      </c>
      <c r="AQ51" s="401">
        <f t="shared" si="73"/>
        <v>3.4335297697182009E-3</v>
      </c>
      <c r="AR51" s="402"/>
    </row>
    <row r="52" spans="1:44" ht="12" customHeight="1">
      <c r="A52" s="52"/>
      <c r="B52" s="453" t="s">
        <v>373</v>
      </c>
      <c r="C52" s="321"/>
      <c r="D52" s="321"/>
      <c r="E52" s="321"/>
      <c r="F52" s="454"/>
      <c r="G52" s="132"/>
      <c r="H52" s="489">
        <f>H50+H51</f>
        <v>1094.7445989</v>
      </c>
      <c r="I52" s="416"/>
      <c r="J52" s="454"/>
      <c r="K52" s="416"/>
      <c r="L52" s="399">
        <f>L50+L51</f>
        <v>1101.2492743999999</v>
      </c>
      <c r="M52" s="132"/>
      <c r="N52" s="400">
        <f t="shared" si="64"/>
        <v>6.5046754999998484</v>
      </c>
      <c r="O52" s="401">
        <f t="shared" si="65"/>
        <v>5.9417287891036412E-3</v>
      </c>
      <c r="P52" s="52"/>
      <c r="Q52" s="454"/>
      <c r="R52" s="416"/>
      <c r="S52" s="399">
        <f>S50+S51</f>
        <v>1115.1143743999999</v>
      </c>
      <c r="T52" s="132"/>
      <c r="U52" s="400">
        <f t="shared" si="66"/>
        <v>13.865099999999984</v>
      </c>
      <c r="V52" s="401">
        <f t="shared" si="67"/>
        <v>1.2590337467013712E-2</v>
      </c>
      <c r="W52" s="52"/>
      <c r="X52" s="454"/>
      <c r="Y52" s="416"/>
      <c r="Z52" s="399">
        <f>Z50+Z51</f>
        <v>1130.8100743999998</v>
      </c>
      <c r="AA52" s="132"/>
      <c r="AB52" s="400">
        <f t="shared" si="68"/>
        <v>15.695699999999988</v>
      </c>
      <c r="AC52" s="401">
        <f t="shared" si="69"/>
        <v>1.407541715928937E-2</v>
      </c>
      <c r="AD52" s="52"/>
      <c r="AE52" s="454"/>
      <c r="AF52" s="416"/>
      <c r="AG52" s="399">
        <f>AG50+AG51</f>
        <v>1135.4204743999999</v>
      </c>
      <c r="AH52" s="132"/>
      <c r="AI52" s="400">
        <f t="shared" si="70"/>
        <v>4.6104000000000269</v>
      </c>
      <c r="AJ52" s="401">
        <f t="shared" si="71"/>
        <v>4.077077224879053E-3</v>
      </c>
      <c r="AK52" s="52"/>
      <c r="AL52" s="454"/>
      <c r="AM52" s="416"/>
      <c r="AN52" s="399">
        <f>AN50+AN51</f>
        <v>1139.3189744000001</v>
      </c>
      <c r="AO52" s="132"/>
      <c r="AP52" s="400">
        <f t="shared" si="72"/>
        <v>3.8985000000002401</v>
      </c>
      <c r="AQ52" s="401">
        <f t="shared" si="73"/>
        <v>3.4335297697184459E-3</v>
      </c>
      <c r="AR52" s="402"/>
    </row>
    <row r="53" spans="1:44" ht="12" customHeight="1">
      <c r="A53" s="52"/>
      <c r="B53" s="632" t="s">
        <v>277</v>
      </c>
      <c r="C53" s="623"/>
      <c r="D53" s="623"/>
      <c r="E53" s="321"/>
      <c r="F53" s="455">
        <f>'Proposed Rates'!E291</f>
        <v>0.23499999999999999</v>
      </c>
      <c r="G53" s="132"/>
      <c r="H53" s="491">
        <f>F53*H50</f>
        <v>227.66812454999999</v>
      </c>
      <c r="I53" s="416"/>
      <c r="J53" s="455">
        <f>'Proposed Rates'!I291</f>
        <v>0.23499999999999999</v>
      </c>
      <c r="K53" s="416"/>
      <c r="L53" s="456">
        <f>J53*L50</f>
        <v>229.02086679999999</v>
      </c>
      <c r="M53" s="132"/>
      <c r="N53" s="456">
        <f t="shared" si="64"/>
        <v>1.3527422500000057</v>
      </c>
      <c r="O53" s="458">
        <f t="shared" si="65"/>
        <v>5.9417287891038052E-3</v>
      </c>
      <c r="P53" s="52"/>
      <c r="Q53" s="455">
        <f>J53</f>
        <v>0.23499999999999999</v>
      </c>
      <c r="R53" s="416"/>
      <c r="S53" s="456">
        <f>Q53*S50</f>
        <v>231.90431679999998</v>
      </c>
      <c r="T53" s="132"/>
      <c r="U53" s="456">
        <f t="shared" si="66"/>
        <v>2.8834499999999821</v>
      </c>
      <c r="V53" s="458">
        <f t="shared" si="67"/>
        <v>1.2590337467013648E-2</v>
      </c>
      <c r="W53" s="52"/>
      <c r="X53" s="455">
        <f>Q53</f>
        <v>0.23499999999999999</v>
      </c>
      <c r="Y53" s="416"/>
      <c r="Z53" s="456">
        <f>X53*Z50</f>
        <v>235.16846679999998</v>
      </c>
      <c r="AA53" s="132"/>
      <c r="AB53" s="456">
        <f t="shared" si="68"/>
        <v>3.2641500000000008</v>
      </c>
      <c r="AC53" s="458">
        <f t="shared" si="69"/>
        <v>1.4075417159289384E-2</v>
      </c>
      <c r="AD53" s="52"/>
      <c r="AE53" s="455">
        <f>X53</f>
        <v>0.23499999999999999</v>
      </c>
      <c r="AF53" s="416"/>
      <c r="AG53" s="456">
        <f>AE53*AG50</f>
        <v>236.12726679999997</v>
      </c>
      <c r="AH53" s="132"/>
      <c r="AI53" s="456">
        <f t="shared" si="70"/>
        <v>0.95879999999999654</v>
      </c>
      <c r="AJ53" s="458">
        <f t="shared" si="71"/>
        <v>4.0770772248790148E-3</v>
      </c>
      <c r="AK53" s="52"/>
      <c r="AL53" s="455">
        <f>AE53</f>
        <v>0.23499999999999999</v>
      </c>
      <c r="AM53" s="416"/>
      <c r="AN53" s="456">
        <f>AL53*AN50</f>
        <v>236.93801679999999</v>
      </c>
      <c r="AO53" s="132"/>
      <c r="AP53" s="456">
        <f t="shared" si="72"/>
        <v>0.81075000000001296</v>
      </c>
      <c r="AQ53" s="458">
        <f t="shared" si="73"/>
        <v>3.4335297697182894E-3</v>
      </c>
      <c r="AR53" s="459"/>
    </row>
    <row r="54" spans="1:44" ht="12.75" customHeight="1">
      <c r="A54" s="52"/>
      <c r="B54" s="634" t="s">
        <v>322</v>
      </c>
      <c r="C54" s="615"/>
      <c r="D54" s="615"/>
      <c r="E54" s="460"/>
      <c r="F54" s="461"/>
      <c r="G54" s="492"/>
      <c r="H54" s="493">
        <f>H52-H53</f>
        <v>867.07647435000001</v>
      </c>
      <c r="I54" s="462"/>
      <c r="J54" s="461"/>
      <c r="K54" s="462"/>
      <c r="L54" s="463">
        <f>L52-L53</f>
        <v>872.22840759999985</v>
      </c>
      <c r="M54" s="464"/>
      <c r="N54" s="465">
        <f t="shared" si="64"/>
        <v>5.1519332499998427</v>
      </c>
      <c r="O54" s="466">
        <f t="shared" si="65"/>
        <v>5.9417287891035979E-3</v>
      </c>
      <c r="P54" s="52"/>
      <c r="Q54" s="461"/>
      <c r="R54" s="462"/>
      <c r="S54" s="463">
        <f>S52-S53</f>
        <v>883.21005759999991</v>
      </c>
      <c r="T54" s="464"/>
      <c r="U54" s="465">
        <f t="shared" si="66"/>
        <v>10.981650000000059</v>
      </c>
      <c r="V54" s="466">
        <f t="shared" si="67"/>
        <v>1.2590337467013796E-2</v>
      </c>
      <c r="W54" s="52"/>
      <c r="X54" s="461"/>
      <c r="Y54" s="462"/>
      <c r="Z54" s="463">
        <f>Z52-Z53</f>
        <v>895.64160759999982</v>
      </c>
      <c r="AA54" s="464"/>
      <c r="AB54" s="465">
        <f t="shared" si="68"/>
        <v>12.431549999999902</v>
      </c>
      <c r="AC54" s="466">
        <f t="shared" si="69"/>
        <v>1.4075417159289269E-2</v>
      </c>
      <c r="AD54" s="52"/>
      <c r="AE54" s="461"/>
      <c r="AF54" s="462"/>
      <c r="AG54" s="463">
        <f>AG52-AG53</f>
        <v>899.29320759999996</v>
      </c>
      <c r="AH54" s="464"/>
      <c r="AI54" s="465">
        <f t="shared" si="70"/>
        <v>3.6516000000001441</v>
      </c>
      <c r="AJ54" s="466">
        <f t="shared" si="71"/>
        <v>4.0770772248791901E-3</v>
      </c>
      <c r="AK54" s="52"/>
      <c r="AL54" s="461"/>
      <c r="AM54" s="462"/>
      <c r="AN54" s="463">
        <f>AN52-AN53</f>
        <v>902.3809576000001</v>
      </c>
      <c r="AO54" s="464"/>
      <c r="AP54" s="465">
        <f t="shared" si="72"/>
        <v>3.0877500000001419</v>
      </c>
      <c r="AQ54" s="466">
        <f t="shared" si="73"/>
        <v>3.4335297697183917E-3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1024.7005299999998</v>
      </c>
      <c r="I56" s="481"/>
      <c r="J56" s="444"/>
      <c r="K56" s="445"/>
      <c r="L56" s="447">
        <f>SUM(L47:L48,L40,L41:L43)</f>
        <v>1030.45688</v>
      </c>
      <c r="M56" s="448"/>
      <c r="N56" s="447">
        <f t="shared" ref="N56:N60" si="74">L56-H56</f>
        <v>5.7563500000001113</v>
      </c>
      <c r="O56" s="449">
        <f t="shared" ref="O56:O60" si="75">IF((H56)=0,"",(N56/H56))</f>
        <v>5.6175924882171302E-3</v>
      </c>
      <c r="P56" s="52"/>
      <c r="Q56" s="444"/>
      <c r="R56" s="445"/>
      <c r="S56" s="447">
        <f>SUM(S47:S48,S40,S41:S43)</f>
        <v>1042.7268799999999</v>
      </c>
      <c r="T56" s="448"/>
      <c r="U56" s="447">
        <f t="shared" ref="U56:U60" si="76">S56-L56</f>
        <v>12.269999999999982</v>
      </c>
      <c r="V56" s="449">
        <f t="shared" ref="V56:V60" si="77">IF((L56)=0,"",(U56/L56))</f>
        <v>1.1907339587077124E-2</v>
      </c>
      <c r="W56" s="52"/>
      <c r="X56" s="444"/>
      <c r="Y56" s="445"/>
      <c r="Z56" s="447">
        <f>SUM(Z47:Z48,Z40,Z41:Z43)</f>
        <v>1056.6168799999998</v>
      </c>
      <c r="AA56" s="448"/>
      <c r="AB56" s="447">
        <f t="shared" ref="AB56:AB60" si="78">Z56-S56</f>
        <v>13.889999999999873</v>
      </c>
      <c r="AC56" s="449">
        <f t="shared" ref="AC56:AC60" si="79">IF((S56)=0,"",(AB56/S56))</f>
        <v>1.3320841983089448E-2</v>
      </c>
      <c r="AD56" s="52"/>
      <c r="AE56" s="444"/>
      <c r="AF56" s="445"/>
      <c r="AG56" s="447">
        <f>SUM(AG47:AG48,AG40,AG41:AG43)</f>
        <v>1060.6968799999997</v>
      </c>
      <c r="AH56" s="448"/>
      <c r="AI56" s="447">
        <f t="shared" ref="AI56:AI60" si="80">AG56-Z56</f>
        <v>4.0799999999999272</v>
      </c>
      <c r="AJ56" s="449">
        <f t="shared" ref="AJ56:AJ60" si="81">IF((Z56)=0,"",(AI56/Z56))</f>
        <v>3.8613806737593744E-3</v>
      </c>
      <c r="AK56" s="52"/>
      <c r="AL56" s="444"/>
      <c r="AM56" s="445"/>
      <c r="AN56" s="447">
        <f>SUM(AN47:AN48,AN40,AN41:AN43)</f>
        <v>1064.14688</v>
      </c>
      <c r="AO56" s="448"/>
      <c r="AP56" s="447">
        <f t="shared" ref="AP56:AP60" si="82">AN56-AG56</f>
        <v>3.4500000000002728</v>
      </c>
      <c r="AQ56" s="449">
        <f t="shared" ref="AQ56:AQ60" si="83">IF((AG56)=0,"",(AP56/AG56))</f>
        <v>3.2525786254790092E-3</v>
      </c>
      <c r="AR56" s="450"/>
    </row>
    <row r="57" spans="1:44" ht="12" customHeight="1">
      <c r="A57" s="52"/>
      <c r="B57" s="451" t="s">
        <v>320</v>
      </c>
      <c r="C57" s="321"/>
      <c r="D57" s="321"/>
      <c r="E57" s="321"/>
      <c r="F57" s="444">
        <v>0.13</v>
      </c>
      <c r="G57" s="488"/>
      <c r="H57" s="489">
        <f>H56*F57</f>
        <v>133.21106889999999</v>
      </c>
      <c r="I57" s="416"/>
      <c r="J57" s="444">
        <v>0.13</v>
      </c>
      <c r="K57" s="452"/>
      <c r="L57" s="400">
        <f>L56*J57</f>
        <v>133.95939440000001</v>
      </c>
      <c r="M57" s="132"/>
      <c r="N57" s="400">
        <f t="shared" si="74"/>
        <v>0.74832550000002129</v>
      </c>
      <c r="O57" s="401">
        <f t="shared" si="75"/>
        <v>5.6175924882171813E-3</v>
      </c>
      <c r="P57" s="52"/>
      <c r="Q57" s="444">
        <v>0.13</v>
      </c>
      <c r="R57" s="452"/>
      <c r="S57" s="399">
        <f>S56*Q57</f>
        <v>135.55449440000001</v>
      </c>
      <c r="T57" s="132"/>
      <c r="U57" s="400">
        <f t="shared" si="76"/>
        <v>1.5951000000000022</v>
      </c>
      <c r="V57" s="401">
        <f t="shared" si="77"/>
        <v>1.1907339587077157E-2</v>
      </c>
      <c r="W57" s="52"/>
      <c r="X57" s="444">
        <v>0.13</v>
      </c>
      <c r="Y57" s="452"/>
      <c r="Z57" s="399">
        <f>Z56*X57</f>
        <v>137.36019439999998</v>
      </c>
      <c r="AA57" s="132"/>
      <c r="AB57" s="400">
        <f t="shared" si="78"/>
        <v>1.8056999999999732</v>
      </c>
      <c r="AC57" s="401">
        <f t="shared" si="79"/>
        <v>1.3320841983089372E-2</v>
      </c>
      <c r="AD57" s="52"/>
      <c r="AE57" s="444">
        <v>0.13</v>
      </c>
      <c r="AF57" s="452"/>
      <c r="AG57" s="400">
        <f>AG56*AE57</f>
        <v>137.89059439999997</v>
      </c>
      <c r="AH57" s="132"/>
      <c r="AI57" s="400">
        <f t="shared" si="80"/>
        <v>0.53039999999998599</v>
      </c>
      <c r="AJ57" s="401">
        <f t="shared" si="81"/>
        <v>3.861380673759341E-3</v>
      </c>
      <c r="AK57" s="52"/>
      <c r="AL57" s="444">
        <v>0.13</v>
      </c>
      <c r="AM57" s="452"/>
      <c r="AN57" s="399">
        <f>AN56*AL57</f>
        <v>138.33909439999999</v>
      </c>
      <c r="AO57" s="132"/>
      <c r="AP57" s="400">
        <f t="shared" si="82"/>
        <v>0.4485000000000241</v>
      </c>
      <c r="AQ57" s="401">
        <f t="shared" si="83"/>
        <v>3.2525786254789268E-3</v>
      </c>
      <c r="AR57" s="402"/>
    </row>
    <row r="58" spans="1:44" ht="12" customHeight="1">
      <c r="A58" s="52"/>
      <c r="B58" s="453" t="s">
        <v>374</v>
      </c>
      <c r="C58" s="321"/>
      <c r="D58" s="321"/>
      <c r="E58" s="321"/>
      <c r="F58" s="454"/>
      <c r="G58" s="132"/>
      <c r="H58" s="489">
        <f>H56+H57</f>
        <v>1157.9115988999997</v>
      </c>
      <c r="I58" s="416"/>
      <c r="J58" s="454"/>
      <c r="K58" s="416"/>
      <c r="L58" s="399">
        <f>L56+L57</f>
        <v>1164.4162744</v>
      </c>
      <c r="M58" s="132"/>
      <c r="N58" s="400">
        <f t="shared" si="74"/>
        <v>6.5046755000003031</v>
      </c>
      <c r="O58" s="401">
        <f t="shared" si="75"/>
        <v>5.6175924882172837E-3</v>
      </c>
      <c r="P58" s="52"/>
      <c r="Q58" s="454"/>
      <c r="R58" s="416"/>
      <c r="S58" s="399">
        <f>S56+S57</f>
        <v>1178.2813744</v>
      </c>
      <c r="T58" s="132"/>
      <c r="U58" s="400">
        <f t="shared" si="76"/>
        <v>13.865099999999984</v>
      </c>
      <c r="V58" s="401">
        <f t="shared" si="77"/>
        <v>1.1907339587077128E-2</v>
      </c>
      <c r="W58" s="52"/>
      <c r="X58" s="454"/>
      <c r="Y58" s="416"/>
      <c r="Z58" s="399">
        <f>Z56+Z57</f>
        <v>1193.9770743999998</v>
      </c>
      <c r="AA58" s="132"/>
      <c r="AB58" s="400">
        <f t="shared" si="78"/>
        <v>15.695699999999761</v>
      </c>
      <c r="AC58" s="401">
        <f t="shared" si="79"/>
        <v>1.3320841983089367E-2</v>
      </c>
      <c r="AD58" s="52"/>
      <c r="AE58" s="454"/>
      <c r="AF58" s="416"/>
      <c r="AG58" s="399">
        <f>AG56+AG57</f>
        <v>1198.5874743999998</v>
      </c>
      <c r="AH58" s="132"/>
      <c r="AI58" s="400">
        <f t="shared" si="80"/>
        <v>4.6104000000000269</v>
      </c>
      <c r="AJ58" s="401">
        <f t="shared" si="81"/>
        <v>3.8613806737594659E-3</v>
      </c>
      <c r="AK58" s="52"/>
      <c r="AL58" s="454"/>
      <c r="AM58" s="416"/>
      <c r="AN58" s="399">
        <f>AN56+AN57</f>
        <v>1202.4859744</v>
      </c>
      <c r="AO58" s="132"/>
      <c r="AP58" s="400">
        <f t="shared" si="82"/>
        <v>3.8985000000002401</v>
      </c>
      <c r="AQ58" s="401">
        <f t="shared" si="83"/>
        <v>3.2525786254789524E-3</v>
      </c>
      <c r="AR58" s="402"/>
    </row>
    <row r="59" spans="1:44" ht="12" customHeight="1">
      <c r="A59" s="52"/>
      <c r="B59" s="632" t="s">
        <v>277</v>
      </c>
      <c r="C59" s="623"/>
      <c r="D59" s="623"/>
      <c r="E59" s="321"/>
      <c r="F59" s="455">
        <f>F53</f>
        <v>0.23499999999999999</v>
      </c>
      <c r="G59" s="132"/>
      <c r="H59" s="491">
        <f>F59*H56</f>
        <v>240.80462454999994</v>
      </c>
      <c r="I59" s="416"/>
      <c r="J59" s="455">
        <f>J53</f>
        <v>0.23499999999999999</v>
      </c>
      <c r="K59" s="416"/>
      <c r="L59" s="456">
        <f>J59*L56</f>
        <v>242.15736679999998</v>
      </c>
      <c r="M59" s="132"/>
      <c r="N59" s="456">
        <f t="shared" si="74"/>
        <v>1.3527422500000341</v>
      </c>
      <c r="O59" s="458">
        <f t="shared" si="75"/>
        <v>5.617592488217164E-3</v>
      </c>
      <c r="P59" s="52"/>
      <c r="Q59" s="455">
        <f>Q53</f>
        <v>0.23499999999999999</v>
      </c>
      <c r="R59" s="416"/>
      <c r="S59" s="456">
        <f>Q59*S56</f>
        <v>245.04081679999996</v>
      </c>
      <c r="T59" s="132"/>
      <c r="U59" s="456">
        <f t="shared" si="76"/>
        <v>2.8834499999999821</v>
      </c>
      <c r="V59" s="458">
        <f t="shared" si="77"/>
        <v>1.1907339587077069E-2</v>
      </c>
      <c r="W59" s="52"/>
      <c r="X59" s="455">
        <f>X53</f>
        <v>0.23499999999999999</v>
      </c>
      <c r="Y59" s="416"/>
      <c r="Z59" s="456">
        <f>X59*Z56</f>
        <v>248.30496679999993</v>
      </c>
      <c r="AA59" s="132"/>
      <c r="AB59" s="456">
        <f t="shared" si="78"/>
        <v>3.2641499999999724</v>
      </c>
      <c r="AC59" s="458">
        <f t="shared" si="79"/>
        <v>1.3320841983089459E-2</v>
      </c>
      <c r="AD59" s="52"/>
      <c r="AE59" s="455">
        <f>AE53</f>
        <v>0.23499999999999999</v>
      </c>
      <c r="AF59" s="416"/>
      <c r="AG59" s="456">
        <f>AE59*AG56</f>
        <v>249.26376679999993</v>
      </c>
      <c r="AH59" s="132"/>
      <c r="AI59" s="456">
        <f t="shared" si="80"/>
        <v>0.95879999999999654</v>
      </c>
      <c r="AJ59" s="458">
        <f t="shared" si="81"/>
        <v>3.8613806737594295E-3</v>
      </c>
      <c r="AK59" s="52"/>
      <c r="AL59" s="455">
        <f>AL53</f>
        <v>0.23499999999999999</v>
      </c>
      <c r="AM59" s="416"/>
      <c r="AN59" s="456">
        <f>AL59*AN56</f>
        <v>250.0745168</v>
      </c>
      <c r="AO59" s="132"/>
      <c r="AP59" s="456">
        <f t="shared" si="82"/>
        <v>0.8107500000000698</v>
      </c>
      <c r="AQ59" s="458">
        <f t="shared" si="83"/>
        <v>3.2525786254790322E-3</v>
      </c>
      <c r="AR59" s="459"/>
    </row>
    <row r="60" spans="1:44" ht="12.75" customHeight="1">
      <c r="A60" s="52"/>
      <c r="B60" s="634" t="s">
        <v>325</v>
      </c>
      <c r="C60" s="615"/>
      <c r="D60" s="615"/>
      <c r="E60" s="460"/>
      <c r="F60" s="468"/>
      <c r="G60" s="494"/>
      <c r="H60" s="495">
        <f>H58-H59</f>
        <v>917.10697434999975</v>
      </c>
      <c r="I60" s="469"/>
      <c r="J60" s="468"/>
      <c r="K60" s="469"/>
      <c r="L60" s="470">
        <f>L58-L59</f>
        <v>922.25890760000004</v>
      </c>
      <c r="M60" s="471"/>
      <c r="N60" s="472">
        <f t="shared" si="74"/>
        <v>5.1519332500002974</v>
      </c>
      <c r="O60" s="473">
        <f t="shared" si="75"/>
        <v>5.617592488217347E-3</v>
      </c>
      <c r="P60" s="52"/>
      <c r="Q60" s="468"/>
      <c r="R60" s="469"/>
      <c r="S60" s="470">
        <f>S58-S59</f>
        <v>933.2405576000001</v>
      </c>
      <c r="T60" s="471"/>
      <c r="U60" s="472">
        <f t="shared" si="76"/>
        <v>10.981650000000059</v>
      </c>
      <c r="V60" s="473">
        <f t="shared" si="77"/>
        <v>1.1907339587077206E-2</v>
      </c>
      <c r="W60" s="52"/>
      <c r="X60" s="468"/>
      <c r="Y60" s="469"/>
      <c r="Z60" s="470">
        <f>Z58-Z59</f>
        <v>945.67210759999989</v>
      </c>
      <c r="AA60" s="471"/>
      <c r="AB60" s="472">
        <f t="shared" si="78"/>
        <v>12.431549999999788</v>
      </c>
      <c r="AC60" s="473">
        <f t="shared" si="79"/>
        <v>1.3320841983089341E-2</v>
      </c>
      <c r="AD60" s="52"/>
      <c r="AE60" s="468"/>
      <c r="AF60" s="469"/>
      <c r="AG60" s="470">
        <f>AG58-AG59</f>
        <v>949.32370759999981</v>
      </c>
      <c r="AH60" s="471"/>
      <c r="AI60" s="472">
        <f t="shared" si="80"/>
        <v>3.6515999999999167</v>
      </c>
      <c r="AJ60" s="473">
        <f t="shared" si="81"/>
        <v>3.8613806737593549E-3</v>
      </c>
      <c r="AK60" s="52"/>
      <c r="AL60" s="468"/>
      <c r="AM60" s="469"/>
      <c r="AN60" s="470">
        <f>AN58-AN59</f>
        <v>952.41145760000006</v>
      </c>
      <c r="AO60" s="471"/>
      <c r="AP60" s="472">
        <f t="shared" si="82"/>
        <v>3.0877500000002556</v>
      </c>
      <c r="AQ60" s="473">
        <f t="shared" si="83"/>
        <v>3.2525786254790213E-3</v>
      </c>
      <c r="AR60" s="467"/>
    </row>
    <row r="61" spans="1:44"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331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332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333</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336</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79"/>
      <c r="B73" s="52" t="s">
        <v>337</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338</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500-000000000000}">
      <formula1>"TOU,non-TOU"</formula1>
    </dataValidation>
    <dataValidation type="list" allowBlank="1" showErrorMessage="1" sqref="E15:E28 E30:E36 E38:E39 E41:E49 E55 E61" xr:uid="{00000000-0002-0000-1500-000001000000}">
      <formula1>#REF!</formula1>
    </dataValidation>
    <dataValidation type="list" allowBlank="1" showInputMessage="1" showErrorMessage="1" prompt="Select Charge Unit - monthly, per kWh, per kW" sqref="D15:D28 D30:D36 D38:D39 D41:D49 D55 D61" xr:uid="{00000000-0002-0000-1500-000002000000}">
      <formula1>"Monthly,per kWh,per kW"</formula1>
    </dataValidation>
  </dataValidations>
  <pageMargins left="0.74803149606299213" right="0.74803149606299213" top="0.98425196850393704" bottom="0.98425196850393704"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140625" customWidth="1"/>
    <col min="4" max="4" width="11.42578125" customWidth="1"/>
    <col min="5" max="5" width="1.42578125" customWidth="1"/>
    <col min="6" max="6" width="10.710937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5"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5"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20" t="s">
        <v>298</v>
      </c>
      <c r="C6" s="52"/>
      <c r="D6" s="504" t="s">
        <v>223</v>
      </c>
      <c r="E6" s="505"/>
      <c r="F6" s="505"/>
      <c r="G6" s="505"/>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7" t="s">
        <v>301</v>
      </c>
      <c r="E10" s="307"/>
      <c r="F10" s="385">
        <v>10000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5"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5"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5"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5" ht="12" customHeight="1">
      <c r="A15" s="52"/>
      <c r="B15" s="321" t="s">
        <v>221</v>
      </c>
      <c r="C15" s="394" t="str">
        <f t="shared" ref="C15:C28" si="0">D$6&amp;"."&amp;B15</f>
        <v>General Service &lt; 50 kW.Monthly Service Charge</v>
      </c>
      <c r="D15" s="395" t="s">
        <v>310</v>
      </c>
      <c r="E15" s="321"/>
      <c r="F15" s="396">
        <f>IFERROR(VLOOKUP($C15,'Proposed Rates'!$B:$J,F$11,FALSE),0)</f>
        <v>23.53</v>
      </c>
      <c r="G15" s="397">
        <f t="shared" ref="G15:G28" si="1">IF($D15="Monthly",1,IF($D15="per KWH",$F$10,0))</f>
        <v>1</v>
      </c>
      <c r="H15" s="399">
        <f t="shared" ref="H15:H28" si="2">G15*F15</f>
        <v>23.53</v>
      </c>
      <c r="I15" s="132"/>
      <c r="J15" s="396">
        <f>IFERROR(VLOOKUP($C15,'Proposed Rates'!$B:$J,J$11,FALSE),0)</f>
        <v>27.14</v>
      </c>
      <c r="K15" s="397">
        <f t="shared" ref="K15:K28" si="3">IF($D15="Monthly",1,IF($D15="per KWH",$F$10,0))</f>
        <v>1</v>
      </c>
      <c r="L15" s="399">
        <f t="shared" ref="L15:L28" si="4">K15*J15</f>
        <v>27.14</v>
      </c>
      <c r="M15" s="132"/>
      <c r="N15" s="400">
        <f t="shared" ref="N15:N48" si="5">L15-H15</f>
        <v>3.6099999999999994</v>
      </c>
      <c r="O15" s="401">
        <f t="shared" ref="O15:O48" si="6">IF((H15)=0,"",(N15/H15))</f>
        <v>0.15342116447088819</v>
      </c>
      <c r="P15" s="52"/>
      <c r="Q15" s="396">
        <f>IFERROR(VLOOKUP($C15,'Proposed Rates'!$B:$J,Q$11,FALSE),0)</f>
        <v>28.41</v>
      </c>
      <c r="R15" s="397">
        <f t="shared" ref="R15:R28" si="7">IF($D15="Monthly",1,IF($D15="per KWH",$F$10,0))</f>
        <v>1</v>
      </c>
      <c r="S15" s="399">
        <f t="shared" ref="S15:S28" si="8">R15*Q15</f>
        <v>28.41</v>
      </c>
      <c r="T15" s="132"/>
      <c r="U15" s="400">
        <f t="shared" ref="U15:U48" si="9">S15-L15</f>
        <v>1.2699999999999996</v>
      </c>
      <c r="V15" s="401">
        <f t="shared" ref="V15:V48" si="10">IF((L15)=0,"",(U15/L15))</f>
        <v>4.6794399410464239E-2</v>
      </c>
      <c r="W15" s="52"/>
      <c r="X15" s="396">
        <f>IFERROR(VLOOKUP($C15,'Proposed Rates'!$B:$J,X$11,FALSE),0)</f>
        <v>30.29</v>
      </c>
      <c r="Y15" s="397">
        <f t="shared" ref="Y15:Y28" si="11">IF($D15="Monthly",1,IF($D15="per KWH",$F$10,0))</f>
        <v>1</v>
      </c>
      <c r="Z15" s="399">
        <f t="shared" ref="Z15:Z28" si="12">Y15*X15</f>
        <v>30.29</v>
      </c>
      <c r="AA15" s="132"/>
      <c r="AB15" s="400">
        <f t="shared" ref="AB15:AB48" si="13">Z15-S15</f>
        <v>1.879999999999999</v>
      </c>
      <c r="AC15" s="401">
        <f t="shared" ref="AC15:AC48" si="14">IF((S15)=0,"",(AB15/S15))</f>
        <v>6.6173882435762027E-2</v>
      </c>
      <c r="AD15" s="52"/>
      <c r="AE15" s="396">
        <f>IFERROR(VLOOKUP($C15,'Proposed Rates'!$B:$J,AE$11,FALSE),0)</f>
        <v>30.86</v>
      </c>
      <c r="AF15" s="397">
        <f t="shared" ref="AF15:AF28" si="15">IF($D15="Monthly",1,IF($D15="per KWH",$F$10,0))</f>
        <v>1</v>
      </c>
      <c r="AG15" s="399">
        <f t="shared" ref="AG15:AG28" si="16">AF15*AE15</f>
        <v>30.86</v>
      </c>
      <c r="AH15" s="132"/>
      <c r="AI15" s="400">
        <f t="shared" ref="AI15:AI48" si="17">AG15-Z15</f>
        <v>0.57000000000000028</v>
      </c>
      <c r="AJ15" s="401">
        <f t="shared" ref="AJ15:AJ48" si="18">IF((Z15)=0,"",(AI15/Z15))</f>
        <v>1.8818091779465178E-2</v>
      </c>
      <c r="AK15" s="52"/>
      <c r="AL15" s="396">
        <f>IFERROR(VLOOKUP($C15,'Proposed Rates'!$B:$J,AL$11,FALSE),0)</f>
        <v>31.3</v>
      </c>
      <c r="AM15" s="397">
        <f t="shared" ref="AM15:AM28" si="19">IF($D15="Monthly",1,IF($D15="per KWH",$F$10,0))</f>
        <v>1</v>
      </c>
      <c r="AN15" s="399">
        <f t="shared" ref="AN15:AN16" si="20">AM15*AL15</f>
        <v>31.3</v>
      </c>
      <c r="AO15" s="132"/>
      <c r="AP15" s="400">
        <f t="shared" ref="AP15:AP48" si="21">AN15-AG15</f>
        <v>0.44000000000000128</v>
      </c>
      <c r="AQ15" s="401">
        <f t="shared" ref="AQ15:AQ48" si="22">IF((AG15)=0,"",(AP15/AG15))</f>
        <v>1.4257939079714883E-2</v>
      </c>
      <c r="AR15" s="402"/>
    </row>
    <row r="16" spans="1:45" ht="12" customHeight="1">
      <c r="A16" s="52"/>
      <c r="B16" s="321" t="s">
        <v>311</v>
      </c>
      <c r="C16" s="394" t="str">
        <f t="shared" si="0"/>
        <v>General Service &lt; 50 kW.Smart Meter Rate Adder</v>
      </c>
      <c r="D16" s="395" t="s">
        <v>310</v>
      </c>
      <c r="E16" s="321"/>
      <c r="F16" s="413">
        <f>IFERROR(VLOOKUP($C16,'Proposed Rates'!$B:$J,F$11,FALSE),0)</f>
        <v>0</v>
      </c>
      <c r="G16" s="397">
        <f t="shared" si="1"/>
        <v>1</v>
      </c>
      <c r="H16" s="399">
        <f t="shared" si="2"/>
        <v>0</v>
      </c>
      <c r="I16" s="132"/>
      <c r="J16" s="413">
        <f>IFERROR(VLOOKUP($C16,'Proposed Rates'!$B:$J,J$11,FALSE),0)</f>
        <v>0</v>
      </c>
      <c r="K16" s="397">
        <f t="shared" si="3"/>
        <v>1</v>
      </c>
      <c r="L16" s="399">
        <f t="shared" si="4"/>
        <v>0</v>
      </c>
      <c r="M16" s="132"/>
      <c r="N16" s="400">
        <f t="shared" si="5"/>
        <v>0</v>
      </c>
      <c r="O16" s="401" t="str">
        <f t="shared" si="6"/>
        <v/>
      </c>
      <c r="P16" s="52"/>
      <c r="Q16" s="413">
        <f>IFERROR(VLOOKUP($C16,'Proposed Rates'!$B:$J,Q$11,FALSE),0)</f>
        <v>0</v>
      </c>
      <c r="R16" s="397">
        <f t="shared" si="7"/>
        <v>1</v>
      </c>
      <c r="S16" s="399">
        <f t="shared" si="8"/>
        <v>0</v>
      </c>
      <c r="T16" s="132"/>
      <c r="U16" s="400">
        <f t="shared" si="9"/>
        <v>0</v>
      </c>
      <c r="V16" s="401" t="str">
        <f t="shared" si="10"/>
        <v/>
      </c>
      <c r="W16" s="52"/>
      <c r="X16" s="413">
        <f>IFERROR(VLOOKUP($C16,'Proposed Rates'!$B:$J,X$11,FALSE),0)</f>
        <v>0</v>
      </c>
      <c r="Y16" s="397">
        <f t="shared" si="11"/>
        <v>1</v>
      </c>
      <c r="Z16" s="399">
        <f t="shared" si="12"/>
        <v>0</v>
      </c>
      <c r="AA16" s="132"/>
      <c r="AB16" s="400">
        <f t="shared" si="13"/>
        <v>0</v>
      </c>
      <c r="AC16" s="401" t="str">
        <f t="shared" si="14"/>
        <v/>
      </c>
      <c r="AD16" s="52"/>
      <c r="AE16" s="413">
        <f>IFERROR(VLOOKUP($C16,'Proposed Rates'!$B:$J,AE$11,FALSE),0)</f>
        <v>0</v>
      </c>
      <c r="AF16" s="397">
        <f t="shared" si="15"/>
        <v>1</v>
      </c>
      <c r="AG16" s="399">
        <f t="shared" si="16"/>
        <v>0</v>
      </c>
      <c r="AH16" s="132"/>
      <c r="AI16" s="400">
        <f t="shared" si="17"/>
        <v>0</v>
      </c>
      <c r="AJ16" s="401" t="str">
        <f t="shared" si="18"/>
        <v/>
      </c>
      <c r="AK16" s="52"/>
      <c r="AL16" s="413">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General Service &lt; 50 kW.Rate Rider Calculation for PILs</v>
      </c>
      <c r="D17" s="395" t="s">
        <v>312</v>
      </c>
      <c r="E17" s="321"/>
      <c r="F17" s="413">
        <f>IFERROR(VLOOKUP($C17,'Proposed Rates'!$B:$J,F$11,FALSE),0)</f>
        <v>0</v>
      </c>
      <c r="G17" s="397">
        <f t="shared" si="1"/>
        <v>10000</v>
      </c>
      <c r="H17" s="399">
        <f t="shared" si="2"/>
        <v>0</v>
      </c>
      <c r="I17" s="132"/>
      <c r="J17" s="413">
        <f>IFERROR(VLOOKUP($C17,'Proposed Rates'!$B:$J,J$11,FALSE),0)</f>
        <v>0</v>
      </c>
      <c r="K17" s="397">
        <f t="shared" si="3"/>
        <v>10000</v>
      </c>
      <c r="L17" s="399">
        <f t="shared" si="4"/>
        <v>0</v>
      </c>
      <c r="M17" s="132"/>
      <c r="N17" s="400">
        <f t="shared" si="5"/>
        <v>0</v>
      </c>
      <c r="O17" s="401" t="str">
        <f t="shared" si="6"/>
        <v/>
      </c>
      <c r="P17" s="52"/>
      <c r="Q17" s="413">
        <f>IFERROR(VLOOKUP($C17,'Proposed Rates'!$B:$J,Q$11,FALSE),0)</f>
        <v>0</v>
      </c>
      <c r="R17" s="397">
        <f t="shared" si="7"/>
        <v>10000</v>
      </c>
      <c r="S17" s="399">
        <f t="shared" si="8"/>
        <v>0</v>
      </c>
      <c r="T17" s="132"/>
      <c r="U17" s="400">
        <f t="shared" si="9"/>
        <v>0</v>
      </c>
      <c r="V17" s="401" t="str">
        <f t="shared" si="10"/>
        <v/>
      </c>
      <c r="W17" s="52"/>
      <c r="X17" s="413">
        <f>IFERROR(VLOOKUP($C17,'Proposed Rates'!$B:$J,X$11,FALSE),0)</f>
        <v>0</v>
      </c>
      <c r="Y17" s="397">
        <f t="shared" si="11"/>
        <v>10000</v>
      </c>
      <c r="Z17" s="399">
        <f t="shared" si="12"/>
        <v>0</v>
      </c>
      <c r="AA17" s="132"/>
      <c r="AB17" s="400">
        <f t="shared" si="13"/>
        <v>0</v>
      </c>
      <c r="AC17" s="401" t="str">
        <f t="shared" si="14"/>
        <v/>
      </c>
      <c r="AD17" s="52"/>
      <c r="AE17" s="413">
        <f>IFERROR(VLOOKUP($C17,'Proposed Rates'!$B:$J,AE$11,FALSE),0)</f>
        <v>0</v>
      </c>
      <c r="AF17" s="397">
        <f t="shared" si="15"/>
        <v>10000</v>
      </c>
      <c r="AG17" s="399">
        <f t="shared" si="16"/>
        <v>0</v>
      </c>
      <c r="AH17" s="132"/>
      <c r="AI17" s="400">
        <f t="shared" si="17"/>
        <v>0</v>
      </c>
      <c r="AJ17" s="401" t="str">
        <f t="shared" si="18"/>
        <v/>
      </c>
      <c r="AK17" s="52"/>
      <c r="AL17" s="413">
        <f>IFERROR(VLOOKUP($C17,'Proposed Rates'!$B:$J,AL$11,FALSE),0)</f>
        <v>0</v>
      </c>
      <c r="AM17" s="397">
        <f t="shared" si="19"/>
        <v>10000</v>
      </c>
      <c r="AN17" s="399">
        <f t="shared" ref="AN17:AN18" si="23">AL17*AM17</f>
        <v>0</v>
      </c>
      <c r="AO17" s="132"/>
      <c r="AP17" s="400">
        <f t="shared" si="21"/>
        <v>0</v>
      </c>
      <c r="AQ17" s="401" t="str">
        <f t="shared" si="22"/>
        <v/>
      </c>
      <c r="AR17" s="402"/>
    </row>
    <row r="18" spans="1:44" ht="12" customHeight="1">
      <c r="A18" s="52"/>
      <c r="B18" s="403" t="str">
        <f>'Proposed Rates'!C128</f>
        <v>Rate Rider Calculation for Generic</v>
      </c>
      <c r="C18" s="394" t="str">
        <f t="shared" si="0"/>
        <v>General Service &lt; 50 kW.Rate Rider Calculation for Generic</v>
      </c>
      <c r="D18" s="395" t="s">
        <v>310</v>
      </c>
      <c r="E18" s="321"/>
      <c r="F18" s="413">
        <f>IFERROR(VLOOKUP($C18,'Proposed Rates'!$B:$J,F$11,FALSE),0)</f>
        <v>0</v>
      </c>
      <c r="G18" s="397">
        <f t="shared" si="1"/>
        <v>1</v>
      </c>
      <c r="H18" s="399">
        <f t="shared" si="2"/>
        <v>0</v>
      </c>
      <c r="I18" s="132"/>
      <c r="J18" s="413">
        <f>IFERROR(VLOOKUP($C18,'Proposed Rates'!$B:$J,J$11,FALSE),0)</f>
        <v>0</v>
      </c>
      <c r="K18" s="397">
        <f t="shared" si="3"/>
        <v>1</v>
      </c>
      <c r="L18" s="399">
        <f t="shared" si="4"/>
        <v>0</v>
      </c>
      <c r="M18" s="132"/>
      <c r="N18" s="400">
        <f t="shared" si="5"/>
        <v>0</v>
      </c>
      <c r="O18" s="401" t="str">
        <f t="shared" si="6"/>
        <v/>
      </c>
      <c r="P18" s="52"/>
      <c r="Q18" s="413">
        <f>IFERROR(VLOOKUP($C18,'Proposed Rates'!$B:$J,Q$11,FALSE),0)</f>
        <v>0</v>
      </c>
      <c r="R18" s="397">
        <f t="shared" si="7"/>
        <v>1</v>
      </c>
      <c r="S18" s="399">
        <f t="shared" si="8"/>
        <v>0</v>
      </c>
      <c r="T18" s="132"/>
      <c r="U18" s="400">
        <f t="shared" si="9"/>
        <v>0</v>
      </c>
      <c r="V18" s="401" t="str">
        <f t="shared" si="10"/>
        <v/>
      </c>
      <c r="W18" s="52"/>
      <c r="X18" s="413">
        <f>IFERROR(VLOOKUP($C18,'Proposed Rates'!$B:$J,X$11,FALSE),0)</f>
        <v>0</v>
      </c>
      <c r="Y18" s="397">
        <f t="shared" si="11"/>
        <v>1</v>
      </c>
      <c r="Z18" s="399">
        <f t="shared" si="12"/>
        <v>0</v>
      </c>
      <c r="AA18" s="132"/>
      <c r="AB18" s="400">
        <f t="shared" si="13"/>
        <v>0</v>
      </c>
      <c r="AC18" s="401" t="str">
        <f t="shared" si="14"/>
        <v/>
      </c>
      <c r="AD18" s="52"/>
      <c r="AE18" s="413">
        <f>IFERROR(VLOOKUP($C18,'Proposed Rates'!$B:$J,AE$11,FALSE),0)</f>
        <v>0</v>
      </c>
      <c r="AF18" s="397">
        <f t="shared" si="15"/>
        <v>1</v>
      </c>
      <c r="AG18" s="399">
        <f t="shared" si="16"/>
        <v>0</v>
      </c>
      <c r="AH18" s="132"/>
      <c r="AI18" s="400">
        <f t="shared" si="17"/>
        <v>0</v>
      </c>
      <c r="AJ18" s="401" t="str">
        <f t="shared" si="18"/>
        <v/>
      </c>
      <c r="AK18" s="52"/>
      <c r="AL18" s="413">
        <f>IFERROR(VLOOKUP($C18,'Proposed Rates'!$B:$J,AL$11,FALSE),0)</f>
        <v>0</v>
      </c>
      <c r="AM18" s="397">
        <f t="shared" si="19"/>
        <v>1</v>
      </c>
      <c r="AN18" s="399">
        <f t="shared" si="23"/>
        <v>0</v>
      </c>
      <c r="AO18" s="132"/>
      <c r="AP18" s="400">
        <f t="shared" si="21"/>
        <v>0</v>
      </c>
      <c r="AQ18" s="401" t="str">
        <f t="shared" si="22"/>
        <v/>
      </c>
      <c r="AR18" s="402"/>
    </row>
    <row r="19" spans="1:44" ht="12" customHeight="1">
      <c r="A19" s="52"/>
      <c r="B19" s="321" t="s">
        <v>59</v>
      </c>
      <c r="C19" s="394" t="str">
        <f t="shared" si="0"/>
        <v>General Service &lt; 50 kW.Distribution Volumetric Rate</v>
      </c>
      <c r="D19" s="395" t="s">
        <v>312</v>
      </c>
      <c r="E19" s="321"/>
      <c r="F19" s="413">
        <f>IFERROR(VLOOKUP($C19,'Proposed Rates'!$B:$J,F$11,FALSE),0)</f>
        <v>3.0499999999999999E-2</v>
      </c>
      <c r="G19" s="397">
        <f t="shared" si="1"/>
        <v>10000</v>
      </c>
      <c r="H19" s="399">
        <f t="shared" si="2"/>
        <v>305</v>
      </c>
      <c r="I19" s="132"/>
      <c r="J19" s="413">
        <f>IFERROR(VLOOKUP($C19,'Proposed Rates'!$B:$J,J$11,FALSE),0)</f>
        <v>3.5200000000000002E-2</v>
      </c>
      <c r="K19" s="397">
        <f t="shared" si="3"/>
        <v>10000</v>
      </c>
      <c r="L19" s="399">
        <f t="shared" si="4"/>
        <v>352</v>
      </c>
      <c r="M19" s="132"/>
      <c r="N19" s="400">
        <f t="shared" si="5"/>
        <v>47</v>
      </c>
      <c r="O19" s="401">
        <f t="shared" si="6"/>
        <v>0.1540983606557377</v>
      </c>
      <c r="P19" s="52"/>
      <c r="Q19" s="413">
        <f>IFERROR(VLOOKUP($C19,'Proposed Rates'!$B:$J,Q$11,FALSE),0)</f>
        <v>3.6900000000000002E-2</v>
      </c>
      <c r="R19" s="397">
        <f t="shared" si="7"/>
        <v>10000</v>
      </c>
      <c r="S19" s="399">
        <f t="shared" si="8"/>
        <v>369</v>
      </c>
      <c r="T19" s="132"/>
      <c r="U19" s="400">
        <f t="shared" si="9"/>
        <v>17</v>
      </c>
      <c r="V19" s="401">
        <f t="shared" si="10"/>
        <v>4.8295454545454544E-2</v>
      </c>
      <c r="W19" s="52"/>
      <c r="X19" s="413">
        <f>IFERROR(VLOOKUP($C19,'Proposed Rates'!$B:$J,X$11,FALSE),0)</f>
        <v>3.9300000000000002E-2</v>
      </c>
      <c r="Y19" s="397">
        <f t="shared" si="11"/>
        <v>10000</v>
      </c>
      <c r="Z19" s="399">
        <f t="shared" si="12"/>
        <v>393</v>
      </c>
      <c r="AA19" s="132"/>
      <c r="AB19" s="400">
        <f t="shared" si="13"/>
        <v>24</v>
      </c>
      <c r="AC19" s="401">
        <f t="shared" si="14"/>
        <v>6.5040650406504072E-2</v>
      </c>
      <c r="AD19" s="52"/>
      <c r="AE19" s="413">
        <f>IFERROR(VLOOKUP($C19,'Proposed Rates'!$B:$J,AE$11,FALSE),0)</f>
        <v>0.04</v>
      </c>
      <c r="AF19" s="397">
        <f t="shared" si="15"/>
        <v>10000</v>
      </c>
      <c r="AG19" s="399">
        <f t="shared" si="16"/>
        <v>400</v>
      </c>
      <c r="AH19" s="132"/>
      <c r="AI19" s="400">
        <f t="shared" si="17"/>
        <v>7</v>
      </c>
      <c r="AJ19" s="401">
        <f t="shared" si="18"/>
        <v>1.7811704834605598E-2</v>
      </c>
      <c r="AK19" s="52"/>
      <c r="AL19" s="413">
        <f>IFERROR(VLOOKUP($C19,'Proposed Rates'!$B:$J,AL$11,FALSE),0)</f>
        <v>4.0599999999999997E-2</v>
      </c>
      <c r="AM19" s="397">
        <f t="shared" si="19"/>
        <v>10000</v>
      </c>
      <c r="AN19" s="399">
        <f t="shared" ref="AN19:AN28" si="24">AM19*AL19</f>
        <v>406</v>
      </c>
      <c r="AO19" s="132"/>
      <c r="AP19" s="400">
        <f t="shared" si="21"/>
        <v>6</v>
      </c>
      <c r="AQ19" s="401">
        <f t="shared" si="22"/>
        <v>1.4999999999999999E-2</v>
      </c>
      <c r="AR19" s="402"/>
    </row>
    <row r="20" spans="1:44" ht="12" customHeight="1">
      <c r="A20" s="52"/>
      <c r="B20" s="321" t="s">
        <v>313</v>
      </c>
      <c r="C20" s="394" t="str">
        <f t="shared" si="0"/>
        <v>General Service &lt; 50 kW.Smart Meter Disposition Rider</v>
      </c>
      <c r="D20" s="395" t="s">
        <v>312</v>
      </c>
      <c r="E20" s="321"/>
      <c r="F20" s="413">
        <f>IFERROR(VLOOKUP($C20,'Proposed Rates'!$B:$J,F$11,FALSE),0)</f>
        <v>0</v>
      </c>
      <c r="G20" s="397">
        <f t="shared" si="1"/>
        <v>10000</v>
      </c>
      <c r="H20" s="399">
        <f t="shared" si="2"/>
        <v>0</v>
      </c>
      <c r="I20" s="132"/>
      <c r="J20" s="413">
        <f>IFERROR(VLOOKUP($C20,'Proposed Rates'!$B:$J,J$11,FALSE),0)</f>
        <v>0</v>
      </c>
      <c r="K20" s="397">
        <f t="shared" si="3"/>
        <v>10000</v>
      </c>
      <c r="L20" s="399">
        <f t="shared" si="4"/>
        <v>0</v>
      </c>
      <c r="M20" s="132"/>
      <c r="N20" s="400">
        <f t="shared" si="5"/>
        <v>0</v>
      </c>
      <c r="O20" s="401" t="str">
        <f t="shared" si="6"/>
        <v/>
      </c>
      <c r="P20" s="52"/>
      <c r="Q20" s="413">
        <f>IFERROR(VLOOKUP($C20,'Proposed Rates'!$B:$J,Q$11,FALSE),0)</f>
        <v>0</v>
      </c>
      <c r="R20" s="397">
        <f t="shared" si="7"/>
        <v>10000</v>
      </c>
      <c r="S20" s="399">
        <f t="shared" si="8"/>
        <v>0</v>
      </c>
      <c r="T20" s="132"/>
      <c r="U20" s="400">
        <f t="shared" si="9"/>
        <v>0</v>
      </c>
      <c r="V20" s="401" t="str">
        <f t="shared" si="10"/>
        <v/>
      </c>
      <c r="W20" s="52"/>
      <c r="X20" s="413">
        <f>IFERROR(VLOOKUP($C20,'Proposed Rates'!$B:$J,X$11,FALSE),0)</f>
        <v>0</v>
      </c>
      <c r="Y20" s="397">
        <f t="shared" si="11"/>
        <v>10000</v>
      </c>
      <c r="Z20" s="399">
        <f t="shared" si="12"/>
        <v>0</v>
      </c>
      <c r="AA20" s="132"/>
      <c r="AB20" s="400">
        <f t="shared" si="13"/>
        <v>0</v>
      </c>
      <c r="AC20" s="401" t="str">
        <f t="shared" si="14"/>
        <v/>
      </c>
      <c r="AD20" s="52"/>
      <c r="AE20" s="413">
        <f>IFERROR(VLOOKUP($C20,'Proposed Rates'!$B:$J,AE$11,FALSE),0)</f>
        <v>0</v>
      </c>
      <c r="AF20" s="397">
        <f t="shared" si="15"/>
        <v>10000</v>
      </c>
      <c r="AG20" s="399">
        <f t="shared" si="16"/>
        <v>0</v>
      </c>
      <c r="AH20" s="132"/>
      <c r="AI20" s="400">
        <f t="shared" si="17"/>
        <v>0</v>
      </c>
      <c r="AJ20" s="401" t="str">
        <f t="shared" si="18"/>
        <v/>
      </c>
      <c r="AK20" s="52"/>
      <c r="AL20" s="413">
        <f>IFERROR(VLOOKUP($C20,'Proposed Rates'!$B:$J,AL$11,FALSE),0)</f>
        <v>0</v>
      </c>
      <c r="AM20" s="397">
        <f t="shared" si="19"/>
        <v>10000</v>
      </c>
      <c r="AN20" s="399">
        <f t="shared" si="24"/>
        <v>0</v>
      </c>
      <c r="AO20" s="132"/>
      <c r="AP20" s="400">
        <f t="shared" si="21"/>
        <v>0</v>
      </c>
      <c r="AQ20" s="401" t="str">
        <f t="shared" si="22"/>
        <v/>
      </c>
      <c r="AR20" s="402"/>
    </row>
    <row r="21" spans="1:44" ht="12" customHeight="1">
      <c r="A21" s="52"/>
      <c r="B21" s="321" t="s">
        <v>244</v>
      </c>
      <c r="C21" s="394" t="str">
        <f t="shared" si="0"/>
        <v>General Service &lt; 50 kW.LRAM Rate Rider</v>
      </c>
      <c r="D21" s="395" t="s">
        <v>312</v>
      </c>
      <c r="E21" s="321"/>
      <c r="F21" s="413">
        <f>'Proposed Rates'!E78+'Proposed Rates'!E91</f>
        <v>6.9999999999999999E-4</v>
      </c>
      <c r="G21" s="397">
        <f t="shared" si="1"/>
        <v>10000</v>
      </c>
      <c r="H21" s="399">
        <f t="shared" si="2"/>
        <v>7</v>
      </c>
      <c r="I21" s="132"/>
      <c r="J21" s="413">
        <f>'Proposed Rates'!F78+'Proposed Rates'!F91</f>
        <v>4.0000000000000002E-4</v>
      </c>
      <c r="K21" s="397">
        <f t="shared" si="3"/>
        <v>10000</v>
      </c>
      <c r="L21" s="399">
        <f t="shared" si="4"/>
        <v>4</v>
      </c>
      <c r="M21" s="132"/>
      <c r="N21" s="400">
        <f t="shared" si="5"/>
        <v>-3</v>
      </c>
      <c r="O21" s="401">
        <f t="shared" si="6"/>
        <v>-0.42857142857142855</v>
      </c>
      <c r="P21" s="52"/>
      <c r="Q21" s="413">
        <f>'Proposed Rates'!G78+'Proposed Rates'!G91</f>
        <v>0</v>
      </c>
      <c r="R21" s="397">
        <f t="shared" si="7"/>
        <v>10000</v>
      </c>
      <c r="S21" s="399">
        <f t="shared" si="8"/>
        <v>0</v>
      </c>
      <c r="T21" s="132"/>
      <c r="U21" s="400">
        <f t="shared" si="9"/>
        <v>-4</v>
      </c>
      <c r="V21" s="401">
        <f t="shared" si="10"/>
        <v>-1</v>
      </c>
      <c r="W21" s="52"/>
      <c r="X21" s="413">
        <f>IFERROR(VLOOKUP($C21,'Proposed Rates'!$B:$J,X$11,FALSE),0)</f>
        <v>0</v>
      </c>
      <c r="Y21" s="397">
        <f t="shared" si="11"/>
        <v>10000</v>
      </c>
      <c r="Z21" s="399">
        <f t="shared" si="12"/>
        <v>0</v>
      </c>
      <c r="AA21" s="132"/>
      <c r="AB21" s="400">
        <f t="shared" si="13"/>
        <v>0</v>
      </c>
      <c r="AC21" s="401" t="str">
        <f t="shared" si="14"/>
        <v/>
      </c>
      <c r="AD21" s="52"/>
      <c r="AE21" s="413">
        <f>IFERROR(VLOOKUP($C21,'Proposed Rates'!$B:$J,AE$11,FALSE),0)</f>
        <v>0</v>
      </c>
      <c r="AF21" s="397">
        <f t="shared" si="15"/>
        <v>10000</v>
      </c>
      <c r="AG21" s="399">
        <f t="shared" si="16"/>
        <v>0</v>
      </c>
      <c r="AH21" s="132"/>
      <c r="AI21" s="400">
        <f t="shared" si="17"/>
        <v>0</v>
      </c>
      <c r="AJ21" s="401" t="str">
        <f t="shared" si="18"/>
        <v/>
      </c>
      <c r="AK21" s="52"/>
      <c r="AL21" s="413">
        <f>IFERROR(VLOOKUP($C21,'Proposed Rates'!$B:$J,AL$11,FALSE),0)</f>
        <v>0</v>
      </c>
      <c r="AM21" s="397">
        <f t="shared" si="19"/>
        <v>10000</v>
      </c>
      <c r="AN21" s="399">
        <f t="shared" si="24"/>
        <v>0</v>
      </c>
      <c r="AO21" s="132"/>
      <c r="AP21" s="400">
        <f t="shared" si="21"/>
        <v>0</v>
      </c>
      <c r="AQ21" s="401" t="str">
        <f t="shared" si="22"/>
        <v/>
      </c>
      <c r="AR21" s="402"/>
    </row>
    <row r="22" spans="1:44" ht="12" customHeight="1">
      <c r="A22" s="52"/>
      <c r="B22" s="403" t="s">
        <v>240</v>
      </c>
      <c r="C22" s="394" t="str">
        <f t="shared" si="0"/>
        <v>General Service &lt; 50 kW.Deferral/Variance Account Disposition Rate Rider Group 2</v>
      </c>
      <c r="D22" s="395" t="s">
        <v>312</v>
      </c>
      <c r="E22" s="321"/>
      <c r="F22" s="413">
        <f>IFERROR(VLOOKUP($C22,'Proposed Rates'!$B:$J,F$11,FALSE),0)</f>
        <v>0</v>
      </c>
      <c r="G22" s="397">
        <f t="shared" si="1"/>
        <v>10000</v>
      </c>
      <c r="H22" s="399">
        <f t="shared" si="2"/>
        <v>0</v>
      </c>
      <c r="I22" s="132"/>
      <c r="J22" s="413">
        <f>IFERROR(VLOOKUP($C22,'Proposed Rates'!$B:$J,J$11,FALSE),0)</f>
        <v>-8.0000000000000004E-4</v>
      </c>
      <c r="K22" s="397">
        <f t="shared" si="3"/>
        <v>10000</v>
      </c>
      <c r="L22" s="399">
        <f t="shared" si="4"/>
        <v>-8</v>
      </c>
      <c r="M22" s="132"/>
      <c r="N22" s="400">
        <f t="shared" si="5"/>
        <v>-8</v>
      </c>
      <c r="O22" s="401" t="str">
        <f t="shared" si="6"/>
        <v/>
      </c>
      <c r="P22" s="52"/>
      <c r="Q22" s="413">
        <f>IFERROR(VLOOKUP($C22,'Proposed Rates'!$B:$J,Q$11,FALSE),0)</f>
        <v>0</v>
      </c>
      <c r="R22" s="397">
        <f t="shared" si="7"/>
        <v>10000</v>
      </c>
      <c r="S22" s="399">
        <f t="shared" si="8"/>
        <v>0</v>
      </c>
      <c r="T22" s="132"/>
      <c r="U22" s="400">
        <f t="shared" si="9"/>
        <v>8</v>
      </c>
      <c r="V22" s="401">
        <f t="shared" si="10"/>
        <v>-1</v>
      </c>
      <c r="W22" s="52"/>
      <c r="X22" s="413">
        <f>IFERROR(VLOOKUP($C22,'Proposed Rates'!$B:$J,X$11,FALSE),0)</f>
        <v>0</v>
      </c>
      <c r="Y22" s="397">
        <f t="shared" si="11"/>
        <v>10000</v>
      </c>
      <c r="Z22" s="399">
        <f t="shared" si="12"/>
        <v>0</v>
      </c>
      <c r="AA22" s="132"/>
      <c r="AB22" s="400">
        <f t="shared" si="13"/>
        <v>0</v>
      </c>
      <c r="AC22" s="401" t="str">
        <f t="shared" si="14"/>
        <v/>
      </c>
      <c r="AD22" s="52"/>
      <c r="AE22" s="413">
        <f>IFERROR(VLOOKUP($C22,'Proposed Rates'!$B:$J,AE$11,FALSE),0)</f>
        <v>0</v>
      </c>
      <c r="AF22" s="397">
        <f t="shared" si="15"/>
        <v>10000</v>
      </c>
      <c r="AG22" s="399">
        <f t="shared" si="16"/>
        <v>0</v>
      </c>
      <c r="AH22" s="132"/>
      <c r="AI22" s="400">
        <f t="shared" si="17"/>
        <v>0</v>
      </c>
      <c r="AJ22" s="401" t="str">
        <f t="shared" si="18"/>
        <v/>
      </c>
      <c r="AK22" s="52"/>
      <c r="AL22" s="413">
        <f>IFERROR(VLOOKUP($C22,'Proposed Rates'!$B:$J,AL$11,FALSE),0)</f>
        <v>0</v>
      </c>
      <c r="AM22" s="397">
        <f t="shared" si="19"/>
        <v>10000</v>
      </c>
      <c r="AN22" s="399">
        <f t="shared" si="24"/>
        <v>0</v>
      </c>
      <c r="AO22" s="132"/>
      <c r="AP22" s="400">
        <f t="shared" si="21"/>
        <v>0</v>
      </c>
      <c r="AQ22" s="401" t="str">
        <f t="shared" si="22"/>
        <v/>
      </c>
      <c r="AR22" s="402"/>
    </row>
    <row r="23" spans="1:44" ht="12" customHeight="1">
      <c r="A23" s="52"/>
      <c r="B23" s="403"/>
      <c r="C23" s="394" t="str">
        <f t="shared" si="0"/>
        <v>General Service &lt; 50 kW.</v>
      </c>
      <c r="D23" s="395"/>
      <c r="E23" s="321"/>
      <c r="F23" s="413">
        <f>IFERROR(VLOOKUP($C23,'Proposed Rates'!$B:$J,F$11,FALSE),0)</f>
        <v>0</v>
      </c>
      <c r="G23" s="397">
        <f t="shared" si="1"/>
        <v>0</v>
      </c>
      <c r="H23" s="399">
        <f t="shared" si="2"/>
        <v>0</v>
      </c>
      <c r="I23" s="132"/>
      <c r="J23" s="413">
        <f>IFERROR(VLOOKUP($C23,'Proposed Rates'!$B:$J,J$11,FALSE),0)</f>
        <v>0</v>
      </c>
      <c r="K23" s="397">
        <f t="shared" si="3"/>
        <v>0</v>
      </c>
      <c r="L23" s="399">
        <f t="shared" si="4"/>
        <v>0</v>
      </c>
      <c r="M23" s="132"/>
      <c r="N23" s="400">
        <f t="shared" si="5"/>
        <v>0</v>
      </c>
      <c r="O23" s="401" t="str">
        <f t="shared" si="6"/>
        <v/>
      </c>
      <c r="P23" s="52"/>
      <c r="Q23" s="413">
        <f>IFERROR(VLOOKUP($C23,'Proposed Rates'!$B:$J,Q$11,FALSE),0)</f>
        <v>0</v>
      </c>
      <c r="R23" s="397">
        <f t="shared" si="7"/>
        <v>0</v>
      </c>
      <c r="S23" s="399">
        <f t="shared" si="8"/>
        <v>0</v>
      </c>
      <c r="T23" s="132"/>
      <c r="U23" s="400">
        <f t="shared" si="9"/>
        <v>0</v>
      </c>
      <c r="V23" s="401" t="str">
        <f t="shared" si="10"/>
        <v/>
      </c>
      <c r="W23" s="52"/>
      <c r="X23" s="413">
        <f>IFERROR(VLOOKUP($C23,'Proposed Rates'!$B:$J,X$11,FALSE),0)</f>
        <v>0</v>
      </c>
      <c r="Y23" s="397">
        <f t="shared" si="11"/>
        <v>0</v>
      </c>
      <c r="Z23" s="399">
        <f t="shared" si="12"/>
        <v>0</v>
      </c>
      <c r="AA23" s="132"/>
      <c r="AB23" s="400">
        <f t="shared" si="13"/>
        <v>0</v>
      </c>
      <c r="AC23" s="401" t="str">
        <f t="shared" si="14"/>
        <v/>
      </c>
      <c r="AD23" s="52"/>
      <c r="AE23" s="413">
        <f>IFERROR(VLOOKUP($C23,'Proposed Rates'!$B:$J,AE$11,FALSE),0)</f>
        <v>0</v>
      </c>
      <c r="AF23" s="397">
        <f t="shared" si="15"/>
        <v>0</v>
      </c>
      <c r="AG23" s="399">
        <f t="shared" si="16"/>
        <v>0</v>
      </c>
      <c r="AH23" s="132"/>
      <c r="AI23" s="400">
        <f t="shared" si="17"/>
        <v>0</v>
      </c>
      <c r="AJ23" s="401" t="str">
        <f t="shared" si="18"/>
        <v/>
      </c>
      <c r="AK23" s="52"/>
      <c r="AL23" s="413">
        <f>IFERROR(VLOOKUP($C23,'Proposed Rates'!$B:$J,AL$11,FALSE),0)</f>
        <v>0</v>
      </c>
      <c r="AM23" s="397">
        <f t="shared" si="19"/>
        <v>0</v>
      </c>
      <c r="AN23" s="399">
        <f t="shared" si="24"/>
        <v>0</v>
      </c>
      <c r="AO23" s="132"/>
      <c r="AP23" s="400">
        <f t="shared" si="21"/>
        <v>0</v>
      </c>
      <c r="AQ23" s="401" t="str">
        <f t="shared" si="22"/>
        <v/>
      </c>
      <c r="AR23" s="402"/>
    </row>
    <row r="24" spans="1:44" ht="12" customHeight="1">
      <c r="A24" s="52"/>
      <c r="B24" s="403"/>
      <c r="C24" s="394" t="str">
        <f t="shared" si="0"/>
        <v>General Service &lt; 50 kW.</v>
      </c>
      <c r="D24" s="395"/>
      <c r="E24" s="321"/>
      <c r="F24" s="413">
        <f>IFERROR(VLOOKUP($C24,'Proposed Rates'!$B:$J,F$11,FALSE),0)</f>
        <v>0</v>
      </c>
      <c r="G24" s="397">
        <f t="shared" si="1"/>
        <v>0</v>
      </c>
      <c r="H24" s="399">
        <f t="shared" si="2"/>
        <v>0</v>
      </c>
      <c r="I24" s="132"/>
      <c r="J24" s="413">
        <f>IFERROR(VLOOKUP($C24,'Proposed Rates'!$B:$J,J$11,FALSE),0)</f>
        <v>0</v>
      </c>
      <c r="K24" s="397">
        <f t="shared" si="3"/>
        <v>0</v>
      </c>
      <c r="L24" s="399">
        <f t="shared" si="4"/>
        <v>0</v>
      </c>
      <c r="M24" s="132"/>
      <c r="N24" s="400">
        <f t="shared" si="5"/>
        <v>0</v>
      </c>
      <c r="O24" s="401" t="str">
        <f t="shared" si="6"/>
        <v/>
      </c>
      <c r="P24" s="52"/>
      <c r="Q24" s="413">
        <f>IFERROR(VLOOKUP($C24,'Proposed Rates'!$B:$J,Q$11,FALSE),0)</f>
        <v>0</v>
      </c>
      <c r="R24" s="397">
        <f t="shared" si="7"/>
        <v>0</v>
      </c>
      <c r="S24" s="399">
        <f t="shared" si="8"/>
        <v>0</v>
      </c>
      <c r="T24" s="132"/>
      <c r="U24" s="400">
        <f t="shared" si="9"/>
        <v>0</v>
      </c>
      <c r="V24" s="401" t="str">
        <f t="shared" si="10"/>
        <v/>
      </c>
      <c r="W24" s="52"/>
      <c r="X24" s="413">
        <f>IFERROR(VLOOKUP($C24,'Proposed Rates'!$B:$J,X$11,FALSE),0)</f>
        <v>0</v>
      </c>
      <c r="Y24" s="397">
        <f t="shared" si="11"/>
        <v>0</v>
      </c>
      <c r="Z24" s="399">
        <f t="shared" si="12"/>
        <v>0</v>
      </c>
      <c r="AA24" s="132"/>
      <c r="AB24" s="400">
        <f t="shared" si="13"/>
        <v>0</v>
      </c>
      <c r="AC24" s="401" t="str">
        <f t="shared" si="14"/>
        <v/>
      </c>
      <c r="AD24" s="52"/>
      <c r="AE24" s="413">
        <f>IFERROR(VLOOKUP($C24,'Proposed Rates'!$B:$J,AE$11,FALSE),0)</f>
        <v>0</v>
      </c>
      <c r="AF24" s="397">
        <f t="shared" si="15"/>
        <v>0</v>
      </c>
      <c r="AG24" s="399">
        <f t="shared" si="16"/>
        <v>0</v>
      </c>
      <c r="AH24" s="132"/>
      <c r="AI24" s="400">
        <f t="shared" si="17"/>
        <v>0</v>
      </c>
      <c r="AJ24" s="401" t="str">
        <f t="shared" si="18"/>
        <v/>
      </c>
      <c r="AK24" s="52"/>
      <c r="AL24" s="413">
        <f>IFERROR(VLOOKUP($C24,'Proposed Rates'!$B:$J,AL$11,FALSE),0)</f>
        <v>0</v>
      </c>
      <c r="AM24" s="397">
        <f t="shared" si="19"/>
        <v>0</v>
      </c>
      <c r="AN24" s="399">
        <f t="shared" si="24"/>
        <v>0</v>
      </c>
      <c r="AO24" s="132"/>
      <c r="AP24" s="400">
        <f t="shared" si="21"/>
        <v>0</v>
      </c>
      <c r="AQ24" s="401" t="str">
        <f t="shared" si="22"/>
        <v/>
      </c>
      <c r="AR24" s="402"/>
    </row>
    <row r="25" spans="1:44" ht="12" customHeight="1">
      <c r="A25" s="52"/>
      <c r="B25" s="403"/>
      <c r="C25" s="394" t="str">
        <f t="shared" si="0"/>
        <v>General Service &lt; 50 kW.</v>
      </c>
      <c r="D25" s="395"/>
      <c r="E25" s="321"/>
      <c r="F25" s="413">
        <f>IFERROR(VLOOKUP($C25,'Proposed Rates'!$B:$J,F$11,FALSE),0)</f>
        <v>0</v>
      </c>
      <c r="G25" s="397">
        <f t="shared" si="1"/>
        <v>0</v>
      </c>
      <c r="H25" s="399">
        <f t="shared" si="2"/>
        <v>0</v>
      </c>
      <c r="I25" s="132"/>
      <c r="J25" s="413">
        <f>IFERROR(VLOOKUP($C25,'Proposed Rates'!$B:$J,J$11,FALSE),0)</f>
        <v>0</v>
      </c>
      <c r="K25" s="397">
        <f t="shared" si="3"/>
        <v>0</v>
      </c>
      <c r="L25" s="399">
        <f t="shared" si="4"/>
        <v>0</v>
      </c>
      <c r="M25" s="132"/>
      <c r="N25" s="400">
        <f t="shared" si="5"/>
        <v>0</v>
      </c>
      <c r="O25" s="401" t="str">
        <f t="shared" si="6"/>
        <v/>
      </c>
      <c r="P25" s="52"/>
      <c r="Q25" s="413">
        <f>IFERROR(VLOOKUP($C25,'Proposed Rates'!$B:$J,Q$11,FALSE),0)</f>
        <v>0</v>
      </c>
      <c r="R25" s="397">
        <f t="shared" si="7"/>
        <v>0</v>
      </c>
      <c r="S25" s="399">
        <f t="shared" si="8"/>
        <v>0</v>
      </c>
      <c r="T25" s="132"/>
      <c r="U25" s="400">
        <f t="shared" si="9"/>
        <v>0</v>
      </c>
      <c r="V25" s="401" t="str">
        <f t="shared" si="10"/>
        <v/>
      </c>
      <c r="W25" s="52"/>
      <c r="X25" s="413">
        <f>IFERROR(VLOOKUP($C25,'Proposed Rates'!$B:$J,X$11,FALSE),0)</f>
        <v>0</v>
      </c>
      <c r="Y25" s="397">
        <f t="shared" si="11"/>
        <v>0</v>
      </c>
      <c r="Z25" s="399">
        <f t="shared" si="12"/>
        <v>0</v>
      </c>
      <c r="AA25" s="132"/>
      <c r="AB25" s="400">
        <f t="shared" si="13"/>
        <v>0</v>
      </c>
      <c r="AC25" s="401" t="str">
        <f t="shared" si="14"/>
        <v/>
      </c>
      <c r="AD25" s="52"/>
      <c r="AE25" s="413">
        <f>IFERROR(VLOOKUP($C25,'Proposed Rates'!$B:$J,AE$11,FALSE),0)</f>
        <v>0</v>
      </c>
      <c r="AF25" s="397">
        <f t="shared" si="15"/>
        <v>0</v>
      </c>
      <c r="AG25" s="399">
        <f t="shared" si="16"/>
        <v>0</v>
      </c>
      <c r="AH25" s="132"/>
      <c r="AI25" s="400">
        <f t="shared" si="17"/>
        <v>0</v>
      </c>
      <c r="AJ25" s="401" t="str">
        <f t="shared" si="18"/>
        <v/>
      </c>
      <c r="AK25" s="52"/>
      <c r="AL25" s="413">
        <f>IFERROR(VLOOKUP($C25,'Proposed Rates'!$B:$J,AL$11,FALSE),0)</f>
        <v>0</v>
      </c>
      <c r="AM25" s="397">
        <f t="shared" si="19"/>
        <v>0</v>
      </c>
      <c r="AN25" s="399">
        <f t="shared" si="24"/>
        <v>0</v>
      </c>
      <c r="AO25" s="132"/>
      <c r="AP25" s="400">
        <f t="shared" si="21"/>
        <v>0</v>
      </c>
      <c r="AQ25" s="401" t="str">
        <f t="shared" si="22"/>
        <v/>
      </c>
      <c r="AR25" s="402"/>
    </row>
    <row r="26" spans="1:44" ht="12" customHeight="1">
      <c r="A26" s="52"/>
      <c r="B26" s="403"/>
      <c r="C26" s="394" t="str">
        <f t="shared" si="0"/>
        <v>General Service &lt; 50 kW.</v>
      </c>
      <c r="D26" s="395"/>
      <c r="E26" s="321"/>
      <c r="F26" s="413">
        <f>IFERROR(VLOOKUP($C26,'Proposed Rates'!$B:$J,F$11,FALSE),0)</f>
        <v>0</v>
      </c>
      <c r="G26" s="397">
        <f t="shared" si="1"/>
        <v>0</v>
      </c>
      <c r="H26" s="399">
        <f t="shared" si="2"/>
        <v>0</v>
      </c>
      <c r="I26" s="132"/>
      <c r="J26" s="413">
        <f>IFERROR(VLOOKUP($C26,'Proposed Rates'!$B:$J,J$11,FALSE),0)</f>
        <v>0</v>
      </c>
      <c r="K26" s="397">
        <f t="shared" si="3"/>
        <v>0</v>
      </c>
      <c r="L26" s="399">
        <f t="shared" si="4"/>
        <v>0</v>
      </c>
      <c r="M26" s="132"/>
      <c r="N26" s="400">
        <f t="shared" si="5"/>
        <v>0</v>
      </c>
      <c r="O26" s="401" t="str">
        <f t="shared" si="6"/>
        <v/>
      </c>
      <c r="P26" s="52"/>
      <c r="Q26" s="413">
        <f>IFERROR(VLOOKUP($C26,'Proposed Rates'!$B:$J,Q$11,FALSE),0)</f>
        <v>0</v>
      </c>
      <c r="R26" s="397">
        <f t="shared" si="7"/>
        <v>0</v>
      </c>
      <c r="S26" s="399">
        <f t="shared" si="8"/>
        <v>0</v>
      </c>
      <c r="T26" s="132"/>
      <c r="U26" s="400">
        <f t="shared" si="9"/>
        <v>0</v>
      </c>
      <c r="V26" s="401" t="str">
        <f t="shared" si="10"/>
        <v/>
      </c>
      <c r="W26" s="52"/>
      <c r="X26" s="413">
        <f>IFERROR(VLOOKUP($C26,'Proposed Rates'!$B:$J,X$11,FALSE),0)</f>
        <v>0</v>
      </c>
      <c r="Y26" s="397">
        <f t="shared" si="11"/>
        <v>0</v>
      </c>
      <c r="Z26" s="399">
        <f t="shared" si="12"/>
        <v>0</v>
      </c>
      <c r="AA26" s="132"/>
      <c r="AB26" s="400">
        <f t="shared" si="13"/>
        <v>0</v>
      </c>
      <c r="AC26" s="401" t="str">
        <f t="shared" si="14"/>
        <v/>
      </c>
      <c r="AD26" s="52"/>
      <c r="AE26" s="413">
        <f>IFERROR(VLOOKUP($C26,'Proposed Rates'!$B:$J,AE$11,FALSE),0)</f>
        <v>0</v>
      </c>
      <c r="AF26" s="397">
        <f t="shared" si="15"/>
        <v>0</v>
      </c>
      <c r="AG26" s="399">
        <f t="shared" si="16"/>
        <v>0</v>
      </c>
      <c r="AH26" s="132"/>
      <c r="AI26" s="400">
        <f t="shared" si="17"/>
        <v>0</v>
      </c>
      <c r="AJ26" s="401" t="str">
        <f t="shared" si="18"/>
        <v/>
      </c>
      <c r="AK26" s="52"/>
      <c r="AL26" s="413">
        <f>IFERROR(VLOOKUP($C26,'Proposed Rates'!$B:$J,AL$11,FALSE),0)</f>
        <v>0</v>
      </c>
      <c r="AM26" s="397">
        <f t="shared" si="19"/>
        <v>0</v>
      </c>
      <c r="AN26" s="399">
        <f t="shared" si="24"/>
        <v>0</v>
      </c>
      <c r="AO26" s="132"/>
      <c r="AP26" s="400">
        <f t="shared" si="21"/>
        <v>0</v>
      </c>
      <c r="AQ26" s="401" t="str">
        <f t="shared" si="22"/>
        <v/>
      </c>
      <c r="AR26" s="402"/>
    </row>
    <row r="27" spans="1:44" ht="12" customHeight="1">
      <c r="A27" s="52"/>
      <c r="B27" s="403"/>
      <c r="C27" s="394" t="str">
        <f t="shared" si="0"/>
        <v>General Service &lt; 50 kW.</v>
      </c>
      <c r="D27" s="395"/>
      <c r="E27" s="321"/>
      <c r="F27" s="413">
        <f>IFERROR(VLOOKUP($C27,'Proposed Rates'!$B:$J,F$11,FALSE),0)</f>
        <v>0</v>
      </c>
      <c r="G27" s="397">
        <f t="shared" si="1"/>
        <v>0</v>
      </c>
      <c r="H27" s="399">
        <f t="shared" si="2"/>
        <v>0</v>
      </c>
      <c r="I27" s="132"/>
      <c r="J27" s="413">
        <f>IFERROR(VLOOKUP($C27,'Proposed Rates'!$B:$J,J$11,FALSE),0)</f>
        <v>0</v>
      </c>
      <c r="K27" s="397">
        <f t="shared" si="3"/>
        <v>0</v>
      </c>
      <c r="L27" s="399">
        <f t="shared" si="4"/>
        <v>0</v>
      </c>
      <c r="M27" s="132"/>
      <c r="N27" s="400">
        <f t="shared" si="5"/>
        <v>0</v>
      </c>
      <c r="O27" s="401" t="str">
        <f t="shared" si="6"/>
        <v/>
      </c>
      <c r="P27" s="52"/>
      <c r="Q27" s="413">
        <f>IFERROR(VLOOKUP($C27,'Proposed Rates'!$B:$J,Q$11,FALSE),0)</f>
        <v>0</v>
      </c>
      <c r="R27" s="397">
        <f t="shared" si="7"/>
        <v>0</v>
      </c>
      <c r="S27" s="399">
        <f t="shared" si="8"/>
        <v>0</v>
      </c>
      <c r="T27" s="132"/>
      <c r="U27" s="400">
        <f t="shared" si="9"/>
        <v>0</v>
      </c>
      <c r="V27" s="401" t="str">
        <f t="shared" si="10"/>
        <v/>
      </c>
      <c r="W27" s="52"/>
      <c r="X27" s="413">
        <f>IFERROR(VLOOKUP($C27,'Proposed Rates'!$B:$J,X$11,FALSE),0)</f>
        <v>0</v>
      </c>
      <c r="Y27" s="397">
        <f t="shared" si="11"/>
        <v>0</v>
      </c>
      <c r="Z27" s="399">
        <f t="shared" si="12"/>
        <v>0</v>
      </c>
      <c r="AA27" s="132"/>
      <c r="AB27" s="400">
        <f t="shared" si="13"/>
        <v>0</v>
      </c>
      <c r="AC27" s="401" t="str">
        <f t="shared" si="14"/>
        <v/>
      </c>
      <c r="AD27" s="52"/>
      <c r="AE27" s="413">
        <f>IFERROR(VLOOKUP($C27,'Proposed Rates'!$B:$J,AE$11,FALSE),0)</f>
        <v>0</v>
      </c>
      <c r="AF27" s="397">
        <f t="shared" si="15"/>
        <v>0</v>
      </c>
      <c r="AG27" s="399">
        <f t="shared" si="16"/>
        <v>0</v>
      </c>
      <c r="AH27" s="132"/>
      <c r="AI27" s="400">
        <f t="shared" si="17"/>
        <v>0</v>
      </c>
      <c r="AJ27" s="401" t="str">
        <f t="shared" si="18"/>
        <v/>
      </c>
      <c r="AK27" s="52"/>
      <c r="AL27" s="413">
        <f>IFERROR(VLOOKUP($C27,'Proposed Rates'!$B:$J,AL$11,FALSE),0)</f>
        <v>0</v>
      </c>
      <c r="AM27" s="397">
        <f t="shared" si="19"/>
        <v>0</v>
      </c>
      <c r="AN27" s="399">
        <f t="shared" si="24"/>
        <v>0</v>
      </c>
      <c r="AO27" s="132"/>
      <c r="AP27" s="400">
        <f t="shared" si="21"/>
        <v>0</v>
      </c>
      <c r="AQ27" s="401" t="str">
        <f t="shared" si="22"/>
        <v/>
      </c>
      <c r="AR27" s="402"/>
    </row>
    <row r="28" spans="1:44" ht="12" customHeight="1">
      <c r="A28" s="52"/>
      <c r="B28" s="403"/>
      <c r="C28" s="394" t="str">
        <f t="shared" si="0"/>
        <v>General Service &lt; 50 kW.</v>
      </c>
      <c r="D28" s="395"/>
      <c r="E28" s="321"/>
      <c r="F28" s="413">
        <f>IFERROR(VLOOKUP($C28,'Proposed Rates'!$B:$J,F$11,FALSE),0)</f>
        <v>0</v>
      </c>
      <c r="G28" s="397">
        <f t="shared" si="1"/>
        <v>0</v>
      </c>
      <c r="H28" s="399">
        <f t="shared" si="2"/>
        <v>0</v>
      </c>
      <c r="I28" s="132"/>
      <c r="J28" s="413">
        <f>IFERROR(VLOOKUP($C28,'Proposed Rates'!$B:$J,J$11,FALSE),0)</f>
        <v>0</v>
      </c>
      <c r="K28" s="397">
        <f t="shared" si="3"/>
        <v>0</v>
      </c>
      <c r="L28" s="399">
        <f t="shared" si="4"/>
        <v>0</v>
      </c>
      <c r="M28" s="132"/>
      <c r="N28" s="400">
        <f t="shared" si="5"/>
        <v>0</v>
      </c>
      <c r="O28" s="401" t="str">
        <f t="shared" si="6"/>
        <v/>
      </c>
      <c r="P28" s="52"/>
      <c r="Q28" s="413">
        <f>IFERROR(VLOOKUP($C28,'Proposed Rates'!$B:$J,Q$11,FALSE),0)</f>
        <v>0</v>
      </c>
      <c r="R28" s="397">
        <f t="shared" si="7"/>
        <v>0</v>
      </c>
      <c r="S28" s="399">
        <f t="shared" si="8"/>
        <v>0</v>
      </c>
      <c r="T28" s="132"/>
      <c r="U28" s="400">
        <f t="shared" si="9"/>
        <v>0</v>
      </c>
      <c r="V28" s="401" t="str">
        <f t="shared" si="10"/>
        <v/>
      </c>
      <c r="W28" s="52"/>
      <c r="X28" s="413">
        <f>IFERROR(VLOOKUP($C28,'Proposed Rates'!$B:$J,X$11,FALSE),0)</f>
        <v>0</v>
      </c>
      <c r="Y28" s="397">
        <f t="shared" si="11"/>
        <v>0</v>
      </c>
      <c r="Z28" s="399">
        <f t="shared" si="12"/>
        <v>0</v>
      </c>
      <c r="AA28" s="132"/>
      <c r="AB28" s="400">
        <f t="shared" si="13"/>
        <v>0</v>
      </c>
      <c r="AC28" s="401" t="str">
        <f t="shared" si="14"/>
        <v/>
      </c>
      <c r="AD28" s="52"/>
      <c r="AE28" s="413">
        <f>IFERROR(VLOOKUP($C28,'Proposed Rates'!$B:$J,AE$11,FALSE),0)</f>
        <v>0</v>
      </c>
      <c r="AF28" s="397">
        <f t="shared" si="15"/>
        <v>0</v>
      </c>
      <c r="AG28" s="399">
        <f t="shared" si="16"/>
        <v>0</v>
      </c>
      <c r="AH28" s="132"/>
      <c r="AI28" s="400">
        <f t="shared" si="17"/>
        <v>0</v>
      </c>
      <c r="AJ28" s="401" t="str">
        <f t="shared" si="18"/>
        <v/>
      </c>
      <c r="AK28" s="52"/>
      <c r="AL28" s="413">
        <f>IFERROR(VLOOKUP($C28,'Proposed Rates'!$B:$J,AL$11,FALSE),0)</f>
        <v>0</v>
      </c>
      <c r="AM28" s="397">
        <f t="shared" si="19"/>
        <v>0</v>
      </c>
      <c r="AN28" s="399">
        <f t="shared" si="24"/>
        <v>0</v>
      </c>
      <c r="AO28" s="132"/>
      <c r="AP28" s="400">
        <f t="shared" si="21"/>
        <v>0</v>
      </c>
      <c r="AQ28" s="401" t="str">
        <f t="shared" si="22"/>
        <v/>
      </c>
      <c r="AR28" s="402"/>
    </row>
    <row r="29" spans="1:44" ht="12" customHeight="1">
      <c r="A29" s="307"/>
      <c r="B29" s="404" t="s">
        <v>314</v>
      </c>
      <c r="C29" s="405"/>
      <c r="D29" s="405"/>
      <c r="E29" s="405"/>
      <c r="F29" s="406"/>
      <c r="G29" s="499"/>
      <c r="H29" s="408">
        <f>SUM(H15:H28)</f>
        <v>335.53</v>
      </c>
      <c r="I29" s="409"/>
      <c r="J29" s="406"/>
      <c r="K29" s="499"/>
      <c r="L29" s="408">
        <f>SUM(L15:L28)</f>
        <v>375.14</v>
      </c>
      <c r="M29" s="409"/>
      <c r="N29" s="410">
        <f t="shared" si="5"/>
        <v>39.610000000000014</v>
      </c>
      <c r="O29" s="411">
        <f t="shared" si="6"/>
        <v>0.11805203707567137</v>
      </c>
      <c r="P29" s="307"/>
      <c r="Q29" s="406"/>
      <c r="R29" s="499"/>
      <c r="S29" s="408">
        <f>SUM(S15:S28)</f>
        <v>397.41</v>
      </c>
      <c r="T29" s="409"/>
      <c r="U29" s="410">
        <f t="shared" si="9"/>
        <v>22.270000000000039</v>
      </c>
      <c r="V29" s="411">
        <f t="shared" si="10"/>
        <v>5.9364503918537183E-2</v>
      </c>
      <c r="W29" s="307"/>
      <c r="X29" s="406"/>
      <c r="Y29" s="499"/>
      <c r="Z29" s="408">
        <f>SUM(Z15:Z28)</f>
        <v>423.29</v>
      </c>
      <c r="AA29" s="409"/>
      <c r="AB29" s="410">
        <f t="shared" si="13"/>
        <v>25.879999999999995</v>
      </c>
      <c r="AC29" s="411">
        <f t="shared" si="14"/>
        <v>6.51216627664125E-2</v>
      </c>
      <c r="AD29" s="307"/>
      <c r="AE29" s="406"/>
      <c r="AF29" s="499"/>
      <c r="AG29" s="408">
        <f>SUM(AG15:AG28)</f>
        <v>430.86</v>
      </c>
      <c r="AH29" s="409"/>
      <c r="AI29" s="410">
        <f t="shared" si="17"/>
        <v>7.5699999999999932</v>
      </c>
      <c r="AJ29" s="411">
        <f t="shared" si="18"/>
        <v>1.7883720380826366E-2</v>
      </c>
      <c r="AK29" s="307"/>
      <c r="AL29" s="406"/>
      <c r="AM29" s="499"/>
      <c r="AN29" s="408">
        <f>SUM(AN15:AN28)</f>
        <v>437.3</v>
      </c>
      <c r="AO29" s="409"/>
      <c r="AP29" s="410">
        <f t="shared" si="21"/>
        <v>6.4399999999999977</v>
      </c>
      <c r="AQ29" s="411">
        <f t="shared" si="22"/>
        <v>1.4946850485076353E-2</v>
      </c>
      <c r="AR29" s="412"/>
    </row>
    <row r="30" spans="1:44" ht="12" customHeight="1">
      <c r="A30" s="52"/>
      <c r="B30" s="403" t="s">
        <v>237</v>
      </c>
      <c r="C30" s="394" t="str">
        <f t="shared" ref="C30:C36" si="25">D$6&amp;"."&amp;B30</f>
        <v>General Service &lt; 50 kW.DVA Disposition Rate Rider Group 1 -2025</v>
      </c>
      <c r="D30" s="395" t="s">
        <v>312</v>
      </c>
      <c r="E30" s="321"/>
      <c r="F30" s="413">
        <f>IFERROR(VLOOKUP($C30,'Proposed Rates'!$B:$J,F$11,FALSE),0)</f>
        <v>0</v>
      </c>
      <c r="G30" s="397">
        <f t="shared" ref="G30:G33" si="26">IF($D30="Monthly",1,IF($D30="per KWH",$F$10,0))</f>
        <v>10000</v>
      </c>
      <c r="H30" s="399">
        <f t="shared" ref="H30:H36" si="27">G30*F30</f>
        <v>0</v>
      </c>
      <c r="I30" s="132"/>
      <c r="J30" s="413">
        <f>IFERROR(VLOOKUP($C30,'Proposed Rates'!$B:$J,J$11,FALSE),0)</f>
        <v>-5.0000000000000001E-4</v>
      </c>
      <c r="K30" s="397">
        <f t="shared" ref="K30:K33" si="28">IF($D30="Monthly",1,IF($D30="per KWH",$F$10,0))</f>
        <v>10000</v>
      </c>
      <c r="L30" s="399">
        <f t="shared" ref="L30:L36" si="29">K30*J30</f>
        <v>-5</v>
      </c>
      <c r="M30" s="132"/>
      <c r="N30" s="400">
        <f t="shared" si="5"/>
        <v>-5</v>
      </c>
      <c r="O30" s="401" t="str">
        <f t="shared" si="6"/>
        <v/>
      </c>
      <c r="P30" s="52"/>
      <c r="Q30" s="413">
        <f>IFERROR(VLOOKUP($C30,'Proposed Rates'!$B:$J,Q$11,FALSE),0)</f>
        <v>0</v>
      </c>
      <c r="R30" s="397">
        <f t="shared" ref="R30:R33" si="30">IF($D30="Monthly",1,IF($D30="per KWH",$F$10,0))</f>
        <v>10000</v>
      </c>
      <c r="S30" s="399">
        <f t="shared" ref="S30:S36" si="31">R30*Q30</f>
        <v>0</v>
      </c>
      <c r="T30" s="132"/>
      <c r="U30" s="400">
        <f t="shared" si="9"/>
        <v>5</v>
      </c>
      <c r="V30" s="401">
        <f t="shared" si="10"/>
        <v>-1</v>
      </c>
      <c r="W30" s="52"/>
      <c r="X30" s="413">
        <f>IFERROR(VLOOKUP($C30,'Proposed Rates'!$B:$J,X$11,FALSE),0)</f>
        <v>0</v>
      </c>
      <c r="Y30" s="397">
        <f t="shared" ref="Y30:Y33" si="32">IF($D30="Monthly",1,IF($D30="per KWH",$F$10,0))</f>
        <v>10000</v>
      </c>
      <c r="Z30" s="399">
        <f t="shared" ref="Z30:Z36" si="33">Y30*X30</f>
        <v>0</v>
      </c>
      <c r="AA30" s="132"/>
      <c r="AB30" s="400">
        <f t="shared" si="13"/>
        <v>0</v>
      </c>
      <c r="AC30" s="401" t="str">
        <f t="shared" si="14"/>
        <v/>
      </c>
      <c r="AD30" s="52"/>
      <c r="AE30" s="413">
        <f>IFERROR(VLOOKUP($C30,'Proposed Rates'!$B:$J,AE$11,FALSE),0)</f>
        <v>0</v>
      </c>
      <c r="AF30" s="397">
        <f t="shared" ref="AF30:AF33" si="34">IF($D30="Monthly",1,IF($D30="per KWH",$F$10,0))</f>
        <v>10000</v>
      </c>
      <c r="AG30" s="399">
        <f t="shared" ref="AG30:AG36" si="35">AF30*AE30</f>
        <v>0</v>
      </c>
      <c r="AH30" s="132"/>
      <c r="AI30" s="400">
        <f t="shared" si="17"/>
        <v>0</v>
      </c>
      <c r="AJ30" s="401" t="str">
        <f t="shared" si="18"/>
        <v/>
      </c>
      <c r="AK30" s="52"/>
      <c r="AL30" s="413">
        <f>IFERROR(VLOOKUP($C30,'Proposed Rates'!$B:$J,AL$11,FALSE),0)</f>
        <v>0</v>
      </c>
      <c r="AM30" s="397">
        <f t="shared" ref="AM30:AM33" si="36">IF($D30="Monthly",1,IF($D30="per KWH",$F$10,0))</f>
        <v>10000</v>
      </c>
      <c r="AN30" s="399">
        <f t="shared" ref="AN30:AN36" si="37">AM30*AL30</f>
        <v>0</v>
      </c>
      <c r="AO30" s="132"/>
      <c r="AP30" s="400">
        <f t="shared" si="21"/>
        <v>0</v>
      </c>
      <c r="AQ30" s="401" t="str">
        <f t="shared" si="22"/>
        <v/>
      </c>
      <c r="AR30" s="402"/>
    </row>
    <row r="31" spans="1:44" ht="12" customHeight="1">
      <c r="A31" s="52"/>
      <c r="B31" s="403" t="s">
        <v>239</v>
      </c>
      <c r="C31" s="394" t="str">
        <f t="shared" si="25"/>
        <v>General Service &lt; 50 kW.DVA Disposition Rate Rider Group 1 - 2024</v>
      </c>
      <c r="D31" s="395" t="s">
        <v>312</v>
      </c>
      <c r="E31" s="321"/>
      <c r="F31" s="413">
        <f>IFERROR(VLOOKUP($C31,'Proposed Rates'!$B:$J,F$11,FALSE),0)</f>
        <v>0</v>
      </c>
      <c r="G31" s="397">
        <f t="shared" si="26"/>
        <v>10000</v>
      </c>
      <c r="H31" s="399">
        <f t="shared" si="27"/>
        <v>0</v>
      </c>
      <c r="I31" s="484"/>
      <c r="J31" s="413">
        <f>IFERROR(VLOOKUP($C31,'Proposed Rates'!$B:$J,J$11,FALSE),0)</f>
        <v>0</v>
      </c>
      <c r="K31" s="397">
        <f t="shared" si="28"/>
        <v>10000</v>
      </c>
      <c r="L31" s="399">
        <f t="shared" si="29"/>
        <v>0</v>
      </c>
      <c r="M31" s="416"/>
      <c r="N31" s="400">
        <f t="shared" si="5"/>
        <v>0</v>
      </c>
      <c r="O31" s="401" t="str">
        <f t="shared" si="6"/>
        <v/>
      </c>
      <c r="P31" s="52"/>
      <c r="Q31" s="413">
        <f>IFERROR(VLOOKUP($C31,'Proposed Rates'!$B:$J,Q$11,FALSE),0)</f>
        <v>0</v>
      </c>
      <c r="R31" s="397">
        <f t="shared" si="30"/>
        <v>10000</v>
      </c>
      <c r="S31" s="399">
        <f t="shared" si="31"/>
        <v>0</v>
      </c>
      <c r="T31" s="416"/>
      <c r="U31" s="400">
        <f t="shared" si="9"/>
        <v>0</v>
      </c>
      <c r="V31" s="401" t="str">
        <f t="shared" si="10"/>
        <v/>
      </c>
      <c r="W31" s="52"/>
      <c r="X31" s="413">
        <f>IFERROR(VLOOKUP($C31,'Proposed Rates'!$B:$J,X$11,FALSE),0)</f>
        <v>0</v>
      </c>
      <c r="Y31" s="397">
        <f t="shared" si="32"/>
        <v>10000</v>
      </c>
      <c r="Z31" s="399">
        <f t="shared" si="33"/>
        <v>0</v>
      </c>
      <c r="AA31" s="416"/>
      <c r="AB31" s="400">
        <f t="shared" si="13"/>
        <v>0</v>
      </c>
      <c r="AC31" s="401" t="str">
        <f t="shared" si="14"/>
        <v/>
      </c>
      <c r="AD31" s="52"/>
      <c r="AE31" s="413">
        <f>IFERROR(VLOOKUP($C31,'Proposed Rates'!$B:$J,AE$11,FALSE),0)</f>
        <v>0</v>
      </c>
      <c r="AF31" s="397">
        <f t="shared" si="34"/>
        <v>10000</v>
      </c>
      <c r="AG31" s="399">
        <f t="shared" si="35"/>
        <v>0</v>
      </c>
      <c r="AH31" s="416"/>
      <c r="AI31" s="400">
        <f t="shared" si="17"/>
        <v>0</v>
      </c>
      <c r="AJ31" s="401" t="str">
        <f t="shared" si="18"/>
        <v/>
      </c>
      <c r="AK31" s="52"/>
      <c r="AL31" s="413">
        <f>IFERROR(VLOOKUP($C31,'Proposed Rates'!$B:$J,AL$11,FALSE),0)</f>
        <v>0</v>
      </c>
      <c r="AM31" s="397">
        <f t="shared" si="36"/>
        <v>10000</v>
      </c>
      <c r="AN31" s="399">
        <f t="shared" si="37"/>
        <v>0</v>
      </c>
      <c r="AO31" s="416"/>
      <c r="AP31" s="400">
        <f t="shared" si="21"/>
        <v>0</v>
      </c>
      <c r="AQ31" s="401" t="str">
        <f t="shared" si="22"/>
        <v/>
      </c>
      <c r="AR31" s="402"/>
    </row>
    <row r="32" spans="1:44" ht="12" customHeight="1">
      <c r="A32" s="52"/>
      <c r="B32" s="403" t="s">
        <v>247</v>
      </c>
      <c r="C32" s="394" t="str">
        <f t="shared" si="25"/>
        <v>General Service &lt; 50 kW.CBR Class B Rate Riders</v>
      </c>
      <c r="D32" s="395" t="s">
        <v>312</v>
      </c>
      <c r="E32" s="321"/>
      <c r="F32" s="413">
        <f>IFERROR(VLOOKUP($C32,'Proposed Rates'!$B:$J,F$11,FALSE),0)</f>
        <v>2.0000000000000001E-4</v>
      </c>
      <c r="G32" s="397">
        <f t="shared" si="26"/>
        <v>10000</v>
      </c>
      <c r="H32" s="399">
        <f t="shared" si="27"/>
        <v>2</v>
      </c>
      <c r="I32" s="484"/>
      <c r="J32" s="413">
        <f>IFERROR(VLOOKUP($C32,'Proposed Rates'!$B:$J,J$11,FALSE),0)</f>
        <v>4.0000000000000002E-4</v>
      </c>
      <c r="K32" s="397">
        <f t="shared" si="28"/>
        <v>10000</v>
      </c>
      <c r="L32" s="399">
        <f t="shared" si="29"/>
        <v>4</v>
      </c>
      <c r="M32" s="416"/>
      <c r="N32" s="400">
        <f t="shared" si="5"/>
        <v>2</v>
      </c>
      <c r="O32" s="401">
        <f t="shared" si="6"/>
        <v>1</v>
      </c>
      <c r="P32" s="52"/>
      <c r="Q32" s="413">
        <f>IFERROR(VLOOKUP($C32,'Proposed Rates'!$B:$J,Q$11,FALSE),0)</f>
        <v>0</v>
      </c>
      <c r="R32" s="397">
        <f t="shared" si="30"/>
        <v>10000</v>
      </c>
      <c r="S32" s="399">
        <f t="shared" si="31"/>
        <v>0</v>
      </c>
      <c r="T32" s="416"/>
      <c r="U32" s="400">
        <f t="shared" si="9"/>
        <v>-4</v>
      </c>
      <c r="V32" s="401">
        <f t="shared" si="10"/>
        <v>-1</v>
      </c>
      <c r="W32" s="52"/>
      <c r="X32" s="413">
        <f>IFERROR(VLOOKUP($C32,'Proposed Rates'!$B:$J,X$11,FALSE),0)</f>
        <v>0</v>
      </c>
      <c r="Y32" s="397">
        <f t="shared" si="32"/>
        <v>10000</v>
      </c>
      <c r="Z32" s="399">
        <f t="shared" si="33"/>
        <v>0</v>
      </c>
      <c r="AA32" s="416"/>
      <c r="AB32" s="400">
        <f t="shared" si="13"/>
        <v>0</v>
      </c>
      <c r="AC32" s="401" t="str">
        <f t="shared" si="14"/>
        <v/>
      </c>
      <c r="AD32" s="52"/>
      <c r="AE32" s="413">
        <f>IFERROR(VLOOKUP($C32,'Proposed Rates'!$B:$J,AE$11,FALSE),0)</f>
        <v>0</v>
      </c>
      <c r="AF32" s="397">
        <f t="shared" si="34"/>
        <v>10000</v>
      </c>
      <c r="AG32" s="399">
        <f t="shared" si="35"/>
        <v>0</v>
      </c>
      <c r="AH32" s="416"/>
      <c r="AI32" s="400">
        <f t="shared" si="17"/>
        <v>0</v>
      </c>
      <c r="AJ32" s="401" t="str">
        <f t="shared" si="18"/>
        <v/>
      </c>
      <c r="AK32" s="52"/>
      <c r="AL32" s="413">
        <f>IFERROR(VLOOKUP($C32,'Proposed Rates'!$B:$J,AL$11,FALSE),0)</f>
        <v>0</v>
      </c>
      <c r="AM32" s="397">
        <f t="shared" si="36"/>
        <v>10000</v>
      </c>
      <c r="AN32" s="399">
        <f t="shared" si="37"/>
        <v>0</v>
      </c>
      <c r="AO32" s="416"/>
      <c r="AP32" s="400">
        <f t="shared" si="21"/>
        <v>0</v>
      </c>
      <c r="AQ32" s="401" t="str">
        <f t="shared" si="22"/>
        <v/>
      </c>
      <c r="AR32" s="402"/>
    </row>
    <row r="33" spans="1:44" ht="12" customHeight="1">
      <c r="A33" s="52"/>
      <c r="B33" s="403" t="s">
        <v>315</v>
      </c>
      <c r="C33" s="394" t="str">
        <f t="shared" si="25"/>
        <v>General Service &lt; 50 kW.GA Disposition Rate Rider-NonRPP</v>
      </c>
      <c r="D33" s="395" t="s">
        <v>312</v>
      </c>
      <c r="E33" s="321"/>
      <c r="F33" s="413">
        <f>IFERROR(VLOOKUP($C33,'Proposed Rates'!$B:$J,F$11,FALSE),0)</f>
        <v>0</v>
      </c>
      <c r="G33" s="397">
        <f t="shared" si="26"/>
        <v>10000</v>
      </c>
      <c r="H33" s="399">
        <f t="shared" si="27"/>
        <v>0</v>
      </c>
      <c r="I33" s="484"/>
      <c r="J33" s="413">
        <f>IFERROR(VLOOKUP($C33,'Proposed Rates'!$B:$J,J$11,FALSE),0)</f>
        <v>0</v>
      </c>
      <c r="K33" s="397">
        <f t="shared" si="28"/>
        <v>10000</v>
      </c>
      <c r="L33" s="399">
        <f t="shared" si="29"/>
        <v>0</v>
      </c>
      <c r="M33" s="416"/>
      <c r="N33" s="400">
        <f t="shared" si="5"/>
        <v>0</v>
      </c>
      <c r="O33" s="401" t="str">
        <f t="shared" si="6"/>
        <v/>
      </c>
      <c r="P33" s="52"/>
      <c r="Q33" s="413">
        <f>IFERROR(VLOOKUP($C33,'Proposed Rates'!$B:$J,Q$11,FALSE),0)</f>
        <v>0</v>
      </c>
      <c r="R33" s="397">
        <f t="shared" si="30"/>
        <v>10000</v>
      </c>
      <c r="S33" s="399">
        <f t="shared" si="31"/>
        <v>0</v>
      </c>
      <c r="T33" s="416"/>
      <c r="U33" s="400">
        <f t="shared" si="9"/>
        <v>0</v>
      </c>
      <c r="V33" s="401" t="str">
        <f t="shared" si="10"/>
        <v/>
      </c>
      <c r="W33" s="52"/>
      <c r="X33" s="413">
        <f>IFERROR(VLOOKUP($C33,'Proposed Rates'!$B:$J,X$11,FALSE),0)</f>
        <v>0</v>
      </c>
      <c r="Y33" s="397">
        <f t="shared" si="32"/>
        <v>10000</v>
      </c>
      <c r="Z33" s="399">
        <f t="shared" si="33"/>
        <v>0</v>
      </c>
      <c r="AA33" s="416"/>
      <c r="AB33" s="400">
        <f t="shared" si="13"/>
        <v>0</v>
      </c>
      <c r="AC33" s="401" t="str">
        <f t="shared" si="14"/>
        <v/>
      </c>
      <c r="AD33" s="52"/>
      <c r="AE33" s="413">
        <f>IFERROR(VLOOKUP($C33,'Proposed Rates'!$B:$J,AE$11,FALSE),0)</f>
        <v>0</v>
      </c>
      <c r="AF33" s="397">
        <f t="shared" si="34"/>
        <v>10000</v>
      </c>
      <c r="AG33" s="399">
        <f t="shared" si="35"/>
        <v>0</v>
      </c>
      <c r="AH33" s="416"/>
      <c r="AI33" s="400">
        <f t="shared" si="17"/>
        <v>0</v>
      </c>
      <c r="AJ33" s="401" t="str">
        <f t="shared" si="18"/>
        <v/>
      </c>
      <c r="AK33" s="52"/>
      <c r="AL33" s="413">
        <f>IFERROR(VLOOKUP($C33,'Proposed Rates'!$B:$J,AL$11,FALSE),0)</f>
        <v>0</v>
      </c>
      <c r="AM33" s="397">
        <f t="shared" si="36"/>
        <v>10000</v>
      </c>
      <c r="AN33" s="399">
        <f t="shared" si="37"/>
        <v>0</v>
      </c>
      <c r="AO33" s="416"/>
      <c r="AP33" s="400">
        <f t="shared" si="21"/>
        <v>0</v>
      </c>
      <c r="AQ33" s="401" t="str">
        <f t="shared" si="22"/>
        <v/>
      </c>
      <c r="AR33" s="402"/>
    </row>
    <row r="34" spans="1:44" ht="12" customHeight="1">
      <c r="A34" s="52"/>
      <c r="B34" s="321" t="s">
        <v>273</v>
      </c>
      <c r="C34" s="394" t="str">
        <f t="shared" si="25"/>
        <v>General Service &lt; 50 kW.Low Voltage Service Charge</v>
      </c>
      <c r="D34" s="395" t="s">
        <v>312</v>
      </c>
      <c r="E34" s="321"/>
      <c r="F34" s="417">
        <f>IFERROR(VLOOKUP($C34,'Proposed Rates'!$B:$J,F$11,FALSE),0)</f>
        <v>5.0000000000000002E-5</v>
      </c>
      <c r="G34" s="418">
        <f>$F$10*(1+F$63)</f>
        <v>10338</v>
      </c>
      <c r="H34" s="399">
        <f t="shared" si="27"/>
        <v>0.51690000000000003</v>
      </c>
      <c r="I34" s="132"/>
      <c r="J34" s="417">
        <f>IFERROR(VLOOKUP($C34,'Proposed Rates'!$B:$J,J$11,FALSE),0)</f>
        <v>6.0000000000000002E-5</v>
      </c>
      <c r="K34" s="418">
        <f>$F$10*(1+J$63)</f>
        <v>10331.999999999998</v>
      </c>
      <c r="L34" s="399">
        <f t="shared" si="29"/>
        <v>0.61991999999999992</v>
      </c>
      <c r="M34" s="132"/>
      <c r="N34" s="400">
        <f t="shared" si="5"/>
        <v>0.10301999999999989</v>
      </c>
      <c r="O34" s="401">
        <f t="shared" si="6"/>
        <v>0.19930354033662195</v>
      </c>
      <c r="P34" s="52"/>
      <c r="Q34" s="417">
        <f>IFERROR(VLOOKUP($C34,'Proposed Rates'!$B:$J,Q$11,FALSE),0)</f>
        <v>6.0000000000000002E-5</v>
      </c>
      <c r="R34" s="418">
        <f>$F$10*(1+Q$63)</f>
        <v>10331.999999999998</v>
      </c>
      <c r="S34" s="399">
        <f t="shared" si="31"/>
        <v>0.61991999999999992</v>
      </c>
      <c r="T34" s="132"/>
      <c r="U34" s="400">
        <f t="shared" si="9"/>
        <v>0</v>
      </c>
      <c r="V34" s="401">
        <f t="shared" si="10"/>
        <v>0</v>
      </c>
      <c r="W34" s="52"/>
      <c r="X34" s="417">
        <f>IFERROR(VLOOKUP($C34,'Proposed Rates'!$B:$J,X$11,FALSE),0)</f>
        <v>6.0000000000000002E-5</v>
      </c>
      <c r="Y34" s="418">
        <f>$F$10*(1+X$63)</f>
        <v>10331.999999999998</v>
      </c>
      <c r="Z34" s="399">
        <f t="shared" si="33"/>
        <v>0.61991999999999992</v>
      </c>
      <c r="AA34" s="132"/>
      <c r="AB34" s="400">
        <f t="shared" si="13"/>
        <v>0</v>
      </c>
      <c r="AC34" s="401">
        <f t="shared" si="14"/>
        <v>0</v>
      </c>
      <c r="AD34" s="52"/>
      <c r="AE34" s="417">
        <f>IFERROR(VLOOKUP($C34,'Proposed Rates'!$B:$J,AE$11,FALSE),0)</f>
        <v>6.0000000000000002E-5</v>
      </c>
      <c r="AF34" s="418">
        <f>$F$10*(1+AE$63)</f>
        <v>10331.999999999998</v>
      </c>
      <c r="AG34" s="399">
        <f t="shared" si="35"/>
        <v>0.61991999999999992</v>
      </c>
      <c r="AH34" s="132"/>
      <c r="AI34" s="400">
        <f t="shared" si="17"/>
        <v>0</v>
      </c>
      <c r="AJ34" s="401">
        <f t="shared" si="18"/>
        <v>0</v>
      </c>
      <c r="AK34" s="52"/>
      <c r="AL34" s="417">
        <f>IFERROR(VLOOKUP($C34,'Proposed Rates'!$B:$J,AL$11,FALSE),0)</f>
        <v>6.0000000000000002E-5</v>
      </c>
      <c r="AM34" s="418">
        <f>$F$10*(1+AL$63)</f>
        <v>10331.999999999998</v>
      </c>
      <c r="AN34" s="399">
        <f t="shared" si="37"/>
        <v>0.61991999999999992</v>
      </c>
      <c r="AO34" s="132"/>
      <c r="AP34" s="400">
        <f t="shared" si="21"/>
        <v>0</v>
      </c>
      <c r="AQ34" s="401">
        <f t="shared" si="22"/>
        <v>0</v>
      </c>
      <c r="AR34" s="402"/>
    </row>
    <row r="35" spans="1:44" ht="12" customHeight="1">
      <c r="A35" s="52"/>
      <c r="B35" s="321" t="s">
        <v>316</v>
      </c>
      <c r="C35" s="394" t="str">
        <f t="shared" si="25"/>
        <v>General Service &lt; 50 kW.Line Losses on Cost of Power</v>
      </c>
      <c r="D35" s="395" t="s">
        <v>312</v>
      </c>
      <c r="E35" s="321"/>
      <c r="F35" s="419">
        <f>'Proposed Rates'!$K$253*F$44+'Proposed Rates'!$K$254*F$45+'Proposed Rates'!$K$255*F$46</f>
        <v>0.12752000000000002</v>
      </c>
      <c r="G35" s="506">
        <f>$F$10*(1+F$63)-$F$10</f>
        <v>338</v>
      </c>
      <c r="H35" s="399">
        <f t="shared" si="27"/>
        <v>43.101760000000006</v>
      </c>
      <c r="I35" s="132"/>
      <c r="J35" s="419">
        <f>'Proposed Rates'!$K$253*J$44+'Proposed Rates'!$K$254*J$45+'Proposed Rates'!$K$255*J$46</f>
        <v>0.12752000000000002</v>
      </c>
      <c r="K35" s="506">
        <f>$F$10*(1+J$63)-$F$10</f>
        <v>331.99999999999818</v>
      </c>
      <c r="L35" s="399">
        <f t="shared" si="29"/>
        <v>42.336639999999775</v>
      </c>
      <c r="M35" s="132"/>
      <c r="N35" s="400">
        <f t="shared" si="5"/>
        <v>-0.7651200000002305</v>
      </c>
      <c r="O35" s="401">
        <f t="shared" si="6"/>
        <v>-1.7751479289946175E-2</v>
      </c>
      <c r="P35" s="52"/>
      <c r="Q35" s="419">
        <f>'Proposed Rates'!$K$253*Q$44+'Proposed Rates'!$K$254*Q$45+'Proposed Rates'!$K$255*Q$46</f>
        <v>0.12752000000000002</v>
      </c>
      <c r="R35" s="506">
        <f>$F$10*(1+Q$63)-$F$10</f>
        <v>331.99999999999818</v>
      </c>
      <c r="S35" s="399">
        <f t="shared" si="31"/>
        <v>42.336639999999775</v>
      </c>
      <c r="T35" s="132"/>
      <c r="U35" s="400">
        <f t="shared" si="9"/>
        <v>0</v>
      </c>
      <c r="V35" s="401">
        <f t="shared" si="10"/>
        <v>0</v>
      </c>
      <c r="W35" s="52"/>
      <c r="X35" s="419">
        <f>'Proposed Rates'!$K$253*X$44+'Proposed Rates'!$K$254*X$45+'Proposed Rates'!$K$255*X$46</f>
        <v>0.12752000000000002</v>
      </c>
      <c r="Y35" s="506">
        <f>$F$10*(1+X$63)-$F$10</f>
        <v>331.99999999999818</v>
      </c>
      <c r="Z35" s="399">
        <f t="shared" si="33"/>
        <v>42.336639999999775</v>
      </c>
      <c r="AA35" s="132"/>
      <c r="AB35" s="400">
        <f t="shared" si="13"/>
        <v>0</v>
      </c>
      <c r="AC35" s="401">
        <f t="shared" si="14"/>
        <v>0</v>
      </c>
      <c r="AD35" s="52"/>
      <c r="AE35" s="419">
        <f>'Proposed Rates'!$K$253*AE$44+'Proposed Rates'!$K$254*AE$45+'Proposed Rates'!$K$255*AE$46</f>
        <v>0.12752000000000002</v>
      </c>
      <c r="AF35" s="506">
        <f>$F$10*(1+AE$63)-$F$10</f>
        <v>331.99999999999818</v>
      </c>
      <c r="AG35" s="399">
        <f t="shared" si="35"/>
        <v>42.336639999999775</v>
      </c>
      <c r="AH35" s="132"/>
      <c r="AI35" s="400">
        <f t="shared" si="17"/>
        <v>0</v>
      </c>
      <c r="AJ35" s="401">
        <f t="shared" si="18"/>
        <v>0</v>
      </c>
      <c r="AK35" s="52"/>
      <c r="AL35" s="419">
        <f>'Proposed Rates'!$K$253*AL$44+'Proposed Rates'!$K$254*AL$45+'Proposed Rates'!$K$255*AL$46</f>
        <v>0.12752000000000002</v>
      </c>
      <c r="AM35" s="506">
        <f>$F$10*(1+AL$63)-$F$10</f>
        <v>331.99999999999818</v>
      </c>
      <c r="AN35" s="399">
        <f t="shared" si="37"/>
        <v>42.336639999999775</v>
      </c>
      <c r="AO35" s="132"/>
      <c r="AP35" s="400">
        <f t="shared" si="21"/>
        <v>0</v>
      </c>
      <c r="AQ35" s="401">
        <f t="shared" si="22"/>
        <v>0</v>
      </c>
      <c r="AR35" s="402"/>
    </row>
    <row r="36" spans="1:44" ht="12" customHeight="1">
      <c r="A36" s="52"/>
      <c r="B36" s="321" t="s">
        <v>275</v>
      </c>
      <c r="C36" s="394" t="str">
        <f t="shared" si="25"/>
        <v>General Service &lt; 50 kW.Smart Meter Entity Charge</v>
      </c>
      <c r="D36" s="395" t="s">
        <v>310</v>
      </c>
      <c r="E36" s="321"/>
      <c r="F36" s="396">
        <f>IFERROR(VLOOKUP($C36,'Proposed Rates'!$B:$J,F$11,FALSE),0)</f>
        <v>0.42</v>
      </c>
      <c r="G36" s="397">
        <f>IF($D36="Monthly",1,IF($D36="per KWH",$F$10,0))</f>
        <v>1</v>
      </c>
      <c r="H36" s="399">
        <f t="shared" si="27"/>
        <v>0.42</v>
      </c>
      <c r="I36" s="132"/>
      <c r="J36" s="396">
        <f>IFERROR(VLOOKUP($C36,'Proposed Rates'!$B:$J,J$11,FALSE),0)</f>
        <v>0.42</v>
      </c>
      <c r="K36" s="397">
        <f>IF($D36="Monthly",1,IF($D36="per KWH",$F$10,0))</f>
        <v>1</v>
      </c>
      <c r="L36" s="399">
        <f t="shared" si="29"/>
        <v>0.42</v>
      </c>
      <c r="M36" s="132"/>
      <c r="N36" s="400">
        <f t="shared" si="5"/>
        <v>0</v>
      </c>
      <c r="O36" s="401">
        <f t="shared" si="6"/>
        <v>0</v>
      </c>
      <c r="P36" s="52"/>
      <c r="Q36" s="396">
        <f>IFERROR(VLOOKUP($C36,'Proposed Rates'!$B:$J,Q$11,FALSE),0)</f>
        <v>0.42</v>
      </c>
      <c r="R36" s="397">
        <f>IF($D36="Monthly",1,IF($D36="per KWH",$F$10,0))</f>
        <v>1</v>
      </c>
      <c r="S36" s="399">
        <f t="shared" si="31"/>
        <v>0.42</v>
      </c>
      <c r="T36" s="132"/>
      <c r="U36" s="400">
        <f t="shared" si="9"/>
        <v>0</v>
      </c>
      <c r="V36" s="401">
        <f t="shared" si="10"/>
        <v>0</v>
      </c>
      <c r="W36" s="52"/>
      <c r="X36" s="396">
        <f>IFERROR(VLOOKUP($C36,'Proposed Rates'!$B:$J,X$11,FALSE),0)</f>
        <v>0.43</v>
      </c>
      <c r="Y36" s="397">
        <f>IF($D36="Monthly",1,IF($D36="per KWH",$F$10,0))</f>
        <v>1</v>
      </c>
      <c r="Z36" s="399">
        <f t="shared" si="33"/>
        <v>0.43</v>
      </c>
      <c r="AA36" s="132"/>
      <c r="AB36" s="400">
        <f t="shared" si="13"/>
        <v>1.0000000000000009E-2</v>
      </c>
      <c r="AC36" s="401">
        <f t="shared" si="14"/>
        <v>2.3809523809523832E-2</v>
      </c>
      <c r="AD36" s="52"/>
      <c r="AE36" s="396">
        <f>IFERROR(VLOOKUP($C36,'Proposed Rates'!$B:$J,AE$11,FALSE),0)</f>
        <v>0.44</v>
      </c>
      <c r="AF36" s="397">
        <f>IF($D36="Monthly",1,IF($D36="per KWH",$F$10,0))</f>
        <v>1</v>
      </c>
      <c r="AG36" s="399">
        <f t="shared" si="35"/>
        <v>0.44</v>
      </c>
      <c r="AH36" s="132"/>
      <c r="AI36" s="400">
        <f t="shared" si="17"/>
        <v>1.0000000000000009E-2</v>
      </c>
      <c r="AJ36" s="401">
        <f t="shared" si="18"/>
        <v>2.3255813953488393E-2</v>
      </c>
      <c r="AK36" s="52"/>
      <c r="AL36" s="396">
        <f>IFERROR(VLOOKUP($C36,'Proposed Rates'!$B:$J,AL$11,FALSE),0)</f>
        <v>0.45</v>
      </c>
      <c r="AM36" s="397">
        <f>IF($D36="Monthly",1,IF($D36="per KWH",$F$10,0))</f>
        <v>1</v>
      </c>
      <c r="AN36" s="399">
        <f t="shared" si="37"/>
        <v>0.45</v>
      </c>
      <c r="AO36" s="132"/>
      <c r="AP36" s="400">
        <f t="shared" si="21"/>
        <v>1.0000000000000009E-2</v>
      </c>
      <c r="AQ36" s="401">
        <f t="shared" si="22"/>
        <v>2.2727272727272749E-2</v>
      </c>
      <c r="AR36" s="402"/>
    </row>
    <row r="37" spans="1:44" ht="12" customHeight="1">
      <c r="A37" s="52"/>
      <c r="B37" s="404" t="s">
        <v>317</v>
      </c>
      <c r="C37" s="421"/>
      <c r="D37" s="421"/>
      <c r="E37" s="421"/>
      <c r="F37" s="422"/>
      <c r="G37" s="500"/>
      <c r="H37" s="408">
        <f>SUM(H30:H36)+H29</f>
        <v>381.56865999999997</v>
      </c>
      <c r="I37" s="424"/>
      <c r="J37" s="422"/>
      <c r="K37" s="500"/>
      <c r="L37" s="408">
        <f>SUM(L30:L36)+L29</f>
        <v>417.51655999999974</v>
      </c>
      <c r="M37" s="424"/>
      <c r="N37" s="410">
        <f t="shared" si="5"/>
        <v>35.947899999999777</v>
      </c>
      <c r="O37" s="411">
        <f t="shared" si="6"/>
        <v>9.421082957913729E-2</v>
      </c>
      <c r="P37" s="52"/>
      <c r="Q37" s="422"/>
      <c r="R37" s="500"/>
      <c r="S37" s="408">
        <f>SUM(S30:S36)+S29</f>
        <v>440.78655999999978</v>
      </c>
      <c r="T37" s="424"/>
      <c r="U37" s="410">
        <f t="shared" si="9"/>
        <v>23.270000000000039</v>
      </c>
      <c r="V37" s="411">
        <f t="shared" si="10"/>
        <v>5.5734316262808961E-2</v>
      </c>
      <c r="W37" s="52"/>
      <c r="X37" s="422"/>
      <c r="Y37" s="500"/>
      <c r="Z37" s="408">
        <f>SUM(Z30:Z36)+Z29</f>
        <v>466.67655999999977</v>
      </c>
      <c r="AA37" s="424"/>
      <c r="AB37" s="410">
        <f t="shared" si="13"/>
        <v>25.889999999999986</v>
      </c>
      <c r="AC37" s="411">
        <f t="shared" si="14"/>
        <v>5.8735910641195592E-2</v>
      </c>
      <c r="AD37" s="52"/>
      <c r="AE37" s="422"/>
      <c r="AF37" s="500"/>
      <c r="AG37" s="408">
        <f>SUM(AG30:AG36)+AG29</f>
        <v>474.25655999999981</v>
      </c>
      <c r="AH37" s="424"/>
      <c r="AI37" s="410">
        <f t="shared" si="17"/>
        <v>7.5800000000000409</v>
      </c>
      <c r="AJ37" s="411">
        <f t="shared" si="18"/>
        <v>1.6242512801585843E-2</v>
      </c>
      <c r="AK37" s="52"/>
      <c r="AL37" s="422"/>
      <c r="AM37" s="500"/>
      <c r="AN37" s="408">
        <f>SUM(AN30:AN36)+AN29</f>
        <v>480.7065599999998</v>
      </c>
      <c r="AO37" s="424"/>
      <c r="AP37" s="410">
        <f t="shared" si="21"/>
        <v>6.4499999999999886</v>
      </c>
      <c r="AQ37" s="411">
        <f t="shared" si="22"/>
        <v>1.3600233595081935E-2</v>
      </c>
      <c r="AR37" s="412"/>
    </row>
    <row r="38" spans="1:44" ht="12" customHeight="1">
      <c r="A38" s="52"/>
      <c r="B38" s="132" t="s">
        <v>258</v>
      </c>
      <c r="C38" s="394" t="str">
        <f t="shared" ref="C38:C39" si="38">D$6&amp;"."&amp;B38</f>
        <v>General Service &lt; 50 kW.RTSR - Network</v>
      </c>
      <c r="D38" s="425" t="s">
        <v>312</v>
      </c>
      <c r="E38" s="132"/>
      <c r="F38" s="413">
        <f>IFERROR(VLOOKUP($C38,'Proposed Rates'!$B:$J,F$11,FALSE),0)</f>
        <v>1.18E-2</v>
      </c>
      <c r="G38" s="507">
        <f t="shared" ref="G38:G39" si="39">$F$10*(1+F$63)</f>
        <v>10338</v>
      </c>
      <c r="H38" s="399">
        <f t="shared" ref="H38:H39" si="40">G38*F38</f>
        <v>121.9884</v>
      </c>
      <c r="I38" s="132"/>
      <c r="J38" s="413">
        <f>IFERROR(VLOOKUP($C38,'Proposed Rates'!$B:$J,J$11,FALSE),0)</f>
        <v>1.0699999999999999E-2</v>
      </c>
      <c r="K38" s="507">
        <f t="shared" ref="K38:K39" si="41">$F$10*(1+J$63)</f>
        <v>10331.999999999998</v>
      </c>
      <c r="L38" s="399">
        <f t="shared" ref="L38:L39" si="42">K38*J38</f>
        <v>110.55239999999998</v>
      </c>
      <c r="M38" s="132"/>
      <c r="N38" s="400">
        <f t="shared" si="5"/>
        <v>-11.436000000000021</v>
      </c>
      <c r="O38" s="401">
        <f t="shared" si="6"/>
        <v>-9.374661853094246E-2</v>
      </c>
      <c r="P38" s="52"/>
      <c r="Q38" s="413">
        <f>IFERROR(VLOOKUP($C38,'Proposed Rates'!$B:$J,Q$11,FALSE),0)</f>
        <v>1.0699999999999999E-2</v>
      </c>
      <c r="R38" s="507">
        <f t="shared" ref="R38:R39" si="43">$F$10*(1+Q$63)</f>
        <v>10331.999999999998</v>
      </c>
      <c r="S38" s="399">
        <f t="shared" ref="S38:S39" si="44">R38*Q38</f>
        <v>110.55239999999998</v>
      </c>
      <c r="T38" s="132"/>
      <c r="U38" s="400">
        <f t="shared" si="9"/>
        <v>0</v>
      </c>
      <c r="V38" s="401">
        <f t="shared" si="10"/>
        <v>0</v>
      </c>
      <c r="W38" s="52"/>
      <c r="X38" s="413">
        <f>IFERROR(VLOOKUP($C38,'Proposed Rates'!$B:$J,X$11,FALSE),0)</f>
        <v>1.0699999999999999E-2</v>
      </c>
      <c r="Y38" s="507">
        <f t="shared" ref="Y38:Y39" si="45">$F$10*(1+X$63)</f>
        <v>10331.999999999998</v>
      </c>
      <c r="Z38" s="399">
        <f t="shared" ref="Z38:Z39" si="46">Y38*X38</f>
        <v>110.55239999999998</v>
      </c>
      <c r="AA38" s="132"/>
      <c r="AB38" s="400">
        <f t="shared" si="13"/>
        <v>0</v>
      </c>
      <c r="AC38" s="401">
        <f t="shared" si="14"/>
        <v>0</v>
      </c>
      <c r="AD38" s="52"/>
      <c r="AE38" s="413">
        <f>IFERROR(VLOOKUP($C38,'Proposed Rates'!$B:$J,AE$11,FALSE),0)</f>
        <v>1.0699999999999999E-2</v>
      </c>
      <c r="AF38" s="507">
        <f t="shared" ref="AF38:AF39" si="47">$F$10*(1+AE$63)</f>
        <v>10331.999999999998</v>
      </c>
      <c r="AG38" s="399">
        <f t="shared" ref="AG38:AG39" si="48">AF38*AE38</f>
        <v>110.55239999999998</v>
      </c>
      <c r="AH38" s="132"/>
      <c r="AI38" s="400">
        <f t="shared" si="17"/>
        <v>0</v>
      </c>
      <c r="AJ38" s="401">
        <f t="shared" si="18"/>
        <v>0</v>
      </c>
      <c r="AK38" s="52"/>
      <c r="AL38" s="413">
        <f>IFERROR(VLOOKUP($C38,'Proposed Rates'!$B:$J,AL$11,FALSE),0)</f>
        <v>1.0699999999999999E-2</v>
      </c>
      <c r="AM38" s="507">
        <f t="shared" ref="AM38:AM39" si="49">$F$10*(1+AL$63)</f>
        <v>10331.999999999998</v>
      </c>
      <c r="AN38" s="399">
        <f t="shared" ref="AN38:AN39" si="50">AM38*AL38</f>
        <v>110.55239999999998</v>
      </c>
      <c r="AO38" s="132"/>
      <c r="AP38" s="400">
        <f t="shared" si="21"/>
        <v>0</v>
      </c>
      <c r="AQ38" s="401">
        <f t="shared" si="22"/>
        <v>0</v>
      </c>
      <c r="AR38" s="402"/>
    </row>
    <row r="39" spans="1:44" ht="12" customHeight="1">
      <c r="A39" s="52"/>
      <c r="B39" s="132" t="s">
        <v>261</v>
      </c>
      <c r="C39" s="394" t="str">
        <f t="shared" si="38"/>
        <v>General Service &lt; 50 kW.RTSR - Line and Transformation Connection</v>
      </c>
      <c r="D39" s="425" t="s">
        <v>312</v>
      </c>
      <c r="E39" s="132"/>
      <c r="F39" s="413">
        <f>IFERROR(VLOOKUP($C39,'Proposed Rates'!$B:$J,F$11,FALSE),0)</f>
        <v>7.0000000000000001E-3</v>
      </c>
      <c r="G39" s="507">
        <f t="shared" si="39"/>
        <v>10338</v>
      </c>
      <c r="H39" s="399">
        <f t="shared" si="40"/>
        <v>72.366</v>
      </c>
      <c r="I39" s="132"/>
      <c r="J39" s="413">
        <f>IFERROR(VLOOKUP($C39,'Proposed Rates'!$B:$J,J$11,FALSE),0)</f>
        <v>6.1000000000000004E-3</v>
      </c>
      <c r="K39" s="507">
        <f t="shared" si="41"/>
        <v>10331.999999999998</v>
      </c>
      <c r="L39" s="399">
        <f t="shared" si="42"/>
        <v>63.025199999999991</v>
      </c>
      <c r="M39" s="132"/>
      <c r="N39" s="400">
        <f t="shared" si="5"/>
        <v>-9.3408000000000087</v>
      </c>
      <c r="O39" s="401">
        <f t="shared" si="6"/>
        <v>-0.12907719094602449</v>
      </c>
      <c r="P39" s="52"/>
      <c r="Q39" s="413">
        <f>IFERROR(VLOOKUP($C39,'Proposed Rates'!$B:$J,Q$11,FALSE),0)</f>
        <v>6.1000000000000004E-3</v>
      </c>
      <c r="R39" s="507">
        <f t="shared" si="43"/>
        <v>10331.999999999998</v>
      </c>
      <c r="S39" s="399">
        <f t="shared" si="44"/>
        <v>63.025199999999991</v>
      </c>
      <c r="T39" s="132"/>
      <c r="U39" s="400">
        <f t="shared" si="9"/>
        <v>0</v>
      </c>
      <c r="V39" s="401">
        <f t="shared" si="10"/>
        <v>0</v>
      </c>
      <c r="W39" s="52"/>
      <c r="X39" s="413">
        <f>IFERROR(VLOOKUP($C39,'Proposed Rates'!$B:$J,X$11,FALSE),0)</f>
        <v>6.1000000000000004E-3</v>
      </c>
      <c r="Y39" s="507">
        <f t="shared" si="45"/>
        <v>10331.999999999998</v>
      </c>
      <c r="Z39" s="399">
        <f t="shared" si="46"/>
        <v>63.025199999999991</v>
      </c>
      <c r="AA39" s="132"/>
      <c r="AB39" s="400">
        <f t="shared" si="13"/>
        <v>0</v>
      </c>
      <c r="AC39" s="401">
        <f t="shared" si="14"/>
        <v>0</v>
      </c>
      <c r="AD39" s="52"/>
      <c r="AE39" s="413">
        <f>IFERROR(VLOOKUP($C39,'Proposed Rates'!$B:$J,AE$11,FALSE),0)</f>
        <v>6.1000000000000004E-3</v>
      </c>
      <c r="AF39" s="507">
        <f t="shared" si="47"/>
        <v>10331.999999999998</v>
      </c>
      <c r="AG39" s="399">
        <f t="shared" si="48"/>
        <v>63.025199999999991</v>
      </c>
      <c r="AH39" s="132"/>
      <c r="AI39" s="400">
        <f t="shared" si="17"/>
        <v>0</v>
      </c>
      <c r="AJ39" s="401">
        <f t="shared" si="18"/>
        <v>0</v>
      </c>
      <c r="AK39" s="52"/>
      <c r="AL39" s="413">
        <f>IFERROR(VLOOKUP($C39,'Proposed Rates'!$B:$J,AL$11,FALSE),0)</f>
        <v>6.1000000000000004E-3</v>
      </c>
      <c r="AM39" s="507">
        <f t="shared" si="49"/>
        <v>10331.999999999998</v>
      </c>
      <c r="AN39" s="399">
        <f t="shared" si="50"/>
        <v>63.025199999999991</v>
      </c>
      <c r="AO39" s="132"/>
      <c r="AP39" s="400">
        <f t="shared" si="21"/>
        <v>0</v>
      </c>
      <c r="AQ39" s="401">
        <f t="shared" si="22"/>
        <v>0</v>
      </c>
      <c r="AR39" s="402"/>
    </row>
    <row r="40" spans="1:44" ht="12" customHeight="1">
      <c r="A40" s="52"/>
      <c r="B40" s="404" t="s">
        <v>318</v>
      </c>
      <c r="C40" s="426"/>
      <c r="D40" s="426"/>
      <c r="E40" s="426"/>
      <c r="F40" s="427"/>
      <c r="G40" s="500"/>
      <c r="H40" s="408">
        <f>SUM(H37:H39)</f>
        <v>575.92305999999996</v>
      </c>
      <c r="I40" s="409"/>
      <c r="J40" s="427"/>
      <c r="K40" s="500"/>
      <c r="L40" s="408">
        <f>SUM(L37:L39)</f>
        <v>591.09415999999976</v>
      </c>
      <c r="M40" s="409"/>
      <c r="N40" s="410">
        <f t="shared" si="5"/>
        <v>15.171099999999797</v>
      </c>
      <c r="O40" s="411">
        <f t="shared" si="6"/>
        <v>2.6342233978267508E-2</v>
      </c>
      <c r="P40" s="52"/>
      <c r="Q40" s="427"/>
      <c r="R40" s="500"/>
      <c r="S40" s="408">
        <f>SUM(S37:S39)</f>
        <v>614.36415999999986</v>
      </c>
      <c r="T40" s="409"/>
      <c r="U40" s="410">
        <f t="shared" si="9"/>
        <v>23.270000000000095</v>
      </c>
      <c r="V40" s="411">
        <f t="shared" si="10"/>
        <v>3.9367670287928584E-2</v>
      </c>
      <c r="W40" s="52"/>
      <c r="X40" s="427"/>
      <c r="Y40" s="500"/>
      <c r="Z40" s="408">
        <f>SUM(Z37:Z39)</f>
        <v>640.25415999999973</v>
      </c>
      <c r="AA40" s="409"/>
      <c r="AB40" s="410">
        <f t="shared" si="13"/>
        <v>25.889999999999873</v>
      </c>
      <c r="AC40" s="411">
        <f t="shared" si="14"/>
        <v>4.2141130107589415E-2</v>
      </c>
      <c r="AD40" s="52"/>
      <c r="AE40" s="427"/>
      <c r="AF40" s="500"/>
      <c r="AG40" s="408">
        <f>SUM(AG37:AG39)</f>
        <v>647.83415999999988</v>
      </c>
      <c r="AH40" s="409"/>
      <c r="AI40" s="410">
        <f t="shared" si="17"/>
        <v>7.5800000000001546</v>
      </c>
      <c r="AJ40" s="411">
        <f t="shared" si="18"/>
        <v>1.1839048417897289E-2</v>
      </c>
      <c r="AK40" s="52"/>
      <c r="AL40" s="427"/>
      <c r="AM40" s="500"/>
      <c r="AN40" s="408">
        <f>SUM(AN37:AN39)</f>
        <v>654.28415999999982</v>
      </c>
      <c r="AO40" s="409"/>
      <c r="AP40" s="410">
        <f t="shared" si="21"/>
        <v>6.4499999999999318</v>
      </c>
      <c r="AQ40" s="411">
        <f t="shared" si="22"/>
        <v>9.956251766655733E-3</v>
      </c>
      <c r="AR40" s="412"/>
    </row>
    <row r="41" spans="1:44" ht="12" customHeight="1">
      <c r="A41" s="52"/>
      <c r="B41" s="321" t="s">
        <v>262</v>
      </c>
      <c r="C41" s="394" t="str">
        <f t="shared" ref="C41:C48" si="51">D$6&amp;"."&amp;B41</f>
        <v>General Service &lt; 50 kW.Wholesale Market Service Charge (WMSC)</v>
      </c>
      <c r="D41" s="395" t="s">
        <v>312</v>
      </c>
      <c r="E41" s="321"/>
      <c r="F41" s="413">
        <f>IFERROR(VLOOKUP($C41,'Proposed Rates'!$B:$J,F$11,FALSE),0)</f>
        <v>4.4999999999999997E-3</v>
      </c>
      <c r="G41" s="507">
        <f t="shared" ref="G41:G42" si="52">$F$10*(1+F$63)</f>
        <v>10338</v>
      </c>
      <c r="H41" s="399">
        <f t="shared" ref="H41:H48" si="53">G41*F41</f>
        <v>46.520999999999994</v>
      </c>
      <c r="I41" s="132"/>
      <c r="J41" s="413">
        <f>IFERROR(VLOOKUP($C41,'Proposed Rates'!$B:$J,J$11,FALSE),0)</f>
        <v>4.7000000000000002E-3</v>
      </c>
      <c r="K41" s="507">
        <f t="shared" ref="K41:K42" si="54">$F$10*(1+J$63)</f>
        <v>10331.999999999998</v>
      </c>
      <c r="L41" s="399">
        <f t="shared" ref="L41:L48" si="55">K41*J41</f>
        <v>48.560399999999994</v>
      </c>
      <c r="M41" s="132"/>
      <c r="N41" s="400">
        <f t="shared" si="5"/>
        <v>2.0394000000000005</v>
      </c>
      <c r="O41" s="401">
        <f t="shared" si="6"/>
        <v>4.3838266589282276E-2</v>
      </c>
      <c r="P41" s="52"/>
      <c r="Q41" s="413">
        <f>IFERROR(VLOOKUP($C41,'Proposed Rates'!$B:$J,Q$11,FALSE),0)</f>
        <v>4.7000000000000002E-3</v>
      </c>
      <c r="R41" s="507">
        <f t="shared" ref="R41:R42" si="56">$F$10*(1+Q$63)</f>
        <v>10331.999999999998</v>
      </c>
      <c r="S41" s="399">
        <f t="shared" ref="S41:S48" si="57">R41*Q41</f>
        <v>48.560399999999994</v>
      </c>
      <c r="T41" s="132"/>
      <c r="U41" s="400">
        <f t="shared" si="9"/>
        <v>0</v>
      </c>
      <c r="V41" s="401">
        <f t="shared" si="10"/>
        <v>0</v>
      </c>
      <c r="W41" s="52"/>
      <c r="X41" s="413">
        <f>IFERROR(VLOOKUP($C41,'Proposed Rates'!$B:$J,X$11,FALSE),0)</f>
        <v>4.7000000000000002E-3</v>
      </c>
      <c r="Y41" s="507">
        <f t="shared" ref="Y41:Y42" si="58">$F$10*(1+X$63)</f>
        <v>10331.999999999998</v>
      </c>
      <c r="Z41" s="399">
        <f t="shared" ref="Z41:Z48" si="59">Y41*X41</f>
        <v>48.560399999999994</v>
      </c>
      <c r="AA41" s="132"/>
      <c r="AB41" s="400">
        <f t="shared" si="13"/>
        <v>0</v>
      </c>
      <c r="AC41" s="401">
        <f t="shared" si="14"/>
        <v>0</v>
      </c>
      <c r="AD41" s="52"/>
      <c r="AE41" s="413">
        <f>IFERROR(VLOOKUP($C41,'Proposed Rates'!$B:$J,AE$11,FALSE),0)</f>
        <v>4.7000000000000002E-3</v>
      </c>
      <c r="AF41" s="507">
        <f t="shared" ref="AF41:AF42" si="60">$F$10*(1+AE$63)</f>
        <v>10331.999999999998</v>
      </c>
      <c r="AG41" s="399">
        <f t="shared" ref="AG41:AG48" si="61">AF41*AE41</f>
        <v>48.560399999999994</v>
      </c>
      <c r="AH41" s="132"/>
      <c r="AI41" s="400">
        <f t="shared" si="17"/>
        <v>0</v>
      </c>
      <c r="AJ41" s="401">
        <f t="shared" si="18"/>
        <v>0</v>
      </c>
      <c r="AK41" s="52"/>
      <c r="AL41" s="413">
        <f>IFERROR(VLOOKUP($C41,'Proposed Rates'!$B:$J,AL$11,FALSE),0)</f>
        <v>4.7000000000000002E-3</v>
      </c>
      <c r="AM41" s="507">
        <f t="shared" ref="AM41:AM42" si="62">$F$10*(1+AL$63)</f>
        <v>10331.999999999998</v>
      </c>
      <c r="AN41" s="399">
        <f t="shared" ref="AN41:AN48" si="63">AM41*AL41</f>
        <v>48.560399999999994</v>
      </c>
      <c r="AO41" s="132"/>
      <c r="AP41" s="400">
        <f t="shared" si="21"/>
        <v>0</v>
      </c>
      <c r="AQ41" s="401">
        <f t="shared" si="22"/>
        <v>0</v>
      </c>
      <c r="AR41" s="402"/>
    </row>
    <row r="42" spans="1:44" ht="12" customHeight="1">
      <c r="A42" s="52"/>
      <c r="B42" s="321" t="s">
        <v>263</v>
      </c>
      <c r="C42" s="394" t="str">
        <f t="shared" si="51"/>
        <v>General Service &lt; 50 kW.Rural and Remote Rate Protection (RRRP)</v>
      </c>
      <c r="D42" s="395" t="s">
        <v>312</v>
      </c>
      <c r="E42" s="321"/>
      <c r="F42" s="413">
        <f>IFERROR(VLOOKUP($C42,'Proposed Rates'!$B:$J,F$11,FALSE),0)</f>
        <v>1.5E-3</v>
      </c>
      <c r="G42" s="507">
        <f t="shared" si="52"/>
        <v>10338</v>
      </c>
      <c r="H42" s="399">
        <f t="shared" si="53"/>
        <v>15.507</v>
      </c>
      <c r="I42" s="132"/>
      <c r="J42" s="413">
        <f>IFERROR(VLOOKUP($C42,'Proposed Rates'!$B:$J,J$11,FALSE),0)</f>
        <v>5.9999999999999995E-4</v>
      </c>
      <c r="K42" s="507">
        <f t="shared" si="54"/>
        <v>10331.999999999998</v>
      </c>
      <c r="L42" s="399">
        <f t="shared" si="55"/>
        <v>6.1991999999999985</v>
      </c>
      <c r="M42" s="132"/>
      <c r="N42" s="400">
        <f t="shared" si="5"/>
        <v>-9.3078000000000003</v>
      </c>
      <c r="O42" s="401">
        <f t="shared" si="6"/>
        <v>-0.600232153221126</v>
      </c>
      <c r="P42" s="52"/>
      <c r="Q42" s="413">
        <f>IFERROR(VLOOKUP($C42,'Proposed Rates'!$B:$J,Q$11,FALSE),0)</f>
        <v>5.9999999999999995E-4</v>
      </c>
      <c r="R42" s="507">
        <f t="shared" si="56"/>
        <v>10331.999999999998</v>
      </c>
      <c r="S42" s="399">
        <f t="shared" si="57"/>
        <v>6.1991999999999985</v>
      </c>
      <c r="T42" s="132"/>
      <c r="U42" s="400">
        <f t="shared" si="9"/>
        <v>0</v>
      </c>
      <c r="V42" s="401">
        <f t="shared" si="10"/>
        <v>0</v>
      </c>
      <c r="W42" s="52"/>
      <c r="X42" s="413">
        <f>IFERROR(VLOOKUP($C42,'Proposed Rates'!$B:$J,X$11,FALSE),0)</f>
        <v>5.9999999999999995E-4</v>
      </c>
      <c r="Y42" s="507">
        <f t="shared" si="58"/>
        <v>10331.999999999998</v>
      </c>
      <c r="Z42" s="399">
        <f t="shared" si="59"/>
        <v>6.1991999999999985</v>
      </c>
      <c r="AA42" s="132"/>
      <c r="AB42" s="400">
        <f t="shared" si="13"/>
        <v>0</v>
      </c>
      <c r="AC42" s="401">
        <f t="shared" si="14"/>
        <v>0</v>
      </c>
      <c r="AD42" s="52"/>
      <c r="AE42" s="413">
        <f>IFERROR(VLOOKUP($C42,'Proposed Rates'!$B:$J,AE$11,FALSE),0)</f>
        <v>5.9999999999999995E-4</v>
      </c>
      <c r="AF42" s="507">
        <f t="shared" si="60"/>
        <v>10331.999999999998</v>
      </c>
      <c r="AG42" s="399">
        <f t="shared" si="61"/>
        <v>6.1991999999999985</v>
      </c>
      <c r="AH42" s="132"/>
      <c r="AI42" s="400">
        <f t="shared" si="17"/>
        <v>0</v>
      </c>
      <c r="AJ42" s="401">
        <f t="shared" si="18"/>
        <v>0</v>
      </c>
      <c r="AK42" s="52"/>
      <c r="AL42" s="413">
        <f>IFERROR(VLOOKUP($C42,'Proposed Rates'!$B:$J,AL$11,FALSE),0)</f>
        <v>5.9999999999999995E-4</v>
      </c>
      <c r="AM42" s="507">
        <f t="shared" si="62"/>
        <v>10331.999999999998</v>
      </c>
      <c r="AN42" s="399">
        <f t="shared" si="63"/>
        <v>6.1991999999999985</v>
      </c>
      <c r="AO42" s="132"/>
      <c r="AP42" s="400">
        <f t="shared" si="21"/>
        <v>0</v>
      </c>
      <c r="AQ42" s="401">
        <f t="shared" si="22"/>
        <v>0</v>
      </c>
      <c r="AR42" s="402"/>
    </row>
    <row r="43" spans="1:44" ht="12" customHeight="1">
      <c r="A43" s="52"/>
      <c r="B43" s="321" t="s">
        <v>264</v>
      </c>
      <c r="C43" s="394" t="str">
        <f t="shared" si="51"/>
        <v>General Service &lt; 50 kW.Standard Supply Service Charge</v>
      </c>
      <c r="D43" s="395" t="s">
        <v>310</v>
      </c>
      <c r="E43" s="321"/>
      <c r="F43" s="396">
        <f>IFERROR(VLOOKUP($C43,'Proposed Rates'!$B:$J,F$11,FALSE),0)</f>
        <v>0.25</v>
      </c>
      <c r="G43" s="397">
        <f>IF($D43="Monthly",1,IF($D43="per KWH",$F$10,0))</f>
        <v>1</v>
      </c>
      <c r="H43" s="399">
        <f t="shared" si="53"/>
        <v>0.25</v>
      </c>
      <c r="I43" s="132"/>
      <c r="J43" s="396">
        <f>IFERROR(VLOOKUP($C43,'Proposed Rates'!$B:$J,J$11,FALSE),0)</f>
        <v>0.25</v>
      </c>
      <c r="K43" s="397">
        <f>IF($D43="Monthly",1,IF($D43="per KWH",$F$10,0))</f>
        <v>1</v>
      </c>
      <c r="L43" s="399">
        <f t="shared" si="55"/>
        <v>0.25</v>
      </c>
      <c r="M43" s="132"/>
      <c r="N43" s="400">
        <f t="shared" si="5"/>
        <v>0</v>
      </c>
      <c r="O43" s="401">
        <f t="shared" si="6"/>
        <v>0</v>
      </c>
      <c r="P43" s="52"/>
      <c r="Q43" s="396">
        <f>IFERROR(VLOOKUP($C43,'Proposed Rates'!$B:$J,Q$11,FALSE),0)</f>
        <v>0.25</v>
      </c>
      <c r="R43" s="397">
        <f>IF($D43="Monthly",1,IF($D43="per KWH",$F$10,0))</f>
        <v>1</v>
      </c>
      <c r="S43" s="399">
        <f t="shared" si="57"/>
        <v>0.25</v>
      </c>
      <c r="T43" s="132"/>
      <c r="U43" s="400">
        <f t="shared" si="9"/>
        <v>0</v>
      </c>
      <c r="V43" s="401">
        <f t="shared" si="10"/>
        <v>0</v>
      </c>
      <c r="W43" s="52"/>
      <c r="X43" s="396">
        <f>IFERROR(VLOOKUP($C43,'Proposed Rates'!$B:$J,X$11,FALSE),0)</f>
        <v>0.25</v>
      </c>
      <c r="Y43" s="397">
        <f>IF($D43="Monthly",1,IF($D43="per KWH",$F$10,0))</f>
        <v>1</v>
      </c>
      <c r="Z43" s="399">
        <f t="shared" si="59"/>
        <v>0.25</v>
      </c>
      <c r="AA43" s="132"/>
      <c r="AB43" s="400">
        <f t="shared" si="13"/>
        <v>0</v>
      </c>
      <c r="AC43" s="401">
        <f t="shared" si="14"/>
        <v>0</v>
      </c>
      <c r="AD43" s="52"/>
      <c r="AE43" s="396">
        <f>IFERROR(VLOOKUP($C43,'Proposed Rates'!$B:$J,AE$11,FALSE),0)</f>
        <v>0.25</v>
      </c>
      <c r="AF43" s="397">
        <f>IF($D43="Monthly",1,IF($D43="per KWH",$F$10,0))</f>
        <v>1</v>
      </c>
      <c r="AG43" s="399">
        <f t="shared" si="61"/>
        <v>0.25</v>
      </c>
      <c r="AH43" s="132"/>
      <c r="AI43" s="400">
        <f t="shared" si="17"/>
        <v>0</v>
      </c>
      <c r="AJ43" s="401">
        <f t="shared" si="18"/>
        <v>0</v>
      </c>
      <c r="AK43" s="52"/>
      <c r="AL43" s="396">
        <f>IFERROR(VLOOKUP($C43,'Proposed Rates'!$B:$J,AL$11,FALSE),0)</f>
        <v>0.25</v>
      </c>
      <c r="AM43" s="397">
        <f>IF($D43="Monthly",1,IF($D43="per KWH",$F$10,0))</f>
        <v>1</v>
      </c>
      <c r="AN43" s="399">
        <f t="shared" si="63"/>
        <v>0.25</v>
      </c>
      <c r="AO43" s="132"/>
      <c r="AP43" s="400">
        <f t="shared" si="21"/>
        <v>0</v>
      </c>
      <c r="AQ43" s="401">
        <f t="shared" si="22"/>
        <v>0</v>
      </c>
      <c r="AR43" s="402"/>
    </row>
    <row r="44" spans="1:44" ht="12" customHeight="1">
      <c r="A44" s="52"/>
      <c r="B44" s="321" t="s">
        <v>266</v>
      </c>
      <c r="C44" s="394" t="str">
        <f t="shared" si="51"/>
        <v>General Service &lt; 50 kW.TOU - Off Peak</v>
      </c>
      <c r="D44" s="395" t="s">
        <v>312</v>
      </c>
      <c r="E44" s="321"/>
      <c r="F44" s="429">
        <f>VLOOKUP($B44,'Proposed Rates'!$D$252:$J$258,+F$11-2,FALSE)</f>
        <v>9.8000000000000004E-2</v>
      </c>
      <c r="G44" s="507">
        <f>'Proposed Rates'!$K$253*$F$10</f>
        <v>6400</v>
      </c>
      <c r="H44" s="399">
        <f t="shared" si="53"/>
        <v>627.20000000000005</v>
      </c>
      <c r="I44" s="132"/>
      <c r="J44" s="429">
        <f>VLOOKUP($B44,'Proposed Rates'!$D$252:$J$258,+J$11-2,FALSE)</f>
        <v>9.8000000000000004E-2</v>
      </c>
      <c r="K44" s="507">
        <f>'Proposed Rates'!$K$253*$F$10</f>
        <v>6400</v>
      </c>
      <c r="L44" s="399">
        <f t="shared" si="55"/>
        <v>627.20000000000005</v>
      </c>
      <c r="M44" s="132"/>
      <c r="N44" s="400">
        <f t="shared" si="5"/>
        <v>0</v>
      </c>
      <c r="O44" s="401">
        <f t="shared" si="6"/>
        <v>0</v>
      </c>
      <c r="P44" s="52"/>
      <c r="Q44" s="429">
        <f>VLOOKUP($B44,'Proposed Rates'!$D$252:$J$258,+Q$11-2,FALSE)</f>
        <v>9.8000000000000004E-2</v>
      </c>
      <c r="R44" s="507">
        <f>'Proposed Rates'!$K$253*$F$10</f>
        <v>6400</v>
      </c>
      <c r="S44" s="399">
        <f t="shared" si="57"/>
        <v>627.20000000000005</v>
      </c>
      <c r="T44" s="132"/>
      <c r="U44" s="400">
        <f t="shared" si="9"/>
        <v>0</v>
      </c>
      <c r="V44" s="401">
        <f t="shared" si="10"/>
        <v>0</v>
      </c>
      <c r="W44" s="52"/>
      <c r="X44" s="429">
        <f>VLOOKUP($B44,'Proposed Rates'!$D$252:$J$258,+X$11-2,FALSE)</f>
        <v>9.8000000000000004E-2</v>
      </c>
      <c r="Y44" s="507">
        <f>'Proposed Rates'!$K$253*$F$10</f>
        <v>6400</v>
      </c>
      <c r="Z44" s="399">
        <f t="shared" si="59"/>
        <v>627.20000000000005</v>
      </c>
      <c r="AA44" s="132"/>
      <c r="AB44" s="400">
        <f t="shared" si="13"/>
        <v>0</v>
      </c>
      <c r="AC44" s="401">
        <f t="shared" si="14"/>
        <v>0</v>
      </c>
      <c r="AD44" s="52"/>
      <c r="AE44" s="429">
        <f>VLOOKUP($B44,'Proposed Rates'!$D$252:$J$258,+AE$11-2,FALSE)</f>
        <v>9.8000000000000004E-2</v>
      </c>
      <c r="AF44" s="507">
        <f>'Proposed Rates'!$K$253*$F$10</f>
        <v>6400</v>
      </c>
      <c r="AG44" s="399">
        <f t="shared" si="61"/>
        <v>627.20000000000005</v>
      </c>
      <c r="AH44" s="132"/>
      <c r="AI44" s="400">
        <f t="shared" si="17"/>
        <v>0</v>
      </c>
      <c r="AJ44" s="401">
        <f t="shared" si="18"/>
        <v>0</v>
      </c>
      <c r="AK44" s="52"/>
      <c r="AL44" s="429">
        <f>VLOOKUP($B44,'Proposed Rates'!$D$252:$J$258,+AL$11-2,FALSE)</f>
        <v>9.8000000000000004E-2</v>
      </c>
      <c r="AM44" s="507">
        <f>'Proposed Rates'!$K$253*$F$10</f>
        <v>6400</v>
      </c>
      <c r="AN44" s="399">
        <f t="shared" si="63"/>
        <v>627.20000000000005</v>
      </c>
      <c r="AO44" s="132"/>
      <c r="AP44" s="400">
        <f t="shared" si="21"/>
        <v>0</v>
      </c>
      <c r="AQ44" s="401">
        <f t="shared" si="22"/>
        <v>0</v>
      </c>
      <c r="AR44" s="402"/>
    </row>
    <row r="45" spans="1:44" ht="12" customHeight="1">
      <c r="A45" s="52"/>
      <c r="B45" s="321" t="s">
        <v>267</v>
      </c>
      <c r="C45" s="394" t="str">
        <f t="shared" si="51"/>
        <v>General Service &lt; 50 kW.TOU - Mid Peak</v>
      </c>
      <c r="D45" s="395" t="s">
        <v>312</v>
      </c>
      <c r="E45" s="321"/>
      <c r="F45" s="429">
        <f>VLOOKUP($B45,'Proposed Rates'!$D$252:$J$258,+F$11-2,FALSE)</f>
        <v>0.157</v>
      </c>
      <c r="G45" s="507">
        <f>'Proposed Rates'!$K$254*$F$10</f>
        <v>1800</v>
      </c>
      <c r="H45" s="399">
        <f t="shared" si="53"/>
        <v>282.60000000000002</v>
      </c>
      <c r="I45" s="132"/>
      <c r="J45" s="429">
        <f>VLOOKUP($B45,'Proposed Rates'!$D$252:$J$258,+J$11-2,FALSE)</f>
        <v>0.157</v>
      </c>
      <c r="K45" s="507">
        <f>'Proposed Rates'!$K$254*$F$10</f>
        <v>1800</v>
      </c>
      <c r="L45" s="399">
        <f t="shared" si="55"/>
        <v>282.60000000000002</v>
      </c>
      <c r="M45" s="132"/>
      <c r="N45" s="400">
        <f t="shared" si="5"/>
        <v>0</v>
      </c>
      <c r="O45" s="401">
        <f t="shared" si="6"/>
        <v>0</v>
      </c>
      <c r="P45" s="52"/>
      <c r="Q45" s="429">
        <f>VLOOKUP($B45,'Proposed Rates'!$D$252:$J$258,+Q$11-2,FALSE)</f>
        <v>0.157</v>
      </c>
      <c r="R45" s="507">
        <f>'Proposed Rates'!$K$254*$F$10</f>
        <v>1800</v>
      </c>
      <c r="S45" s="399">
        <f t="shared" si="57"/>
        <v>282.60000000000002</v>
      </c>
      <c r="T45" s="132"/>
      <c r="U45" s="400">
        <f t="shared" si="9"/>
        <v>0</v>
      </c>
      <c r="V45" s="401">
        <f t="shared" si="10"/>
        <v>0</v>
      </c>
      <c r="W45" s="52"/>
      <c r="X45" s="429">
        <f>VLOOKUP($B45,'Proposed Rates'!$D$252:$J$258,+X$11-2,FALSE)</f>
        <v>0.157</v>
      </c>
      <c r="Y45" s="507">
        <f>'Proposed Rates'!$K$254*$F$10</f>
        <v>1800</v>
      </c>
      <c r="Z45" s="399">
        <f t="shared" si="59"/>
        <v>282.60000000000002</v>
      </c>
      <c r="AA45" s="132"/>
      <c r="AB45" s="400">
        <f t="shared" si="13"/>
        <v>0</v>
      </c>
      <c r="AC45" s="401">
        <f t="shared" si="14"/>
        <v>0</v>
      </c>
      <c r="AD45" s="52"/>
      <c r="AE45" s="429">
        <f>VLOOKUP($B45,'Proposed Rates'!$D$252:$J$258,+AE$11-2,FALSE)</f>
        <v>0.157</v>
      </c>
      <c r="AF45" s="507">
        <f>'Proposed Rates'!$K$254*$F$10</f>
        <v>1800</v>
      </c>
      <c r="AG45" s="399">
        <f t="shared" si="61"/>
        <v>282.60000000000002</v>
      </c>
      <c r="AH45" s="132"/>
      <c r="AI45" s="400">
        <f t="shared" si="17"/>
        <v>0</v>
      </c>
      <c r="AJ45" s="401">
        <f t="shared" si="18"/>
        <v>0</v>
      </c>
      <c r="AK45" s="52"/>
      <c r="AL45" s="429">
        <f>VLOOKUP($B45,'Proposed Rates'!$D$252:$J$258,+AL$11-2,FALSE)</f>
        <v>0.157</v>
      </c>
      <c r="AM45" s="507">
        <f>'Proposed Rates'!$K$254*$F$10</f>
        <v>1800</v>
      </c>
      <c r="AN45" s="399">
        <f t="shared" si="63"/>
        <v>282.60000000000002</v>
      </c>
      <c r="AO45" s="132"/>
      <c r="AP45" s="400">
        <f t="shared" si="21"/>
        <v>0</v>
      </c>
      <c r="AQ45" s="401">
        <f t="shared" si="22"/>
        <v>0</v>
      </c>
      <c r="AR45" s="402"/>
    </row>
    <row r="46" spans="1:44" ht="12" customHeight="1">
      <c r="A46" s="52"/>
      <c r="B46" s="52" t="s">
        <v>268</v>
      </c>
      <c r="C46" s="394" t="str">
        <f t="shared" si="51"/>
        <v>General Service &lt; 50 kW.TOU - On Peak</v>
      </c>
      <c r="D46" s="395" t="s">
        <v>312</v>
      </c>
      <c r="E46" s="321"/>
      <c r="F46" s="429">
        <f>VLOOKUP($B46,'Proposed Rates'!$D$252:$J$258,+F$11-2,FALSE)</f>
        <v>0.20300000000000001</v>
      </c>
      <c r="G46" s="507">
        <f>'Proposed Rates'!$K$255*$F$10</f>
        <v>1800</v>
      </c>
      <c r="H46" s="399">
        <f t="shared" si="53"/>
        <v>365.40000000000003</v>
      </c>
      <c r="I46" s="132"/>
      <c r="J46" s="429">
        <f>VLOOKUP($B46,'Proposed Rates'!$D$252:$J$258,+J$11-2,FALSE)</f>
        <v>0.20300000000000001</v>
      </c>
      <c r="K46" s="507">
        <f>'Proposed Rates'!$K$255*$F$10</f>
        <v>1800</v>
      </c>
      <c r="L46" s="399">
        <f t="shared" si="55"/>
        <v>365.40000000000003</v>
      </c>
      <c r="M46" s="132"/>
      <c r="N46" s="400">
        <f t="shared" si="5"/>
        <v>0</v>
      </c>
      <c r="O46" s="401">
        <f t="shared" si="6"/>
        <v>0</v>
      </c>
      <c r="P46" s="52"/>
      <c r="Q46" s="429">
        <f>VLOOKUP($B46,'Proposed Rates'!$D$252:$J$258,+Q$11-2,FALSE)</f>
        <v>0.20300000000000001</v>
      </c>
      <c r="R46" s="507">
        <f>'Proposed Rates'!$K$255*$F$10</f>
        <v>1800</v>
      </c>
      <c r="S46" s="399">
        <f t="shared" si="57"/>
        <v>365.40000000000003</v>
      </c>
      <c r="T46" s="132"/>
      <c r="U46" s="400">
        <f t="shared" si="9"/>
        <v>0</v>
      </c>
      <c r="V46" s="401">
        <f t="shared" si="10"/>
        <v>0</v>
      </c>
      <c r="W46" s="52"/>
      <c r="X46" s="429">
        <f>VLOOKUP($B46,'Proposed Rates'!$D$252:$J$258,+X$11-2,FALSE)</f>
        <v>0.20300000000000001</v>
      </c>
      <c r="Y46" s="507">
        <f>'Proposed Rates'!$K$255*$F$10</f>
        <v>1800</v>
      </c>
      <c r="Z46" s="399">
        <f t="shared" si="59"/>
        <v>365.40000000000003</v>
      </c>
      <c r="AA46" s="132"/>
      <c r="AB46" s="400">
        <f t="shared" si="13"/>
        <v>0</v>
      </c>
      <c r="AC46" s="401">
        <f t="shared" si="14"/>
        <v>0</v>
      </c>
      <c r="AD46" s="52"/>
      <c r="AE46" s="429">
        <f>VLOOKUP($B46,'Proposed Rates'!$D$252:$J$258,+AE$11-2,FALSE)</f>
        <v>0.20300000000000001</v>
      </c>
      <c r="AF46" s="507">
        <f>'Proposed Rates'!$K$255*$F$10</f>
        <v>1800</v>
      </c>
      <c r="AG46" s="399">
        <f t="shared" si="61"/>
        <v>365.40000000000003</v>
      </c>
      <c r="AH46" s="132"/>
      <c r="AI46" s="400">
        <f t="shared" si="17"/>
        <v>0</v>
      </c>
      <c r="AJ46" s="401">
        <f t="shared" si="18"/>
        <v>0</v>
      </c>
      <c r="AK46" s="52"/>
      <c r="AL46" s="429">
        <f>VLOOKUP($B46,'Proposed Rates'!$D$252:$J$258,+AL$11-2,FALSE)</f>
        <v>0.20300000000000001</v>
      </c>
      <c r="AM46" s="507">
        <f>'Proposed Rates'!$K$255*$F$10</f>
        <v>1800</v>
      </c>
      <c r="AN46" s="399">
        <f t="shared" si="63"/>
        <v>365.40000000000003</v>
      </c>
      <c r="AO46" s="132"/>
      <c r="AP46" s="400">
        <f t="shared" si="21"/>
        <v>0</v>
      </c>
      <c r="AQ46" s="401">
        <f t="shared" si="22"/>
        <v>0</v>
      </c>
      <c r="AR46" s="402"/>
    </row>
    <row r="47" spans="1:44" ht="12" customHeight="1">
      <c r="A47" s="52"/>
      <c r="B47" s="321" t="s">
        <v>269</v>
      </c>
      <c r="C47" s="394" t="str">
        <f t="shared" si="51"/>
        <v>General Service &lt; 50 kW.Energy - RPP - Tier 1</v>
      </c>
      <c r="D47" s="395" t="s">
        <v>312</v>
      </c>
      <c r="E47" s="321"/>
      <c r="F47" s="429">
        <f>VLOOKUP($B47,'Proposed Rates'!$D$252:$J$258,+F$11-2,FALSE)</f>
        <v>0.12</v>
      </c>
      <c r="G47" s="507">
        <f>IF(AND($S$2=1, $F$10&gt;=750), 750, IF(AND($S$2=1, AND($F$10&lt;750, $F$10&gt;=0)), $F$10, IF(AND($S$2=2, $F$10&gt;=1000), 1000, IF(AND($S$2=2, AND($F$10&lt;1000, $F$10&gt;=0)), $F$10))))</f>
        <v>750</v>
      </c>
      <c r="H47" s="399">
        <f t="shared" si="53"/>
        <v>90</v>
      </c>
      <c r="I47" s="132"/>
      <c r="J47" s="429">
        <f>VLOOKUP($B47,'Proposed Rates'!$D$252:$J$258,+J$11-2,FALSE)</f>
        <v>0.12</v>
      </c>
      <c r="K47" s="507">
        <f>IF(AND($S$2=1, $F$10&gt;=750), 750, IF(AND($S$2=1, AND($F$10&lt;750, $F$10&gt;=0)), $F$10, IF(AND($S$2=2, $F$10&gt;=1000), 1000, IF(AND($S$2=2, AND($F$10&lt;1000, $F$10&gt;=0)), $F$10))))</f>
        <v>750</v>
      </c>
      <c r="L47" s="399">
        <f t="shared" si="55"/>
        <v>90</v>
      </c>
      <c r="M47" s="132"/>
      <c r="N47" s="400">
        <f t="shared" si="5"/>
        <v>0</v>
      </c>
      <c r="O47" s="401">
        <f t="shared" si="6"/>
        <v>0</v>
      </c>
      <c r="P47" s="52"/>
      <c r="Q47" s="429">
        <f>VLOOKUP($B47,'Proposed Rates'!$D$252:$J$258,+Q$11-2,FALSE)</f>
        <v>0.12</v>
      </c>
      <c r="R47" s="507">
        <f>IF(AND($S$2=1, $F$10&gt;=750), 750, IF(AND($S$2=1, AND($F$10&lt;750, $F$10&gt;=0)), $F$10, IF(AND($S$2=2, $F$10&gt;=1000), 1000, IF(AND($S$2=2, AND($F$10&lt;1000, $F$10&gt;=0)), $F$10))))</f>
        <v>750</v>
      </c>
      <c r="S47" s="399">
        <f t="shared" si="57"/>
        <v>90</v>
      </c>
      <c r="T47" s="132"/>
      <c r="U47" s="400">
        <f t="shared" si="9"/>
        <v>0</v>
      </c>
      <c r="V47" s="401">
        <f t="shared" si="10"/>
        <v>0</v>
      </c>
      <c r="W47" s="52"/>
      <c r="X47" s="429">
        <f>VLOOKUP($B47,'Proposed Rates'!$D$252:$J$258,+X$11-2,FALSE)</f>
        <v>0.12</v>
      </c>
      <c r="Y47" s="507">
        <f>IF(AND($S$2=1, $F$10&gt;=750), 750, IF(AND($S$2=1, AND($F$10&lt;750, $F$10&gt;=0)), $F$10, IF(AND($S$2=2, $F$10&gt;=1000), 1000, IF(AND($S$2=2, AND($F$10&lt;1000, $F$10&gt;=0)), $F$10))))</f>
        <v>750</v>
      </c>
      <c r="Z47" s="399">
        <f t="shared" si="59"/>
        <v>90</v>
      </c>
      <c r="AA47" s="132"/>
      <c r="AB47" s="400">
        <f t="shared" si="13"/>
        <v>0</v>
      </c>
      <c r="AC47" s="401">
        <f t="shared" si="14"/>
        <v>0</v>
      </c>
      <c r="AD47" s="52"/>
      <c r="AE47" s="429">
        <f>VLOOKUP($B47,'Proposed Rates'!$D$252:$J$258,+AE$11-2,FALSE)</f>
        <v>0.12</v>
      </c>
      <c r="AF47" s="507">
        <f>IF(AND($S$2=1, $F$10&gt;=750), 750, IF(AND($S$2=1, AND($F$10&lt;750, $F$10&gt;=0)), $F$10, IF(AND($S$2=2, $F$10&gt;=1000), 1000, IF(AND($S$2=2, AND($F$10&lt;1000, $F$10&gt;=0)), $F$10))))</f>
        <v>750</v>
      </c>
      <c r="AG47" s="399">
        <f t="shared" si="61"/>
        <v>90</v>
      </c>
      <c r="AH47" s="132"/>
      <c r="AI47" s="400">
        <f t="shared" si="17"/>
        <v>0</v>
      </c>
      <c r="AJ47" s="401">
        <f t="shared" si="18"/>
        <v>0</v>
      </c>
      <c r="AK47" s="52"/>
      <c r="AL47" s="429">
        <f>VLOOKUP($B47,'Proposed Rates'!$D$252:$J$258,+AL$11-2,FALSE)</f>
        <v>0.12</v>
      </c>
      <c r="AM47" s="507">
        <f>IF(AND($S$2=1, $F$10&gt;=750), 750, IF(AND($S$2=1, AND($F$10&lt;750, $F$10&gt;=0)), $F$10, IF(AND($S$2=2, $F$10&gt;=1000), 1000, IF(AND($S$2=2, AND($F$10&lt;1000, $F$10&gt;=0)), $F$10))))</f>
        <v>750</v>
      </c>
      <c r="AN47" s="399">
        <f t="shared" si="63"/>
        <v>90</v>
      </c>
      <c r="AO47" s="132"/>
      <c r="AP47" s="400">
        <f t="shared" si="21"/>
        <v>0</v>
      </c>
      <c r="AQ47" s="401">
        <f t="shared" si="22"/>
        <v>0</v>
      </c>
      <c r="AR47" s="402"/>
    </row>
    <row r="48" spans="1:44" ht="12" customHeight="1">
      <c r="A48" s="52"/>
      <c r="B48" s="321" t="s">
        <v>270</v>
      </c>
      <c r="C48" s="394" t="str">
        <f t="shared" si="51"/>
        <v>General Service &lt; 50 kW.Energy - RPP - Tier 2</v>
      </c>
      <c r="D48" s="395" t="s">
        <v>312</v>
      </c>
      <c r="E48" s="321"/>
      <c r="F48" s="429">
        <f>VLOOKUP($B48,'Proposed Rates'!$D$252:$J$258,+F$11-2,FALSE)</f>
        <v>0.14199999999999999</v>
      </c>
      <c r="G48" s="507">
        <f>IF(AND($S$2=1, $F$10&gt;=750), $F$10-750, IF(AND($S$2=1, AND($F$10&lt;750, $F$10&gt;=0)), 0, IF(AND($S$2=2, $F$10&gt;=1000), $F$10-1000, IF(AND($S$2=2, AND($F$10&lt;1000, $F$10&gt;=0)), 0))))</f>
        <v>9250</v>
      </c>
      <c r="H48" s="399">
        <f t="shared" si="53"/>
        <v>1313.4999999999998</v>
      </c>
      <c r="I48" s="132"/>
      <c r="J48" s="429">
        <f>VLOOKUP($B48,'Proposed Rates'!$D$252:$J$258,+J$11-2,FALSE)</f>
        <v>0.14199999999999999</v>
      </c>
      <c r="K48" s="507">
        <f>IF(AND($S$2=1, $F$10&gt;=750), $F$10-750, IF(AND($S$2=1, AND($F$10&lt;750, $F$10&gt;=0)), 0, IF(AND($S$2=2, $F$10&gt;=1000), $F$10-1000, IF(AND($S$2=2, AND($F$10&lt;1000, $F$10&gt;=0)), 0))))</f>
        <v>9250</v>
      </c>
      <c r="L48" s="399">
        <f t="shared" si="55"/>
        <v>1313.4999999999998</v>
      </c>
      <c r="M48" s="132"/>
      <c r="N48" s="400">
        <f t="shared" si="5"/>
        <v>0</v>
      </c>
      <c r="O48" s="401">
        <f t="shared" si="6"/>
        <v>0</v>
      </c>
      <c r="P48" s="52"/>
      <c r="Q48" s="429">
        <f>VLOOKUP($B48,'Proposed Rates'!$D$252:$J$258,+Q$11-2,FALSE)</f>
        <v>0.14199999999999999</v>
      </c>
      <c r="R48" s="507">
        <f>IF(AND($S$2=1, $F$10&gt;=750), $F$10-750, IF(AND($S$2=1, AND($F$10&lt;750, $F$10&gt;=0)), 0, IF(AND($S$2=2, $F$10&gt;=1000), $F$10-1000, IF(AND($S$2=2, AND($F$10&lt;1000, $F$10&gt;=0)), 0))))</f>
        <v>9250</v>
      </c>
      <c r="S48" s="399">
        <f t="shared" si="57"/>
        <v>1313.4999999999998</v>
      </c>
      <c r="T48" s="132"/>
      <c r="U48" s="400">
        <f t="shared" si="9"/>
        <v>0</v>
      </c>
      <c r="V48" s="401">
        <f t="shared" si="10"/>
        <v>0</v>
      </c>
      <c r="W48" s="52"/>
      <c r="X48" s="429">
        <f>VLOOKUP($B48,'Proposed Rates'!$D$252:$J$258,+X$11-2,FALSE)</f>
        <v>0.14199999999999999</v>
      </c>
      <c r="Y48" s="507">
        <f>IF(AND($S$2=1, $F$10&gt;=750), $F$10-750, IF(AND($S$2=1, AND($F$10&lt;750, $F$10&gt;=0)), 0, IF(AND($S$2=2, $F$10&gt;=1000), $F$10-1000, IF(AND($S$2=2, AND($F$10&lt;1000, $F$10&gt;=0)), 0))))</f>
        <v>9250</v>
      </c>
      <c r="Z48" s="399">
        <f t="shared" si="59"/>
        <v>1313.4999999999998</v>
      </c>
      <c r="AA48" s="132"/>
      <c r="AB48" s="400">
        <f t="shared" si="13"/>
        <v>0</v>
      </c>
      <c r="AC48" s="401">
        <f t="shared" si="14"/>
        <v>0</v>
      </c>
      <c r="AD48" s="52"/>
      <c r="AE48" s="429">
        <f>VLOOKUP($B48,'Proposed Rates'!$D$252:$J$258,+AE$11-2,FALSE)</f>
        <v>0.14199999999999999</v>
      </c>
      <c r="AF48" s="507">
        <f>IF(AND($S$2=1, $F$10&gt;=750), $F$10-750, IF(AND($S$2=1, AND($F$10&lt;750, $F$10&gt;=0)), 0, IF(AND($S$2=2, $F$10&gt;=1000), $F$10-1000, IF(AND($S$2=2, AND($F$10&lt;1000, $F$10&gt;=0)), 0))))</f>
        <v>9250</v>
      </c>
      <c r="AG48" s="399">
        <f t="shared" si="61"/>
        <v>1313.4999999999998</v>
      </c>
      <c r="AH48" s="132"/>
      <c r="AI48" s="400">
        <f t="shared" si="17"/>
        <v>0</v>
      </c>
      <c r="AJ48" s="401">
        <f t="shared" si="18"/>
        <v>0</v>
      </c>
      <c r="AK48" s="52"/>
      <c r="AL48" s="429">
        <f>VLOOKUP($B48,'Proposed Rates'!$D$252:$J$258,+AL$11-2,FALSE)</f>
        <v>0.14199999999999999</v>
      </c>
      <c r="AM48" s="507">
        <f>IF(AND($S$2=1, $F$10&gt;=750), $F$10-750, IF(AND($S$2=1, AND($F$10&lt;750, $F$10&gt;=0)), 0, IF(AND($S$2=2, $F$10&gt;=1000), $F$10-1000, IF(AND($S$2=2, AND($F$10&lt;1000, $F$10&gt;=0)), 0))))</f>
        <v>9250</v>
      </c>
      <c r="AN48" s="399">
        <f t="shared" si="63"/>
        <v>1313.4999999999998</v>
      </c>
      <c r="AO48" s="132"/>
      <c r="AP48" s="400">
        <f t="shared" si="21"/>
        <v>0</v>
      </c>
      <c r="AQ48" s="401">
        <f t="shared" si="22"/>
        <v>0</v>
      </c>
      <c r="AR48" s="402"/>
    </row>
    <row r="49" spans="1:44" ht="12" customHeight="1">
      <c r="A49" s="52"/>
      <c r="B49" s="433"/>
      <c r="C49" s="434"/>
      <c r="D49" s="434"/>
      <c r="E49" s="434"/>
      <c r="F49" s="435"/>
      <c r="G49" s="475"/>
      <c r="H49" s="437"/>
      <c r="I49" s="439"/>
      <c r="J49" s="435"/>
      <c r="K49" s="436"/>
      <c r="L49" s="437"/>
      <c r="M49" s="439"/>
      <c r="N49" s="440"/>
      <c r="O49" s="441"/>
      <c r="P49" s="52"/>
      <c r="Q49" s="435"/>
      <c r="R49" s="435"/>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1913.4010600000001</v>
      </c>
      <c r="I50" s="481"/>
      <c r="J50" s="444"/>
      <c r="K50" s="445"/>
      <c r="L50" s="447">
        <f>SUM(L41:L46,L40)</f>
        <v>1921.3037599999998</v>
      </c>
      <c r="M50" s="448"/>
      <c r="N50" s="447">
        <f t="shared" ref="N50:N54" si="64">L50-H50</f>
        <v>7.9026999999996406</v>
      </c>
      <c r="O50" s="449">
        <f t="shared" ref="O50:O54" si="65">IF((H50)=0,"",(N50/H50))</f>
        <v>4.1301848134230887E-3</v>
      </c>
      <c r="P50" s="52"/>
      <c r="Q50" s="444"/>
      <c r="R50" s="445"/>
      <c r="S50" s="447">
        <f>SUM(S41:S46,S40)</f>
        <v>1944.57376</v>
      </c>
      <c r="T50" s="448"/>
      <c r="U50" s="447">
        <f t="shared" ref="U50:U54" si="66">S50-L50</f>
        <v>23.270000000000209</v>
      </c>
      <c r="V50" s="449">
        <f t="shared" ref="V50:V54" si="67">IF((L50)=0,"",(U50/L50))</f>
        <v>1.2111567407748275E-2</v>
      </c>
      <c r="W50" s="52"/>
      <c r="X50" s="444"/>
      <c r="Y50" s="445"/>
      <c r="Z50" s="447">
        <f>SUM(Z41:Z46,Z40)</f>
        <v>1970.4637599999999</v>
      </c>
      <c r="AA50" s="448"/>
      <c r="AB50" s="447">
        <f t="shared" ref="AB50:AB54" si="68">Z50-S50</f>
        <v>25.889999999999873</v>
      </c>
      <c r="AC50" s="449">
        <f t="shared" ref="AC50:AC54" si="69">IF((S50)=0,"",(AB50/S50))</f>
        <v>1.3313971695267489E-2</v>
      </c>
      <c r="AD50" s="52"/>
      <c r="AE50" s="444"/>
      <c r="AF50" s="445"/>
      <c r="AG50" s="447">
        <f>SUM(AG41:AG46,AG40)</f>
        <v>1978.04376</v>
      </c>
      <c r="AH50" s="448"/>
      <c r="AI50" s="447">
        <f t="shared" ref="AI50:AI54" si="70">AG50-Z50</f>
        <v>7.5800000000001546</v>
      </c>
      <c r="AJ50" s="449">
        <f t="shared" ref="AJ50:AJ54" si="71">IF((Z50)=0,"",(AI50/Z50))</f>
        <v>3.8468101539711418E-3</v>
      </c>
      <c r="AK50" s="52"/>
      <c r="AL50" s="444"/>
      <c r="AM50" s="445"/>
      <c r="AN50" s="447">
        <f>SUM(AN41:AN46,AN40)</f>
        <v>1984.4937599999998</v>
      </c>
      <c r="AO50" s="448"/>
      <c r="AP50" s="447">
        <f t="shared" ref="AP50:AP54" si="72">AN50-AG50</f>
        <v>6.4499999999998181</v>
      </c>
      <c r="AQ50" s="449">
        <f t="shared" ref="AQ50:AQ54" si="73">IF((AG50)=0,"",(AP50/AG50))</f>
        <v>3.2607974254319923E-3</v>
      </c>
      <c r="AR50" s="450"/>
    </row>
    <row r="51" spans="1:44" ht="12" customHeight="1">
      <c r="A51" s="52"/>
      <c r="B51" s="451" t="s">
        <v>320</v>
      </c>
      <c r="C51" s="321"/>
      <c r="D51" s="321"/>
      <c r="E51" s="321"/>
      <c r="F51" s="444">
        <v>0.13</v>
      </c>
      <c r="G51" s="132"/>
      <c r="H51" s="489">
        <f>H50*F51</f>
        <v>248.74213780000002</v>
      </c>
      <c r="I51" s="416"/>
      <c r="J51" s="444">
        <v>0.13</v>
      </c>
      <c r="K51" s="416"/>
      <c r="L51" s="399">
        <f>L50*J51</f>
        <v>249.76948879999998</v>
      </c>
      <c r="M51" s="132"/>
      <c r="N51" s="400">
        <f t="shared" si="64"/>
        <v>1.0273509999999533</v>
      </c>
      <c r="O51" s="401">
        <f t="shared" si="65"/>
        <v>4.1301848134230887E-3</v>
      </c>
      <c r="P51" s="52"/>
      <c r="Q51" s="444">
        <v>0.13</v>
      </c>
      <c r="R51" s="416"/>
      <c r="S51" s="399">
        <f>S50*Q51</f>
        <v>252.79458880000001</v>
      </c>
      <c r="T51" s="132"/>
      <c r="U51" s="400">
        <f t="shared" si="66"/>
        <v>3.0251000000000374</v>
      </c>
      <c r="V51" s="401">
        <f t="shared" si="67"/>
        <v>1.2111567407748314E-2</v>
      </c>
      <c r="W51" s="52"/>
      <c r="X51" s="444">
        <v>0.13</v>
      </c>
      <c r="Y51" s="416"/>
      <c r="Z51" s="399">
        <f>Z50*X51</f>
        <v>256.16028879999999</v>
      </c>
      <c r="AA51" s="132"/>
      <c r="AB51" s="400">
        <f t="shared" si="68"/>
        <v>3.3656999999999755</v>
      </c>
      <c r="AC51" s="401">
        <f t="shared" si="69"/>
        <v>1.3313971695267456E-2</v>
      </c>
      <c r="AD51" s="52"/>
      <c r="AE51" s="444">
        <v>0.13</v>
      </c>
      <c r="AF51" s="416"/>
      <c r="AG51" s="399">
        <f>AG50*AE51</f>
        <v>257.14568880000002</v>
      </c>
      <c r="AH51" s="132"/>
      <c r="AI51" s="400">
        <f t="shared" si="70"/>
        <v>0.98540000000002692</v>
      </c>
      <c r="AJ51" s="401">
        <f t="shared" si="71"/>
        <v>3.8468101539711683E-3</v>
      </c>
      <c r="AK51" s="52"/>
      <c r="AL51" s="444">
        <v>0.13</v>
      </c>
      <c r="AM51" s="416"/>
      <c r="AN51" s="399">
        <f>AN50*AL51</f>
        <v>257.98418879999997</v>
      </c>
      <c r="AO51" s="132"/>
      <c r="AP51" s="400">
        <f t="shared" si="72"/>
        <v>0.83849999999995362</v>
      </c>
      <c r="AQ51" s="401">
        <f t="shared" si="73"/>
        <v>3.2607974254319039E-3</v>
      </c>
      <c r="AR51" s="402"/>
    </row>
    <row r="52" spans="1:44" ht="12" customHeight="1">
      <c r="A52" s="52"/>
      <c r="B52" s="453" t="s">
        <v>375</v>
      </c>
      <c r="C52" s="321"/>
      <c r="D52" s="321"/>
      <c r="E52" s="321"/>
      <c r="F52" s="454"/>
      <c r="G52" s="132"/>
      <c r="H52" s="489">
        <f>H50+H51</f>
        <v>2162.1431978000001</v>
      </c>
      <c r="I52" s="416"/>
      <c r="J52" s="454"/>
      <c r="K52" s="416"/>
      <c r="L52" s="399">
        <f>L50+L51</f>
        <v>2171.0732487999999</v>
      </c>
      <c r="M52" s="132"/>
      <c r="N52" s="400">
        <f t="shared" si="64"/>
        <v>8.9300509999998212</v>
      </c>
      <c r="O52" s="401">
        <f t="shared" si="65"/>
        <v>4.1301848134231937E-3</v>
      </c>
      <c r="P52" s="52"/>
      <c r="Q52" s="454"/>
      <c r="R52" s="416"/>
      <c r="S52" s="399">
        <f>S50+S51</f>
        <v>2197.3683488000001</v>
      </c>
      <c r="T52" s="132"/>
      <c r="U52" s="400">
        <f t="shared" si="66"/>
        <v>26.295100000000275</v>
      </c>
      <c r="V52" s="401">
        <f t="shared" si="67"/>
        <v>1.2111567407748292E-2</v>
      </c>
      <c r="W52" s="52"/>
      <c r="X52" s="454"/>
      <c r="Y52" s="416"/>
      <c r="Z52" s="399">
        <f>Z50+Z51</f>
        <v>2226.6240487999999</v>
      </c>
      <c r="AA52" s="132"/>
      <c r="AB52" s="400">
        <f t="shared" si="68"/>
        <v>29.255699999999706</v>
      </c>
      <c r="AC52" s="401">
        <f t="shared" si="69"/>
        <v>1.3313971695267419E-2</v>
      </c>
      <c r="AD52" s="52"/>
      <c r="AE52" s="454"/>
      <c r="AF52" s="416"/>
      <c r="AG52" s="399">
        <f>AG50+AG51</f>
        <v>2235.1894487999998</v>
      </c>
      <c r="AH52" s="132"/>
      <c r="AI52" s="400">
        <f t="shared" si="70"/>
        <v>8.5653999999999542</v>
      </c>
      <c r="AJ52" s="401">
        <f t="shared" si="71"/>
        <v>3.8468101539710429E-3</v>
      </c>
      <c r="AK52" s="52"/>
      <c r="AL52" s="454"/>
      <c r="AM52" s="416"/>
      <c r="AN52" s="399">
        <f>AN50+AN51</f>
        <v>2242.4779487999999</v>
      </c>
      <c r="AO52" s="132"/>
      <c r="AP52" s="400">
        <f t="shared" si="72"/>
        <v>7.2885000000001128</v>
      </c>
      <c r="AQ52" s="401">
        <f t="shared" si="73"/>
        <v>3.260797425432135E-3</v>
      </c>
      <c r="AR52" s="402"/>
    </row>
    <row r="53" spans="1:44" ht="12" customHeight="1">
      <c r="A53" s="52"/>
      <c r="B53" s="632" t="s">
        <v>277</v>
      </c>
      <c r="C53" s="623"/>
      <c r="D53" s="623"/>
      <c r="E53" s="321"/>
      <c r="F53" s="455">
        <f>'Proposed Rates'!E291</f>
        <v>0.23499999999999999</v>
      </c>
      <c r="G53" s="132"/>
      <c r="H53" s="491">
        <f>F53*H50</f>
        <v>449.64924910000002</v>
      </c>
      <c r="I53" s="416"/>
      <c r="J53" s="455">
        <f>'Proposed Rates'!I291</f>
        <v>0.23499999999999999</v>
      </c>
      <c r="K53" s="416"/>
      <c r="L53" s="456">
        <f>J53*L50</f>
        <v>451.50638359999994</v>
      </c>
      <c r="M53" s="132"/>
      <c r="N53" s="456">
        <f t="shared" si="64"/>
        <v>1.8571344999999155</v>
      </c>
      <c r="O53" s="458">
        <f t="shared" si="65"/>
        <v>4.1301848134230887E-3</v>
      </c>
      <c r="P53" s="52"/>
      <c r="Q53" s="455">
        <f>J53</f>
        <v>0.23499999999999999</v>
      </c>
      <c r="R53" s="416"/>
      <c r="S53" s="456">
        <f>Q53*S50</f>
        <v>456.97483359999995</v>
      </c>
      <c r="T53" s="132"/>
      <c r="U53" s="456">
        <f t="shared" si="66"/>
        <v>5.4684500000000185</v>
      </c>
      <c r="V53" s="458">
        <f t="shared" si="67"/>
        <v>1.2111567407748207E-2</v>
      </c>
      <c r="W53" s="52"/>
      <c r="X53" s="455">
        <f>Q53</f>
        <v>0.23499999999999999</v>
      </c>
      <c r="Y53" s="416"/>
      <c r="Z53" s="456">
        <f>X53*Z50</f>
        <v>463.05898359999992</v>
      </c>
      <c r="AA53" s="132"/>
      <c r="AB53" s="456">
        <f t="shared" si="68"/>
        <v>6.0841499999999655</v>
      </c>
      <c r="AC53" s="458">
        <f t="shared" si="69"/>
        <v>1.331397169526748E-2</v>
      </c>
      <c r="AD53" s="52"/>
      <c r="AE53" s="455">
        <f>X53</f>
        <v>0.23499999999999999</v>
      </c>
      <c r="AF53" s="416"/>
      <c r="AG53" s="456">
        <f>AE53*AG50</f>
        <v>464.84028359999996</v>
      </c>
      <c r="AH53" s="132"/>
      <c r="AI53" s="456">
        <f t="shared" si="70"/>
        <v>1.7813000000000443</v>
      </c>
      <c r="AJ53" s="458">
        <f t="shared" si="71"/>
        <v>3.8468101539711596E-3</v>
      </c>
      <c r="AK53" s="52"/>
      <c r="AL53" s="455">
        <f>AE53</f>
        <v>0.23499999999999999</v>
      </c>
      <c r="AM53" s="416"/>
      <c r="AN53" s="456">
        <f>AL53*AN50</f>
        <v>466.35603359999993</v>
      </c>
      <c r="AO53" s="132"/>
      <c r="AP53" s="456">
        <f t="shared" si="72"/>
        <v>1.5157499999999686</v>
      </c>
      <c r="AQ53" s="458">
        <f t="shared" si="73"/>
        <v>3.260797425432017E-3</v>
      </c>
      <c r="AR53" s="459"/>
    </row>
    <row r="54" spans="1:44" ht="12.75" customHeight="1">
      <c r="A54" s="52"/>
      <c r="B54" s="634" t="s">
        <v>322</v>
      </c>
      <c r="C54" s="615"/>
      <c r="D54" s="615"/>
      <c r="E54" s="460"/>
      <c r="F54" s="461"/>
      <c r="G54" s="492"/>
      <c r="H54" s="493">
        <f>H52-H53</f>
        <v>1712.4939487000001</v>
      </c>
      <c r="I54" s="462"/>
      <c r="J54" s="461"/>
      <c r="K54" s="462"/>
      <c r="L54" s="463">
        <f>L52-L53</f>
        <v>1719.5668651999999</v>
      </c>
      <c r="M54" s="464"/>
      <c r="N54" s="465">
        <f t="shared" si="64"/>
        <v>7.072916499999792</v>
      </c>
      <c r="O54" s="466">
        <f t="shared" si="65"/>
        <v>4.1301848134231546E-3</v>
      </c>
      <c r="P54" s="52"/>
      <c r="Q54" s="461"/>
      <c r="R54" s="462"/>
      <c r="S54" s="463">
        <f>S52-S53</f>
        <v>1740.3935152000001</v>
      </c>
      <c r="T54" s="464"/>
      <c r="U54" s="465">
        <f t="shared" si="66"/>
        <v>20.8266500000002</v>
      </c>
      <c r="V54" s="466">
        <f t="shared" si="67"/>
        <v>1.211156740774828E-2</v>
      </c>
      <c r="W54" s="52"/>
      <c r="X54" s="461"/>
      <c r="Y54" s="462"/>
      <c r="Z54" s="463">
        <f>Z52-Z53</f>
        <v>1763.5650651999999</v>
      </c>
      <c r="AA54" s="464"/>
      <c r="AB54" s="465">
        <f t="shared" si="68"/>
        <v>23.171549999999797</v>
      </c>
      <c r="AC54" s="466">
        <f t="shared" si="69"/>
        <v>1.3313971695267436E-2</v>
      </c>
      <c r="AD54" s="52"/>
      <c r="AE54" s="461"/>
      <c r="AF54" s="462"/>
      <c r="AG54" s="463">
        <f>AG52-AG53</f>
        <v>1770.3491651999998</v>
      </c>
      <c r="AH54" s="464"/>
      <c r="AI54" s="465">
        <f t="shared" si="70"/>
        <v>6.784099999999853</v>
      </c>
      <c r="AJ54" s="466">
        <f t="shared" si="71"/>
        <v>3.84681015397098E-3</v>
      </c>
      <c r="AK54" s="52"/>
      <c r="AL54" s="461"/>
      <c r="AM54" s="462"/>
      <c r="AN54" s="463">
        <f>AN52-AN53</f>
        <v>1776.1219151999999</v>
      </c>
      <c r="AO54" s="464"/>
      <c r="AP54" s="465">
        <f t="shared" si="72"/>
        <v>5.7727500000000873</v>
      </c>
      <c r="AQ54" s="466">
        <f t="shared" si="73"/>
        <v>3.2607974254321341E-3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2041.7010599999996</v>
      </c>
      <c r="I56" s="481"/>
      <c r="J56" s="444"/>
      <c r="K56" s="445"/>
      <c r="L56" s="447">
        <f>SUM(L47:L48,L40,L41:L43)</f>
        <v>2049.6037599999995</v>
      </c>
      <c r="M56" s="448"/>
      <c r="N56" s="447">
        <f t="shared" ref="N56:N60" si="74">L56-H56</f>
        <v>7.9026999999998679</v>
      </c>
      <c r="O56" s="449">
        <f t="shared" ref="O56:O60" si="75">IF((H56)=0,"",(N56/H56))</f>
        <v>3.8706450003017923E-3</v>
      </c>
      <c r="P56" s="52"/>
      <c r="Q56" s="444"/>
      <c r="R56" s="445"/>
      <c r="S56" s="447">
        <f>SUM(S47:S48,S40,S41:S43)</f>
        <v>2072.8737599999995</v>
      </c>
      <c r="T56" s="448"/>
      <c r="U56" s="447">
        <f t="shared" ref="U56:U60" si="76">S56-L56</f>
        <v>23.269999999999982</v>
      </c>
      <c r="V56" s="449">
        <f t="shared" ref="V56:V60" si="77">IF((L56)=0,"",(U56/L56))</f>
        <v>1.1353413988662856E-2</v>
      </c>
      <c r="W56" s="52"/>
      <c r="X56" s="444"/>
      <c r="Y56" s="445"/>
      <c r="Z56" s="447">
        <f>SUM(Z47:Z48,Z40,Z41:Z43)</f>
        <v>2098.7637599999994</v>
      </c>
      <c r="AA56" s="448"/>
      <c r="AB56" s="447">
        <f t="shared" ref="AB56:AB60" si="78">Z56-S56</f>
        <v>25.889999999999873</v>
      </c>
      <c r="AC56" s="449">
        <f t="shared" ref="AC56:AC60" si="79">IF((S56)=0,"",(AB56/S56))</f>
        <v>1.2489906765957556E-2</v>
      </c>
      <c r="AD56" s="52"/>
      <c r="AE56" s="444"/>
      <c r="AF56" s="445"/>
      <c r="AG56" s="447">
        <f>SUM(AG47:AG48,AG40,AG41:AG43)</f>
        <v>2106.3437599999993</v>
      </c>
      <c r="AH56" s="448"/>
      <c r="AI56" s="447">
        <f t="shared" ref="AI56:AI60" si="80">AG56-Z56</f>
        <v>7.5799999999999272</v>
      </c>
      <c r="AJ56" s="449">
        <f t="shared" ref="AJ56:AJ60" si="81">IF((Z56)=0,"",(AI56/Z56))</f>
        <v>3.6116499362462452E-3</v>
      </c>
      <c r="AK56" s="52"/>
      <c r="AL56" s="444"/>
      <c r="AM56" s="445"/>
      <c r="AN56" s="447">
        <f>SUM(AN47:AN48,AN40,AN41:AN43)</f>
        <v>2112.7937599999996</v>
      </c>
      <c r="AO56" s="448"/>
      <c r="AP56" s="447">
        <f t="shared" ref="AP56:AP60" si="82">AN56-AG56</f>
        <v>6.4500000000002728</v>
      </c>
      <c r="AQ56" s="449">
        <f t="shared" ref="AQ56:AQ60" si="83">IF((AG56)=0,"",(AP56/AG56))</f>
        <v>3.0621782267868159E-3</v>
      </c>
      <c r="AR56" s="450"/>
    </row>
    <row r="57" spans="1:44" ht="12" customHeight="1">
      <c r="A57" s="52"/>
      <c r="B57" s="451" t="s">
        <v>320</v>
      </c>
      <c r="C57" s="321"/>
      <c r="D57" s="321"/>
      <c r="E57" s="321"/>
      <c r="F57" s="444">
        <v>0.13</v>
      </c>
      <c r="G57" s="488"/>
      <c r="H57" s="489">
        <f>H56*F57</f>
        <v>265.42113779999994</v>
      </c>
      <c r="I57" s="416"/>
      <c r="J57" s="444">
        <v>0.13</v>
      </c>
      <c r="K57" s="452"/>
      <c r="L57" s="400">
        <f>L56*J57</f>
        <v>266.44848879999995</v>
      </c>
      <c r="M57" s="132"/>
      <c r="N57" s="400">
        <f t="shared" si="74"/>
        <v>1.0273510000000101</v>
      </c>
      <c r="O57" s="401">
        <f t="shared" si="75"/>
        <v>3.870645000301895E-3</v>
      </c>
      <c r="P57" s="52"/>
      <c r="Q57" s="444">
        <v>0.13</v>
      </c>
      <c r="R57" s="452"/>
      <c r="S57" s="399">
        <f>S56*Q57</f>
        <v>269.47358879999996</v>
      </c>
      <c r="T57" s="132"/>
      <c r="U57" s="400">
        <f t="shared" si="76"/>
        <v>3.025100000000009</v>
      </c>
      <c r="V57" s="401">
        <f t="shared" si="77"/>
        <v>1.1353413988662898E-2</v>
      </c>
      <c r="W57" s="52"/>
      <c r="X57" s="444">
        <v>0.13</v>
      </c>
      <c r="Y57" s="452"/>
      <c r="Z57" s="399">
        <f>Z56*X57</f>
        <v>272.83928879999991</v>
      </c>
      <c r="AA57" s="132"/>
      <c r="AB57" s="400">
        <f t="shared" si="78"/>
        <v>3.3656999999999471</v>
      </c>
      <c r="AC57" s="401">
        <f t="shared" si="79"/>
        <v>1.2489906765957419E-2</v>
      </c>
      <c r="AD57" s="52"/>
      <c r="AE57" s="444">
        <v>0.13</v>
      </c>
      <c r="AF57" s="452"/>
      <c r="AG57" s="400">
        <f>AG56*AE57</f>
        <v>273.82468879999993</v>
      </c>
      <c r="AH57" s="132"/>
      <c r="AI57" s="400">
        <f t="shared" si="80"/>
        <v>0.98540000000002692</v>
      </c>
      <c r="AJ57" s="401">
        <f t="shared" si="81"/>
        <v>3.6116499362463784E-3</v>
      </c>
      <c r="AK57" s="52"/>
      <c r="AL57" s="444">
        <v>0.13</v>
      </c>
      <c r="AM57" s="452"/>
      <c r="AN57" s="399">
        <f>AN56*AL57</f>
        <v>274.66318879999994</v>
      </c>
      <c r="AO57" s="132"/>
      <c r="AP57" s="400">
        <f t="shared" si="82"/>
        <v>0.83850000000001046</v>
      </c>
      <c r="AQ57" s="401">
        <f t="shared" si="83"/>
        <v>3.0621782267867244E-3</v>
      </c>
      <c r="AR57" s="402"/>
    </row>
    <row r="58" spans="1:44" ht="12" customHeight="1">
      <c r="A58" s="52"/>
      <c r="B58" s="453" t="s">
        <v>376</v>
      </c>
      <c r="C58" s="321"/>
      <c r="D58" s="321"/>
      <c r="E58" s="321"/>
      <c r="F58" s="454"/>
      <c r="G58" s="132"/>
      <c r="H58" s="489">
        <f>H56+H57</f>
        <v>2307.1221977999994</v>
      </c>
      <c r="I58" s="416"/>
      <c r="J58" s="454"/>
      <c r="K58" s="416"/>
      <c r="L58" s="399">
        <f>L56+L57</f>
        <v>2316.0522487999997</v>
      </c>
      <c r="M58" s="132"/>
      <c r="N58" s="400">
        <f t="shared" si="74"/>
        <v>8.930051000000276</v>
      </c>
      <c r="O58" s="401">
        <f t="shared" si="75"/>
        <v>3.8706450003019766E-3</v>
      </c>
      <c r="P58" s="52"/>
      <c r="Q58" s="454"/>
      <c r="R58" s="416"/>
      <c r="S58" s="399">
        <f>S56+S57</f>
        <v>2342.3473487999995</v>
      </c>
      <c r="T58" s="132"/>
      <c r="U58" s="400">
        <f t="shared" si="76"/>
        <v>26.29509999999982</v>
      </c>
      <c r="V58" s="401">
        <f t="shared" si="77"/>
        <v>1.1353413988662787E-2</v>
      </c>
      <c r="W58" s="52"/>
      <c r="X58" s="454"/>
      <c r="Y58" s="416"/>
      <c r="Z58" s="399">
        <f>Z56+Z57</f>
        <v>2371.6030487999992</v>
      </c>
      <c r="AA58" s="132"/>
      <c r="AB58" s="400">
        <f t="shared" si="78"/>
        <v>29.255699999999706</v>
      </c>
      <c r="AC58" s="401">
        <f t="shared" si="79"/>
        <v>1.2489906765957492E-2</v>
      </c>
      <c r="AD58" s="52"/>
      <c r="AE58" s="454"/>
      <c r="AF58" s="416"/>
      <c r="AG58" s="399">
        <f>AG56+AG57</f>
        <v>2380.1684487999992</v>
      </c>
      <c r="AH58" s="132"/>
      <c r="AI58" s="400">
        <f t="shared" si="80"/>
        <v>8.5653999999999542</v>
      </c>
      <c r="AJ58" s="401">
        <f t="shared" si="81"/>
        <v>3.6116499362462604E-3</v>
      </c>
      <c r="AK58" s="52"/>
      <c r="AL58" s="454"/>
      <c r="AM58" s="416"/>
      <c r="AN58" s="399">
        <f>AN56+AN57</f>
        <v>2387.4569487999997</v>
      </c>
      <c r="AO58" s="132"/>
      <c r="AP58" s="400">
        <f t="shared" si="82"/>
        <v>7.2885000000005675</v>
      </c>
      <c r="AQ58" s="401">
        <f t="shared" si="83"/>
        <v>3.0621782267869252E-3</v>
      </c>
      <c r="AR58" s="402"/>
    </row>
    <row r="59" spans="1:44" ht="12" customHeight="1">
      <c r="A59" s="52"/>
      <c r="B59" s="632" t="s">
        <v>277</v>
      </c>
      <c r="C59" s="623"/>
      <c r="D59" s="623"/>
      <c r="E59" s="321"/>
      <c r="F59" s="455">
        <f>F53</f>
        <v>0.23499999999999999</v>
      </c>
      <c r="G59" s="132"/>
      <c r="H59" s="491">
        <f>F59*H56</f>
        <v>479.79974909999987</v>
      </c>
      <c r="I59" s="416"/>
      <c r="J59" s="455">
        <f>J53</f>
        <v>0.23499999999999999</v>
      </c>
      <c r="K59" s="416"/>
      <c r="L59" s="456">
        <f>J59*L56</f>
        <v>481.65688359999984</v>
      </c>
      <c r="M59" s="132"/>
      <c r="N59" s="456">
        <f t="shared" si="74"/>
        <v>1.8571344999999724</v>
      </c>
      <c r="O59" s="458">
        <f t="shared" si="75"/>
        <v>3.8706450003017996E-3</v>
      </c>
      <c r="P59" s="52"/>
      <c r="Q59" s="455">
        <f>Q53</f>
        <v>0.23499999999999999</v>
      </c>
      <c r="R59" s="416"/>
      <c r="S59" s="456">
        <f>Q59*S56</f>
        <v>487.12533359999986</v>
      </c>
      <c r="T59" s="132"/>
      <c r="U59" s="456">
        <f t="shared" si="76"/>
        <v>5.4684500000000185</v>
      </c>
      <c r="V59" s="458">
        <f t="shared" si="77"/>
        <v>1.1353413988662905E-2</v>
      </c>
      <c r="W59" s="52"/>
      <c r="X59" s="455">
        <f>X53</f>
        <v>0.23499999999999999</v>
      </c>
      <c r="Y59" s="416"/>
      <c r="Z59" s="456">
        <f>X59*Z56</f>
        <v>493.20948359999983</v>
      </c>
      <c r="AA59" s="132"/>
      <c r="AB59" s="456">
        <f t="shared" si="78"/>
        <v>6.0841499999999655</v>
      </c>
      <c r="AC59" s="458">
        <f t="shared" si="79"/>
        <v>1.2489906765957548E-2</v>
      </c>
      <c r="AD59" s="52"/>
      <c r="AE59" s="455">
        <f>AE53</f>
        <v>0.23499999999999999</v>
      </c>
      <c r="AF59" s="416"/>
      <c r="AG59" s="456">
        <f>AE59*AG56</f>
        <v>494.99078359999982</v>
      </c>
      <c r="AH59" s="132"/>
      <c r="AI59" s="456">
        <f t="shared" si="80"/>
        <v>1.7812999999999874</v>
      </c>
      <c r="AJ59" s="458">
        <f t="shared" si="81"/>
        <v>3.6116499362462543E-3</v>
      </c>
      <c r="AK59" s="52"/>
      <c r="AL59" s="455">
        <f>AL53</f>
        <v>0.23499999999999999</v>
      </c>
      <c r="AM59" s="416"/>
      <c r="AN59" s="456">
        <f>AL59*AN56</f>
        <v>496.5065335999999</v>
      </c>
      <c r="AO59" s="132"/>
      <c r="AP59" s="456">
        <f t="shared" si="82"/>
        <v>1.5157500000000823</v>
      </c>
      <c r="AQ59" s="458">
        <f t="shared" si="83"/>
        <v>3.0621782267868528E-3</v>
      </c>
      <c r="AR59" s="459"/>
    </row>
    <row r="60" spans="1:44" ht="12.75" customHeight="1">
      <c r="A60" s="52"/>
      <c r="B60" s="634" t="s">
        <v>325</v>
      </c>
      <c r="C60" s="615"/>
      <c r="D60" s="615"/>
      <c r="E60" s="460"/>
      <c r="F60" s="468"/>
      <c r="G60" s="494"/>
      <c r="H60" s="495">
        <f>H58-H59</f>
        <v>1827.3224486999995</v>
      </c>
      <c r="I60" s="469"/>
      <c r="J60" s="468"/>
      <c r="K60" s="469"/>
      <c r="L60" s="470">
        <f>L58-L59</f>
        <v>1834.3953651999998</v>
      </c>
      <c r="M60" s="471"/>
      <c r="N60" s="472">
        <f t="shared" si="74"/>
        <v>7.0729165000002467</v>
      </c>
      <c r="O60" s="473">
        <f t="shared" si="75"/>
        <v>3.8706450003019922E-3</v>
      </c>
      <c r="P60" s="52"/>
      <c r="Q60" s="468"/>
      <c r="R60" s="469"/>
      <c r="S60" s="470">
        <f>S58-S59</f>
        <v>1855.2220151999995</v>
      </c>
      <c r="T60" s="471"/>
      <c r="U60" s="472">
        <f t="shared" si="76"/>
        <v>20.826649999999745</v>
      </c>
      <c r="V60" s="473">
        <f t="shared" si="77"/>
        <v>1.1353413988662724E-2</v>
      </c>
      <c r="W60" s="52"/>
      <c r="X60" s="468"/>
      <c r="Y60" s="469"/>
      <c r="Z60" s="470">
        <f>Z58-Z59</f>
        <v>1878.3935651999993</v>
      </c>
      <c r="AA60" s="471"/>
      <c r="AB60" s="472">
        <f t="shared" si="78"/>
        <v>23.171549999999797</v>
      </c>
      <c r="AC60" s="473">
        <f t="shared" si="79"/>
        <v>1.2489906765957508E-2</v>
      </c>
      <c r="AD60" s="52"/>
      <c r="AE60" s="468"/>
      <c r="AF60" s="469"/>
      <c r="AG60" s="470">
        <f>AG58-AG59</f>
        <v>1885.1776651999994</v>
      </c>
      <c r="AH60" s="471"/>
      <c r="AI60" s="472">
        <f t="shared" si="80"/>
        <v>6.7841000000000804</v>
      </c>
      <c r="AJ60" s="473">
        <f t="shared" si="81"/>
        <v>3.6116499362463229E-3</v>
      </c>
      <c r="AK60" s="52"/>
      <c r="AL60" s="468"/>
      <c r="AM60" s="469"/>
      <c r="AN60" s="470">
        <f>AN58-AN59</f>
        <v>1890.9504152</v>
      </c>
      <c r="AO60" s="471"/>
      <c r="AP60" s="472">
        <f t="shared" si="82"/>
        <v>5.7727500000005421</v>
      </c>
      <c r="AQ60" s="473">
        <f t="shared" si="83"/>
        <v>3.0621782267869742E-3</v>
      </c>
      <c r="AR60" s="467"/>
    </row>
    <row r="61" spans="1:44"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331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332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333</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336</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79"/>
      <c r="B73" s="52" t="s">
        <v>337</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338</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600-000000000000}">
      <formula1>"TOU,non-TOU"</formula1>
    </dataValidation>
    <dataValidation type="list" allowBlank="1" showErrorMessage="1" sqref="E15:E28 E30:E36 E38:E39 E41:E49 E55 E61" xr:uid="{00000000-0002-0000-1600-000001000000}">
      <formula1>#REF!</formula1>
    </dataValidation>
    <dataValidation type="list" allowBlank="1" showInputMessage="1" showErrorMessage="1" prompt="Select Charge Unit - monthly, per kWh, per kW" sqref="D15:D28 D30:D36 D38:D39 D41:D49 D55 D61" xr:uid="{00000000-0002-0000-1600-000002000000}">
      <formula1>"Monthly,per kWh,per kW"</formula1>
    </dataValidation>
  </dataValidations>
  <pageMargins left="0.74803149606299213" right="0.74803149606299213" top="0.98425196850393704" bottom="0.98425196850393704"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4257812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5"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5"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5"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5"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5" ht="12" customHeight="1">
      <c r="A6" s="52"/>
      <c r="B6" s="320" t="s">
        <v>298</v>
      </c>
      <c r="C6" s="52"/>
      <c r="D6" s="504" t="s">
        <v>223</v>
      </c>
      <c r="E6" s="505"/>
      <c r="F6" s="505"/>
      <c r="G6" s="505"/>
      <c r="H6" s="52"/>
      <c r="I6" s="52"/>
      <c r="J6" s="52"/>
      <c r="K6" s="52"/>
      <c r="L6" s="52"/>
      <c r="M6" s="52"/>
      <c r="N6" s="52"/>
      <c r="O6" s="52"/>
      <c r="P6" s="505"/>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row>
    <row r="7" spans="1:45"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5"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5" ht="12" customHeight="1">
      <c r="A9" s="52"/>
      <c r="B9" s="382"/>
      <c r="C9" s="52"/>
      <c r="D9" s="383"/>
      <c r="E9" s="383"/>
      <c r="F9" s="383"/>
      <c r="G9" s="383"/>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5" ht="12" customHeight="1">
      <c r="A10" s="52"/>
      <c r="B10" s="52"/>
      <c r="C10" s="52"/>
      <c r="D10" s="307" t="s">
        <v>301</v>
      </c>
      <c r="E10" s="307"/>
      <c r="F10" s="385">
        <v>15000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5" ht="12" customHeight="1">
      <c r="A11" s="52"/>
      <c r="B11" s="52"/>
      <c r="C11" s="52"/>
      <c r="D11" s="52"/>
      <c r="E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5"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5"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5"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5" ht="12" customHeight="1">
      <c r="A15" s="52"/>
      <c r="B15" s="321" t="s">
        <v>221</v>
      </c>
      <c r="C15" s="394" t="str">
        <f t="shared" ref="C15:C28" si="0">D$6&amp;"."&amp;B15</f>
        <v>General Service &lt; 50 kW.Monthly Service Charge</v>
      </c>
      <c r="D15" s="395" t="s">
        <v>310</v>
      </c>
      <c r="E15" s="321"/>
      <c r="F15" s="396">
        <f>IFERROR(VLOOKUP($C15,'Proposed Rates'!$B:$J,F$11,FALSE),0)</f>
        <v>23.53</v>
      </c>
      <c r="G15" s="397">
        <f t="shared" ref="G15:G28" si="1">IF($D15="Monthly",1,IF($D15="per KWH",$F$10,0))</f>
        <v>1</v>
      </c>
      <c r="H15" s="399">
        <f t="shared" ref="H15:H28" si="2">G15*F15</f>
        <v>23.53</v>
      </c>
      <c r="I15" s="132"/>
      <c r="J15" s="396">
        <f>IFERROR(VLOOKUP($C15,'Proposed Rates'!$B:$J,J$11,FALSE),0)</f>
        <v>27.14</v>
      </c>
      <c r="K15" s="397">
        <f t="shared" ref="K15:K28" si="3">IF($D15="Monthly",1,IF($D15="per KWH",$F$10,0))</f>
        <v>1</v>
      </c>
      <c r="L15" s="399">
        <f t="shared" ref="L15:L28" si="4">K15*J15</f>
        <v>27.14</v>
      </c>
      <c r="M15" s="132"/>
      <c r="N15" s="400">
        <f t="shared" ref="N15:N48" si="5">L15-H15</f>
        <v>3.6099999999999994</v>
      </c>
      <c r="O15" s="401">
        <f t="shared" ref="O15:O48" si="6">IF((H15)=0,"",(N15/H15))</f>
        <v>0.15342116447088819</v>
      </c>
      <c r="P15" s="52"/>
      <c r="Q15" s="396">
        <f>IFERROR(VLOOKUP($C15,'Proposed Rates'!$B:$J,Q$11,FALSE),0)</f>
        <v>28.41</v>
      </c>
      <c r="R15" s="397">
        <f t="shared" ref="R15:R28" si="7">IF($D15="Monthly",1,IF($D15="per KWH",$F$10,0))</f>
        <v>1</v>
      </c>
      <c r="S15" s="399">
        <f t="shared" ref="S15:S28" si="8">R15*Q15</f>
        <v>28.41</v>
      </c>
      <c r="T15" s="132"/>
      <c r="U15" s="400">
        <f t="shared" ref="U15:U48" si="9">S15-L15</f>
        <v>1.2699999999999996</v>
      </c>
      <c r="V15" s="401">
        <f t="shared" ref="V15:V48" si="10">IF((L15)=0,"",(U15/L15))</f>
        <v>4.6794399410464239E-2</v>
      </c>
      <c r="W15" s="52"/>
      <c r="X15" s="396">
        <f>IFERROR(VLOOKUP($C15,'Proposed Rates'!$B:$J,X$11,FALSE),0)</f>
        <v>30.29</v>
      </c>
      <c r="Y15" s="397">
        <f t="shared" ref="Y15:Y28" si="11">IF($D15="Monthly",1,IF($D15="per KWH",$F$10,0))</f>
        <v>1</v>
      </c>
      <c r="Z15" s="399">
        <f t="shared" ref="Z15:Z28" si="12">Y15*X15</f>
        <v>30.29</v>
      </c>
      <c r="AA15" s="132"/>
      <c r="AB15" s="400">
        <f t="shared" ref="AB15:AB48" si="13">Z15-S15</f>
        <v>1.879999999999999</v>
      </c>
      <c r="AC15" s="401">
        <f t="shared" ref="AC15:AC48" si="14">IF((S15)=0,"",(AB15/S15))</f>
        <v>6.6173882435762027E-2</v>
      </c>
      <c r="AD15" s="52"/>
      <c r="AE15" s="396">
        <f>IFERROR(VLOOKUP($C15,'Proposed Rates'!$B:$J,AE$11,FALSE),0)</f>
        <v>30.86</v>
      </c>
      <c r="AF15" s="397">
        <f t="shared" ref="AF15:AF28" si="15">IF($D15="Monthly",1,IF($D15="per KWH",$F$10,0))</f>
        <v>1</v>
      </c>
      <c r="AG15" s="399">
        <f t="shared" ref="AG15:AG28" si="16">AF15*AE15</f>
        <v>30.86</v>
      </c>
      <c r="AH15" s="132"/>
      <c r="AI15" s="400">
        <f t="shared" ref="AI15:AI48" si="17">AG15-Z15</f>
        <v>0.57000000000000028</v>
      </c>
      <c r="AJ15" s="401">
        <f t="shared" ref="AJ15:AJ48" si="18">IF((Z15)=0,"",(AI15/Z15))</f>
        <v>1.8818091779465178E-2</v>
      </c>
      <c r="AK15" s="52"/>
      <c r="AL15" s="396">
        <f>IFERROR(VLOOKUP($C15,'Proposed Rates'!$B:$J,AL$11,FALSE),0)</f>
        <v>31.3</v>
      </c>
      <c r="AM15" s="397">
        <f t="shared" ref="AM15:AM28" si="19">IF($D15="Monthly",1,IF($D15="per KWH",$F$10,0))</f>
        <v>1</v>
      </c>
      <c r="AN15" s="399">
        <f t="shared" ref="AN15:AN28" si="20">AM15*AL15</f>
        <v>31.3</v>
      </c>
      <c r="AO15" s="132"/>
      <c r="AP15" s="400">
        <f t="shared" ref="AP15:AP48" si="21">AN15-AG15</f>
        <v>0.44000000000000128</v>
      </c>
      <c r="AQ15" s="401">
        <f t="shared" ref="AQ15:AQ48" si="22">IF((AG15)=0,"",(AP15/AG15))</f>
        <v>1.4257939079714883E-2</v>
      </c>
      <c r="AR15" s="402"/>
    </row>
    <row r="16" spans="1:45" ht="12" customHeight="1">
      <c r="A16" s="52"/>
      <c r="B16" s="321" t="s">
        <v>311</v>
      </c>
      <c r="C16" s="394" t="str">
        <f t="shared" si="0"/>
        <v>General Service &lt; 50 kW.Smart Meter Rate Adder</v>
      </c>
      <c r="D16" s="395" t="s">
        <v>310</v>
      </c>
      <c r="E16" s="321"/>
      <c r="F16" s="413">
        <f>IFERROR(VLOOKUP($C16,'Proposed Rates'!$B:$J,F$11,FALSE),0)</f>
        <v>0</v>
      </c>
      <c r="G16" s="397">
        <f t="shared" si="1"/>
        <v>1</v>
      </c>
      <c r="H16" s="399">
        <f t="shared" si="2"/>
        <v>0</v>
      </c>
      <c r="I16" s="132"/>
      <c r="J16" s="413">
        <f>IFERROR(VLOOKUP($C16,'Proposed Rates'!$B:$J,J$11,FALSE),0)</f>
        <v>0</v>
      </c>
      <c r="K16" s="397">
        <f t="shared" si="3"/>
        <v>1</v>
      </c>
      <c r="L16" s="399">
        <f t="shared" si="4"/>
        <v>0</v>
      </c>
      <c r="M16" s="132"/>
      <c r="N16" s="400">
        <f t="shared" si="5"/>
        <v>0</v>
      </c>
      <c r="O16" s="401" t="str">
        <f t="shared" si="6"/>
        <v/>
      </c>
      <c r="P16" s="52"/>
      <c r="Q16" s="413">
        <f>IFERROR(VLOOKUP($C16,'Proposed Rates'!$B:$J,Q$11,FALSE),0)</f>
        <v>0</v>
      </c>
      <c r="R16" s="397">
        <f t="shared" si="7"/>
        <v>1</v>
      </c>
      <c r="S16" s="399">
        <f t="shared" si="8"/>
        <v>0</v>
      </c>
      <c r="T16" s="132"/>
      <c r="U16" s="400">
        <f t="shared" si="9"/>
        <v>0</v>
      </c>
      <c r="V16" s="401" t="str">
        <f t="shared" si="10"/>
        <v/>
      </c>
      <c r="W16" s="52"/>
      <c r="X16" s="413">
        <f>IFERROR(VLOOKUP($C16,'Proposed Rates'!$B:$J,X$11,FALSE),0)</f>
        <v>0</v>
      </c>
      <c r="Y16" s="397">
        <f t="shared" si="11"/>
        <v>1</v>
      </c>
      <c r="Z16" s="399">
        <f t="shared" si="12"/>
        <v>0</v>
      </c>
      <c r="AA16" s="132"/>
      <c r="AB16" s="400">
        <f t="shared" si="13"/>
        <v>0</v>
      </c>
      <c r="AC16" s="401" t="str">
        <f t="shared" si="14"/>
        <v/>
      </c>
      <c r="AD16" s="52"/>
      <c r="AE16" s="413">
        <f>IFERROR(VLOOKUP($C16,'Proposed Rates'!$B:$J,AE$11,FALSE),0)</f>
        <v>0</v>
      </c>
      <c r="AF16" s="397">
        <f t="shared" si="15"/>
        <v>1</v>
      </c>
      <c r="AG16" s="399">
        <f t="shared" si="16"/>
        <v>0</v>
      </c>
      <c r="AH16" s="132"/>
      <c r="AI16" s="400">
        <f t="shared" si="17"/>
        <v>0</v>
      </c>
      <c r="AJ16" s="401" t="str">
        <f t="shared" si="18"/>
        <v/>
      </c>
      <c r="AK16" s="52"/>
      <c r="AL16" s="413">
        <f>IFERROR(VLOOKUP($C16,'Proposed Rates'!$B:$J,AL$11,FALSE),0)</f>
        <v>0</v>
      </c>
      <c r="AM16" s="397">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General Service &lt; 50 kW.Rate Rider Calculation for PILs</v>
      </c>
      <c r="D17" s="395" t="s">
        <v>312</v>
      </c>
      <c r="E17" s="321"/>
      <c r="F17" s="413">
        <f>IFERROR(VLOOKUP($C17,'Proposed Rates'!$B:$J,F$11,FALSE),0)</f>
        <v>0</v>
      </c>
      <c r="G17" s="397">
        <f t="shared" si="1"/>
        <v>15000</v>
      </c>
      <c r="H17" s="399">
        <f t="shared" si="2"/>
        <v>0</v>
      </c>
      <c r="I17" s="132"/>
      <c r="J17" s="413">
        <f>IFERROR(VLOOKUP($C17,'Proposed Rates'!$B:$J,J$11,FALSE),0)</f>
        <v>0</v>
      </c>
      <c r="K17" s="397">
        <f t="shared" si="3"/>
        <v>15000</v>
      </c>
      <c r="L17" s="399">
        <f t="shared" si="4"/>
        <v>0</v>
      </c>
      <c r="M17" s="132"/>
      <c r="N17" s="400">
        <f t="shared" si="5"/>
        <v>0</v>
      </c>
      <c r="O17" s="401" t="str">
        <f t="shared" si="6"/>
        <v/>
      </c>
      <c r="P17" s="52"/>
      <c r="Q17" s="413">
        <f>IFERROR(VLOOKUP($C17,'Proposed Rates'!$B:$J,Q$11,FALSE),0)</f>
        <v>0</v>
      </c>
      <c r="R17" s="397">
        <f t="shared" si="7"/>
        <v>15000</v>
      </c>
      <c r="S17" s="399">
        <f t="shared" si="8"/>
        <v>0</v>
      </c>
      <c r="T17" s="132"/>
      <c r="U17" s="400">
        <f t="shared" si="9"/>
        <v>0</v>
      </c>
      <c r="V17" s="401" t="str">
        <f t="shared" si="10"/>
        <v/>
      </c>
      <c r="W17" s="52"/>
      <c r="X17" s="413">
        <f>IFERROR(VLOOKUP($C17,'Proposed Rates'!$B:$J,X$11,FALSE),0)</f>
        <v>0</v>
      </c>
      <c r="Y17" s="397">
        <f t="shared" si="11"/>
        <v>15000</v>
      </c>
      <c r="Z17" s="399">
        <f t="shared" si="12"/>
        <v>0</v>
      </c>
      <c r="AA17" s="132"/>
      <c r="AB17" s="400">
        <f t="shared" si="13"/>
        <v>0</v>
      </c>
      <c r="AC17" s="401" t="str">
        <f t="shared" si="14"/>
        <v/>
      </c>
      <c r="AD17" s="52"/>
      <c r="AE17" s="413">
        <f>IFERROR(VLOOKUP($C17,'Proposed Rates'!$B:$J,AE$11,FALSE),0)</f>
        <v>0</v>
      </c>
      <c r="AF17" s="397">
        <f t="shared" si="15"/>
        <v>15000</v>
      </c>
      <c r="AG17" s="399">
        <f t="shared" si="16"/>
        <v>0</v>
      </c>
      <c r="AH17" s="132"/>
      <c r="AI17" s="400">
        <f t="shared" si="17"/>
        <v>0</v>
      </c>
      <c r="AJ17" s="401" t="str">
        <f t="shared" si="18"/>
        <v/>
      </c>
      <c r="AK17" s="52"/>
      <c r="AL17" s="413">
        <f>IFERROR(VLOOKUP($C17,'Proposed Rates'!$B:$J,AL$11,FALSE),0)</f>
        <v>0</v>
      </c>
      <c r="AM17" s="397">
        <f t="shared" si="19"/>
        <v>15000</v>
      </c>
      <c r="AN17" s="399">
        <f t="shared" si="20"/>
        <v>0</v>
      </c>
      <c r="AO17" s="132"/>
      <c r="AP17" s="400">
        <f t="shared" si="21"/>
        <v>0</v>
      </c>
      <c r="AQ17" s="401" t="str">
        <f t="shared" si="22"/>
        <v/>
      </c>
      <c r="AR17" s="402"/>
    </row>
    <row r="18" spans="1:44" ht="12" customHeight="1">
      <c r="A18" s="52"/>
      <c r="B18" s="403" t="str">
        <f>'Proposed Rates'!C128</f>
        <v>Rate Rider Calculation for Generic</v>
      </c>
      <c r="C18" s="394" t="str">
        <f t="shared" si="0"/>
        <v>General Service &lt; 50 kW.Rate Rider Calculation for Generic</v>
      </c>
      <c r="D18" s="395" t="s">
        <v>310</v>
      </c>
      <c r="E18" s="321"/>
      <c r="F18" s="413">
        <f>IFERROR(VLOOKUP($C18,'Proposed Rates'!$B:$J,F$11,FALSE),0)</f>
        <v>0</v>
      </c>
      <c r="G18" s="397">
        <f t="shared" si="1"/>
        <v>1</v>
      </c>
      <c r="H18" s="399">
        <f t="shared" si="2"/>
        <v>0</v>
      </c>
      <c r="I18" s="132"/>
      <c r="J18" s="413">
        <f>IFERROR(VLOOKUP($C18,'Proposed Rates'!$B:$J,J$11,FALSE),0)</f>
        <v>0</v>
      </c>
      <c r="K18" s="397">
        <f t="shared" si="3"/>
        <v>1</v>
      </c>
      <c r="L18" s="399">
        <f t="shared" si="4"/>
        <v>0</v>
      </c>
      <c r="M18" s="132"/>
      <c r="N18" s="400">
        <f t="shared" si="5"/>
        <v>0</v>
      </c>
      <c r="O18" s="401" t="str">
        <f t="shared" si="6"/>
        <v/>
      </c>
      <c r="P18" s="52"/>
      <c r="Q18" s="413">
        <f>IFERROR(VLOOKUP($C18,'Proposed Rates'!$B:$J,Q$11,FALSE),0)</f>
        <v>0</v>
      </c>
      <c r="R18" s="397">
        <f t="shared" si="7"/>
        <v>1</v>
      </c>
      <c r="S18" s="399">
        <f t="shared" si="8"/>
        <v>0</v>
      </c>
      <c r="T18" s="132"/>
      <c r="U18" s="400">
        <f t="shared" si="9"/>
        <v>0</v>
      </c>
      <c r="V18" s="401" t="str">
        <f t="shared" si="10"/>
        <v/>
      </c>
      <c r="W18" s="52"/>
      <c r="X18" s="413">
        <f>IFERROR(VLOOKUP($C18,'Proposed Rates'!$B:$J,X$11,FALSE),0)</f>
        <v>0</v>
      </c>
      <c r="Y18" s="397">
        <f t="shared" si="11"/>
        <v>1</v>
      </c>
      <c r="Z18" s="399">
        <f t="shared" si="12"/>
        <v>0</v>
      </c>
      <c r="AA18" s="132"/>
      <c r="AB18" s="400">
        <f t="shared" si="13"/>
        <v>0</v>
      </c>
      <c r="AC18" s="401" t="str">
        <f t="shared" si="14"/>
        <v/>
      </c>
      <c r="AD18" s="52"/>
      <c r="AE18" s="413">
        <f>IFERROR(VLOOKUP($C18,'Proposed Rates'!$B:$J,AE$11,FALSE),0)</f>
        <v>0</v>
      </c>
      <c r="AF18" s="397">
        <f t="shared" si="15"/>
        <v>1</v>
      </c>
      <c r="AG18" s="399">
        <f t="shared" si="16"/>
        <v>0</v>
      </c>
      <c r="AH18" s="132"/>
      <c r="AI18" s="400">
        <f t="shared" si="17"/>
        <v>0</v>
      </c>
      <c r="AJ18" s="401" t="str">
        <f t="shared" si="18"/>
        <v/>
      </c>
      <c r="AK18" s="52"/>
      <c r="AL18" s="413">
        <f>IFERROR(VLOOKUP($C18,'Proposed Rates'!$B:$J,AL$11,FALSE),0)</f>
        <v>0</v>
      </c>
      <c r="AM18" s="397">
        <f t="shared" si="19"/>
        <v>1</v>
      </c>
      <c r="AN18" s="399">
        <f t="shared" si="20"/>
        <v>0</v>
      </c>
      <c r="AO18" s="132"/>
      <c r="AP18" s="400">
        <f t="shared" si="21"/>
        <v>0</v>
      </c>
      <c r="AQ18" s="401" t="str">
        <f t="shared" si="22"/>
        <v/>
      </c>
      <c r="AR18" s="402"/>
    </row>
    <row r="19" spans="1:44" ht="12" customHeight="1">
      <c r="A19" s="52"/>
      <c r="B19" s="321" t="s">
        <v>59</v>
      </c>
      <c r="C19" s="394" t="str">
        <f t="shared" si="0"/>
        <v>General Service &lt; 50 kW.Distribution Volumetric Rate</v>
      </c>
      <c r="D19" s="395" t="s">
        <v>312</v>
      </c>
      <c r="E19" s="321"/>
      <c r="F19" s="413">
        <f>IFERROR(VLOOKUP($C19,'Proposed Rates'!$B:$J,F$11,FALSE),0)</f>
        <v>3.0499999999999999E-2</v>
      </c>
      <c r="G19" s="397">
        <f t="shared" si="1"/>
        <v>15000</v>
      </c>
      <c r="H19" s="399">
        <f t="shared" si="2"/>
        <v>457.5</v>
      </c>
      <c r="I19" s="132"/>
      <c r="J19" s="413">
        <f>IFERROR(VLOOKUP($C19,'Proposed Rates'!$B:$J,J$11,FALSE),0)</f>
        <v>3.5200000000000002E-2</v>
      </c>
      <c r="K19" s="397">
        <f t="shared" si="3"/>
        <v>15000</v>
      </c>
      <c r="L19" s="399">
        <f t="shared" si="4"/>
        <v>528</v>
      </c>
      <c r="M19" s="132"/>
      <c r="N19" s="400">
        <f t="shared" si="5"/>
        <v>70.5</v>
      </c>
      <c r="O19" s="401">
        <f t="shared" si="6"/>
        <v>0.1540983606557377</v>
      </c>
      <c r="P19" s="52"/>
      <c r="Q19" s="413">
        <f>IFERROR(VLOOKUP($C19,'Proposed Rates'!$B:$J,Q$11,FALSE),0)</f>
        <v>3.6900000000000002E-2</v>
      </c>
      <c r="R19" s="397">
        <f t="shared" si="7"/>
        <v>15000</v>
      </c>
      <c r="S19" s="399">
        <f t="shared" si="8"/>
        <v>553.5</v>
      </c>
      <c r="T19" s="132"/>
      <c r="U19" s="400">
        <f t="shared" si="9"/>
        <v>25.5</v>
      </c>
      <c r="V19" s="401">
        <f t="shared" si="10"/>
        <v>4.8295454545454544E-2</v>
      </c>
      <c r="W19" s="52"/>
      <c r="X19" s="413">
        <f>IFERROR(VLOOKUP($C19,'Proposed Rates'!$B:$J,X$11,FALSE),0)</f>
        <v>3.9300000000000002E-2</v>
      </c>
      <c r="Y19" s="397">
        <f t="shared" si="11"/>
        <v>15000</v>
      </c>
      <c r="Z19" s="399">
        <f t="shared" si="12"/>
        <v>589.5</v>
      </c>
      <c r="AA19" s="132"/>
      <c r="AB19" s="400">
        <f t="shared" si="13"/>
        <v>36</v>
      </c>
      <c r="AC19" s="401">
        <f t="shared" si="14"/>
        <v>6.5040650406504072E-2</v>
      </c>
      <c r="AD19" s="52"/>
      <c r="AE19" s="413">
        <f>IFERROR(VLOOKUP($C19,'Proposed Rates'!$B:$J,AE$11,FALSE),0)</f>
        <v>0.04</v>
      </c>
      <c r="AF19" s="397">
        <f t="shared" si="15"/>
        <v>15000</v>
      </c>
      <c r="AG19" s="399">
        <f t="shared" si="16"/>
        <v>600</v>
      </c>
      <c r="AH19" s="132"/>
      <c r="AI19" s="400">
        <f t="shared" si="17"/>
        <v>10.5</v>
      </c>
      <c r="AJ19" s="401">
        <f t="shared" si="18"/>
        <v>1.7811704834605598E-2</v>
      </c>
      <c r="AK19" s="52"/>
      <c r="AL19" s="413">
        <f>IFERROR(VLOOKUP($C19,'Proposed Rates'!$B:$J,AL$11,FALSE),0)</f>
        <v>4.0599999999999997E-2</v>
      </c>
      <c r="AM19" s="397">
        <f t="shared" si="19"/>
        <v>15000</v>
      </c>
      <c r="AN19" s="399">
        <f t="shared" si="20"/>
        <v>609</v>
      </c>
      <c r="AO19" s="132"/>
      <c r="AP19" s="400">
        <f t="shared" si="21"/>
        <v>9</v>
      </c>
      <c r="AQ19" s="401">
        <f t="shared" si="22"/>
        <v>1.4999999999999999E-2</v>
      </c>
      <c r="AR19" s="402"/>
    </row>
    <row r="20" spans="1:44" ht="12" customHeight="1">
      <c r="A20" s="52"/>
      <c r="B20" s="321" t="s">
        <v>313</v>
      </c>
      <c r="C20" s="394" t="str">
        <f t="shared" si="0"/>
        <v>General Service &lt; 50 kW.Smart Meter Disposition Rider</v>
      </c>
      <c r="D20" s="395" t="s">
        <v>312</v>
      </c>
      <c r="E20" s="321"/>
      <c r="F20" s="413">
        <f>IFERROR(VLOOKUP($C20,'Proposed Rates'!$B:$J,F$11,FALSE),0)</f>
        <v>0</v>
      </c>
      <c r="G20" s="397">
        <f t="shared" si="1"/>
        <v>15000</v>
      </c>
      <c r="H20" s="399">
        <f t="shared" si="2"/>
        <v>0</v>
      </c>
      <c r="I20" s="132"/>
      <c r="J20" s="413">
        <f>IFERROR(VLOOKUP($C20,'Proposed Rates'!$B:$J,J$11,FALSE),0)</f>
        <v>0</v>
      </c>
      <c r="K20" s="397">
        <f t="shared" si="3"/>
        <v>15000</v>
      </c>
      <c r="L20" s="399">
        <f t="shared" si="4"/>
        <v>0</v>
      </c>
      <c r="M20" s="132"/>
      <c r="N20" s="400">
        <f t="shared" si="5"/>
        <v>0</v>
      </c>
      <c r="O20" s="401" t="str">
        <f t="shared" si="6"/>
        <v/>
      </c>
      <c r="P20" s="52"/>
      <c r="Q20" s="413">
        <f>IFERROR(VLOOKUP($C20,'Proposed Rates'!$B:$J,Q$11,FALSE),0)</f>
        <v>0</v>
      </c>
      <c r="R20" s="397">
        <f t="shared" si="7"/>
        <v>15000</v>
      </c>
      <c r="S20" s="399">
        <f t="shared" si="8"/>
        <v>0</v>
      </c>
      <c r="T20" s="132"/>
      <c r="U20" s="400">
        <f t="shared" si="9"/>
        <v>0</v>
      </c>
      <c r="V20" s="401" t="str">
        <f t="shared" si="10"/>
        <v/>
      </c>
      <c r="W20" s="52"/>
      <c r="X20" s="413">
        <f>IFERROR(VLOOKUP($C20,'Proposed Rates'!$B:$J,X$11,FALSE),0)</f>
        <v>0</v>
      </c>
      <c r="Y20" s="397">
        <f t="shared" si="11"/>
        <v>15000</v>
      </c>
      <c r="Z20" s="399">
        <f t="shared" si="12"/>
        <v>0</v>
      </c>
      <c r="AA20" s="132"/>
      <c r="AB20" s="400">
        <f t="shared" si="13"/>
        <v>0</v>
      </c>
      <c r="AC20" s="401" t="str">
        <f t="shared" si="14"/>
        <v/>
      </c>
      <c r="AD20" s="52"/>
      <c r="AE20" s="413">
        <f>IFERROR(VLOOKUP($C20,'Proposed Rates'!$B:$J,AE$11,FALSE),0)</f>
        <v>0</v>
      </c>
      <c r="AF20" s="397">
        <f t="shared" si="15"/>
        <v>15000</v>
      </c>
      <c r="AG20" s="399">
        <f t="shared" si="16"/>
        <v>0</v>
      </c>
      <c r="AH20" s="132"/>
      <c r="AI20" s="400">
        <f t="shared" si="17"/>
        <v>0</v>
      </c>
      <c r="AJ20" s="401" t="str">
        <f t="shared" si="18"/>
        <v/>
      </c>
      <c r="AK20" s="52"/>
      <c r="AL20" s="413">
        <f>IFERROR(VLOOKUP($C20,'Proposed Rates'!$B:$J,AL$11,FALSE),0)</f>
        <v>0</v>
      </c>
      <c r="AM20" s="397">
        <f t="shared" si="19"/>
        <v>15000</v>
      </c>
      <c r="AN20" s="399">
        <f t="shared" si="20"/>
        <v>0</v>
      </c>
      <c r="AO20" s="132"/>
      <c r="AP20" s="400">
        <f t="shared" si="21"/>
        <v>0</v>
      </c>
      <c r="AQ20" s="401" t="str">
        <f t="shared" si="22"/>
        <v/>
      </c>
      <c r="AR20" s="402"/>
    </row>
    <row r="21" spans="1:44" ht="12" customHeight="1">
      <c r="A21" s="52"/>
      <c r="B21" s="321" t="s">
        <v>244</v>
      </c>
      <c r="C21" s="394" t="str">
        <f t="shared" si="0"/>
        <v>General Service &lt; 50 kW.LRAM Rate Rider</v>
      </c>
      <c r="D21" s="395" t="s">
        <v>312</v>
      </c>
      <c r="E21" s="321"/>
      <c r="F21" s="413">
        <f>'Proposed Rates'!E78+'Proposed Rates'!E91</f>
        <v>6.9999999999999999E-4</v>
      </c>
      <c r="G21" s="397">
        <f t="shared" si="1"/>
        <v>15000</v>
      </c>
      <c r="H21" s="399">
        <f t="shared" si="2"/>
        <v>10.5</v>
      </c>
      <c r="I21" s="132"/>
      <c r="J21" s="413">
        <f>'Proposed Rates'!F78+'Proposed Rates'!F91</f>
        <v>4.0000000000000002E-4</v>
      </c>
      <c r="K21" s="397">
        <f t="shared" si="3"/>
        <v>15000</v>
      </c>
      <c r="L21" s="399">
        <f t="shared" si="4"/>
        <v>6</v>
      </c>
      <c r="M21" s="132"/>
      <c r="N21" s="400">
        <f t="shared" si="5"/>
        <v>-4.5</v>
      </c>
      <c r="O21" s="401">
        <f t="shared" si="6"/>
        <v>-0.42857142857142855</v>
      </c>
      <c r="P21" s="52"/>
      <c r="Q21" s="413">
        <f>'Proposed Rates'!G78+'Proposed Rates'!G91</f>
        <v>0</v>
      </c>
      <c r="R21" s="397">
        <f t="shared" si="7"/>
        <v>15000</v>
      </c>
      <c r="S21" s="399">
        <f t="shared" si="8"/>
        <v>0</v>
      </c>
      <c r="T21" s="132"/>
      <c r="U21" s="400">
        <f t="shared" si="9"/>
        <v>-6</v>
      </c>
      <c r="V21" s="401">
        <f t="shared" si="10"/>
        <v>-1</v>
      </c>
      <c r="W21" s="52"/>
      <c r="X21" s="413">
        <f>IFERROR(VLOOKUP($C21,'Proposed Rates'!$B:$J,X$11,FALSE),0)</f>
        <v>0</v>
      </c>
      <c r="Y21" s="397">
        <f t="shared" si="11"/>
        <v>15000</v>
      </c>
      <c r="Z21" s="399">
        <f t="shared" si="12"/>
        <v>0</v>
      </c>
      <c r="AA21" s="132"/>
      <c r="AB21" s="400">
        <f t="shared" si="13"/>
        <v>0</v>
      </c>
      <c r="AC21" s="401" t="str">
        <f t="shared" si="14"/>
        <v/>
      </c>
      <c r="AD21" s="52"/>
      <c r="AE21" s="413">
        <f>IFERROR(VLOOKUP($C21,'Proposed Rates'!$B:$J,AE$11,FALSE),0)</f>
        <v>0</v>
      </c>
      <c r="AF21" s="397">
        <f t="shared" si="15"/>
        <v>15000</v>
      </c>
      <c r="AG21" s="399">
        <f t="shared" si="16"/>
        <v>0</v>
      </c>
      <c r="AH21" s="132"/>
      <c r="AI21" s="400">
        <f t="shared" si="17"/>
        <v>0</v>
      </c>
      <c r="AJ21" s="401" t="str">
        <f t="shared" si="18"/>
        <v/>
      </c>
      <c r="AK21" s="52"/>
      <c r="AL21" s="413">
        <f>IFERROR(VLOOKUP($C21,'Proposed Rates'!$B:$J,AL$11,FALSE),0)</f>
        <v>0</v>
      </c>
      <c r="AM21" s="397">
        <f t="shared" si="19"/>
        <v>15000</v>
      </c>
      <c r="AN21" s="399">
        <f t="shared" si="20"/>
        <v>0</v>
      </c>
      <c r="AO21" s="132"/>
      <c r="AP21" s="400">
        <f t="shared" si="21"/>
        <v>0</v>
      </c>
      <c r="AQ21" s="401" t="str">
        <f t="shared" si="22"/>
        <v/>
      </c>
      <c r="AR21" s="402"/>
    </row>
    <row r="22" spans="1:44" ht="12" customHeight="1">
      <c r="A22" s="52"/>
      <c r="B22" s="403" t="s">
        <v>240</v>
      </c>
      <c r="C22" s="394" t="str">
        <f t="shared" si="0"/>
        <v>General Service &lt; 50 kW.Deferral/Variance Account Disposition Rate Rider Group 2</v>
      </c>
      <c r="D22" s="395" t="s">
        <v>312</v>
      </c>
      <c r="E22" s="321"/>
      <c r="F22" s="413">
        <f>IFERROR(VLOOKUP($C22,'Proposed Rates'!$B:$J,F$11,FALSE),0)</f>
        <v>0</v>
      </c>
      <c r="G22" s="397">
        <f t="shared" si="1"/>
        <v>15000</v>
      </c>
      <c r="H22" s="399">
        <f t="shared" si="2"/>
        <v>0</v>
      </c>
      <c r="I22" s="132"/>
      <c r="J22" s="413">
        <f>IFERROR(VLOOKUP($C22,'Proposed Rates'!$B:$J,J$11,FALSE),0)</f>
        <v>-8.0000000000000004E-4</v>
      </c>
      <c r="K22" s="397">
        <f t="shared" si="3"/>
        <v>15000</v>
      </c>
      <c r="L22" s="399">
        <f t="shared" si="4"/>
        <v>-12</v>
      </c>
      <c r="M22" s="132"/>
      <c r="N22" s="400">
        <f t="shared" si="5"/>
        <v>-12</v>
      </c>
      <c r="O22" s="401" t="str">
        <f t="shared" si="6"/>
        <v/>
      </c>
      <c r="P22" s="52"/>
      <c r="Q22" s="413">
        <f>IFERROR(VLOOKUP($C22,'Proposed Rates'!$B:$J,Q$11,FALSE),0)</f>
        <v>0</v>
      </c>
      <c r="R22" s="397">
        <f t="shared" si="7"/>
        <v>15000</v>
      </c>
      <c r="S22" s="399">
        <f t="shared" si="8"/>
        <v>0</v>
      </c>
      <c r="T22" s="132"/>
      <c r="U22" s="400">
        <f t="shared" si="9"/>
        <v>12</v>
      </c>
      <c r="V22" s="401">
        <f t="shared" si="10"/>
        <v>-1</v>
      </c>
      <c r="W22" s="52"/>
      <c r="X22" s="413">
        <f>IFERROR(VLOOKUP($C22,'Proposed Rates'!$B:$J,X$11,FALSE),0)</f>
        <v>0</v>
      </c>
      <c r="Y22" s="397">
        <f t="shared" si="11"/>
        <v>15000</v>
      </c>
      <c r="Z22" s="399">
        <f t="shared" si="12"/>
        <v>0</v>
      </c>
      <c r="AA22" s="132"/>
      <c r="AB22" s="400">
        <f t="shared" si="13"/>
        <v>0</v>
      </c>
      <c r="AC22" s="401" t="str">
        <f t="shared" si="14"/>
        <v/>
      </c>
      <c r="AD22" s="52"/>
      <c r="AE22" s="413">
        <f>IFERROR(VLOOKUP($C22,'Proposed Rates'!$B:$J,AE$11,FALSE),0)</f>
        <v>0</v>
      </c>
      <c r="AF22" s="397">
        <f t="shared" si="15"/>
        <v>15000</v>
      </c>
      <c r="AG22" s="399">
        <f t="shared" si="16"/>
        <v>0</v>
      </c>
      <c r="AH22" s="132"/>
      <c r="AI22" s="400">
        <f t="shared" si="17"/>
        <v>0</v>
      </c>
      <c r="AJ22" s="401" t="str">
        <f t="shared" si="18"/>
        <v/>
      </c>
      <c r="AK22" s="52"/>
      <c r="AL22" s="413">
        <f>IFERROR(VLOOKUP($C22,'Proposed Rates'!$B:$J,AL$11,FALSE),0)</f>
        <v>0</v>
      </c>
      <c r="AM22" s="397">
        <f t="shared" si="19"/>
        <v>15000</v>
      </c>
      <c r="AN22" s="399">
        <f t="shared" si="20"/>
        <v>0</v>
      </c>
      <c r="AO22" s="132"/>
      <c r="AP22" s="400">
        <f t="shared" si="21"/>
        <v>0</v>
      </c>
      <c r="AQ22" s="401" t="str">
        <f t="shared" si="22"/>
        <v/>
      </c>
      <c r="AR22" s="402"/>
    </row>
    <row r="23" spans="1:44" ht="12" customHeight="1">
      <c r="A23" s="52"/>
      <c r="B23" s="403"/>
      <c r="C23" s="394" t="str">
        <f t="shared" si="0"/>
        <v>General Service &lt; 50 kW.</v>
      </c>
      <c r="D23" s="395"/>
      <c r="E23" s="321"/>
      <c r="F23" s="413">
        <f>IFERROR(VLOOKUP($C23,'Proposed Rates'!$B:$J,F$11,FALSE),0)</f>
        <v>0</v>
      </c>
      <c r="G23" s="397">
        <f t="shared" si="1"/>
        <v>0</v>
      </c>
      <c r="H23" s="399">
        <f t="shared" si="2"/>
        <v>0</v>
      </c>
      <c r="I23" s="132"/>
      <c r="J23" s="413">
        <f>IFERROR(VLOOKUP($C23,'Proposed Rates'!$B:$J,J$11,FALSE),0)</f>
        <v>0</v>
      </c>
      <c r="K23" s="397">
        <f t="shared" si="3"/>
        <v>0</v>
      </c>
      <c r="L23" s="399">
        <f t="shared" si="4"/>
        <v>0</v>
      </c>
      <c r="M23" s="132"/>
      <c r="N23" s="400">
        <f t="shared" si="5"/>
        <v>0</v>
      </c>
      <c r="O23" s="401" t="str">
        <f t="shared" si="6"/>
        <v/>
      </c>
      <c r="P23" s="52"/>
      <c r="Q23" s="413">
        <f>IFERROR(VLOOKUP($C23,'Proposed Rates'!$B:$J,Q$11,FALSE),0)</f>
        <v>0</v>
      </c>
      <c r="R23" s="397">
        <f t="shared" si="7"/>
        <v>0</v>
      </c>
      <c r="S23" s="399">
        <f t="shared" si="8"/>
        <v>0</v>
      </c>
      <c r="T23" s="132"/>
      <c r="U23" s="400">
        <f t="shared" si="9"/>
        <v>0</v>
      </c>
      <c r="V23" s="401" t="str">
        <f t="shared" si="10"/>
        <v/>
      </c>
      <c r="W23" s="52"/>
      <c r="X23" s="413">
        <f>IFERROR(VLOOKUP($C23,'Proposed Rates'!$B:$J,X$11,FALSE),0)</f>
        <v>0</v>
      </c>
      <c r="Y23" s="397">
        <f t="shared" si="11"/>
        <v>0</v>
      </c>
      <c r="Z23" s="399">
        <f t="shared" si="12"/>
        <v>0</v>
      </c>
      <c r="AA23" s="132"/>
      <c r="AB23" s="400">
        <f t="shared" si="13"/>
        <v>0</v>
      </c>
      <c r="AC23" s="401" t="str">
        <f t="shared" si="14"/>
        <v/>
      </c>
      <c r="AD23" s="52"/>
      <c r="AE23" s="413">
        <f>IFERROR(VLOOKUP($C23,'Proposed Rates'!$B:$J,AE$11,FALSE),0)</f>
        <v>0</v>
      </c>
      <c r="AF23" s="397">
        <f t="shared" si="15"/>
        <v>0</v>
      </c>
      <c r="AG23" s="399">
        <f t="shared" si="16"/>
        <v>0</v>
      </c>
      <c r="AH23" s="132"/>
      <c r="AI23" s="400">
        <f t="shared" si="17"/>
        <v>0</v>
      </c>
      <c r="AJ23" s="401" t="str">
        <f t="shared" si="18"/>
        <v/>
      </c>
      <c r="AK23" s="52"/>
      <c r="AL23" s="413">
        <f>IFERROR(VLOOKUP($C23,'Proposed Rates'!$B:$J,AL$11,FALSE),0)</f>
        <v>0</v>
      </c>
      <c r="AM23" s="397">
        <f t="shared" si="19"/>
        <v>0</v>
      </c>
      <c r="AN23" s="399">
        <f t="shared" si="20"/>
        <v>0</v>
      </c>
      <c r="AO23" s="132"/>
      <c r="AP23" s="400">
        <f t="shared" si="21"/>
        <v>0</v>
      </c>
      <c r="AQ23" s="401" t="str">
        <f t="shared" si="22"/>
        <v/>
      </c>
      <c r="AR23" s="402"/>
    </row>
    <row r="24" spans="1:44" ht="12" customHeight="1">
      <c r="A24" s="52"/>
      <c r="B24" s="403"/>
      <c r="C24" s="394" t="str">
        <f t="shared" si="0"/>
        <v>General Service &lt; 50 kW.</v>
      </c>
      <c r="D24" s="395"/>
      <c r="E24" s="321"/>
      <c r="F24" s="413">
        <f>IFERROR(VLOOKUP($C24,'Proposed Rates'!$B:$J,F$11,FALSE),0)</f>
        <v>0</v>
      </c>
      <c r="G24" s="397">
        <f t="shared" si="1"/>
        <v>0</v>
      </c>
      <c r="H24" s="399">
        <f t="shared" si="2"/>
        <v>0</v>
      </c>
      <c r="I24" s="132"/>
      <c r="J24" s="413">
        <f>IFERROR(VLOOKUP($C24,'Proposed Rates'!$B:$J,J$11,FALSE),0)</f>
        <v>0</v>
      </c>
      <c r="K24" s="397">
        <f t="shared" si="3"/>
        <v>0</v>
      </c>
      <c r="L24" s="399">
        <f t="shared" si="4"/>
        <v>0</v>
      </c>
      <c r="M24" s="132"/>
      <c r="N24" s="400">
        <f t="shared" si="5"/>
        <v>0</v>
      </c>
      <c r="O24" s="401" t="str">
        <f t="shared" si="6"/>
        <v/>
      </c>
      <c r="P24" s="52"/>
      <c r="Q24" s="413">
        <f>IFERROR(VLOOKUP($C24,'Proposed Rates'!$B:$J,Q$11,FALSE),0)</f>
        <v>0</v>
      </c>
      <c r="R24" s="397">
        <f t="shared" si="7"/>
        <v>0</v>
      </c>
      <c r="S24" s="399">
        <f t="shared" si="8"/>
        <v>0</v>
      </c>
      <c r="T24" s="132"/>
      <c r="U24" s="400">
        <f t="shared" si="9"/>
        <v>0</v>
      </c>
      <c r="V24" s="401" t="str">
        <f t="shared" si="10"/>
        <v/>
      </c>
      <c r="W24" s="52"/>
      <c r="X24" s="413">
        <f>IFERROR(VLOOKUP($C24,'Proposed Rates'!$B:$J,X$11,FALSE),0)</f>
        <v>0</v>
      </c>
      <c r="Y24" s="397">
        <f t="shared" si="11"/>
        <v>0</v>
      </c>
      <c r="Z24" s="399">
        <f t="shared" si="12"/>
        <v>0</v>
      </c>
      <c r="AA24" s="132"/>
      <c r="AB24" s="400">
        <f t="shared" si="13"/>
        <v>0</v>
      </c>
      <c r="AC24" s="401" t="str">
        <f t="shared" si="14"/>
        <v/>
      </c>
      <c r="AD24" s="52"/>
      <c r="AE24" s="413">
        <f>IFERROR(VLOOKUP($C24,'Proposed Rates'!$B:$J,AE$11,FALSE),0)</f>
        <v>0</v>
      </c>
      <c r="AF24" s="397">
        <f t="shared" si="15"/>
        <v>0</v>
      </c>
      <c r="AG24" s="399">
        <f t="shared" si="16"/>
        <v>0</v>
      </c>
      <c r="AH24" s="132"/>
      <c r="AI24" s="400">
        <f t="shared" si="17"/>
        <v>0</v>
      </c>
      <c r="AJ24" s="401" t="str">
        <f t="shared" si="18"/>
        <v/>
      </c>
      <c r="AK24" s="52"/>
      <c r="AL24" s="413">
        <f>IFERROR(VLOOKUP($C24,'Proposed Rates'!$B:$J,AL$11,FALSE),0)</f>
        <v>0</v>
      </c>
      <c r="AM24" s="397">
        <f t="shared" si="19"/>
        <v>0</v>
      </c>
      <c r="AN24" s="399">
        <f t="shared" si="20"/>
        <v>0</v>
      </c>
      <c r="AO24" s="132"/>
      <c r="AP24" s="400">
        <f t="shared" si="21"/>
        <v>0</v>
      </c>
      <c r="AQ24" s="401" t="str">
        <f t="shared" si="22"/>
        <v/>
      </c>
      <c r="AR24" s="402"/>
    </row>
    <row r="25" spans="1:44" ht="12" customHeight="1">
      <c r="A25" s="52"/>
      <c r="B25" s="403"/>
      <c r="C25" s="394" t="str">
        <f t="shared" si="0"/>
        <v>General Service &lt; 50 kW.</v>
      </c>
      <c r="D25" s="395"/>
      <c r="E25" s="321"/>
      <c r="F25" s="413">
        <f>IFERROR(VLOOKUP($C25,'Proposed Rates'!$B:$J,F$11,FALSE),0)</f>
        <v>0</v>
      </c>
      <c r="G25" s="397">
        <f t="shared" si="1"/>
        <v>0</v>
      </c>
      <c r="H25" s="399">
        <f t="shared" si="2"/>
        <v>0</v>
      </c>
      <c r="I25" s="132"/>
      <c r="J25" s="413">
        <f>IFERROR(VLOOKUP($C25,'Proposed Rates'!$B:$J,J$11,FALSE),0)</f>
        <v>0</v>
      </c>
      <c r="K25" s="397">
        <f t="shared" si="3"/>
        <v>0</v>
      </c>
      <c r="L25" s="399">
        <f t="shared" si="4"/>
        <v>0</v>
      </c>
      <c r="M25" s="132"/>
      <c r="N25" s="400">
        <f t="shared" si="5"/>
        <v>0</v>
      </c>
      <c r="O25" s="401" t="str">
        <f t="shared" si="6"/>
        <v/>
      </c>
      <c r="P25" s="52"/>
      <c r="Q25" s="413">
        <f>IFERROR(VLOOKUP($C25,'Proposed Rates'!$B:$J,Q$11,FALSE),0)</f>
        <v>0</v>
      </c>
      <c r="R25" s="397">
        <f t="shared" si="7"/>
        <v>0</v>
      </c>
      <c r="S25" s="399">
        <f t="shared" si="8"/>
        <v>0</v>
      </c>
      <c r="T25" s="132"/>
      <c r="U25" s="400">
        <f t="shared" si="9"/>
        <v>0</v>
      </c>
      <c r="V25" s="401" t="str">
        <f t="shared" si="10"/>
        <v/>
      </c>
      <c r="W25" s="52"/>
      <c r="X25" s="413">
        <f>IFERROR(VLOOKUP($C25,'Proposed Rates'!$B:$J,X$11,FALSE),0)</f>
        <v>0</v>
      </c>
      <c r="Y25" s="397">
        <f t="shared" si="11"/>
        <v>0</v>
      </c>
      <c r="Z25" s="399">
        <f t="shared" si="12"/>
        <v>0</v>
      </c>
      <c r="AA25" s="132"/>
      <c r="AB25" s="400">
        <f t="shared" si="13"/>
        <v>0</v>
      </c>
      <c r="AC25" s="401" t="str">
        <f t="shared" si="14"/>
        <v/>
      </c>
      <c r="AD25" s="52"/>
      <c r="AE25" s="413">
        <f>IFERROR(VLOOKUP($C25,'Proposed Rates'!$B:$J,AE$11,FALSE),0)</f>
        <v>0</v>
      </c>
      <c r="AF25" s="397">
        <f t="shared" si="15"/>
        <v>0</v>
      </c>
      <c r="AG25" s="399">
        <f t="shared" si="16"/>
        <v>0</v>
      </c>
      <c r="AH25" s="132"/>
      <c r="AI25" s="400">
        <f t="shared" si="17"/>
        <v>0</v>
      </c>
      <c r="AJ25" s="401" t="str">
        <f t="shared" si="18"/>
        <v/>
      </c>
      <c r="AK25" s="52"/>
      <c r="AL25" s="413">
        <f>IFERROR(VLOOKUP($C25,'Proposed Rates'!$B:$J,AL$11,FALSE),0)</f>
        <v>0</v>
      </c>
      <c r="AM25" s="397">
        <f t="shared" si="19"/>
        <v>0</v>
      </c>
      <c r="AN25" s="399">
        <f t="shared" si="20"/>
        <v>0</v>
      </c>
      <c r="AO25" s="132"/>
      <c r="AP25" s="400">
        <f t="shared" si="21"/>
        <v>0</v>
      </c>
      <c r="AQ25" s="401" t="str">
        <f t="shared" si="22"/>
        <v/>
      </c>
      <c r="AR25" s="402"/>
    </row>
    <row r="26" spans="1:44" ht="12" customHeight="1">
      <c r="A26" s="52"/>
      <c r="B26" s="403"/>
      <c r="C26" s="394" t="str">
        <f t="shared" si="0"/>
        <v>General Service &lt; 50 kW.</v>
      </c>
      <c r="D26" s="395"/>
      <c r="E26" s="321"/>
      <c r="F26" s="413">
        <f>IFERROR(VLOOKUP($C26,'Proposed Rates'!$B:$J,F$11,FALSE),0)</f>
        <v>0</v>
      </c>
      <c r="G26" s="397">
        <f t="shared" si="1"/>
        <v>0</v>
      </c>
      <c r="H26" s="399">
        <f t="shared" si="2"/>
        <v>0</v>
      </c>
      <c r="I26" s="132"/>
      <c r="J26" s="413">
        <f>IFERROR(VLOOKUP($C26,'Proposed Rates'!$B:$J,J$11,FALSE),0)</f>
        <v>0</v>
      </c>
      <c r="K26" s="397">
        <f t="shared" si="3"/>
        <v>0</v>
      </c>
      <c r="L26" s="399">
        <f t="shared" si="4"/>
        <v>0</v>
      </c>
      <c r="M26" s="132"/>
      <c r="N26" s="400">
        <f t="shared" si="5"/>
        <v>0</v>
      </c>
      <c r="O26" s="401" t="str">
        <f t="shared" si="6"/>
        <v/>
      </c>
      <c r="P26" s="52"/>
      <c r="Q26" s="413">
        <f>IFERROR(VLOOKUP($C26,'Proposed Rates'!$B:$J,Q$11,FALSE),0)</f>
        <v>0</v>
      </c>
      <c r="R26" s="397">
        <f t="shared" si="7"/>
        <v>0</v>
      </c>
      <c r="S26" s="399">
        <f t="shared" si="8"/>
        <v>0</v>
      </c>
      <c r="T26" s="132"/>
      <c r="U26" s="400">
        <f t="shared" si="9"/>
        <v>0</v>
      </c>
      <c r="V26" s="401" t="str">
        <f t="shared" si="10"/>
        <v/>
      </c>
      <c r="W26" s="52"/>
      <c r="X26" s="413">
        <f>IFERROR(VLOOKUP($C26,'Proposed Rates'!$B:$J,X$11,FALSE),0)</f>
        <v>0</v>
      </c>
      <c r="Y26" s="397">
        <f t="shared" si="11"/>
        <v>0</v>
      </c>
      <c r="Z26" s="399">
        <f t="shared" si="12"/>
        <v>0</v>
      </c>
      <c r="AA26" s="132"/>
      <c r="AB26" s="400">
        <f t="shared" si="13"/>
        <v>0</v>
      </c>
      <c r="AC26" s="401" t="str">
        <f t="shared" si="14"/>
        <v/>
      </c>
      <c r="AD26" s="52"/>
      <c r="AE26" s="413">
        <f>IFERROR(VLOOKUP($C26,'Proposed Rates'!$B:$J,AE$11,FALSE),0)</f>
        <v>0</v>
      </c>
      <c r="AF26" s="397">
        <f t="shared" si="15"/>
        <v>0</v>
      </c>
      <c r="AG26" s="399">
        <f t="shared" si="16"/>
        <v>0</v>
      </c>
      <c r="AH26" s="132"/>
      <c r="AI26" s="400">
        <f t="shared" si="17"/>
        <v>0</v>
      </c>
      <c r="AJ26" s="401" t="str">
        <f t="shared" si="18"/>
        <v/>
      </c>
      <c r="AK26" s="52"/>
      <c r="AL26" s="413">
        <f>IFERROR(VLOOKUP($C26,'Proposed Rates'!$B:$J,AL$11,FALSE),0)</f>
        <v>0</v>
      </c>
      <c r="AM26" s="397">
        <f t="shared" si="19"/>
        <v>0</v>
      </c>
      <c r="AN26" s="399">
        <f t="shared" si="20"/>
        <v>0</v>
      </c>
      <c r="AO26" s="132"/>
      <c r="AP26" s="400">
        <f t="shared" si="21"/>
        <v>0</v>
      </c>
      <c r="AQ26" s="401" t="str">
        <f t="shared" si="22"/>
        <v/>
      </c>
      <c r="AR26" s="402"/>
    </row>
    <row r="27" spans="1:44" ht="12" customHeight="1">
      <c r="A27" s="52"/>
      <c r="B27" s="403"/>
      <c r="C27" s="394" t="str">
        <f t="shared" si="0"/>
        <v>General Service &lt; 50 kW.</v>
      </c>
      <c r="D27" s="395"/>
      <c r="E27" s="321"/>
      <c r="F27" s="413">
        <f>IFERROR(VLOOKUP($C27,'Proposed Rates'!$B:$J,F$11,FALSE),0)</f>
        <v>0</v>
      </c>
      <c r="G27" s="397">
        <f t="shared" si="1"/>
        <v>0</v>
      </c>
      <c r="H27" s="399">
        <f t="shared" si="2"/>
        <v>0</v>
      </c>
      <c r="I27" s="132"/>
      <c r="J27" s="413">
        <f>IFERROR(VLOOKUP($C27,'Proposed Rates'!$B:$J,J$11,FALSE),0)</f>
        <v>0</v>
      </c>
      <c r="K27" s="397">
        <f t="shared" si="3"/>
        <v>0</v>
      </c>
      <c r="L27" s="399">
        <f t="shared" si="4"/>
        <v>0</v>
      </c>
      <c r="M27" s="132"/>
      <c r="N27" s="400">
        <f t="shared" si="5"/>
        <v>0</v>
      </c>
      <c r="O27" s="401" t="str">
        <f t="shared" si="6"/>
        <v/>
      </c>
      <c r="P27" s="52"/>
      <c r="Q27" s="413">
        <f>IFERROR(VLOOKUP($C27,'Proposed Rates'!$B:$J,Q$11,FALSE),0)</f>
        <v>0</v>
      </c>
      <c r="R27" s="397">
        <f t="shared" si="7"/>
        <v>0</v>
      </c>
      <c r="S27" s="399">
        <f t="shared" si="8"/>
        <v>0</v>
      </c>
      <c r="T27" s="132"/>
      <c r="U27" s="400">
        <f t="shared" si="9"/>
        <v>0</v>
      </c>
      <c r="V27" s="401" t="str">
        <f t="shared" si="10"/>
        <v/>
      </c>
      <c r="W27" s="52"/>
      <c r="X27" s="413">
        <f>IFERROR(VLOOKUP($C27,'Proposed Rates'!$B:$J,X$11,FALSE),0)</f>
        <v>0</v>
      </c>
      <c r="Y27" s="397">
        <f t="shared" si="11"/>
        <v>0</v>
      </c>
      <c r="Z27" s="399">
        <f t="shared" si="12"/>
        <v>0</v>
      </c>
      <c r="AA27" s="132"/>
      <c r="AB27" s="400">
        <f t="shared" si="13"/>
        <v>0</v>
      </c>
      <c r="AC27" s="401" t="str">
        <f t="shared" si="14"/>
        <v/>
      </c>
      <c r="AD27" s="52"/>
      <c r="AE27" s="413">
        <f>IFERROR(VLOOKUP($C27,'Proposed Rates'!$B:$J,AE$11,FALSE),0)</f>
        <v>0</v>
      </c>
      <c r="AF27" s="397">
        <f t="shared" si="15"/>
        <v>0</v>
      </c>
      <c r="AG27" s="399">
        <f t="shared" si="16"/>
        <v>0</v>
      </c>
      <c r="AH27" s="132"/>
      <c r="AI27" s="400">
        <f t="shared" si="17"/>
        <v>0</v>
      </c>
      <c r="AJ27" s="401" t="str">
        <f t="shared" si="18"/>
        <v/>
      </c>
      <c r="AK27" s="52"/>
      <c r="AL27" s="413">
        <f>IFERROR(VLOOKUP($C27,'Proposed Rates'!$B:$J,AL$11,FALSE),0)</f>
        <v>0</v>
      </c>
      <c r="AM27" s="397">
        <f t="shared" si="19"/>
        <v>0</v>
      </c>
      <c r="AN27" s="399">
        <f t="shared" si="20"/>
        <v>0</v>
      </c>
      <c r="AO27" s="132"/>
      <c r="AP27" s="400">
        <f t="shared" si="21"/>
        <v>0</v>
      </c>
      <c r="AQ27" s="401" t="str">
        <f t="shared" si="22"/>
        <v/>
      </c>
      <c r="AR27" s="402"/>
    </row>
    <row r="28" spans="1:44" ht="12" customHeight="1">
      <c r="A28" s="52"/>
      <c r="B28" s="403"/>
      <c r="C28" s="394" t="str">
        <f t="shared" si="0"/>
        <v>General Service &lt; 50 kW.</v>
      </c>
      <c r="D28" s="395"/>
      <c r="E28" s="321"/>
      <c r="F28" s="413">
        <f>IFERROR(VLOOKUP($C28,'Proposed Rates'!$B:$J,F$11,FALSE),0)</f>
        <v>0</v>
      </c>
      <c r="G28" s="397">
        <f t="shared" si="1"/>
        <v>0</v>
      </c>
      <c r="H28" s="399">
        <f t="shared" si="2"/>
        <v>0</v>
      </c>
      <c r="I28" s="132"/>
      <c r="J28" s="413">
        <f>IFERROR(VLOOKUP($C28,'Proposed Rates'!$B:$J,J$11,FALSE),0)</f>
        <v>0</v>
      </c>
      <c r="K28" s="397">
        <f t="shared" si="3"/>
        <v>0</v>
      </c>
      <c r="L28" s="399">
        <f t="shared" si="4"/>
        <v>0</v>
      </c>
      <c r="M28" s="132"/>
      <c r="N28" s="400">
        <f t="shared" si="5"/>
        <v>0</v>
      </c>
      <c r="O28" s="401" t="str">
        <f t="shared" si="6"/>
        <v/>
      </c>
      <c r="P28" s="52"/>
      <c r="Q28" s="413">
        <f>IFERROR(VLOOKUP($C28,'Proposed Rates'!$B:$J,Q$11,FALSE),0)</f>
        <v>0</v>
      </c>
      <c r="R28" s="397">
        <f t="shared" si="7"/>
        <v>0</v>
      </c>
      <c r="S28" s="399">
        <f t="shared" si="8"/>
        <v>0</v>
      </c>
      <c r="T28" s="132"/>
      <c r="U28" s="400">
        <f t="shared" si="9"/>
        <v>0</v>
      </c>
      <c r="V28" s="401" t="str">
        <f t="shared" si="10"/>
        <v/>
      </c>
      <c r="W28" s="52"/>
      <c r="X28" s="413">
        <f>IFERROR(VLOOKUP($C28,'Proposed Rates'!$B:$J,X$11,FALSE),0)</f>
        <v>0</v>
      </c>
      <c r="Y28" s="397">
        <f t="shared" si="11"/>
        <v>0</v>
      </c>
      <c r="Z28" s="399">
        <f t="shared" si="12"/>
        <v>0</v>
      </c>
      <c r="AA28" s="132"/>
      <c r="AB28" s="400">
        <f t="shared" si="13"/>
        <v>0</v>
      </c>
      <c r="AC28" s="401" t="str">
        <f t="shared" si="14"/>
        <v/>
      </c>
      <c r="AD28" s="52"/>
      <c r="AE28" s="413">
        <f>IFERROR(VLOOKUP($C28,'Proposed Rates'!$B:$J,AE$11,FALSE),0)</f>
        <v>0</v>
      </c>
      <c r="AF28" s="397">
        <f t="shared" si="15"/>
        <v>0</v>
      </c>
      <c r="AG28" s="399">
        <f t="shared" si="16"/>
        <v>0</v>
      </c>
      <c r="AH28" s="132"/>
      <c r="AI28" s="400">
        <f t="shared" si="17"/>
        <v>0</v>
      </c>
      <c r="AJ28" s="401" t="str">
        <f t="shared" si="18"/>
        <v/>
      </c>
      <c r="AK28" s="52"/>
      <c r="AL28" s="413">
        <f>IFERROR(VLOOKUP($C28,'Proposed Rates'!$B:$J,AL$11,FALSE),0)</f>
        <v>0</v>
      </c>
      <c r="AM28" s="397">
        <f t="shared" si="19"/>
        <v>0</v>
      </c>
      <c r="AN28" s="399">
        <f t="shared" si="20"/>
        <v>0</v>
      </c>
      <c r="AO28" s="132"/>
      <c r="AP28" s="400">
        <f t="shared" si="21"/>
        <v>0</v>
      </c>
      <c r="AQ28" s="401" t="str">
        <f t="shared" si="22"/>
        <v/>
      </c>
      <c r="AR28" s="402"/>
    </row>
    <row r="29" spans="1:44" ht="12" customHeight="1">
      <c r="A29" s="307"/>
      <c r="B29" s="404" t="s">
        <v>314</v>
      </c>
      <c r="C29" s="405"/>
      <c r="D29" s="405"/>
      <c r="E29" s="405"/>
      <c r="F29" s="406"/>
      <c r="G29" s="499"/>
      <c r="H29" s="408">
        <f>SUM(H15:H28)</f>
        <v>491.53</v>
      </c>
      <c r="I29" s="409"/>
      <c r="J29" s="406"/>
      <c r="K29" s="499"/>
      <c r="L29" s="408">
        <f>SUM(L15:L28)</f>
        <v>549.14</v>
      </c>
      <c r="M29" s="409"/>
      <c r="N29" s="410">
        <f t="shared" si="5"/>
        <v>57.610000000000014</v>
      </c>
      <c r="O29" s="411">
        <f t="shared" si="6"/>
        <v>0.11720546050088503</v>
      </c>
      <c r="P29" s="307"/>
      <c r="Q29" s="406"/>
      <c r="R29" s="499"/>
      <c r="S29" s="408">
        <f>SUM(S15:S28)</f>
        <v>581.91</v>
      </c>
      <c r="T29" s="409"/>
      <c r="U29" s="410">
        <f t="shared" si="9"/>
        <v>32.769999999999982</v>
      </c>
      <c r="V29" s="411">
        <f t="shared" si="10"/>
        <v>5.9675128382561796E-2</v>
      </c>
      <c r="W29" s="307"/>
      <c r="X29" s="406"/>
      <c r="Y29" s="499"/>
      <c r="Z29" s="408">
        <f>SUM(Z15:Z28)</f>
        <v>619.79</v>
      </c>
      <c r="AA29" s="409"/>
      <c r="AB29" s="410">
        <f t="shared" si="13"/>
        <v>37.879999999999995</v>
      </c>
      <c r="AC29" s="411">
        <f t="shared" si="14"/>
        <v>6.5095977041123188E-2</v>
      </c>
      <c r="AD29" s="307"/>
      <c r="AE29" s="406"/>
      <c r="AF29" s="499"/>
      <c r="AG29" s="408">
        <f>SUM(AG15:AG28)</f>
        <v>630.86</v>
      </c>
      <c r="AH29" s="409"/>
      <c r="AI29" s="410">
        <f t="shared" si="17"/>
        <v>11.07000000000005</v>
      </c>
      <c r="AJ29" s="411">
        <f t="shared" si="18"/>
        <v>1.7860888365414173E-2</v>
      </c>
      <c r="AK29" s="307"/>
      <c r="AL29" s="406"/>
      <c r="AM29" s="499"/>
      <c r="AN29" s="408">
        <f>SUM(AN15:AN28)</f>
        <v>640.29999999999995</v>
      </c>
      <c r="AO29" s="409"/>
      <c r="AP29" s="410">
        <f t="shared" si="21"/>
        <v>9.4399999999999409</v>
      </c>
      <c r="AQ29" s="411">
        <f t="shared" si="22"/>
        <v>1.4963700345559935E-2</v>
      </c>
      <c r="AR29" s="412"/>
    </row>
    <row r="30" spans="1:44" ht="12" customHeight="1">
      <c r="A30" s="52"/>
      <c r="B30" s="403" t="s">
        <v>237</v>
      </c>
      <c r="C30" s="394" t="str">
        <f t="shared" ref="C30:C36" si="23">D$6&amp;"."&amp;B30</f>
        <v>General Service &lt; 50 kW.DVA Disposition Rate Rider Group 1 -2025</v>
      </c>
      <c r="D30" s="395" t="s">
        <v>312</v>
      </c>
      <c r="E30" s="321"/>
      <c r="F30" s="413">
        <f>IFERROR(VLOOKUP($C30,'Proposed Rates'!$B:$J,F$11,FALSE),0)</f>
        <v>0</v>
      </c>
      <c r="G30" s="397">
        <f t="shared" ref="G30:G33" si="24">IF($D30="Monthly",1,IF($D30="per KWH",$F$10,0))</f>
        <v>15000</v>
      </c>
      <c r="H30" s="399">
        <f t="shared" ref="H30:H36" si="25">G30*F30</f>
        <v>0</v>
      </c>
      <c r="I30" s="132"/>
      <c r="J30" s="413">
        <f>IFERROR(VLOOKUP($C30,'Proposed Rates'!$B:$J,J$11,FALSE),0)</f>
        <v>-5.0000000000000001E-4</v>
      </c>
      <c r="K30" s="397">
        <f t="shared" ref="K30:K33" si="26">IF($D30="Monthly",1,IF($D30="per KWH",$F$10,0))</f>
        <v>15000</v>
      </c>
      <c r="L30" s="399">
        <f t="shared" ref="L30:L36" si="27">K30*J30</f>
        <v>-7.5</v>
      </c>
      <c r="M30" s="132"/>
      <c r="N30" s="400">
        <f t="shared" si="5"/>
        <v>-7.5</v>
      </c>
      <c r="O30" s="401" t="str">
        <f t="shared" si="6"/>
        <v/>
      </c>
      <c r="P30" s="52"/>
      <c r="Q30" s="413">
        <f>IFERROR(VLOOKUP($C30,'Proposed Rates'!$B:$J,Q$11,FALSE),0)</f>
        <v>0</v>
      </c>
      <c r="R30" s="397">
        <f t="shared" ref="R30:R33" si="28">IF($D30="Monthly",1,IF($D30="per KWH",$F$10,0))</f>
        <v>15000</v>
      </c>
      <c r="S30" s="399">
        <f t="shared" ref="S30:S36" si="29">R30*Q30</f>
        <v>0</v>
      </c>
      <c r="T30" s="132"/>
      <c r="U30" s="400">
        <f t="shared" si="9"/>
        <v>7.5</v>
      </c>
      <c r="V30" s="401">
        <f t="shared" si="10"/>
        <v>-1</v>
      </c>
      <c r="W30" s="52"/>
      <c r="X30" s="413">
        <f>IFERROR(VLOOKUP($C30,'Proposed Rates'!$B:$J,X$11,FALSE),0)</f>
        <v>0</v>
      </c>
      <c r="Y30" s="397">
        <f t="shared" ref="Y30:Y33" si="30">IF($D30="Monthly",1,IF($D30="per KWH",$F$10,0))</f>
        <v>15000</v>
      </c>
      <c r="Z30" s="399">
        <f t="shared" ref="Z30:Z36" si="31">Y30*X30</f>
        <v>0</v>
      </c>
      <c r="AA30" s="132"/>
      <c r="AB30" s="400">
        <f t="shared" si="13"/>
        <v>0</v>
      </c>
      <c r="AC30" s="401" t="str">
        <f t="shared" si="14"/>
        <v/>
      </c>
      <c r="AD30" s="52"/>
      <c r="AE30" s="413">
        <f>IFERROR(VLOOKUP($C30,'Proposed Rates'!$B:$J,AE$11,FALSE),0)</f>
        <v>0</v>
      </c>
      <c r="AF30" s="397">
        <f t="shared" ref="AF30:AF33" si="32">IF($D30="Monthly",1,IF($D30="per KWH",$F$10,0))</f>
        <v>15000</v>
      </c>
      <c r="AG30" s="399">
        <f t="shared" ref="AG30:AG36" si="33">AF30*AE30</f>
        <v>0</v>
      </c>
      <c r="AH30" s="132"/>
      <c r="AI30" s="400">
        <f t="shared" si="17"/>
        <v>0</v>
      </c>
      <c r="AJ30" s="401" t="str">
        <f t="shared" si="18"/>
        <v/>
      </c>
      <c r="AK30" s="52"/>
      <c r="AL30" s="413">
        <f>IFERROR(VLOOKUP($C30,'Proposed Rates'!$B:$J,AL$11,FALSE),0)</f>
        <v>0</v>
      </c>
      <c r="AM30" s="397">
        <f t="shared" ref="AM30:AM33" si="34">IF($D30="Monthly",1,IF($D30="per KWH",$F$10,0))</f>
        <v>15000</v>
      </c>
      <c r="AN30" s="399">
        <f t="shared" ref="AN30:AN36" si="35">AM30*AL30</f>
        <v>0</v>
      </c>
      <c r="AO30" s="132"/>
      <c r="AP30" s="400">
        <f t="shared" si="21"/>
        <v>0</v>
      </c>
      <c r="AQ30" s="401" t="str">
        <f t="shared" si="22"/>
        <v/>
      </c>
      <c r="AR30" s="402"/>
    </row>
    <row r="31" spans="1:44" ht="12" customHeight="1">
      <c r="A31" s="52"/>
      <c r="B31" s="403" t="s">
        <v>239</v>
      </c>
      <c r="C31" s="394" t="str">
        <f t="shared" si="23"/>
        <v>General Service &lt; 50 kW.DVA Disposition Rate Rider Group 1 - 2024</v>
      </c>
      <c r="D31" s="395" t="s">
        <v>312</v>
      </c>
      <c r="E31" s="321"/>
      <c r="F31" s="413">
        <f>IFERROR(VLOOKUP($C31,'Proposed Rates'!$B:$J,F$11,FALSE),0)</f>
        <v>0</v>
      </c>
      <c r="G31" s="397">
        <f t="shared" si="24"/>
        <v>15000</v>
      </c>
      <c r="H31" s="399">
        <f t="shared" si="25"/>
        <v>0</v>
      </c>
      <c r="I31" s="484"/>
      <c r="J31" s="413">
        <f>IFERROR(VLOOKUP($C31,'Proposed Rates'!$B:$J,J$11,FALSE),0)</f>
        <v>0</v>
      </c>
      <c r="K31" s="397">
        <f t="shared" si="26"/>
        <v>15000</v>
      </c>
      <c r="L31" s="399">
        <f t="shared" si="27"/>
        <v>0</v>
      </c>
      <c r="M31" s="416"/>
      <c r="N31" s="400">
        <f t="shared" si="5"/>
        <v>0</v>
      </c>
      <c r="O31" s="401" t="str">
        <f t="shared" si="6"/>
        <v/>
      </c>
      <c r="P31" s="52"/>
      <c r="Q31" s="413">
        <f>IFERROR(VLOOKUP($C31,'Proposed Rates'!$B:$J,Q$11,FALSE),0)</f>
        <v>0</v>
      </c>
      <c r="R31" s="397">
        <f t="shared" si="28"/>
        <v>15000</v>
      </c>
      <c r="S31" s="399">
        <f t="shared" si="29"/>
        <v>0</v>
      </c>
      <c r="T31" s="416"/>
      <c r="U31" s="400">
        <f t="shared" si="9"/>
        <v>0</v>
      </c>
      <c r="V31" s="401" t="str">
        <f t="shared" si="10"/>
        <v/>
      </c>
      <c r="W31" s="52"/>
      <c r="X31" s="413">
        <f>IFERROR(VLOOKUP($C31,'Proposed Rates'!$B:$J,X$11,FALSE),0)</f>
        <v>0</v>
      </c>
      <c r="Y31" s="397">
        <f t="shared" si="30"/>
        <v>15000</v>
      </c>
      <c r="Z31" s="399">
        <f t="shared" si="31"/>
        <v>0</v>
      </c>
      <c r="AA31" s="416"/>
      <c r="AB31" s="400">
        <f t="shared" si="13"/>
        <v>0</v>
      </c>
      <c r="AC31" s="401" t="str">
        <f t="shared" si="14"/>
        <v/>
      </c>
      <c r="AD31" s="52"/>
      <c r="AE31" s="413">
        <f>IFERROR(VLOOKUP($C31,'Proposed Rates'!$B:$J,AE$11,FALSE),0)</f>
        <v>0</v>
      </c>
      <c r="AF31" s="397">
        <f t="shared" si="32"/>
        <v>15000</v>
      </c>
      <c r="AG31" s="399">
        <f t="shared" si="33"/>
        <v>0</v>
      </c>
      <c r="AH31" s="416"/>
      <c r="AI31" s="400">
        <f t="shared" si="17"/>
        <v>0</v>
      </c>
      <c r="AJ31" s="401" t="str">
        <f t="shared" si="18"/>
        <v/>
      </c>
      <c r="AK31" s="52"/>
      <c r="AL31" s="413">
        <f>IFERROR(VLOOKUP($C31,'Proposed Rates'!$B:$J,AL$11,FALSE),0)</f>
        <v>0</v>
      </c>
      <c r="AM31" s="397">
        <f t="shared" si="34"/>
        <v>15000</v>
      </c>
      <c r="AN31" s="399">
        <f t="shared" si="35"/>
        <v>0</v>
      </c>
      <c r="AO31" s="416"/>
      <c r="AP31" s="400">
        <f t="shared" si="21"/>
        <v>0</v>
      </c>
      <c r="AQ31" s="401" t="str">
        <f t="shared" si="22"/>
        <v/>
      </c>
      <c r="AR31" s="402"/>
    </row>
    <row r="32" spans="1:44" ht="12" customHeight="1">
      <c r="A32" s="52"/>
      <c r="B32" s="403" t="s">
        <v>247</v>
      </c>
      <c r="C32" s="394" t="str">
        <f t="shared" si="23"/>
        <v>General Service &lt; 50 kW.CBR Class B Rate Riders</v>
      </c>
      <c r="D32" s="395" t="s">
        <v>312</v>
      </c>
      <c r="E32" s="321"/>
      <c r="F32" s="413">
        <f>IFERROR(VLOOKUP($C32,'Proposed Rates'!$B:$J,F$11,FALSE),0)</f>
        <v>2.0000000000000001E-4</v>
      </c>
      <c r="G32" s="397">
        <f t="shared" si="24"/>
        <v>15000</v>
      </c>
      <c r="H32" s="399">
        <f t="shared" si="25"/>
        <v>3</v>
      </c>
      <c r="I32" s="484"/>
      <c r="J32" s="413">
        <f>IFERROR(VLOOKUP($C32,'Proposed Rates'!$B:$J,J$11,FALSE),0)</f>
        <v>4.0000000000000002E-4</v>
      </c>
      <c r="K32" s="397">
        <f t="shared" si="26"/>
        <v>15000</v>
      </c>
      <c r="L32" s="399">
        <f t="shared" si="27"/>
        <v>6</v>
      </c>
      <c r="M32" s="416"/>
      <c r="N32" s="400">
        <f t="shared" si="5"/>
        <v>3</v>
      </c>
      <c r="O32" s="401">
        <f t="shared" si="6"/>
        <v>1</v>
      </c>
      <c r="P32" s="52"/>
      <c r="Q32" s="413">
        <f>IFERROR(VLOOKUP($C32,'Proposed Rates'!$B:$J,Q$11,FALSE),0)</f>
        <v>0</v>
      </c>
      <c r="R32" s="397">
        <f t="shared" si="28"/>
        <v>15000</v>
      </c>
      <c r="S32" s="399">
        <f t="shared" si="29"/>
        <v>0</v>
      </c>
      <c r="T32" s="416"/>
      <c r="U32" s="400">
        <f t="shared" si="9"/>
        <v>-6</v>
      </c>
      <c r="V32" s="401">
        <f t="shared" si="10"/>
        <v>-1</v>
      </c>
      <c r="W32" s="52"/>
      <c r="X32" s="413">
        <f>IFERROR(VLOOKUP($C32,'Proposed Rates'!$B:$J,X$11,FALSE),0)</f>
        <v>0</v>
      </c>
      <c r="Y32" s="397">
        <f t="shared" si="30"/>
        <v>15000</v>
      </c>
      <c r="Z32" s="399">
        <f t="shared" si="31"/>
        <v>0</v>
      </c>
      <c r="AA32" s="416"/>
      <c r="AB32" s="400">
        <f t="shared" si="13"/>
        <v>0</v>
      </c>
      <c r="AC32" s="401" t="str">
        <f t="shared" si="14"/>
        <v/>
      </c>
      <c r="AD32" s="52"/>
      <c r="AE32" s="413">
        <f>IFERROR(VLOOKUP($C32,'Proposed Rates'!$B:$J,AE$11,FALSE),0)</f>
        <v>0</v>
      </c>
      <c r="AF32" s="397">
        <f t="shared" si="32"/>
        <v>15000</v>
      </c>
      <c r="AG32" s="399">
        <f t="shared" si="33"/>
        <v>0</v>
      </c>
      <c r="AH32" s="416"/>
      <c r="AI32" s="400">
        <f t="shared" si="17"/>
        <v>0</v>
      </c>
      <c r="AJ32" s="401" t="str">
        <f t="shared" si="18"/>
        <v/>
      </c>
      <c r="AK32" s="52"/>
      <c r="AL32" s="413">
        <f>IFERROR(VLOOKUP($C32,'Proposed Rates'!$B:$J,AL$11,FALSE),0)</f>
        <v>0</v>
      </c>
      <c r="AM32" s="397">
        <f t="shared" si="34"/>
        <v>15000</v>
      </c>
      <c r="AN32" s="399">
        <f t="shared" si="35"/>
        <v>0</v>
      </c>
      <c r="AO32" s="416"/>
      <c r="AP32" s="400">
        <f t="shared" si="21"/>
        <v>0</v>
      </c>
      <c r="AQ32" s="401" t="str">
        <f t="shared" si="22"/>
        <v/>
      </c>
      <c r="AR32" s="402"/>
    </row>
    <row r="33" spans="1:44" ht="12" customHeight="1">
      <c r="A33" s="52"/>
      <c r="B33" s="403" t="s">
        <v>315</v>
      </c>
      <c r="C33" s="394" t="str">
        <f t="shared" si="23"/>
        <v>General Service &lt; 50 kW.GA Disposition Rate Rider-NonRPP</v>
      </c>
      <c r="D33" s="395" t="s">
        <v>312</v>
      </c>
      <c r="E33" s="321"/>
      <c r="F33" s="413">
        <f>IFERROR(VLOOKUP($C33,'Proposed Rates'!$B:$J,F$11,FALSE),0)</f>
        <v>0</v>
      </c>
      <c r="G33" s="397">
        <f t="shared" si="24"/>
        <v>15000</v>
      </c>
      <c r="H33" s="399">
        <f t="shared" si="25"/>
        <v>0</v>
      </c>
      <c r="I33" s="484"/>
      <c r="J33" s="413">
        <f>IFERROR(VLOOKUP($C33,'Proposed Rates'!$B:$J,J$11,FALSE),0)</f>
        <v>0</v>
      </c>
      <c r="K33" s="397">
        <f t="shared" si="26"/>
        <v>15000</v>
      </c>
      <c r="L33" s="399">
        <f t="shared" si="27"/>
        <v>0</v>
      </c>
      <c r="M33" s="416"/>
      <c r="N33" s="400">
        <f t="shared" si="5"/>
        <v>0</v>
      </c>
      <c r="O33" s="401" t="str">
        <f t="shared" si="6"/>
        <v/>
      </c>
      <c r="P33" s="52"/>
      <c r="Q33" s="413">
        <f>IFERROR(VLOOKUP($C33,'Proposed Rates'!$B:$J,Q$11,FALSE),0)</f>
        <v>0</v>
      </c>
      <c r="R33" s="397">
        <f t="shared" si="28"/>
        <v>15000</v>
      </c>
      <c r="S33" s="399">
        <f t="shared" si="29"/>
        <v>0</v>
      </c>
      <c r="T33" s="416"/>
      <c r="U33" s="400">
        <f t="shared" si="9"/>
        <v>0</v>
      </c>
      <c r="V33" s="401" t="str">
        <f t="shared" si="10"/>
        <v/>
      </c>
      <c r="W33" s="52"/>
      <c r="X33" s="413">
        <f>IFERROR(VLOOKUP($C33,'Proposed Rates'!$B:$J,X$11,FALSE),0)</f>
        <v>0</v>
      </c>
      <c r="Y33" s="397">
        <f t="shared" si="30"/>
        <v>15000</v>
      </c>
      <c r="Z33" s="399">
        <f t="shared" si="31"/>
        <v>0</v>
      </c>
      <c r="AA33" s="416"/>
      <c r="AB33" s="400">
        <f t="shared" si="13"/>
        <v>0</v>
      </c>
      <c r="AC33" s="401" t="str">
        <f t="shared" si="14"/>
        <v/>
      </c>
      <c r="AD33" s="52"/>
      <c r="AE33" s="413">
        <f>IFERROR(VLOOKUP($C33,'Proposed Rates'!$B:$J,AE$11,FALSE),0)</f>
        <v>0</v>
      </c>
      <c r="AF33" s="397">
        <f t="shared" si="32"/>
        <v>15000</v>
      </c>
      <c r="AG33" s="399">
        <f t="shared" si="33"/>
        <v>0</v>
      </c>
      <c r="AH33" s="416"/>
      <c r="AI33" s="400">
        <f t="shared" si="17"/>
        <v>0</v>
      </c>
      <c r="AJ33" s="401" t="str">
        <f t="shared" si="18"/>
        <v/>
      </c>
      <c r="AK33" s="52"/>
      <c r="AL33" s="413">
        <f>IFERROR(VLOOKUP($C33,'Proposed Rates'!$B:$J,AL$11,FALSE),0)</f>
        <v>0</v>
      </c>
      <c r="AM33" s="397">
        <f t="shared" si="34"/>
        <v>15000</v>
      </c>
      <c r="AN33" s="399">
        <f t="shared" si="35"/>
        <v>0</v>
      </c>
      <c r="AO33" s="416"/>
      <c r="AP33" s="400">
        <f t="shared" si="21"/>
        <v>0</v>
      </c>
      <c r="AQ33" s="401" t="str">
        <f t="shared" si="22"/>
        <v/>
      </c>
      <c r="AR33" s="402"/>
    </row>
    <row r="34" spans="1:44" ht="12" customHeight="1">
      <c r="A34" s="52"/>
      <c r="B34" s="321" t="s">
        <v>273</v>
      </c>
      <c r="C34" s="394" t="str">
        <f t="shared" si="23"/>
        <v>General Service &lt; 50 kW.Low Voltage Service Charge</v>
      </c>
      <c r="D34" s="395" t="s">
        <v>312</v>
      </c>
      <c r="E34" s="321"/>
      <c r="F34" s="417">
        <f>IFERROR(VLOOKUP($C34,'Proposed Rates'!$B:$J,F$11,FALSE),0)</f>
        <v>5.0000000000000002E-5</v>
      </c>
      <c r="G34" s="418">
        <f>$F$10*(1+F$63)</f>
        <v>15507</v>
      </c>
      <c r="H34" s="399">
        <f t="shared" si="25"/>
        <v>0.77534999999999998</v>
      </c>
      <c r="I34" s="132"/>
      <c r="J34" s="417">
        <f>IFERROR(VLOOKUP($C34,'Proposed Rates'!$B:$J,J$11,FALSE),0)</f>
        <v>6.0000000000000002E-5</v>
      </c>
      <c r="K34" s="418">
        <f>$F$10*(1+J$63)</f>
        <v>15497.999999999998</v>
      </c>
      <c r="L34" s="399">
        <f t="shared" si="27"/>
        <v>0.92987999999999993</v>
      </c>
      <c r="M34" s="132"/>
      <c r="N34" s="400">
        <f t="shared" si="5"/>
        <v>0.15452999999999995</v>
      </c>
      <c r="O34" s="401">
        <f t="shared" si="6"/>
        <v>0.19930354033662209</v>
      </c>
      <c r="P34" s="52"/>
      <c r="Q34" s="417">
        <f>IFERROR(VLOOKUP($C34,'Proposed Rates'!$B:$J,Q$11,FALSE),0)</f>
        <v>6.0000000000000002E-5</v>
      </c>
      <c r="R34" s="418">
        <f>$F$10*(1+Q$63)</f>
        <v>15497.999999999998</v>
      </c>
      <c r="S34" s="399">
        <f t="shared" si="29"/>
        <v>0.92987999999999993</v>
      </c>
      <c r="T34" s="132"/>
      <c r="U34" s="400">
        <f t="shared" si="9"/>
        <v>0</v>
      </c>
      <c r="V34" s="401">
        <f t="shared" si="10"/>
        <v>0</v>
      </c>
      <c r="W34" s="52"/>
      <c r="X34" s="417">
        <f>IFERROR(VLOOKUP($C34,'Proposed Rates'!$B:$J,X$11,FALSE),0)</f>
        <v>6.0000000000000002E-5</v>
      </c>
      <c r="Y34" s="418">
        <f>$F$10*(1+X$63)</f>
        <v>15497.999999999998</v>
      </c>
      <c r="Z34" s="399">
        <f t="shared" si="31"/>
        <v>0.92987999999999993</v>
      </c>
      <c r="AA34" s="132"/>
      <c r="AB34" s="400">
        <f t="shared" si="13"/>
        <v>0</v>
      </c>
      <c r="AC34" s="401">
        <f t="shared" si="14"/>
        <v>0</v>
      </c>
      <c r="AD34" s="52"/>
      <c r="AE34" s="417">
        <f>IFERROR(VLOOKUP($C34,'Proposed Rates'!$B:$J,AE$11,FALSE),0)</f>
        <v>6.0000000000000002E-5</v>
      </c>
      <c r="AF34" s="418">
        <f>$F$10*(1+AE$63)</f>
        <v>15497.999999999998</v>
      </c>
      <c r="AG34" s="399">
        <f t="shared" si="33"/>
        <v>0.92987999999999993</v>
      </c>
      <c r="AH34" s="132"/>
      <c r="AI34" s="400">
        <f t="shared" si="17"/>
        <v>0</v>
      </c>
      <c r="AJ34" s="401">
        <f t="shared" si="18"/>
        <v>0</v>
      </c>
      <c r="AK34" s="52"/>
      <c r="AL34" s="417">
        <f>IFERROR(VLOOKUP($C34,'Proposed Rates'!$B:$J,AL$11,FALSE),0)</f>
        <v>6.0000000000000002E-5</v>
      </c>
      <c r="AM34" s="418">
        <f>$F$10*(1+AL$63)</f>
        <v>15497.999999999998</v>
      </c>
      <c r="AN34" s="399">
        <f t="shared" si="35"/>
        <v>0.92987999999999993</v>
      </c>
      <c r="AO34" s="132"/>
      <c r="AP34" s="400">
        <f t="shared" si="21"/>
        <v>0</v>
      </c>
      <c r="AQ34" s="401">
        <f t="shared" si="22"/>
        <v>0</v>
      </c>
      <c r="AR34" s="402"/>
    </row>
    <row r="35" spans="1:44" ht="12" customHeight="1">
      <c r="A35" s="52"/>
      <c r="B35" s="321" t="s">
        <v>316</v>
      </c>
      <c r="C35" s="394" t="str">
        <f t="shared" si="23"/>
        <v>General Service &lt; 50 kW.Line Losses on Cost of Power</v>
      </c>
      <c r="D35" s="395" t="s">
        <v>312</v>
      </c>
      <c r="E35" s="321"/>
      <c r="F35" s="419">
        <f>'Proposed Rates'!$K$253*F$44+'Proposed Rates'!$K$254*F$45+'Proposed Rates'!$K$255*F$46</f>
        <v>0.12752000000000002</v>
      </c>
      <c r="G35" s="506">
        <f>$F$10*(1+F$63)-$F$10</f>
        <v>507</v>
      </c>
      <c r="H35" s="399">
        <f t="shared" si="25"/>
        <v>64.652640000000005</v>
      </c>
      <c r="I35" s="132"/>
      <c r="J35" s="419">
        <f>'Proposed Rates'!$K$253*J$44+'Proposed Rates'!$K$254*J$45+'Proposed Rates'!$K$255*J$46</f>
        <v>0.12752000000000002</v>
      </c>
      <c r="K35" s="506">
        <f>$F$10*(1+J$63)-$F$10</f>
        <v>497.99999999999818</v>
      </c>
      <c r="L35" s="399">
        <f t="shared" si="27"/>
        <v>63.504959999999777</v>
      </c>
      <c r="M35" s="132"/>
      <c r="N35" s="400">
        <f t="shared" si="5"/>
        <v>-1.1476800000002285</v>
      </c>
      <c r="O35" s="401">
        <f t="shared" si="6"/>
        <v>-1.7751479289944361E-2</v>
      </c>
      <c r="P35" s="52"/>
      <c r="Q35" s="419">
        <f>'Proposed Rates'!$K$253*Q$44+'Proposed Rates'!$K$254*Q$45+'Proposed Rates'!$K$255*Q$46</f>
        <v>0.12752000000000002</v>
      </c>
      <c r="R35" s="506">
        <f>$F$10*(1+Q$63)-$F$10</f>
        <v>497.99999999999818</v>
      </c>
      <c r="S35" s="399">
        <f t="shared" si="29"/>
        <v>63.504959999999777</v>
      </c>
      <c r="T35" s="132"/>
      <c r="U35" s="400">
        <f t="shared" si="9"/>
        <v>0</v>
      </c>
      <c r="V35" s="401">
        <f t="shared" si="10"/>
        <v>0</v>
      </c>
      <c r="W35" s="52"/>
      <c r="X35" s="419">
        <f>'Proposed Rates'!$K$253*X$44+'Proposed Rates'!$K$254*X$45+'Proposed Rates'!$K$255*X$46</f>
        <v>0.12752000000000002</v>
      </c>
      <c r="Y35" s="506">
        <f>$F$10*(1+X$63)-$F$10</f>
        <v>497.99999999999818</v>
      </c>
      <c r="Z35" s="399">
        <f t="shared" si="31"/>
        <v>63.504959999999777</v>
      </c>
      <c r="AA35" s="132"/>
      <c r="AB35" s="400">
        <f t="shared" si="13"/>
        <v>0</v>
      </c>
      <c r="AC35" s="401">
        <f t="shared" si="14"/>
        <v>0</v>
      </c>
      <c r="AD35" s="52"/>
      <c r="AE35" s="419">
        <f>'Proposed Rates'!$K$253*AE$44+'Proposed Rates'!$K$254*AE$45+'Proposed Rates'!$K$255*AE$46</f>
        <v>0.12752000000000002</v>
      </c>
      <c r="AF35" s="506">
        <f>$F$10*(1+AE$63)-$F$10</f>
        <v>497.99999999999818</v>
      </c>
      <c r="AG35" s="399">
        <f t="shared" si="33"/>
        <v>63.504959999999777</v>
      </c>
      <c r="AH35" s="132"/>
      <c r="AI35" s="400">
        <f t="shared" si="17"/>
        <v>0</v>
      </c>
      <c r="AJ35" s="401">
        <f t="shared" si="18"/>
        <v>0</v>
      </c>
      <c r="AK35" s="52"/>
      <c r="AL35" s="419">
        <f>'Proposed Rates'!$K$253*AL$44+'Proposed Rates'!$K$254*AL$45+'Proposed Rates'!$K$255*AL$46</f>
        <v>0.12752000000000002</v>
      </c>
      <c r="AM35" s="506">
        <f>$F$10*(1+AL$63)-$F$10</f>
        <v>497.99999999999818</v>
      </c>
      <c r="AN35" s="399">
        <f t="shared" si="35"/>
        <v>63.504959999999777</v>
      </c>
      <c r="AO35" s="132"/>
      <c r="AP35" s="400">
        <f t="shared" si="21"/>
        <v>0</v>
      </c>
      <c r="AQ35" s="401">
        <f t="shared" si="22"/>
        <v>0</v>
      </c>
      <c r="AR35" s="402"/>
    </row>
    <row r="36" spans="1:44" ht="12" customHeight="1">
      <c r="A36" s="52"/>
      <c r="B36" s="321" t="s">
        <v>275</v>
      </c>
      <c r="C36" s="394" t="str">
        <f t="shared" si="23"/>
        <v>General Service &lt; 50 kW.Smart Meter Entity Charge</v>
      </c>
      <c r="D36" s="395" t="s">
        <v>310</v>
      </c>
      <c r="E36" s="321"/>
      <c r="F36" s="396">
        <f>IFERROR(VLOOKUP($C36,'Proposed Rates'!$B:$J,F$11,FALSE),0)</f>
        <v>0.42</v>
      </c>
      <c r="G36" s="397">
        <f>IF($D36="Monthly",1,IF($D36="per KWH",$F$10,0))</f>
        <v>1</v>
      </c>
      <c r="H36" s="399">
        <f t="shared" si="25"/>
        <v>0.42</v>
      </c>
      <c r="I36" s="132"/>
      <c r="J36" s="396">
        <f>IFERROR(VLOOKUP($C36,'Proposed Rates'!$B:$J,J$11,FALSE),0)</f>
        <v>0.42</v>
      </c>
      <c r="K36" s="397">
        <f>IF($D36="Monthly",1,IF($D36="per KWH",$F$10,0))</f>
        <v>1</v>
      </c>
      <c r="L36" s="399">
        <f t="shared" si="27"/>
        <v>0.42</v>
      </c>
      <c r="M36" s="132"/>
      <c r="N36" s="400">
        <f t="shared" si="5"/>
        <v>0</v>
      </c>
      <c r="O36" s="401">
        <f t="shared" si="6"/>
        <v>0</v>
      </c>
      <c r="P36" s="52"/>
      <c r="Q36" s="396">
        <f>IFERROR(VLOOKUP($C36,'Proposed Rates'!$B:$J,Q$11,FALSE),0)</f>
        <v>0.42</v>
      </c>
      <c r="R36" s="397">
        <f>IF($D36="Monthly",1,IF($D36="per KWH",$F$10,0))</f>
        <v>1</v>
      </c>
      <c r="S36" s="399">
        <f t="shared" si="29"/>
        <v>0.42</v>
      </c>
      <c r="T36" s="132"/>
      <c r="U36" s="400">
        <f t="shared" si="9"/>
        <v>0</v>
      </c>
      <c r="V36" s="401">
        <f t="shared" si="10"/>
        <v>0</v>
      </c>
      <c r="W36" s="52"/>
      <c r="X36" s="396">
        <f>IFERROR(VLOOKUP($C36,'Proposed Rates'!$B:$J,X$11,FALSE),0)</f>
        <v>0.43</v>
      </c>
      <c r="Y36" s="397">
        <f>IF($D36="Monthly",1,IF($D36="per KWH",$F$10,0))</f>
        <v>1</v>
      </c>
      <c r="Z36" s="399">
        <f t="shared" si="31"/>
        <v>0.43</v>
      </c>
      <c r="AA36" s="132"/>
      <c r="AB36" s="400">
        <f t="shared" si="13"/>
        <v>1.0000000000000009E-2</v>
      </c>
      <c r="AC36" s="401">
        <f t="shared" si="14"/>
        <v>2.3809523809523832E-2</v>
      </c>
      <c r="AD36" s="52"/>
      <c r="AE36" s="396">
        <f>IFERROR(VLOOKUP($C36,'Proposed Rates'!$B:$J,AE$11,FALSE),0)</f>
        <v>0.44</v>
      </c>
      <c r="AF36" s="397">
        <f>IF($D36="Monthly",1,IF($D36="per KWH",$F$10,0))</f>
        <v>1</v>
      </c>
      <c r="AG36" s="399">
        <f t="shared" si="33"/>
        <v>0.44</v>
      </c>
      <c r="AH36" s="132"/>
      <c r="AI36" s="400">
        <f t="shared" si="17"/>
        <v>1.0000000000000009E-2</v>
      </c>
      <c r="AJ36" s="401">
        <f t="shared" si="18"/>
        <v>2.3255813953488393E-2</v>
      </c>
      <c r="AK36" s="52"/>
      <c r="AL36" s="396">
        <f>IFERROR(VLOOKUP($C36,'Proposed Rates'!$B:$J,AL$11,FALSE),0)</f>
        <v>0.45</v>
      </c>
      <c r="AM36" s="397">
        <f>IF($D36="Monthly",1,IF($D36="per KWH",$F$10,0))</f>
        <v>1</v>
      </c>
      <c r="AN36" s="399">
        <f t="shared" si="35"/>
        <v>0.45</v>
      </c>
      <c r="AO36" s="132"/>
      <c r="AP36" s="400">
        <f t="shared" si="21"/>
        <v>1.0000000000000009E-2</v>
      </c>
      <c r="AQ36" s="401">
        <f t="shared" si="22"/>
        <v>2.2727272727272749E-2</v>
      </c>
      <c r="AR36" s="402"/>
    </row>
    <row r="37" spans="1:44" ht="12" customHeight="1">
      <c r="A37" s="52"/>
      <c r="B37" s="404" t="s">
        <v>317</v>
      </c>
      <c r="C37" s="421"/>
      <c r="D37" s="421"/>
      <c r="E37" s="421"/>
      <c r="F37" s="422"/>
      <c r="G37" s="500"/>
      <c r="H37" s="408">
        <f>SUM(H30:H36)+H29</f>
        <v>560.37798999999995</v>
      </c>
      <c r="I37" s="424"/>
      <c r="J37" s="422"/>
      <c r="K37" s="500"/>
      <c r="L37" s="408">
        <f>SUM(L30:L36)+L29</f>
        <v>612.49483999999973</v>
      </c>
      <c r="M37" s="424"/>
      <c r="N37" s="410">
        <f t="shared" si="5"/>
        <v>52.116849999999772</v>
      </c>
      <c r="O37" s="411">
        <f t="shared" si="6"/>
        <v>9.3003028188169523E-2</v>
      </c>
      <c r="P37" s="52"/>
      <c r="Q37" s="422"/>
      <c r="R37" s="500"/>
      <c r="S37" s="408">
        <f>SUM(S30:S36)+S29</f>
        <v>646.76483999999971</v>
      </c>
      <c r="T37" s="424"/>
      <c r="U37" s="410">
        <f t="shared" si="9"/>
        <v>34.269999999999982</v>
      </c>
      <c r="V37" s="411">
        <f t="shared" si="10"/>
        <v>5.5951491770934753E-2</v>
      </c>
      <c r="W37" s="52"/>
      <c r="X37" s="422"/>
      <c r="Y37" s="500"/>
      <c r="Z37" s="408">
        <f>SUM(Z30:Z36)+Z29</f>
        <v>684.65483999999969</v>
      </c>
      <c r="AA37" s="424"/>
      <c r="AB37" s="410">
        <f t="shared" si="13"/>
        <v>37.889999999999986</v>
      </c>
      <c r="AC37" s="411">
        <f t="shared" si="14"/>
        <v>5.8583889625168868E-2</v>
      </c>
      <c r="AD37" s="52"/>
      <c r="AE37" s="422"/>
      <c r="AF37" s="500"/>
      <c r="AG37" s="408">
        <f>SUM(AG30:AG36)+AG29</f>
        <v>695.73483999999985</v>
      </c>
      <c r="AH37" s="424"/>
      <c r="AI37" s="410">
        <f t="shared" si="17"/>
        <v>11.080000000000155</v>
      </c>
      <c r="AJ37" s="411">
        <f t="shared" si="18"/>
        <v>1.6183336993572061E-2</v>
      </c>
      <c r="AK37" s="52"/>
      <c r="AL37" s="422"/>
      <c r="AM37" s="500"/>
      <c r="AN37" s="408">
        <f>SUM(AN30:AN36)+AN29</f>
        <v>705.18483999999978</v>
      </c>
      <c r="AO37" s="424"/>
      <c r="AP37" s="410">
        <f t="shared" si="21"/>
        <v>9.4499999999999318</v>
      </c>
      <c r="AQ37" s="411">
        <f t="shared" si="22"/>
        <v>1.3582760926562099E-2</v>
      </c>
      <c r="AR37" s="412"/>
    </row>
    <row r="38" spans="1:44" ht="12" customHeight="1">
      <c r="A38" s="52"/>
      <c r="B38" s="132" t="s">
        <v>258</v>
      </c>
      <c r="C38" s="394" t="str">
        <f t="shared" ref="C38:C39" si="36">D$6&amp;"."&amp;B38</f>
        <v>General Service &lt; 50 kW.RTSR - Network</v>
      </c>
      <c r="D38" s="425" t="s">
        <v>312</v>
      </c>
      <c r="E38" s="132"/>
      <c r="F38" s="413">
        <f>IFERROR(VLOOKUP($C38,'Proposed Rates'!$B:$J,F$11,FALSE),0)</f>
        <v>1.18E-2</v>
      </c>
      <c r="G38" s="507">
        <f t="shared" ref="G38:G39" si="37">$F$10*(1+F$63)</f>
        <v>15507</v>
      </c>
      <c r="H38" s="399">
        <f t="shared" ref="H38:H39" si="38">G38*F38</f>
        <v>182.98259999999999</v>
      </c>
      <c r="I38" s="132"/>
      <c r="J38" s="413">
        <f>IFERROR(VLOOKUP($C38,'Proposed Rates'!$B:$J,J$11,FALSE),0)</f>
        <v>1.0699999999999999E-2</v>
      </c>
      <c r="K38" s="507">
        <f t="shared" ref="K38:K39" si="39">$F$10*(1+J$63)</f>
        <v>15497.999999999998</v>
      </c>
      <c r="L38" s="399">
        <f t="shared" ref="L38:L39" si="40">K38*J38</f>
        <v>165.82859999999997</v>
      </c>
      <c r="M38" s="132"/>
      <c r="N38" s="400">
        <f t="shared" si="5"/>
        <v>-17.154000000000025</v>
      </c>
      <c r="O38" s="401">
        <f t="shared" si="6"/>
        <v>-9.3746618530942433E-2</v>
      </c>
      <c r="P38" s="52"/>
      <c r="Q38" s="413">
        <f>IFERROR(VLOOKUP($C38,'Proposed Rates'!$B:$J,Q$11,FALSE),0)</f>
        <v>1.0699999999999999E-2</v>
      </c>
      <c r="R38" s="507">
        <f t="shared" ref="R38:R39" si="41">$F$10*(1+Q$63)</f>
        <v>15497.999999999998</v>
      </c>
      <c r="S38" s="399">
        <f t="shared" ref="S38:S39" si="42">R38*Q38</f>
        <v>165.82859999999997</v>
      </c>
      <c r="T38" s="132"/>
      <c r="U38" s="400">
        <f t="shared" si="9"/>
        <v>0</v>
      </c>
      <c r="V38" s="401">
        <f t="shared" si="10"/>
        <v>0</v>
      </c>
      <c r="W38" s="52"/>
      <c r="X38" s="413">
        <f>IFERROR(VLOOKUP($C38,'Proposed Rates'!$B:$J,X$11,FALSE),0)</f>
        <v>1.0699999999999999E-2</v>
      </c>
      <c r="Y38" s="507">
        <f t="shared" ref="Y38:Y39" si="43">$F$10*(1+X$63)</f>
        <v>15497.999999999998</v>
      </c>
      <c r="Z38" s="399">
        <f t="shared" ref="Z38:Z39" si="44">Y38*X38</f>
        <v>165.82859999999997</v>
      </c>
      <c r="AA38" s="132"/>
      <c r="AB38" s="400">
        <f t="shared" si="13"/>
        <v>0</v>
      </c>
      <c r="AC38" s="401">
        <f t="shared" si="14"/>
        <v>0</v>
      </c>
      <c r="AD38" s="52"/>
      <c r="AE38" s="413">
        <f>IFERROR(VLOOKUP($C38,'Proposed Rates'!$B:$J,AE$11,FALSE),0)</f>
        <v>1.0699999999999999E-2</v>
      </c>
      <c r="AF38" s="507">
        <f t="shared" ref="AF38:AF39" si="45">$F$10*(1+AE$63)</f>
        <v>15497.999999999998</v>
      </c>
      <c r="AG38" s="399">
        <f t="shared" ref="AG38:AG39" si="46">AF38*AE38</f>
        <v>165.82859999999997</v>
      </c>
      <c r="AH38" s="132"/>
      <c r="AI38" s="400">
        <f t="shared" si="17"/>
        <v>0</v>
      </c>
      <c r="AJ38" s="401">
        <f t="shared" si="18"/>
        <v>0</v>
      </c>
      <c r="AK38" s="52"/>
      <c r="AL38" s="413">
        <f>IFERROR(VLOOKUP($C38,'Proposed Rates'!$B:$J,AL$11,FALSE),0)</f>
        <v>1.0699999999999999E-2</v>
      </c>
      <c r="AM38" s="507">
        <f t="shared" ref="AM38:AM39" si="47">$F$10*(1+AL$63)</f>
        <v>15497.999999999998</v>
      </c>
      <c r="AN38" s="399">
        <f t="shared" ref="AN38:AN39" si="48">AM38*AL38</f>
        <v>165.82859999999997</v>
      </c>
      <c r="AO38" s="132"/>
      <c r="AP38" s="400">
        <f t="shared" si="21"/>
        <v>0</v>
      </c>
      <c r="AQ38" s="401">
        <f t="shared" si="22"/>
        <v>0</v>
      </c>
      <c r="AR38" s="402"/>
    </row>
    <row r="39" spans="1:44" ht="12" customHeight="1">
      <c r="A39" s="52"/>
      <c r="B39" s="132" t="s">
        <v>261</v>
      </c>
      <c r="C39" s="394" t="str">
        <f t="shared" si="36"/>
        <v>General Service &lt; 50 kW.RTSR - Line and Transformation Connection</v>
      </c>
      <c r="D39" s="425" t="s">
        <v>312</v>
      </c>
      <c r="E39" s="132"/>
      <c r="F39" s="413">
        <f>IFERROR(VLOOKUP($C39,'Proposed Rates'!$B:$J,F$11,FALSE),0)</f>
        <v>7.0000000000000001E-3</v>
      </c>
      <c r="G39" s="507">
        <f t="shared" si="37"/>
        <v>15507</v>
      </c>
      <c r="H39" s="399">
        <f t="shared" si="38"/>
        <v>108.54900000000001</v>
      </c>
      <c r="I39" s="132"/>
      <c r="J39" s="413">
        <f>IFERROR(VLOOKUP($C39,'Proposed Rates'!$B:$J,J$11,FALSE),0)</f>
        <v>6.1000000000000004E-3</v>
      </c>
      <c r="K39" s="507">
        <f t="shared" si="39"/>
        <v>15497.999999999998</v>
      </c>
      <c r="L39" s="399">
        <f t="shared" si="40"/>
        <v>94.53779999999999</v>
      </c>
      <c r="M39" s="132"/>
      <c r="N39" s="400">
        <f t="shared" si="5"/>
        <v>-14.011200000000017</v>
      </c>
      <c r="O39" s="401">
        <f t="shared" si="6"/>
        <v>-0.12907719094602452</v>
      </c>
      <c r="P39" s="52"/>
      <c r="Q39" s="413">
        <f>IFERROR(VLOOKUP($C39,'Proposed Rates'!$B:$J,Q$11,FALSE),0)</f>
        <v>6.1000000000000004E-3</v>
      </c>
      <c r="R39" s="507">
        <f t="shared" si="41"/>
        <v>15497.999999999998</v>
      </c>
      <c r="S39" s="399">
        <f t="shared" si="42"/>
        <v>94.53779999999999</v>
      </c>
      <c r="T39" s="132"/>
      <c r="U39" s="400">
        <f t="shared" si="9"/>
        <v>0</v>
      </c>
      <c r="V39" s="401">
        <f t="shared" si="10"/>
        <v>0</v>
      </c>
      <c r="W39" s="52"/>
      <c r="X39" s="413">
        <f>IFERROR(VLOOKUP($C39,'Proposed Rates'!$B:$J,X$11,FALSE),0)</f>
        <v>6.1000000000000004E-3</v>
      </c>
      <c r="Y39" s="507">
        <f t="shared" si="43"/>
        <v>15497.999999999998</v>
      </c>
      <c r="Z39" s="399">
        <f t="shared" si="44"/>
        <v>94.53779999999999</v>
      </c>
      <c r="AA39" s="132"/>
      <c r="AB39" s="400">
        <f t="shared" si="13"/>
        <v>0</v>
      </c>
      <c r="AC39" s="401">
        <f t="shared" si="14"/>
        <v>0</v>
      </c>
      <c r="AD39" s="52"/>
      <c r="AE39" s="413">
        <f>IFERROR(VLOOKUP($C39,'Proposed Rates'!$B:$J,AE$11,FALSE),0)</f>
        <v>6.1000000000000004E-3</v>
      </c>
      <c r="AF39" s="507">
        <f t="shared" si="45"/>
        <v>15497.999999999998</v>
      </c>
      <c r="AG39" s="399">
        <f t="shared" si="46"/>
        <v>94.53779999999999</v>
      </c>
      <c r="AH39" s="132"/>
      <c r="AI39" s="400">
        <f t="shared" si="17"/>
        <v>0</v>
      </c>
      <c r="AJ39" s="401">
        <f t="shared" si="18"/>
        <v>0</v>
      </c>
      <c r="AK39" s="52"/>
      <c r="AL39" s="413">
        <f>IFERROR(VLOOKUP($C39,'Proposed Rates'!$B:$J,AL$11,FALSE),0)</f>
        <v>6.1000000000000004E-3</v>
      </c>
      <c r="AM39" s="507">
        <f t="shared" si="47"/>
        <v>15497.999999999998</v>
      </c>
      <c r="AN39" s="399">
        <f t="shared" si="48"/>
        <v>94.53779999999999</v>
      </c>
      <c r="AO39" s="132"/>
      <c r="AP39" s="400">
        <f t="shared" si="21"/>
        <v>0</v>
      </c>
      <c r="AQ39" s="401">
        <f t="shared" si="22"/>
        <v>0</v>
      </c>
      <c r="AR39" s="402"/>
    </row>
    <row r="40" spans="1:44" ht="12" customHeight="1">
      <c r="A40" s="52"/>
      <c r="B40" s="404" t="s">
        <v>318</v>
      </c>
      <c r="C40" s="426"/>
      <c r="D40" s="426"/>
      <c r="E40" s="426"/>
      <c r="F40" s="427"/>
      <c r="G40" s="500"/>
      <c r="H40" s="408">
        <f>SUM(H37:H39)</f>
        <v>851.90958999999998</v>
      </c>
      <c r="I40" s="409"/>
      <c r="J40" s="427"/>
      <c r="K40" s="500"/>
      <c r="L40" s="408">
        <f>SUM(L37:L39)</f>
        <v>872.86123999999961</v>
      </c>
      <c r="M40" s="409"/>
      <c r="N40" s="410">
        <f t="shared" si="5"/>
        <v>20.951649999999631</v>
      </c>
      <c r="O40" s="411">
        <f t="shared" si="6"/>
        <v>2.4593748263826484E-2</v>
      </c>
      <c r="P40" s="52"/>
      <c r="Q40" s="427"/>
      <c r="R40" s="500"/>
      <c r="S40" s="408">
        <f>SUM(S37:S39)</f>
        <v>907.13123999999959</v>
      </c>
      <c r="T40" s="409"/>
      <c r="U40" s="410">
        <f t="shared" si="9"/>
        <v>34.269999999999982</v>
      </c>
      <c r="V40" s="411">
        <f t="shared" si="10"/>
        <v>3.9261681501632492E-2</v>
      </c>
      <c r="W40" s="52"/>
      <c r="X40" s="427"/>
      <c r="Y40" s="500"/>
      <c r="Z40" s="408">
        <f>SUM(Z37:Z39)</f>
        <v>945.02123999999958</v>
      </c>
      <c r="AA40" s="409"/>
      <c r="AB40" s="410">
        <f t="shared" si="13"/>
        <v>37.889999999999986</v>
      </c>
      <c r="AC40" s="411">
        <f t="shared" si="14"/>
        <v>4.1769038843817136E-2</v>
      </c>
      <c r="AD40" s="52"/>
      <c r="AE40" s="427"/>
      <c r="AF40" s="500"/>
      <c r="AG40" s="408">
        <f>SUM(AG37:AG39)</f>
        <v>956.10123999999973</v>
      </c>
      <c r="AH40" s="409"/>
      <c r="AI40" s="410">
        <f t="shared" si="17"/>
        <v>11.080000000000155</v>
      </c>
      <c r="AJ40" s="411">
        <f t="shared" si="18"/>
        <v>1.1724604200430627E-2</v>
      </c>
      <c r="AK40" s="52"/>
      <c r="AL40" s="427"/>
      <c r="AM40" s="500"/>
      <c r="AN40" s="408">
        <f>SUM(AN37:AN39)</f>
        <v>965.55123999999967</v>
      </c>
      <c r="AO40" s="409"/>
      <c r="AP40" s="410">
        <f t="shared" si="21"/>
        <v>9.4499999999999318</v>
      </c>
      <c r="AQ40" s="411">
        <f t="shared" si="22"/>
        <v>9.8838905386211349E-3</v>
      </c>
      <c r="AR40" s="412"/>
    </row>
    <row r="41" spans="1:44" ht="12" customHeight="1">
      <c r="A41" s="52"/>
      <c r="B41" s="321" t="s">
        <v>262</v>
      </c>
      <c r="C41" s="394" t="str">
        <f t="shared" ref="C41:C48" si="49">D$6&amp;"."&amp;B41</f>
        <v>General Service &lt; 50 kW.Wholesale Market Service Charge (WMSC)</v>
      </c>
      <c r="D41" s="395" t="s">
        <v>312</v>
      </c>
      <c r="E41" s="321"/>
      <c r="F41" s="413">
        <f>IFERROR(VLOOKUP($C41,'Proposed Rates'!$B:$J,F$11,FALSE),0)</f>
        <v>4.4999999999999997E-3</v>
      </c>
      <c r="G41" s="507">
        <f t="shared" ref="G41:G42" si="50">$F$10*(1+F$63)</f>
        <v>15507</v>
      </c>
      <c r="H41" s="399">
        <f t="shared" ref="H41:H48" si="51">G41*F41</f>
        <v>69.781499999999994</v>
      </c>
      <c r="I41" s="132"/>
      <c r="J41" s="413">
        <f>IFERROR(VLOOKUP($C41,'Proposed Rates'!$B:$J,J$11,FALSE),0)</f>
        <v>4.7000000000000002E-3</v>
      </c>
      <c r="K41" s="507">
        <f t="shared" ref="K41:K42" si="52">$F$10*(1+J$63)</f>
        <v>15497.999999999998</v>
      </c>
      <c r="L41" s="399">
        <f t="shared" ref="L41:L48" si="53">K41*J41</f>
        <v>72.840599999999995</v>
      </c>
      <c r="M41" s="132"/>
      <c r="N41" s="400">
        <f t="shared" si="5"/>
        <v>3.0591000000000008</v>
      </c>
      <c r="O41" s="401">
        <f t="shared" si="6"/>
        <v>4.3838266589282276E-2</v>
      </c>
      <c r="P41" s="52"/>
      <c r="Q41" s="413">
        <f>IFERROR(VLOOKUP($C41,'Proposed Rates'!$B:$J,Q$11,FALSE),0)</f>
        <v>4.7000000000000002E-3</v>
      </c>
      <c r="R41" s="507">
        <f t="shared" ref="R41:R42" si="54">$F$10*(1+Q$63)</f>
        <v>15497.999999999998</v>
      </c>
      <c r="S41" s="399">
        <f t="shared" ref="S41:S48" si="55">R41*Q41</f>
        <v>72.840599999999995</v>
      </c>
      <c r="T41" s="132"/>
      <c r="U41" s="400">
        <f t="shared" si="9"/>
        <v>0</v>
      </c>
      <c r="V41" s="401">
        <f t="shared" si="10"/>
        <v>0</v>
      </c>
      <c r="W41" s="52"/>
      <c r="X41" s="413">
        <f>IFERROR(VLOOKUP($C41,'Proposed Rates'!$B:$J,X$11,FALSE),0)</f>
        <v>4.7000000000000002E-3</v>
      </c>
      <c r="Y41" s="507">
        <f t="shared" ref="Y41:Y42" si="56">$F$10*(1+X$63)</f>
        <v>15497.999999999998</v>
      </c>
      <c r="Z41" s="399">
        <f t="shared" ref="Z41:Z48" si="57">Y41*X41</f>
        <v>72.840599999999995</v>
      </c>
      <c r="AA41" s="132"/>
      <c r="AB41" s="400">
        <f t="shared" si="13"/>
        <v>0</v>
      </c>
      <c r="AC41" s="401">
        <f t="shared" si="14"/>
        <v>0</v>
      </c>
      <c r="AD41" s="52"/>
      <c r="AE41" s="413">
        <f>IFERROR(VLOOKUP($C41,'Proposed Rates'!$B:$J,AE$11,FALSE),0)</f>
        <v>4.7000000000000002E-3</v>
      </c>
      <c r="AF41" s="507">
        <f t="shared" ref="AF41:AF42" si="58">$F$10*(1+AE$63)</f>
        <v>15497.999999999998</v>
      </c>
      <c r="AG41" s="399">
        <f t="shared" ref="AG41:AG48" si="59">AF41*AE41</f>
        <v>72.840599999999995</v>
      </c>
      <c r="AH41" s="132"/>
      <c r="AI41" s="400">
        <f t="shared" si="17"/>
        <v>0</v>
      </c>
      <c r="AJ41" s="401">
        <f t="shared" si="18"/>
        <v>0</v>
      </c>
      <c r="AK41" s="52"/>
      <c r="AL41" s="413">
        <f>IFERROR(VLOOKUP($C41,'Proposed Rates'!$B:$J,AL$11,FALSE),0)</f>
        <v>4.7000000000000002E-3</v>
      </c>
      <c r="AM41" s="507">
        <f t="shared" ref="AM41:AM42" si="60">$F$10*(1+AL$63)</f>
        <v>15497.999999999998</v>
      </c>
      <c r="AN41" s="399">
        <f t="shared" ref="AN41:AN48" si="61">AM41*AL41</f>
        <v>72.840599999999995</v>
      </c>
      <c r="AO41" s="132"/>
      <c r="AP41" s="400">
        <f t="shared" si="21"/>
        <v>0</v>
      </c>
      <c r="AQ41" s="401">
        <f t="shared" si="22"/>
        <v>0</v>
      </c>
      <c r="AR41" s="402"/>
    </row>
    <row r="42" spans="1:44" ht="12" customHeight="1">
      <c r="A42" s="52"/>
      <c r="B42" s="321" t="s">
        <v>263</v>
      </c>
      <c r="C42" s="394" t="str">
        <f t="shared" si="49"/>
        <v>General Service &lt; 50 kW.Rural and Remote Rate Protection (RRRP)</v>
      </c>
      <c r="D42" s="395" t="s">
        <v>312</v>
      </c>
      <c r="E42" s="321"/>
      <c r="F42" s="413">
        <f>IFERROR(VLOOKUP($C42,'Proposed Rates'!$B:$J,F$11,FALSE),0)</f>
        <v>1.5E-3</v>
      </c>
      <c r="G42" s="507">
        <f t="shared" si="50"/>
        <v>15507</v>
      </c>
      <c r="H42" s="399">
        <f t="shared" si="51"/>
        <v>23.2605</v>
      </c>
      <c r="I42" s="132"/>
      <c r="J42" s="413">
        <f>IFERROR(VLOOKUP($C42,'Proposed Rates'!$B:$J,J$11,FALSE),0)</f>
        <v>5.9999999999999995E-4</v>
      </c>
      <c r="K42" s="507">
        <f t="shared" si="52"/>
        <v>15497.999999999998</v>
      </c>
      <c r="L42" s="399">
        <f t="shared" si="53"/>
        <v>9.2987999999999982</v>
      </c>
      <c r="M42" s="132"/>
      <c r="N42" s="400">
        <f t="shared" si="5"/>
        <v>-13.961700000000002</v>
      </c>
      <c r="O42" s="401">
        <f t="shared" si="6"/>
        <v>-0.600232153221126</v>
      </c>
      <c r="P42" s="52"/>
      <c r="Q42" s="413">
        <f>IFERROR(VLOOKUP($C42,'Proposed Rates'!$B:$J,Q$11,FALSE),0)</f>
        <v>5.9999999999999995E-4</v>
      </c>
      <c r="R42" s="507">
        <f t="shared" si="54"/>
        <v>15497.999999999998</v>
      </c>
      <c r="S42" s="399">
        <f t="shared" si="55"/>
        <v>9.2987999999999982</v>
      </c>
      <c r="T42" s="132"/>
      <c r="U42" s="400">
        <f t="shared" si="9"/>
        <v>0</v>
      </c>
      <c r="V42" s="401">
        <f t="shared" si="10"/>
        <v>0</v>
      </c>
      <c r="W42" s="52"/>
      <c r="X42" s="413">
        <f>IFERROR(VLOOKUP($C42,'Proposed Rates'!$B:$J,X$11,FALSE),0)</f>
        <v>5.9999999999999995E-4</v>
      </c>
      <c r="Y42" s="507">
        <f t="shared" si="56"/>
        <v>15497.999999999998</v>
      </c>
      <c r="Z42" s="399">
        <f t="shared" si="57"/>
        <v>9.2987999999999982</v>
      </c>
      <c r="AA42" s="132"/>
      <c r="AB42" s="400">
        <f t="shared" si="13"/>
        <v>0</v>
      </c>
      <c r="AC42" s="401">
        <f t="shared" si="14"/>
        <v>0</v>
      </c>
      <c r="AD42" s="52"/>
      <c r="AE42" s="413">
        <f>IFERROR(VLOOKUP($C42,'Proposed Rates'!$B:$J,AE$11,FALSE),0)</f>
        <v>5.9999999999999995E-4</v>
      </c>
      <c r="AF42" s="507">
        <f t="shared" si="58"/>
        <v>15497.999999999998</v>
      </c>
      <c r="AG42" s="399">
        <f t="shared" si="59"/>
        <v>9.2987999999999982</v>
      </c>
      <c r="AH42" s="132"/>
      <c r="AI42" s="400">
        <f t="shared" si="17"/>
        <v>0</v>
      </c>
      <c r="AJ42" s="401">
        <f t="shared" si="18"/>
        <v>0</v>
      </c>
      <c r="AK42" s="52"/>
      <c r="AL42" s="413">
        <f>IFERROR(VLOOKUP($C42,'Proposed Rates'!$B:$J,AL$11,FALSE),0)</f>
        <v>5.9999999999999995E-4</v>
      </c>
      <c r="AM42" s="507">
        <f t="shared" si="60"/>
        <v>15497.999999999998</v>
      </c>
      <c r="AN42" s="399">
        <f t="shared" si="61"/>
        <v>9.2987999999999982</v>
      </c>
      <c r="AO42" s="132"/>
      <c r="AP42" s="400">
        <f t="shared" si="21"/>
        <v>0</v>
      </c>
      <c r="AQ42" s="401">
        <f t="shared" si="22"/>
        <v>0</v>
      </c>
      <c r="AR42" s="402"/>
    </row>
    <row r="43" spans="1:44" ht="12" customHeight="1">
      <c r="A43" s="52"/>
      <c r="B43" s="321" t="s">
        <v>264</v>
      </c>
      <c r="C43" s="394" t="str">
        <f t="shared" si="49"/>
        <v>General Service &lt; 50 kW.Standard Supply Service Charge</v>
      </c>
      <c r="D43" s="395" t="s">
        <v>310</v>
      </c>
      <c r="E43" s="321"/>
      <c r="F43" s="396">
        <f>IFERROR(VLOOKUP($C43,'Proposed Rates'!$B:$J,F$11,FALSE),0)</f>
        <v>0.25</v>
      </c>
      <c r="G43" s="397">
        <f>IF($D43="Monthly",1,IF($D43="per KWH",$F$10,0))</f>
        <v>1</v>
      </c>
      <c r="H43" s="399">
        <f t="shared" si="51"/>
        <v>0.25</v>
      </c>
      <c r="I43" s="132"/>
      <c r="J43" s="396">
        <f>IFERROR(VLOOKUP($C43,'Proposed Rates'!$B:$J,J$11,FALSE),0)</f>
        <v>0.25</v>
      </c>
      <c r="K43" s="397">
        <f>IF($D43="Monthly",1,IF($D43="per KWH",$F$10,0))</f>
        <v>1</v>
      </c>
      <c r="L43" s="399">
        <f t="shared" si="53"/>
        <v>0.25</v>
      </c>
      <c r="M43" s="132"/>
      <c r="N43" s="400">
        <f t="shared" si="5"/>
        <v>0</v>
      </c>
      <c r="O43" s="401">
        <f t="shared" si="6"/>
        <v>0</v>
      </c>
      <c r="P43" s="52"/>
      <c r="Q43" s="396">
        <f>IFERROR(VLOOKUP($C43,'Proposed Rates'!$B:$J,Q$11,FALSE),0)</f>
        <v>0.25</v>
      </c>
      <c r="R43" s="397">
        <f>IF($D43="Monthly",1,IF($D43="per KWH",$F$10,0))</f>
        <v>1</v>
      </c>
      <c r="S43" s="399">
        <f t="shared" si="55"/>
        <v>0.25</v>
      </c>
      <c r="T43" s="132"/>
      <c r="U43" s="400">
        <f t="shared" si="9"/>
        <v>0</v>
      </c>
      <c r="V43" s="401">
        <f t="shared" si="10"/>
        <v>0</v>
      </c>
      <c r="W43" s="52"/>
      <c r="X43" s="396">
        <f>IFERROR(VLOOKUP($C43,'Proposed Rates'!$B:$J,X$11,FALSE),0)</f>
        <v>0.25</v>
      </c>
      <c r="Y43" s="397">
        <f>IF($D43="Monthly",1,IF($D43="per KWH",$F$10,0))</f>
        <v>1</v>
      </c>
      <c r="Z43" s="399">
        <f t="shared" si="57"/>
        <v>0.25</v>
      </c>
      <c r="AA43" s="132"/>
      <c r="AB43" s="400">
        <f t="shared" si="13"/>
        <v>0</v>
      </c>
      <c r="AC43" s="401">
        <f t="shared" si="14"/>
        <v>0</v>
      </c>
      <c r="AD43" s="52"/>
      <c r="AE43" s="396">
        <f>IFERROR(VLOOKUP($C43,'Proposed Rates'!$B:$J,AE$11,FALSE),0)</f>
        <v>0.25</v>
      </c>
      <c r="AF43" s="397">
        <f>IF($D43="Monthly",1,IF($D43="per KWH",$F$10,0))</f>
        <v>1</v>
      </c>
      <c r="AG43" s="399">
        <f t="shared" si="59"/>
        <v>0.25</v>
      </c>
      <c r="AH43" s="132"/>
      <c r="AI43" s="400">
        <f t="shared" si="17"/>
        <v>0</v>
      </c>
      <c r="AJ43" s="401">
        <f t="shared" si="18"/>
        <v>0</v>
      </c>
      <c r="AK43" s="52"/>
      <c r="AL43" s="396">
        <f>IFERROR(VLOOKUP($C43,'Proposed Rates'!$B:$J,AL$11,FALSE),0)</f>
        <v>0.25</v>
      </c>
      <c r="AM43" s="397">
        <f>IF($D43="Monthly",1,IF($D43="per KWH",$F$10,0))</f>
        <v>1</v>
      </c>
      <c r="AN43" s="399">
        <f t="shared" si="61"/>
        <v>0.25</v>
      </c>
      <c r="AO43" s="132"/>
      <c r="AP43" s="400">
        <f t="shared" si="21"/>
        <v>0</v>
      </c>
      <c r="AQ43" s="401">
        <f t="shared" si="22"/>
        <v>0</v>
      </c>
      <c r="AR43" s="402"/>
    </row>
    <row r="44" spans="1:44" ht="12" customHeight="1">
      <c r="A44" s="52"/>
      <c r="B44" s="321" t="s">
        <v>266</v>
      </c>
      <c r="C44" s="394" t="str">
        <f t="shared" si="49"/>
        <v>General Service &lt; 50 kW.TOU - Off Peak</v>
      </c>
      <c r="D44" s="395" t="s">
        <v>312</v>
      </c>
      <c r="E44" s="321"/>
      <c r="F44" s="429">
        <f>VLOOKUP($B44,'Proposed Rates'!$D$252:$J$258,+F$11-2,FALSE)</f>
        <v>9.8000000000000004E-2</v>
      </c>
      <c r="G44" s="507">
        <f>'Proposed Rates'!$K$253*$F$10</f>
        <v>9600</v>
      </c>
      <c r="H44" s="399">
        <f t="shared" si="51"/>
        <v>940.80000000000007</v>
      </c>
      <c r="I44" s="132"/>
      <c r="J44" s="429">
        <f>VLOOKUP($B44,'Proposed Rates'!$D$252:$J$258,+J$11-2,FALSE)</f>
        <v>9.8000000000000004E-2</v>
      </c>
      <c r="K44" s="507">
        <f>'Proposed Rates'!$K$253*$F$10</f>
        <v>9600</v>
      </c>
      <c r="L44" s="399">
        <f t="shared" si="53"/>
        <v>940.80000000000007</v>
      </c>
      <c r="M44" s="132"/>
      <c r="N44" s="400">
        <f t="shared" si="5"/>
        <v>0</v>
      </c>
      <c r="O44" s="401">
        <f t="shared" si="6"/>
        <v>0</v>
      </c>
      <c r="P44" s="52"/>
      <c r="Q44" s="429">
        <f>VLOOKUP($B44,'Proposed Rates'!$D$252:$J$258,+Q$11-2,FALSE)</f>
        <v>9.8000000000000004E-2</v>
      </c>
      <c r="R44" s="507">
        <f>'Proposed Rates'!$K$253*$F$10</f>
        <v>9600</v>
      </c>
      <c r="S44" s="399">
        <f t="shared" si="55"/>
        <v>940.80000000000007</v>
      </c>
      <c r="T44" s="132"/>
      <c r="U44" s="400">
        <f t="shared" si="9"/>
        <v>0</v>
      </c>
      <c r="V44" s="401">
        <f t="shared" si="10"/>
        <v>0</v>
      </c>
      <c r="W44" s="52"/>
      <c r="X44" s="429">
        <f>VLOOKUP($B44,'Proposed Rates'!$D$252:$J$258,+X$11-2,FALSE)</f>
        <v>9.8000000000000004E-2</v>
      </c>
      <c r="Y44" s="507">
        <f>'Proposed Rates'!$K$253*$F$10</f>
        <v>9600</v>
      </c>
      <c r="Z44" s="399">
        <f t="shared" si="57"/>
        <v>940.80000000000007</v>
      </c>
      <c r="AA44" s="132"/>
      <c r="AB44" s="400">
        <f t="shared" si="13"/>
        <v>0</v>
      </c>
      <c r="AC44" s="401">
        <f t="shared" si="14"/>
        <v>0</v>
      </c>
      <c r="AD44" s="52"/>
      <c r="AE44" s="429">
        <f>VLOOKUP($B44,'Proposed Rates'!$D$252:$J$258,+AE$11-2,FALSE)</f>
        <v>9.8000000000000004E-2</v>
      </c>
      <c r="AF44" s="507">
        <f>'Proposed Rates'!$K$253*$F$10</f>
        <v>9600</v>
      </c>
      <c r="AG44" s="399">
        <f t="shared" si="59"/>
        <v>940.80000000000007</v>
      </c>
      <c r="AH44" s="132"/>
      <c r="AI44" s="400">
        <f t="shared" si="17"/>
        <v>0</v>
      </c>
      <c r="AJ44" s="401">
        <f t="shared" si="18"/>
        <v>0</v>
      </c>
      <c r="AK44" s="52"/>
      <c r="AL44" s="429">
        <f>VLOOKUP($B44,'Proposed Rates'!$D$252:$J$258,+AL$11-2,FALSE)</f>
        <v>9.8000000000000004E-2</v>
      </c>
      <c r="AM44" s="507">
        <f>'Proposed Rates'!$K$253*$F$10</f>
        <v>9600</v>
      </c>
      <c r="AN44" s="399">
        <f t="shared" si="61"/>
        <v>940.80000000000007</v>
      </c>
      <c r="AO44" s="132"/>
      <c r="AP44" s="400">
        <f t="shared" si="21"/>
        <v>0</v>
      </c>
      <c r="AQ44" s="401">
        <f t="shared" si="22"/>
        <v>0</v>
      </c>
      <c r="AR44" s="402"/>
    </row>
    <row r="45" spans="1:44" ht="12" customHeight="1">
      <c r="A45" s="52"/>
      <c r="B45" s="321" t="s">
        <v>267</v>
      </c>
      <c r="C45" s="394" t="str">
        <f t="shared" si="49"/>
        <v>General Service &lt; 50 kW.TOU - Mid Peak</v>
      </c>
      <c r="D45" s="395" t="s">
        <v>312</v>
      </c>
      <c r="E45" s="321"/>
      <c r="F45" s="429">
        <f>VLOOKUP($B45,'Proposed Rates'!$D$252:$J$258,+F$11-2,FALSE)</f>
        <v>0.157</v>
      </c>
      <c r="G45" s="507">
        <f>'Proposed Rates'!$K$254*$F$10</f>
        <v>2700</v>
      </c>
      <c r="H45" s="399">
        <f t="shared" si="51"/>
        <v>423.9</v>
      </c>
      <c r="I45" s="132"/>
      <c r="J45" s="429">
        <f>VLOOKUP($B45,'Proposed Rates'!$D$252:$J$258,+J$11-2,FALSE)</f>
        <v>0.157</v>
      </c>
      <c r="K45" s="507">
        <f>'Proposed Rates'!$K$254*$F$10</f>
        <v>2700</v>
      </c>
      <c r="L45" s="399">
        <f t="shared" si="53"/>
        <v>423.9</v>
      </c>
      <c r="M45" s="132"/>
      <c r="N45" s="400">
        <f t="shared" si="5"/>
        <v>0</v>
      </c>
      <c r="O45" s="401">
        <f t="shared" si="6"/>
        <v>0</v>
      </c>
      <c r="P45" s="52"/>
      <c r="Q45" s="429">
        <f>VLOOKUP($B45,'Proposed Rates'!$D$252:$J$258,+Q$11-2,FALSE)</f>
        <v>0.157</v>
      </c>
      <c r="R45" s="507">
        <f>'Proposed Rates'!$K$254*$F$10</f>
        <v>2700</v>
      </c>
      <c r="S45" s="399">
        <f t="shared" si="55"/>
        <v>423.9</v>
      </c>
      <c r="T45" s="132"/>
      <c r="U45" s="400">
        <f t="shared" si="9"/>
        <v>0</v>
      </c>
      <c r="V45" s="401">
        <f t="shared" si="10"/>
        <v>0</v>
      </c>
      <c r="W45" s="52"/>
      <c r="X45" s="429">
        <f>VLOOKUP($B45,'Proposed Rates'!$D$252:$J$258,+X$11-2,FALSE)</f>
        <v>0.157</v>
      </c>
      <c r="Y45" s="507">
        <f>'Proposed Rates'!$K$254*$F$10</f>
        <v>2700</v>
      </c>
      <c r="Z45" s="399">
        <f t="shared" si="57"/>
        <v>423.9</v>
      </c>
      <c r="AA45" s="132"/>
      <c r="AB45" s="400">
        <f t="shared" si="13"/>
        <v>0</v>
      </c>
      <c r="AC45" s="401">
        <f t="shared" si="14"/>
        <v>0</v>
      </c>
      <c r="AD45" s="52"/>
      <c r="AE45" s="429">
        <f>VLOOKUP($B45,'Proposed Rates'!$D$252:$J$258,+AE$11-2,FALSE)</f>
        <v>0.157</v>
      </c>
      <c r="AF45" s="507">
        <f>'Proposed Rates'!$K$254*$F$10</f>
        <v>2700</v>
      </c>
      <c r="AG45" s="399">
        <f t="shared" si="59"/>
        <v>423.9</v>
      </c>
      <c r="AH45" s="132"/>
      <c r="AI45" s="400">
        <f t="shared" si="17"/>
        <v>0</v>
      </c>
      <c r="AJ45" s="401">
        <f t="shared" si="18"/>
        <v>0</v>
      </c>
      <c r="AK45" s="52"/>
      <c r="AL45" s="429">
        <f>VLOOKUP($B45,'Proposed Rates'!$D$252:$J$258,+AL$11-2,FALSE)</f>
        <v>0.157</v>
      </c>
      <c r="AM45" s="507">
        <f>'Proposed Rates'!$K$254*$F$10</f>
        <v>2700</v>
      </c>
      <c r="AN45" s="399">
        <f t="shared" si="61"/>
        <v>423.9</v>
      </c>
      <c r="AO45" s="132"/>
      <c r="AP45" s="400">
        <f t="shared" si="21"/>
        <v>0</v>
      </c>
      <c r="AQ45" s="401">
        <f t="shared" si="22"/>
        <v>0</v>
      </c>
      <c r="AR45" s="402"/>
    </row>
    <row r="46" spans="1:44" ht="12" customHeight="1">
      <c r="A46" s="52"/>
      <c r="B46" s="52" t="s">
        <v>268</v>
      </c>
      <c r="C46" s="394" t="str">
        <f t="shared" si="49"/>
        <v>General Service &lt; 50 kW.TOU - On Peak</v>
      </c>
      <c r="D46" s="395" t="s">
        <v>312</v>
      </c>
      <c r="E46" s="321"/>
      <c r="F46" s="429">
        <f>VLOOKUP($B46,'Proposed Rates'!$D$252:$J$258,+F$11-2,FALSE)</f>
        <v>0.20300000000000001</v>
      </c>
      <c r="G46" s="507">
        <f>'Proposed Rates'!$K$255*$F$10</f>
        <v>2700</v>
      </c>
      <c r="H46" s="399">
        <f t="shared" si="51"/>
        <v>548.1</v>
      </c>
      <c r="I46" s="132"/>
      <c r="J46" s="429">
        <f>VLOOKUP($B46,'Proposed Rates'!$D$252:$J$258,+J$11-2,FALSE)</f>
        <v>0.20300000000000001</v>
      </c>
      <c r="K46" s="507">
        <f>'Proposed Rates'!$K$255*$F$10</f>
        <v>2700</v>
      </c>
      <c r="L46" s="399">
        <f t="shared" si="53"/>
        <v>548.1</v>
      </c>
      <c r="M46" s="132"/>
      <c r="N46" s="400">
        <f t="shared" si="5"/>
        <v>0</v>
      </c>
      <c r="O46" s="401">
        <f t="shared" si="6"/>
        <v>0</v>
      </c>
      <c r="P46" s="52"/>
      <c r="Q46" s="429">
        <f>VLOOKUP($B46,'Proposed Rates'!$D$252:$J$258,+Q$11-2,FALSE)</f>
        <v>0.20300000000000001</v>
      </c>
      <c r="R46" s="507">
        <f>'Proposed Rates'!$K$255*$F$10</f>
        <v>2700</v>
      </c>
      <c r="S46" s="399">
        <f t="shared" si="55"/>
        <v>548.1</v>
      </c>
      <c r="T46" s="132"/>
      <c r="U46" s="400">
        <f t="shared" si="9"/>
        <v>0</v>
      </c>
      <c r="V46" s="401">
        <f t="shared" si="10"/>
        <v>0</v>
      </c>
      <c r="W46" s="52"/>
      <c r="X46" s="429">
        <f>VLOOKUP($B46,'Proposed Rates'!$D$252:$J$258,+X$11-2,FALSE)</f>
        <v>0.20300000000000001</v>
      </c>
      <c r="Y46" s="507">
        <f>'Proposed Rates'!$K$255*$F$10</f>
        <v>2700</v>
      </c>
      <c r="Z46" s="399">
        <f t="shared" si="57"/>
        <v>548.1</v>
      </c>
      <c r="AA46" s="132"/>
      <c r="AB46" s="400">
        <f t="shared" si="13"/>
        <v>0</v>
      </c>
      <c r="AC46" s="401">
        <f t="shared" si="14"/>
        <v>0</v>
      </c>
      <c r="AD46" s="52"/>
      <c r="AE46" s="429">
        <f>VLOOKUP($B46,'Proposed Rates'!$D$252:$J$258,+AE$11-2,FALSE)</f>
        <v>0.20300000000000001</v>
      </c>
      <c r="AF46" s="507">
        <f>'Proposed Rates'!$K$255*$F$10</f>
        <v>2700</v>
      </c>
      <c r="AG46" s="399">
        <f t="shared" si="59"/>
        <v>548.1</v>
      </c>
      <c r="AH46" s="132"/>
      <c r="AI46" s="400">
        <f t="shared" si="17"/>
        <v>0</v>
      </c>
      <c r="AJ46" s="401">
        <f t="shared" si="18"/>
        <v>0</v>
      </c>
      <c r="AK46" s="52"/>
      <c r="AL46" s="429">
        <f>VLOOKUP($B46,'Proposed Rates'!$D$252:$J$258,+AL$11-2,FALSE)</f>
        <v>0.20300000000000001</v>
      </c>
      <c r="AM46" s="507">
        <f>'Proposed Rates'!$K$255*$F$10</f>
        <v>2700</v>
      </c>
      <c r="AN46" s="399">
        <f t="shared" si="61"/>
        <v>548.1</v>
      </c>
      <c r="AO46" s="132"/>
      <c r="AP46" s="400">
        <f t="shared" si="21"/>
        <v>0</v>
      </c>
      <c r="AQ46" s="401">
        <f t="shared" si="22"/>
        <v>0</v>
      </c>
      <c r="AR46" s="402"/>
    </row>
    <row r="47" spans="1:44" ht="12" customHeight="1">
      <c r="A47" s="52"/>
      <c r="B47" s="321" t="s">
        <v>269</v>
      </c>
      <c r="C47" s="394" t="str">
        <f t="shared" si="49"/>
        <v>General Service &lt; 50 kW.Energy - RPP - Tier 1</v>
      </c>
      <c r="D47" s="395" t="s">
        <v>312</v>
      </c>
      <c r="E47" s="321"/>
      <c r="F47" s="429">
        <f>VLOOKUP($B47,'Proposed Rates'!$D$252:$J$258,+F$11-2,FALSE)</f>
        <v>0.12</v>
      </c>
      <c r="G47" s="507">
        <f>IF(AND($S$2=1, $F$10&gt;=750), 750, IF(AND($S$2=1, AND($F$10&lt;750, $F$10&gt;=0)), $F$10, IF(AND($S$2=2, $F$10&gt;=1000), 1000, IF(AND($S$2=2, AND($F$10&lt;1000, $F$10&gt;=0)), $F$10))))</f>
        <v>750</v>
      </c>
      <c r="H47" s="399">
        <f t="shared" si="51"/>
        <v>90</v>
      </c>
      <c r="I47" s="132"/>
      <c r="J47" s="429">
        <f>VLOOKUP($B47,'Proposed Rates'!$D$252:$J$258,+J$11-2,FALSE)</f>
        <v>0.12</v>
      </c>
      <c r="K47" s="507">
        <f>IF(AND($S$2=1, $F$10&gt;=750), 750, IF(AND($S$2=1, AND($F$10&lt;750, $F$10&gt;=0)), $F$10, IF(AND($S$2=2, $F$10&gt;=1000), 1000, IF(AND($S$2=2, AND($F$10&lt;1000, $F$10&gt;=0)), $F$10))))</f>
        <v>750</v>
      </c>
      <c r="L47" s="399">
        <f t="shared" si="53"/>
        <v>90</v>
      </c>
      <c r="M47" s="132"/>
      <c r="N47" s="400">
        <f t="shared" si="5"/>
        <v>0</v>
      </c>
      <c r="O47" s="401">
        <f t="shared" si="6"/>
        <v>0</v>
      </c>
      <c r="P47" s="52"/>
      <c r="Q47" s="429">
        <f>VLOOKUP($B47,'Proposed Rates'!$D$252:$J$258,+Q$11-2,FALSE)</f>
        <v>0.12</v>
      </c>
      <c r="R47" s="507">
        <f>IF(AND($S$2=1, $F$10&gt;=750), 750, IF(AND($S$2=1, AND($F$10&lt;750, $F$10&gt;=0)), $F$10, IF(AND($S$2=2, $F$10&gt;=1000), 1000, IF(AND($S$2=2, AND($F$10&lt;1000, $F$10&gt;=0)), $F$10))))</f>
        <v>750</v>
      </c>
      <c r="S47" s="399">
        <f t="shared" si="55"/>
        <v>90</v>
      </c>
      <c r="T47" s="132"/>
      <c r="U47" s="400">
        <f t="shared" si="9"/>
        <v>0</v>
      </c>
      <c r="V47" s="401">
        <f t="shared" si="10"/>
        <v>0</v>
      </c>
      <c r="W47" s="52"/>
      <c r="X47" s="429">
        <f>VLOOKUP($B47,'Proposed Rates'!$D$252:$J$258,+X$11-2,FALSE)</f>
        <v>0.12</v>
      </c>
      <c r="Y47" s="507">
        <f>IF(AND($S$2=1, $F$10&gt;=750), 750, IF(AND($S$2=1, AND($F$10&lt;750, $F$10&gt;=0)), $F$10, IF(AND($S$2=2, $F$10&gt;=1000), 1000, IF(AND($S$2=2, AND($F$10&lt;1000, $F$10&gt;=0)), $F$10))))</f>
        <v>750</v>
      </c>
      <c r="Z47" s="399">
        <f t="shared" si="57"/>
        <v>90</v>
      </c>
      <c r="AA47" s="132"/>
      <c r="AB47" s="400">
        <f t="shared" si="13"/>
        <v>0</v>
      </c>
      <c r="AC47" s="401">
        <f t="shared" si="14"/>
        <v>0</v>
      </c>
      <c r="AD47" s="52"/>
      <c r="AE47" s="429">
        <f>VLOOKUP($B47,'Proposed Rates'!$D$252:$J$258,+AE$11-2,FALSE)</f>
        <v>0.12</v>
      </c>
      <c r="AF47" s="507">
        <f>IF(AND($S$2=1, $F$10&gt;=750), 750, IF(AND($S$2=1, AND($F$10&lt;750, $F$10&gt;=0)), $F$10, IF(AND($S$2=2, $F$10&gt;=1000), 1000, IF(AND($S$2=2, AND($F$10&lt;1000, $F$10&gt;=0)), $F$10))))</f>
        <v>750</v>
      </c>
      <c r="AG47" s="399">
        <f t="shared" si="59"/>
        <v>90</v>
      </c>
      <c r="AH47" s="132"/>
      <c r="AI47" s="400">
        <f t="shared" si="17"/>
        <v>0</v>
      </c>
      <c r="AJ47" s="401">
        <f t="shared" si="18"/>
        <v>0</v>
      </c>
      <c r="AK47" s="52"/>
      <c r="AL47" s="429">
        <f>VLOOKUP($B47,'Proposed Rates'!$D$252:$J$258,+AL$11-2,FALSE)</f>
        <v>0.12</v>
      </c>
      <c r="AM47" s="507">
        <f>IF(AND($S$2=1, $F$10&gt;=750), 750, IF(AND($S$2=1, AND($F$10&lt;750, $F$10&gt;=0)), $F$10, IF(AND($S$2=2, $F$10&gt;=1000), 1000, IF(AND($S$2=2, AND($F$10&lt;1000, $F$10&gt;=0)), $F$10))))</f>
        <v>750</v>
      </c>
      <c r="AN47" s="399">
        <f t="shared" si="61"/>
        <v>90</v>
      </c>
      <c r="AO47" s="132"/>
      <c r="AP47" s="400">
        <f t="shared" si="21"/>
        <v>0</v>
      </c>
      <c r="AQ47" s="401">
        <f t="shared" si="22"/>
        <v>0</v>
      </c>
      <c r="AR47" s="402"/>
    </row>
    <row r="48" spans="1:44" ht="12" customHeight="1">
      <c r="A48" s="52"/>
      <c r="B48" s="321" t="s">
        <v>270</v>
      </c>
      <c r="C48" s="394" t="str">
        <f t="shared" si="49"/>
        <v>General Service &lt; 50 kW.Energy - RPP - Tier 2</v>
      </c>
      <c r="D48" s="395" t="s">
        <v>312</v>
      </c>
      <c r="E48" s="321"/>
      <c r="F48" s="429">
        <f>VLOOKUP($B48,'Proposed Rates'!$D$252:$J$258,+F$11-2,FALSE)</f>
        <v>0.14199999999999999</v>
      </c>
      <c r="G48" s="507">
        <f>IF(AND($S$2=1, $F$10&gt;=750), $F$10-750, IF(AND($S$2=1, AND($F$10&lt;750, $F$10&gt;=0)), 0, IF(AND($S$2=2, $F$10&gt;=1000), $F$10-1000, IF(AND($S$2=2, AND($F$10&lt;1000, $F$10&gt;=0)), 0))))</f>
        <v>14250</v>
      </c>
      <c r="H48" s="399">
        <f t="shared" si="51"/>
        <v>2023.4999999999998</v>
      </c>
      <c r="I48" s="132"/>
      <c r="J48" s="429">
        <f>VLOOKUP($B48,'Proposed Rates'!$D$252:$J$258,+J$11-2,FALSE)</f>
        <v>0.14199999999999999</v>
      </c>
      <c r="K48" s="507">
        <f>IF(AND($S$2=1, $F$10&gt;=750), $F$10-750, IF(AND($S$2=1, AND($F$10&lt;750, $F$10&gt;=0)), 0, IF(AND($S$2=2, $F$10&gt;=1000), $F$10-1000, IF(AND($S$2=2, AND($F$10&lt;1000, $F$10&gt;=0)), 0))))</f>
        <v>14250</v>
      </c>
      <c r="L48" s="399">
        <f t="shared" si="53"/>
        <v>2023.4999999999998</v>
      </c>
      <c r="M48" s="132"/>
      <c r="N48" s="400">
        <f t="shared" si="5"/>
        <v>0</v>
      </c>
      <c r="O48" s="401">
        <f t="shared" si="6"/>
        <v>0</v>
      </c>
      <c r="P48" s="52"/>
      <c r="Q48" s="429">
        <f>VLOOKUP($B48,'Proposed Rates'!$D$252:$J$258,+Q$11-2,FALSE)</f>
        <v>0.14199999999999999</v>
      </c>
      <c r="R48" s="507">
        <f>IF(AND($S$2=1, $F$10&gt;=750), $F$10-750, IF(AND($S$2=1, AND($F$10&lt;750, $F$10&gt;=0)), 0, IF(AND($S$2=2, $F$10&gt;=1000), $F$10-1000, IF(AND($S$2=2, AND($F$10&lt;1000, $F$10&gt;=0)), 0))))</f>
        <v>14250</v>
      </c>
      <c r="S48" s="399">
        <f t="shared" si="55"/>
        <v>2023.4999999999998</v>
      </c>
      <c r="T48" s="132"/>
      <c r="U48" s="400">
        <f t="shared" si="9"/>
        <v>0</v>
      </c>
      <c r="V48" s="401">
        <f t="shared" si="10"/>
        <v>0</v>
      </c>
      <c r="W48" s="52"/>
      <c r="X48" s="429">
        <f>VLOOKUP($B48,'Proposed Rates'!$D$252:$J$258,+X$11-2,FALSE)</f>
        <v>0.14199999999999999</v>
      </c>
      <c r="Y48" s="507">
        <f>IF(AND($S$2=1, $F$10&gt;=750), $F$10-750, IF(AND($S$2=1, AND($F$10&lt;750, $F$10&gt;=0)), 0, IF(AND($S$2=2, $F$10&gt;=1000), $F$10-1000, IF(AND($S$2=2, AND($F$10&lt;1000, $F$10&gt;=0)), 0))))</f>
        <v>14250</v>
      </c>
      <c r="Z48" s="399">
        <f t="shared" si="57"/>
        <v>2023.4999999999998</v>
      </c>
      <c r="AA48" s="132"/>
      <c r="AB48" s="400">
        <f t="shared" si="13"/>
        <v>0</v>
      </c>
      <c r="AC48" s="401">
        <f t="shared" si="14"/>
        <v>0</v>
      </c>
      <c r="AD48" s="52"/>
      <c r="AE48" s="429">
        <f>VLOOKUP($B48,'Proposed Rates'!$D$252:$J$258,+AE$11-2,FALSE)</f>
        <v>0.14199999999999999</v>
      </c>
      <c r="AF48" s="507">
        <f>IF(AND($S$2=1, $F$10&gt;=750), $F$10-750, IF(AND($S$2=1, AND($F$10&lt;750, $F$10&gt;=0)), 0, IF(AND($S$2=2, $F$10&gt;=1000), $F$10-1000, IF(AND($S$2=2, AND($F$10&lt;1000, $F$10&gt;=0)), 0))))</f>
        <v>14250</v>
      </c>
      <c r="AG48" s="399">
        <f t="shared" si="59"/>
        <v>2023.4999999999998</v>
      </c>
      <c r="AH48" s="132"/>
      <c r="AI48" s="400">
        <f t="shared" si="17"/>
        <v>0</v>
      </c>
      <c r="AJ48" s="401">
        <f t="shared" si="18"/>
        <v>0</v>
      </c>
      <c r="AK48" s="52"/>
      <c r="AL48" s="429">
        <f>VLOOKUP($B48,'Proposed Rates'!$D$252:$J$258,+AL$11-2,FALSE)</f>
        <v>0.14199999999999999</v>
      </c>
      <c r="AM48" s="507">
        <f>IF(AND($S$2=1, $F$10&gt;=750), $F$10-750, IF(AND($S$2=1, AND($F$10&lt;750, $F$10&gt;=0)), 0, IF(AND($S$2=2, $F$10&gt;=1000), $F$10-1000, IF(AND($S$2=2, AND($F$10&lt;1000, $F$10&gt;=0)), 0))))</f>
        <v>14250</v>
      </c>
      <c r="AN48" s="399">
        <f t="shared" si="61"/>
        <v>2023.4999999999998</v>
      </c>
      <c r="AO48" s="132"/>
      <c r="AP48" s="400">
        <f t="shared" si="21"/>
        <v>0</v>
      </c>
      <c r="AQ48" s="401">
        <f t="shared" si="22"/>
        <v>0</v>
      </c>
      <c r="AR48" s="402"/>
    </row>
    <row r="49" spans="1:44" ht="12" customHeight="1">
      <c r="A49" s="52"/>
      <c r="B49" s="433"/>
      <c r="C49" s="434"/>
      <c r="D49" s="434"/>
      <c r="E49" s="434"/>
      <c r="F49" s="435"/>
      <c r="G49" s="436"/>
      <c r="H49" s="437"/>
      <c r="I49" s="439"/>
      <c r="J49" s="435"/>
      <c r="K49" s="436"/>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52"/>
      <c r="AL49" s="435"/>
      <c r="AM49" s="436"/>
      <c r="AN49" s="437"/>
      <c r="AO49" s="439"/>
      <c r="AP49" s="440"/>
      <c r="AQ49" s="441"/>
      <c r="AR49" s="442"/>
    </row>
    <row r="50" spans="1:44" ht="12" customHeight="1">
      <c r="A50" s="52"/>
      <c r="B50" s="443" t="s">
        <v>319</v>
      </c>
      <c r="C50" s="321"/>
      <c r="D50" s="321"/>
      <c r="E50" s="321"/>
      <c r="F50" s="444"/>
      <c r="G50" s="488"/>
      <c r="H50" s="446">
        <f>SUM(H41:H46,H40)</f>
        <v>2858.0015899999999</v>
      </c>
      <c r="I50" s="481"/>
      <c r="J50" s="444"/>
      <c r="K50" s="445"/>
      <c r="L50" s="447">
        <f>SUM(L41:L46,L40)</f>
        <v>2868.0506399999999</v>
      </c>
      <c r="M50" s="448"/>
      <c r="N50" s="447">
        <f t="shared" ref="N50:N54" si="62">L50-H50</f>
        <v>10.049050000000079</v>
      </c>
      <c r="O50" s="449">
        <f t="shared" ref="O50:O54" si="63">IF((H50)=0,"",(N50/H50))</f>
        <v>3.5161107100713965E-3</v>
      </c>
      <c r="P50" s="52"/>
      <c r="Q50" s="444"/>
      <c r="R50" s="445"/>
      <c r="S50" s="447">
        <f>SUM(S41:S46,S40)</f>
        <v>2902.3206399999999</v>
      </c>
      <c r="T50" s="448"/>
      <c r="U50" s="447">
        <f t="shared" ref="U50:U54" si="64">S50-L50</f>
        <v>34.269999999999982</v>
      </c>
      <c r="V50" s="449">
        <f t="shared" ref="V50:V54" si="65">IF((L50)=0,"",(U50/L50))</f>
        <v>1.1948882464641552E-2</v>
      </c>
      <c r="W50" s="52"/>
      <c r="X50" s="444"/>
      <c r="Y50" s="445"/>
      <c r="Z50" s="447">
        <f>SUM(Z41:Z46,Z40)</f>
        <v>2940.2106399999998</v>
      </c>
      <c r="AA50" s="448"/>
      <c r="AB50" s="447">
        <f t="shared" ref="AB50:AB54" si="66">Z50-S50</f>
        <v>37.889999999999873</v>
      </c>
      <c r="AC50" s="449">
        <f t="shared" ref="AC50:AC54" si="67">IF((S50)=0,"",(AB50/S50))</f>
        <v>1.3055070304017089E-2</v>
      </c>
      <c r="AD50" s="52"/>
      <c r="AE50" s="444"/>
      <c r="AF50" s="445"/>
      <c r="AG50" s="447">
        <f>SUM(AG41:AG46,AG40)</f>
        <v>2951.2906400000002</v>
      </c>
      <c r="AH50" s="448"/>
      <c r="AI50" s="447">
        <f t="shared" ref="AI50:AI54" si="68">AG50-Z50</f>
        <v>11.080000000000382</v>
      </c>
      <c r="AJ50" s="449">
        <f t="shared" ref="AJ50:AJ54" si="69">IF((Z50)=0,"",(AI50/Z50))</f>
        <v>3.7684374885468691E-3</v>
      </c>
      <c r="AK50" s="52"/>
      <c r="AL50" s="444"/>
      <c r="AM50" s="445"/>
      <c r="AN50" s="447">
        <f>SUM(AN41:AN46,AN40)</f>
        <v>2960.74064</v>
      </c>
      <c r="AO50" s="448"/>
      <c r="AP50" s="447">
        <f t="shared" ref="AP50:AP54" si="70">AN50-AG50</f>
        <v>9.4499999999998181</v>
      </c>
      <c r="AQ50" s="449">
        <f t="shared" ref="AQ50:AQ54" si="71">IF((AG50)=0,"",(AP50/AG50))</f>
        <v>3.2019889440640849E-3</v>
      </c>
      <c r="AR50" s="450"/>
    </row>
    <row r="51" spans="1:44" ht="12" customHeight="1">
      <c r="A51" s="52"/>
      <c r="B51" s="451" t="s">
        <v>320</v>
      </c>
      <c r="C51" s="321"/>
      <c r="D51" s="321"/>
      <c r="E51" s="321"/>
      <c r="F51" s="444">
        <v>0.13</v>
      </c>
      <c r="G51" s="132"/>
      <c r="H51" s="489">
        <f>H50*F51</f>
        <v>371.5402067</v>
      </c>
      <c r="I51" s="416"/>
      <c r="J51" s="444">
        <v>0.13</v>
      </c>
      <c r="K51" s="416"/>
      <c r="L51" s="399">
        <f>L50*J51</f>
        <v>372.8465832</v>
      </c>
      <c r="M51" s="132"/>
      <c r="N51" s="400">
        <f t="shared" si="62"/>
        <v>1.3063764999999989</v>
      </c>
      <c r="O51" s="401">
        <f t="shared" si="63"/>
        <v>3.5161107100713657E-3</v>
      </c>
      <c r="P51" s="52"/>
      <c r="Q51" s="444">
        <v>0.13</v>
      </c>
      <c r="R51" s="416"/>
      <c r="S51" s="399">
        <f>S50*Q51</f>
        <v>377.30168320000001</v>
      </c>
      <c r="T51" s="132"/>
      <c r="U51" s="400">
        <f t="shared" si="64"/>
        <v>4.4551000000000158</v>
      </c>
      <c r="V51" s="401">
        <f t="shared" si="65"/>
        <v>1.19488824646416E-2</v>
      </c>
      <c r="W51" s="52"/>
      <c r="X51" s="444">
        <v>0.13</v>
      </c>
      <c r="Y51" s="416"/>
      <c r="Z51" s="399">
        <f>Z50*X51</f>
        <v>382.22738319999996</v>
      </c>
      <c r="AA51" s="132"/>
      <c r="AB51" s="400">
        <f t="shared" si="66"/>
        <v>4.9256999999999493</v>
      </c>
      <c r="AC51" s="401">
        <f t="shared" si="67"/>
        <v>1.3055070304016998E-2</v>
      </c>
      <c r="AD51" s="52"/>
      <c r="AE51" s="444">
        <v>0.13</v>
      </c>
      <c r="AF51" s="416"/>
      <c r="AG51" s="399">
        <f>AG50*AE51</f>
        <v>383.66778320000003</v>
      </c>
      <c r="AH51" s="132"/>
      <c r="AI51" s="400">
        <f t="shared" si="68"/>
        <v>1.4404000000000678</v>
      </c>
      <c r="AJ51" s="401">
        <f t="shared" si="69"/>
        <v>3.7684374885469168E-3</v>
      </c>
      <c r="AK51" s="52"/>
      <c r="AL51" s="444">
        <v>0.13</v>
      </c>
      <c r="AM51" s="416"/>
      <c r="AN51" s="399">
        <f>AN50*AL51</f>
        <v>384.89628320000003</v>
      </c>
      <c r="AO51" s="132"/>
      <c r="AP51" s="400">
        <f t="shared" si="70"/>
        <v>1.2284999999999968</v>
      </c>
      <c r="AQ51" s="401">
        <f t="shared" si="71"/>
        <v>3.2019889440641383E-3</v>
      </c>
      <c r="AR51" s="402"/>
    </row>
    <row r="52" spans="1:44" ht="12" customHeight="1">
      <c r="A52" s="52"/>
      <c r="B52" s="453" t="s">
        <v>377</v>
      </c>
      <c r="C52" s="321"/>
      <c r="D52" s="321"/>
      <c r="E52" s="321"/>
      <c r="F52" s="454"/>
      <c r="G52" s="132"/>
      <c r="H52" s="489">
        <f>H50+H51</f>
        <v>3229.5417966999998</v>
      </c>
      <c r="I52" s="416"/>
      <c r="J52" s="454"/>
      <c r="K52" s="416"/>
      <c r="L52" s="399">
        <f>L50+L51</f>
        <v>3240.8972232000001</v>
      </c>
      <c r="M52" s="132"/>
      <c r="N52" s="400">
        <f t="shared" si="62"/>
        <v>11.355426500000249</v>
      </c>
      <c r="O52" s="401">
        <f t="shared" si="63"/>
        <v>3.5161107100714455E-3</v>
      </c>
      <c r="P52" s="52"/>
      <c r="Q52" s="454"/>
      <c r="R52" s="416"/>
      <c r="S52" s="399">
        <f>S50+S51</f>
        <v>3279.6223231999998</v>
      </c>
      <c r="T52" s="132"/>
      <c r="U52" s="400">
        <f t="shared" si="64"/>
        <v>38.725099999999657</v>
      </c>
      <c r="V52" s="401">
        <f t="shared" si="65"/>
        <v>1.1948882464641453E-2</v>
      </c>
      <c r="W52" s="52"/>
      <c r="X52" s="454"/>
      <c r="Y52" s="416"/>
      <c r="Z52" s="399">
        <f>Z50+Z51</f>
        <v>3322.4380231999999</v>
      </c>
      <c r="AA52" s="132"/>
      <c r="AB52" s="400">
        <f t="shared" si="66"/>
        <v>42.815700000000106</v>
      </c>
      <c r="AC52" s="401">
        <f t="shared" si="67"/>
        <v>1.3055070304017166E-2</v>
      </c>
      <c r="AD52" s="52"/>
      <c r="AE52" s="454"/>
      <c r="AF52" s="416"/>
      <c r="AG52" s="399">
        <f>AG50+AG51</f>
        <v>3334.9584232000002</v>
      </c>
      <c r="AH52" s="132"/>
      <c r="AI52" s="400">
        <f t="shared" si="68"/>
        <v>12.520400000000336</v>
      </c>
      <c r="AJ52" s="401">
        <f t="shared" si="69"/>
        <v>3.7684374885468405E-3</v>
      </c>
      <c r="AK52" s="52"/>
      <c r="AL52" s="454"/>
      <c r="AM52" s="416"/>
      <c r="AN52" s="399">
        <f>AN50+AN51</f>
        <v>3345.6369232000002</v>
      </c>
      <c r="AO52" s="132"/>
      <c r="AP52" s="400">
        <f t="shared" si="70"/>
        <v>10.678499999999985</v>
      </c>
      <c r="AQ52" s="401">
        <f t="shared" si="71"/>
        <v>3.2019889440641422E-3</v>
      </c>
      <c r="AR52" s="402"/>
    </row>
    <row r="53" spans="1:44" ht="12" customHeight="1">
      <c r="A53" s="52"/>
      <c r="B53" s="632" t="s">
        <v>277</v>
      </c>
      <c r="C53" s="623"/>
      <c r="D53" s="623"/>
      <c r="E53" s="321"/>
      <c r="F53" s="455">
        <f>'Proposed Rates'!E291</f>
        <v>0.23499999999999999</v>
      </c>
      <c r="G53" s="132"/>
      <c r="H53" s="491">
        <f>F53*H50</f>
        <v>671.63037364999991</v>
      </c>
      <c r="I53" s="416"/>
      <c r="J53" s="455">
        <f>'Proposed Rates'!I291</f>
        <v>0.23499999999999999</v>
      </c>
      <c r="K53" s="416"/>
      <c r="L53" s="456">
        <f>J53*L50</f>
        <v>673.99190039999996</v>
      </c>
      <c r="M53" s="132"/>
      <c r="N53" s="456">
        <f t="shared" si="62"/>
        <v>2.3615267500000527</v>
      </c>
      <c r="O53" s="458">
        <f t="shared" si="63"/>
        <v>3.5161107100714476E-3</v>
      </c>
      <c r="P53" s="52"/>
      <c r="Q53" s="455">
        <f>J53</f>
        <v>0.23499999999999999</v>
      </c>
      <c r="R53" s="416"/>
      <c r="S53" s="456">
        <f>Q53*S50</f>
        <v>682.04535039999996</v>
      </c>
      <c r="T53" s="132"/>
      <c r="U53" s="456">
        <f t="shared" si="64"/>
        <v>8.053449999999998</v>
      </c>
      <c r="V53" s="458">
        <f t="shared" si="65"/>
        <v>1.1948882464641557E-2</v>
      </c>
      <c r="W53" s="52"/>
      <c r="X53" s="455">
        <f>Q53</f>
        <v>0.23499999999999999</v>
      </c>
      <c r="Y53" s="416"/>
      <c r="Z53" s="456">
        <f>X53*Z50</f>
        <v>690.94950039999992</v>
      </c>
      <c r="AA53" s="132"/>
      <c r="AB53" s="456">
        <f t="shared" si="66"/>
        <v>8.9041499999999587</v>
      </c>
      <c r="AC53" s="458">
        <f t="shared" si="67"/>
        <v>1.3055070304017074E-2</v>
      </c>
      <c r="AD53" s="52"/>
      <c r="AE53" s="455">
        <f>X53</f>
        <v>0.23499999999999999</v>
      </c>
      <c r="AF53" s="416"/>
      <c r="AG53" s="456">
        <f>AE53*AG50</f>
        <v>693.55330040000001</v>
      </c>
      <c r="AH53" s="132"/>
      <c r="AI53" s="456">
        <f t="shared" si="68"/>
        <v>2.603800000000092</v>
      </c>
      <c r="AJ53" s="458">
        <f t="shared" si="69"/>
        <v>3.7684374885468726E-3</v>
      </c>
      <c r="AK53" s="52"/>
      <c r="AL53" s="455">
        <f>AE53</f>
        <v>0.23499999999999999</v>
      </c>
      <c r="AM53" s="416"/>
      <c r="AN53" s="456">
        <f>AL53*AN50</f>
        <v>695.77405039999996</v>
      </c>
      <c r="AO53" s="132"/>
      <c r="AP53" s="456">
        <f t="shared" si="70"/>
        <v>2.2207499999999527</v>
      </c>
      <c r="AQ53" s="458">
        <f t="shared" si="71"/>
        <v>3.2019889440640784E-3</v>
      </c>
      <c r="AR53" s="459"/>
    </row>
    <row r="54" spans="1:44" ht="13.5" customHeight="1">
      <c r="A54" s="52"/>
      <c r="B54" s="634" t="s">
        <v>322</v>
      </c>
      <c r="C54" s="615"/>
      <c r="D54" s="615"/>
      <c r="E54" s="460"/>
      <c r="F54" s="461"/>
      <c r="G54" s="492"/>
      <c r="H54" s="493">
        <f>H52-H53</f>
        <v>2557.9114230499999</v>
      </c>
      <c r="I54" s="462"/>
      <c r="J54" s="461"/>
      <c r="K54" s="462"/>
      <c r="L54" s="463">
        <f>L52-L53</f>
        <v>2566.9053228000002</v>
      </c>
      <c r="M54" s="464"/>
      <c r="N54" s="465">
        <f t="shared" si="62"/>
        <v>8.9938997500003097</v>
      </c>
      <c r="O54" s="466">
        <f t="shared" si="63"/>
        <v>3.5161107100714897E-3</v>
      </c>
      <c r="P54" s="52"/>
      <c r="Q54" s="461"/>
      <c r="R54" s="462"/>
      <c r="S54" s="463">
        <f>S52-S53</f>
        <v>2597.5769727999996</v>
      </c>
      <c r="T54" s="464"/>
      <c r="U54" s="465">
        <f t="shared" si="64"/>
        <v>30.671649999999318</v>
      </c>
      <c r="V54" s="466">
        <f t="shared" si="65"/>
        <v>1.1948882464641292E-2</v>
      </c>
      <c r="W54" s="52"/>
      <c r="X54" s="461"/>
      <c r="Y54" s="462"/>
      <c r="Z54" s="463">
        <f>Z52-Z53</f>
        <v>2631.4885227999998</v>
      </c>
      <c r="AA54" s="464"/>
      <c r="AB54" s="465">
        <f t="shared" si="66"/>
        <v>33.911550000000261</v>
      </c>
      <c r="AC54" s="466">
        <f t="shared" si="67"/>
        <v>1.3055070304017235E-2</v>
      </c>
      <c r="AD54" s="52"/>
      <c r="AE54" s="461"/>
      <c r="AF54" s="462"/>
      <c r="AG54" s="463">
        <f>AG52-AG53</f>
        <v>2641.4051228000003</v>
      </c>
      <c r="AH54" s="464"/>
      <c r="AI54" s="465">
        <f t="shared" si="68"/>
        <v>9.9166000000004715</v>
      </c>
      <c r="AJ54" s="466">
        <f t="shared" si="69"/>
        <v>3.7684374885469185E-3</v>
      </c>
      <c r="AK54" s="52"/>
      <c r="AL54" s="461"/>
      <c r="AM54" s="462"/>
      <c r="AN54" s="463">
        <f>AN52-AN53</f>
        <v>2649.8628728000003</v>
      </c>
      <c r="AO54" s="464"/>
      <c r="AP54" s="465">
        <f t="shared" si="70"/>
        <v>8.4577500000000327</v>
      </c>
      <c r="AQ54" s="466">
        <f t="shared" si="71"/>
        <v>3.2019889440641587E-3</v>
      </c>
      <c r="AR54" s="467"/>
    </row>
    <row r="55" spans="1:44" ht="12" customHeight="1">
      <c r="A55" s="52"/>
      <c r="B55" s="433"/>
      <c r="C55" s="434"/>
      <c r="D55" s="434"/>
      <c r="E55" s="434"/>
      <c r="F55" s="435"/>
      <c r="G55" s="475"/>
      <c r="H55" s="437"/>
      <c r="I55" s="439"/>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52"/>
      <c r="AL55" s="435"/>
      <c r="AM55" s="436"/>
      <c r="AN55" s="437"/>
      <c r="AO55" s="439"/>
      <c r="AP55" s="440"/>
      <c r="AQ55" s="441"/>
      <c r="AR55" s="442"/>
    </row>
    <row r="56" spans="1:44" ht="12" customHeight="1">
      <c r="A56" s="52"/>
      <c r="B56" s="443" t="s">
        <v>323</v>
      </c>
      <c r="C56" s="321"/>
      <c r="D56" s="321"/>
      <c r="E56" s="321"/>
      <c r="F56" s="444"/>
      <c r="G56" s="488"/>
      <c r="H56" s="446">
        <f>SUM(H47:H48,H40,H41:H43)</f>
        <v>3058.7015900000001</v>
      </c>
      <c r="I56" s="481"/>
      <c r="J56" s="444"/>
      <c r="K56" s="445"/>
      <c r="L56" s="447">
        <f>SUM(L47:L48,L40,L41:L43)</f>
        <v>3068.7506399999997</v>
      </c>
      <c r="M56" s="448"/>
      <c r="N56" s="447">
        <f t="shared" ref="N56:N60" si="72">L56-H56</f>
        <v>10.049049999999625</v>
      </c>
      <c r="O56" s="449">
        <f t="shared" ref="O56:O60" si="73">IF((H56)=0,"",(N56/H56))</f>
        <v>3.2853973178859938E-3</v>
      </c>
      <c r="P56" s="52"/>
      <c r="Q56" s="444"/>
      <c r="R56" s="445"/>
      <c r="S56" s="447">
        <f>SUM(S47:S48,S40,S41:S43)</f>
        <v>3103.0206399999997</v>
      </c>
      <c r="T56" s="448"/>
      <c r="U56" s="447">
        <f t="shared" ref="U56:U60" si="74">S56-L56</f>
        <v>34.269999999999982</v>
      </c>
      <c r="V56" s="449">
        <f t="shared" ref="V56:V60" si="75">IF((L56)=0,"",(U56/L56))</f>
        <v>1.1167411112947249E-2</v>
      </c>
      <c r="W56" s="52"/>
      <c r="X56" s="444"/>
      <c r="Y56" s="445"/>
      <c r="Z56" s="447">
        <f>SUM(Z47:Z48,Z40,Z41:Z43)</f>
        <v>3140.9106399999996</v>
      </c>
      <c r="AA56" s="448"/>
      <c r="AB56" s="447">
        <f t="shared" ref="AB56:AB60" si="76">Z56-S56</f>
        <v>37.889999999999873</v>
      </c>
      <c r="AC56" s="449">
        <f t="shared" ref="AC56:AC60" si="77">IF((S56)=0,"",(AB56/S56))</f>
        <v>1.2210682556078607E-2</v>
      </c>
      <c r="AD56" s="52"/>
      <c r="AE56" s="444"/>
      <c r="AF56" s="445"/>
      <c r="AG56" s="447">
        <f>SUM(AG47:AG48,AG40,AG41:AG43)</f>
        <v>3151.99064</v>
      </c>
      <c r="AH56" s="448"/>
      <c r="AI56" s="447">
        <f t="shared" ref="AI56:AI60" si="78">AG56-Z56</f>
        <v>11.080000000000382</v>
      </c>
      <c r="AJ56" s="449">
        <f t="shared" ref="AJ56:AJ60" si="79">IF((Z56)=0,"",(AI56/Z56))</f>
        <v>3.527639360029798E-3</v>
      </c>
      <c r="AK56" s="52"/>
      <c r="AL56" s="444"/>
      <c r="AM56" s="445"/>
      <c r="AN56" s="447">
        <f>SUM(AN47:AN48,AN40,AN41:AN43)</f>
        <v>3161.4406399999998</v>
      </c>
      <c r="AO56" s="448"/>
      <c r="AP56" s="447">
        <f t="shared" ref="AP56:AP60" si="80">AN56-AG56</f>
        <v>9.4499999999998181</v>
      </c>
      <c r="AQ56" s="449">
        <f t="shared" ref="AQ56:AQ60" si="81">IF((AG56)=0,"",(AP56/AG56))</f>
        <v>2.9981053497036459E-3</v>
      </c>
      <c r="AR56" s="450"/>
    </row>
    <row r="57" spans="1:44" ht="12" customHeight="1">
      <c r="A57" s="52"/>
      <c r="B57" s="451" t="s">
        <v>320</v>
      </c>
      <c r="C57" s="321"/>
      <c r="D57" s="321"/>
      <c r="E57" s="321"/>
      <c r="F57" s="444">
        <v>0.13</v>
      </c>
      <c r="G57" s="488"/>
      <c r="H57" s="489">
        <f>H56*F57</f>
        <v>397.63120670000001</v>
      </c>
      <c r="I57" s="416"/>
      <c r="J57" s="444">
        <v>0.13</v>
      </c>
      <c r="K57" s="452"/>
      <c r="L57" s="400">
        <f>L56*J57</f>
        <v>398.93758320000001</v>
      </c>
      <c r="M57" s="132"/>
      <c r="N57" s="400">
        <f t="shared" si="72"/>
        <v>1.3063764999999989</v>
      </c>
      <c r="O57" s="401">
        <f t="shared" si="73"/>
        <v>3.2853973178861139E-3</v>
      </c>
      <c r="P57" s="52"/>
      <c r="Q57" s="444">
        <v>0.13</v>
      </c>
      <c r="R57" s="452"/>
      <c r="S57" s="399">
        <f>S56*Q57</f>
        <v>403.39268319999996</v>
      </c>
      <c r="T57" s="132"/>
      <c r="U57" s="400">
        <f t="shared" si="74"/>
        <v>4.455099999999959</v>
      </c>
      <c r="V57" s="401">
        <f t="shared" si="75"/>
        <v>1.1167411112947152E-2</v>
      </c>
      <c r="W57" s="52"/>
      <c r="X57" s="444">
        <v>0.13</v>
      </c>
      <c r="Y57" s="452"/>
      <c r="Z57" s="399">
        <f>Z56*X57</f>
        <v>408.31838319999997</v>
      </c>
      <c r="AA57" s="132"/>
      <c r="AB57" s="400">
        <f t="shared" si="76"/>
        <v>4.9257000000000062</v>
      </c>
      <c r="AC57" s="401">
        <f t="shared" si="77"/>
        <v>1.2210682556078664E-2</v>
      </c>
      <c r="AD57" s="52"/>
      <c r="AE57" s="444">
        <v>0.13</v>
      </c>
      <c r="AF57" s="452"/>
      <c r="AG57" s="400">
        <f>AG56*AE57</f>
        <v>409.75878320000004</v>
      </c>
      <c r="AH57" s="132"/>
      <c r="AI57" s="400">
        <f t="shared" si="78"/>
        <v>1.4404000000000678</v>
      </c>
      <c r="AJ57" s="401">
        <f t="shared" si="79"/>
        <v>3.5276393600298423E-3</v>
      </c>
      <c r="AK57" s="52"/>
      <c r="AL57" s="444">
        <v>0.13</v>
      </c>
      <c r="AM57" s="452"/>
      <c r="AN57" s="399">
        <f>AN56*AL57</f>
        <v>410.98728319999998</v>
      </c>
      <c r="AO57" s="132"/>
      <c r="AP57" s="400">
        <f t="shared" si="80"/>
        <v>1.22849999999994</v>
      </c>
      <c r="AQ57" s="401">
        <f t="shared" si="81"/>
        <v>2.9981053497035565E-3</v>
      </c>
      <c r="AR57" s="402"/>
    </row>
    <row r="58" spans="1:44" ht="12" customHeight="1">
      <c r="A58" s="52"/>
      <c r="B58" s="453" t="s">
        <v>378</v>
      </c>
      <c r="C58" s="321"/>
      <c r="D58" s="321"/>
      <c r="E58" s="321"/>
      <c r="F58" s="454"/>
      <c r="G58" s="132"/>
      <c r="H58" s="489">
        <f>H56+H57</f>
        <v>3456.3327967</v>
      </c>
      <c r="I58" s="416"/>
      <c r="J58" s="454"/>
      <c r="K58" s="416"/>
      <c r="L58" s="399">
        <f>L56+L57</f>
        <v>3467.6882231999998</v>
      </c>
      <c r="M58" s="132"/>
      <c r="N58" s="400">
        <f t="shared" si="72"/>
        <v>11.355426499999794</v>
      </c>
      <c r="O58" s="401">
        <f t="shared" si="73"/>
        <v>3.2853973178860567E-3</v>
      </c>
      <c r="P58" s="52"/>
      <c r="Q58" s="454"/>
      <c r="R58" s="416"/>
      <c r="S58" s="399">
        <f>S56+S57</f>
        <v>3506.4133231999995</v>
      </c>
      <c r="T58" s="132"/>
      <c r="U58" s="400">
        <f t="shared" si="74"/>
        <v>38.725099999999657</v>
      </c>
      <c r="V58" s="401">
        <f t="shared" si="75"/>
        <v>1.1167411112947155E-2</v>
      </c>
      <c r="W58" s="52"/>
      <c r="X58" s="454"/>
      <c r="Y58" s="416"/>
      <c r="Z58" s="399">
        <f>Z56+Z57</f>
        <v>3549.2290231999996</v>
      </c>
      <c r="AA58" s="132"/>
      <c r="AB58" s="400">
        <f t="shared" si="76"/>
        <v>42.815700000000106</v>
      </c>
      <c r="AC58" s="401">
        <f t="shared" si="77"/>
        <v>1.221068255607868E-2</v>
      </c>
      <c r="AD58" s="52"/>
      <c r="AE58" s="454"/>
      <c r="AF58" s="416"/>
      <c r="AG58" s="399">
        <f>AG56+AG57</f>
        <v>3561.7494231999999</v>
      </c>
      <c r="AH58" s="132"/>
      <c r="AI58" s="400">
        <f t="shared" si="78"/>
        <v>12.520400000000336</v>
      </c>
      <c r="AJ58" s="401">
        <f t="shared" si="79"/>
        <v>3.5276393600297711E-3</v>
      </c>
      <c r="AK58" s="52"/>
      <c r="AL58" s="454"/>
      <c r="AM58" s="416"/>
      <c r="AN58" s="399">
        <f>AN56+AN57</f>
        <v>3572.4279231999999</v>
      </c>
      <c r="AO58" s="132"/>
      <c r="AP58" s="400">
        <f t="shared" si="80"/>
        <v>10.678499999999985</v>
      </c>
      <c r="AQ58" s="401">
        <f t="shared" si="81"/>
        <v>2.9981053497036996E-3</v>
      </c>
      <c r="AR58" s="402"/>
    </row>
    <row r="59" spans="1:44" ht="12" customHeight="1">
      <c r="A59" s="52"/>
      <c r="B59" s="632" t="s">
        <v>277</v>
      </c>
      <c r="C59" s="623"/>
      <c r="D59" s="623"/>
      <c r="E59" s="321"/>
      <c r="F59" s="455">
        <f>F53</f>
        <v>0.23499999999999999</v>
      </c>
      <c r="G59" s="132"/>
      <c r="H59" s="491">
        <f>F59*H56</f>
        <v>718.79487365</v>
      </c>
      <c r="I59" s="416"/>
      <c r="J59" s="455">
        <f>J53</f>
        <v>0.23499999999999999</v>
      </c>
      <c r="K59" s="416"/>
      <c r="L59" s="456">
        <f>J59*L56</f>
        <v>721.15640039999994</v>
      </c>
      <c r="M59" s="132"/>
      <c r="N59" s="456">
        <f t="shared" si="72"/>
        <v>2.3615267499999391</v>
      </c>
      <c r="O59" s="458">
        <f t="shared" si="73"/>
        <v>3.2853973178860315E-3</v>
      </c>
      <c r="P59" s="52"/>
      <c r="Q59" s="455">
        <f>Q53</f>
        <v>0.23499999999999999</v>
      </c>
      <c r="R59" s="416"/>
      <c r="S59" s="456">
        <f>Q59*S56</f>
        <v>729.20985039999994</v>
      </c>
      <c r="T59" s="132"/>
      <c r="U59" s="456">
        <f t="shared" si="74"/>
        <v>8.053449999999998</v>
      </c>
      <c r="V59" s="458">
        <f t="shared" si="75"/>
        <v>1.1167411112947253E-2</v>
      </c>
      <c r="W59" s="52"/>
      <c r="X59" s="455">
        <f>X53</f>
        <v>0.23499999999999999</v>
      </c>
      <c r="Y59" s="416"/>
      <c r="Z59" s="456">
        <f>X59*Z56</f>
        <v>738.1140003999999</v>
      </c>
      <c r="AA59" s="132"/>
      <c r="AB59" s="456">
        <f t="shared" si="76"/>
        <v>8.9041499999999587</v>
      </c>
      <c r="AC59" s="458">
        <f t="shared" si="77"/>
        <v>1.2210682556078592E-2</v>
      </c>
      <c r="AD59" s="52"/>
      <c r="AE59" s="455">
        <f>AE53</f>
        <v>0.23499999999999999</v>
      </c>
      <c r="AF59" s="416"/>
      <c r="AG59" s="456">
        <f>AE59*AG56</f>
        <v>740.71780039999999</v>
      </c>
      <c r="AH59" s="132"/>
      <c r="AI59" s="456">
        <f t="shared" si="78"/>
        <v>2.603800000000092</v>
      </c>
      <c r="AJ59" s="458">
        <f t="shared" si="79"/>
        <v>3.5276393600298011E-3</v>
      </c>
      <c r="AK59" s="52"/>
      <c r="AL59" s="455">
        <f>AL53</f>
        <v>0.23499999999999999</v>
      </c>
      <c r="AM59" s="416"/>
      <c r="AN59" s="456">
        <f>AL59*AN56</f>
        <v>742.93855039999994</v>
      </c>
      <c r="AO59" s="132"/>
      <c r="AP59" s="456">
        <f t="shared" si="80"/>
        <v>2.2207499999999527</v>
      </c>
      <c r="AQ59" s="458">
        <f t="shared" si="81"/>
        <v>2.9981053497036398E-3</v>
      </c>
      <c r="AR59" s="459"/>
    </row>
    <row r="60" spans="1:44" ht="13.5" customHeight="1">
      <c r="A60" s="52"/>
      <c r="B60" s="634" t="s">
        <v>325</v>
      </c>
      <c r="C60" s="615"/>
      <c r="D60" s="615"/>
      <c r="E60" s="460"/>
      <c r="F60" s="468"/>
      <c r="G60" s="494"/>
      <c r="H60" s="495">
        <f>H58-H59</f>
        <v>2737.5379230500002</v>
      </c>
      <c r="I60" s="469"/>
      <c r="J60" s="468"/>
      <c r="K60" s="469"/>
      <c r="L60" s="470">
        <f>L58-L59</f>
        <v>2746.5318227999996</v>
      </c>
      <c r="M60" s="471"/>
      <c r="N60" s="472">
        <f t="shared" si="72"/>
        <v>8.9938997499994002</v>
      </c>
      <c r="O60" s="473">
        <f t="shared" si="73"/>
        <v>3.2853973178858971E-3</v>
      </c>
      <c r="P60" s="52"/>
      <c r="Q60" s="468"/>
      <c r="R60" s="469"/>
      <c r="S60" s="470">
        <f>S58-S59</f>
        <v>2777.2034727999994</v>
      </c>
      <c r="T60" s="471"/>
      <c r="U60" s="472">
        <f t="shared" si="74"/>
        <v>30.671649999999772</v>
      </c>
      <c r="V60" s="473">
        <f t="shared" si="75"/>
        <v>1.1167411112947173E-2</v>
      </c>
      <c r="W60" s="52"/>
      <c r="X60" s="468"/>
      <c r="Y60" s="469"/>
      <c r="Z60" s="470">
        <f>Z58-Z59</f>
        <v>2811.1150227999997</v>
      </c>
      <c r="AA60" s="471"/>
      <c r="AB60" s="472">
        <f t="shared" si="76"/>
        <v>33.911550000000261</v>
      </c>
      <c r="AC60" s="473">
        <f t="shared" si="77"/>
        <v>1.2210682556078744E-2</v>
      </c>
      <c r="AD60" s="52"/>
      <c r="AE60" s="468"/>
      <c r="AF60" s="469"/>
      <c r="AG60" s="470">
        <f>AG58-AG59</f>
        <v>2821.0316228000002</v>
      </c>
      <c r="AH60" s="471"/>
      <c r="AI60" s="472">
        <f t="shared" si="78"/>
        <v>9.9166000000004715</v>
      </c>
      <c r="AJ60" s="473">
        <f t="shared" si="79"/>
        <v>3.527639360029844E-3</v>
      </c>
      <c r="AK60" s="52"/>
      <c r="AL60" s="468"/>
      <c r="AM60" s="469"/>
      <c r="AN60" s="470">
        <f>AN58-AN59</f>
        <v>2829.4893727999997</v>
      </c>
      <c r="AO60" s="471"/>
      <c r="AP60" s="472">
        <f t="shared" si="80"/>
        <v>8.457749999999578</v>
      </c>
      <c r="AQ60" s="473">
        <f t="shared" si="81"/>
        <v>2.9981053497035535E-3</v>
      </c>
      <c r="AR60" s="467"/>
    </row>
    <row r="61" spans="1:44" ht="12" customHeight="1">
      <c r="A61" s="52"/>
      <c r="B61" s="433"/>
      <c r="C61" s="434"/>
      <c r="D61" s="434"/>
      <c r="E61" s="434"/>
      <c r="F61" s="474"/>
      <c r="G61" s="439"/>
      <c r="H61" s="496"/>
      <c r="I61" s="475"/>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52"/>
      <c r="AL61" s="474"/>
      <c r="AM61" s="475"/>
      <c r="AN61" s="440"/>
      <c r="AO61" s="439"/>
      <c r="AP61" s="476"/>
      <c r="AQ61" s="441"/>
      <c r="AR61" s="442"/>
    </row>
    <row r="62" spans="1:44" ht="12" customHeight="1">
      <c r="A62" s="52"/>
      <c r="B62" s="52"/>
      <c r="C62" s="52"/>
      <c r="D62" s="52"/>
      <c r="E62" s="52"/>
      <c r="F62" s="52"/>
      <c r="G62" s="52"/>
      <c r="H62" s="52"/>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c r="AR62" s="52"/>
    </row>
    <row r="63" spans="1:44"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c r="AR63" s="52"/>
    </row>
    <row r="64" spans="1:44"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row>
    <row r="65" spans="1:44" ht="12" customHeight="1">
      <c r="A65" s="52" t="s">
        <v>331</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52" t="s">
        <v>332</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t="s">
        <v>333</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334</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335</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t="s">
        <v>336</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479"/>
      <c r="B73" s="52" t="s">
        <v>337</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t="s">
        <v>338</v>
      </c>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700-000000000000}">
      <formula1>"TOU,non-TOU"</formula1>
    </dataValidation>
    <dataValidation type="list" allowBlank="1" showErrorMessage="1" sqref="E15:E28 E30:E36 E38:E39 E41:E49 E55 E61" xr:uid="{00000000-0002-0000-1700-000001000000}">
      <formula1>#REF!</formula1>
    </dataValidation>
    <dataValidation type="list" allowBlank="1" showInputMessage="1" showErrorMessage="1" prompt="Select Charge Unit - monthly, per kWh, per kW" sqref="D15:D28 D30:D36 D38:D39 D41:D49 D55 D61" xr:uid="{00000000-0002-0000-1700-000002000000}">
      <formula1>"Monthly,per kWh,per kW"</formula1>
    </dataValidation>
  </dataValidations>
  <pageMargins left="0.74803149606299213" right="0.74803149606299213" top="0.98425196850393704" bottom="0.98425196850393704"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9.42578125" customWidth="1"/>
    <col min="7" max="7" width="8.85546875" customWidth="1"/>
    <col min="8" max="8" width="11" customWidth="1"/>
    <col min="9" max="9" width="0.42578125" customWidth="1"/>
    <col min="10" max="10" width="10.710937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9.28515625" customWidth="1"/>
    <col min="18" max="18" width="8.85546875" customWidth="1"/>
    <col min="19" max="19" width="11.28515625" customWidth="1"/>
    <col min="20" max="20" width="0.42578125" customWidth="1"/>
    <col min="21" max="21" width="9.42578125" customWidth="1"/>
    <col min="22" max="22" width="10" customWidth="1"/>
    <col min="23" max="23" width="2" customWidth="1"/>
    <col min="24" max="24" width="9.285156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2.42578125" customWidth="1"/>
    <col min="38" max="38" width="10.42578125" customWidth="1"/>
    <col min="39" max="39" width="8.85546875" customWidth="1"/>
    <col min="40" max="40" width="11" customWidth="1"/>
    <col min="41" max="41" width="1.28515625" customWidth="1"/>
    <col min="42" max="42" width="9.42578125" customWidth="1"/>
    <col min="43" max="43" width="10" customWidth="1"/>
    <col min="44" max="44" width="1.28515625" customWidth="1"/>
    <col min="45" max="46" width="12.42578125" customWidth="1"/>
  </cols>
  <sheetData>
    <row r="1" spans="1:46" ht="12" customHeight="1">
      <c r="A1" s="52"/>
      <c r="B1" s="52"/>
      <c r="C1" s="52"/>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6" ht="12" customHeight="1">
      <c r="A2" s="52"/>
      <c r="B2" s="52"/>
      <c r="C2" s="378"/>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6"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6"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6" ht="12" customHeight="1">
      <c r="A6" s="52"/>
      <c r="B6" s="320" t="s">
        <v>298</v>
      </c>
      <c r="C6" s="52"/>
      <c r="D6" s="504" t="s">
        <v>224</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2" customHeight="1">
      <c r="A8" s="52"/>
      <c r="B8" s="320" t="s">
        <v>299</v>
      </c>
      <c r="C8" s="52"/>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 customHeight="1">
      <c r="A9" s="52"/>
      <c r="B9" s="382"/>
      <c r="C9" s="52"/>
      <c r="D9" s="307" t="s">
        <v>301</v>
      </c>
      <c r="E9" s="307"/>
      <c r="F9" s="385">
        <f>51000*1</f>
        <v>51000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 customHeight="1">
      <c r="A10" s="52"/>
      <c r="B10" s="52"/>
      <c r="C10" s="52"/>
      <c r="D10" s="52"/>
      <c r="E10" s="52"/>
      <c r="F10" s="385">
        <v>100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 customHeight="1">
      <c r="A11" s="52"/>
      <c r="B11" s="52"/>
      <c r="C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6"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6" ht="12"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6"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6" ht="12" customHeight="1">
      <c r="A15" s="52"/>
      <c r="B15" s="321" t="s">
        <v>221</v>
      </c>
      <c r="C15" s="394" t="str">
        <f t="shared" ref="C15:C28" si="0">D$6&amp;"."&amp;B15</f>
        <v>General Service 50 to 1,499 KW.Monthly Service Charge</v>
      </c>
      <c r="D15" s="395" t="s">
        <v>310</v>
      </c>
      <c r="E15" s="321"/>
      <c r="F15" s="396">
        <f>VLOOKUP($C15,'Proposed Rates'!$B:$J,F$11,FALSE)</f>
        <v>200</v>
      </c>
      <c r="G15" s="414">
        <f t="shared" ref="G15:G28" si="1">IF($D15="Monthly",1,IF($D15="per KW",$F$10,IF($D15="per kWh",$F$9,0)))</f>
        <v>1</v>
      </c>
      <c r="H15" s="399">
        <f t="shared" ref="H15:H28" si="2">G15*F15</f>
        <v>200</v>
      </c>
      <c r="I15" s="132"/>
      <c r="J15" s="396">
        <f>VLOOKUP($C15,'Proposed Rates'!$B:$J,J$11,FALSE)</f>
        <v>200</v>
      </c>
      <c r="K15" s="414">
        <f t="shared" ref="K15:K28" si="3">IF($D15="Monthly",1,IF($D15="per KW",$F$10,IF($D15="per kWh",$F$9,0)))</f>
        <v>1</v>
      </c>
      <c r="L15" s="399">
        <f t="shared" ref="L15:L28" si="4">K15*J15</f>
        <v>200</v>
      </c>
      <c r="M15" s="132"/>
      <c r="N15" s="400">
        <f t="shared" ref="N15:N46" si="5">L15-H15</f>
        <v>0</v>
      </c>
      <c r="O15" s="401">
        <f t="shared" ref="O15:O46" si="6">IF((H15)=0,"",(N15/H15))</f>
        <v>0</v>
      </c>
      <c r="P15" s="52"/>
      <c r="Q15" s="396">
        <f>VLOOKUP($C15,'Proposed Rates'!$B:$J,Q$11,FALSE)</f>
        <v>200</v>
      </c>
      <c r="R15" s="414">
        <f t="shared" ref="R15:R28" si="7">IF($D15="Monthly",1,IF($D15="per KW",$F$10,IF($D15="per kWh",$F$9,0)))</f>
        <v>1</v>
      </c>
      <c r="S15" s="399">
        <f t="shared" ref="S15:S28" si="8">R15*Q15</f>
        <v>200</v>
      </c>
      <c r="T15" s="132"/>
      <c r="U15" s="400">
        <f t="shared" ref="U15:U46" si="9">S15-L15</f>
        <v>0</v>
      </c>
      <c r="V15" s="401">
        <f t="shared" ref="V15:V46" si="10">IF((L15)=0,"",(U15/L15))</f>
        <v>0</v>
      </c>
      <c r="W15" s="52"/>
      <c r="X15" s="396">
        <f>VLOOKUP($C15,'Proposed Rates'!$B:$J,X$11,FALSE)</f>
        <v>200</v>
      </c>
      <c r="Y15" s="414">
        <f t="shared" ref="Y15:Y28" si="11">IF($D15="Monthly",1,IF($D15="per KW",$F$10,IF($D15="per kWh",$F$9,0)))</f>
        <v>1</v>
      </c>
      <c r="Z15" s="399">
        <f t="shared" ref="Z15:Z28" si="12">Y15*X15</f>
        <v>200</v>
      </c>
      <c r="AA15" s="132"/>
      <c r="AB15" s="400">
        <f t="shared" ref="AB15:AB46" si="13">Z15-S15</f>
        <v>0</v>
      </c>
      <c r="AC15" s="401">
        <f t="shared" ref="AC15:AC46" si="14">IF((S15)=0,"",(AB15/S15))</f>
        <v>0</v>
      </c>
      <c r="AD15" s="52"/>
      <c r="AE15" s="396">
        <f>VLOOKUP($C15,'Proposed Rates'!$B:$J,AE$11,FALSE)</f>
        <v>200</v>
      </c>
      <c r="AF15" s="414">
        <f t="shared" ref="AF15:AF28" si="15">IF($D15="Monthly",1,IF($D15="per KW",$F$10,IF($D15="per kWh",$F$9,0)))</f>
        <v>1</v>
      </c>
      <c r="AG15" s="399">
        <f t="shared" ref="AG15:AG28" si="16">AF15*AE15</f>
        <v>200</v>
      </c>
      <c r="AH15" s="132"/>
      <c r="AI15" s="400">
        <f t="shared" ref="AI15:AI46" si="17">AG15-Z15</f>
        <v>0</v>
      </c>
      <c r="AJ15" s="401">
        <f t="shared" ref="AJ15:AJ46" si="18">IF((Z15)=0,"",(AI15/Z15))</f>
        <v>0</v>
      </c>
      <c r="AK15" s="52"/>
      <c r="AL15" s="396">
        <f>VLOOKUP($C15,'Proposed Rates'!$B:$J,AL$11,FALSE)</f>
        <v>200</v>
      </c>
      <c r="AM15" s="414">
        <f t="shared" ref="AM15:AM28" si="19">IF($D15="Monthly",1,IF($D15="per KW",$F$10,IF($D15="per kWh",$F$9,0)))</f>
        <v>1</v>
      </c>
      <c r="AN15" s="399">
        <f t="shared" ref="AN15:AN28" si="20">AM15*AL15</f>
        <v>200</v>
      </c>
      <c r="AO15" s="132"/>
      <c r="AP15" s="400">
        <f t="shared" ref="AP15:AP46" si="21">AN15-AG15</f>
        <v>0</v>
      </c>
      <c r="AQ15" s="401">
        <f t="shared" ref="AQ15:AQ46" si="22">IF((AG15)=0,"",(AP15/AG15))</f>
        <v>0</v>
      </c>
      <c r="AR15" s="402"/>
    </row>
    <row r="16" spans="1:46" ht="12" customHeight="1">
      <c r="A16" s="52"/>
      <c r="B16" s="321" t="s">
        <v>311</v>
      </c>
      <c r="C16" s="394" t="str">
        <f t="shared" si="0"/>
        <v>General Service 50 to 1,499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 customHeight="1">
      <c r="A17" s="52"/>
      <c r="B17" s="403" t="str">
        <f>'Proposed Rates'!C115</f>
        <v>Rate Rider Calculation for PILs</v>
      </c>
      <c r="C17" s="394" t="str">
        <f t="shared" si="0"/>
        <v>General Service 50 to 1,499 KW.Rate Rider Calculation for PILs</v>
      </c>
      <c r="D17" s="395" t="s">
        <v>381</v>
      </c>
      <c r="E17" s="321"/>
      <c r="F17" s="396">
        <f>IFERROR(VLOOKUP($C17,'Proposed Rates'!$B:$J,F$11,FALSE),0)</f>
        <v>0</v>
      </c>
      <c r="G17" s="414">
        <f t="shared" si="1"/>
        <v>100</v>
      </c>
      <c r="H17" s="399">
        <f t="shared" si="2"/>
        <v>0</v>
      </c>
      <c r="I17" s="132"/>
      <c r="J17" s="396">
        <f>IFERROR(VLOOKUP($C17,'Proposed Rates'!$B:$J,J$11,FALSE),0)</f>
        <v>0</v>
      </c>
      <c r="K17" s="414">
        <f t="shared" si="3"/>
        <v>100</v>
      </c>
      <c r="L17" s="399">
        <f t="shared" si="4"/>
        <v>0</v>
      </c>
      <c r="M17" s="132"/>
      <c r="N17" s="400">
        <f t="shared" si="5"/>
        <v>0</v>
      </c>
      <c r="O17" s="401" t="str">
        <f t="shared" si="6"/>
        <v/>
      </c>
      <c r="P17" s="52"/>
      <c r="Q17" s="396">
        <f>IFERROR(VLOOKUP($C17,'Proposed Rates'!$B:$J,Q$11,FALSE),0)</f>
        <v>0</v>
      </c>
      <c r="R17" s="414">
        <f t="shared" si="7"/>
        <v>100</v>
      </c>
      <c r="S17" s="399">
        <f t="shared" si="8"/>
        <v>0</v>
      </c>
      <c r="T17" s="132"/>
      <c r="U17" s="400">
        <f t="shared" si="9"/>
        <v>0</v>
      </c>
      <c r="V17" s="401" t="str">
        <f t="shared" si="10"/>
        <v/>
      </c>
      <c r="W17" s="52"/>
      <c r="X17" s="396">
        <f>IFERROR(VLOOKUP($C17,'Proposed Rates'!$B:$J,X$11,FALSE),0)</f>
        <v>0</v>
      </c>
      <c r="Y17" s="414">
        <f t="shared" si="11"/>
        <v>100</v>
      </c>
      <c r="Z17" s="399">
        <f t="shared" si="12"/>
        <v>0</v>
      </c>
      <c r="AA17" s="132"/>
      <c r="AB17" s="400">
        <f t="shared" si="13"/>
        <v>0</v>
      </c>
      <c r="AC17" s="401" t="str">
        <f t="shared" si="14"/>
        <v/>
      </c>
      <c r="AD17" s="52"/>
      <c r="AE17" s="396">
        <f>IFERROR(VLOOKUP($C17,'Proposed Rates'!$B:$J,AE$11,FALSE),0)</f>
        <v>0</v>
      </c>
      <c r="AF17" s="414">
        <f t="shared" si="15"/>
        <v>100</v>
      </c>
      <c r="AG17" s="399">
        <f t="shared" si="16"/>
        <v>0</v>
      </c>
      <c r="AH17" s="132"/>
      <c r="AI17" s="400">
        <f t="shared" si="17"/>
        <v>0</v>
      </c>
      <c r="AJ17" s="401" t="str">
        <f t="shared" si="18"/>
        <v/>
      </c>
      <c r="AK17" s="52"/>
      <c r="AL17" s="396">
        <f>IFERROR(VLOOKUP($C17,'Proposed Rates'!$B:$J,AL$11,FALSE),0)</f>
        <v>0</v>
      </c>
      <c r="AM17" s="414">
        <f t="shared" si="19"/>
        <v>100</v>
      </c>
      <c r="AN17" s="399">
        <f t="shared" si="20"/>
        <v>0</v>
      </c>
      <c r="AO17" s="132"/>
      <c r="AP17" s="400">
        <f t="shared" si="21"/>
        <v>0</v>
      </c>
      <c r="AQ17" s="401" t="str">
        <f t="shared" si="22"/>
        <v/>
      </c>
      <c r="AR17" s="402"/>
    </row>
    <row r="18" spans="1:44" ht="12" customHeight="1">
      <c r="A18" s="52"/>
      <c r="B18" s="403" t="str">
        <f>'Proposed Rates'!C128</f>
        <v>Rate Rider Calculation for Generic</v>
      </c>
      <c r="C18" s="394" t="str">
        <f t="shared" si="0"/>
        <v>General Service 50 to 1,499 KW.Rate Rider Calculation for Generic</v>
      </c>
      <c r="D18" s="395" t="s">
        <v>381</v>
      </c>
      <c r="E18" s="321"/>
      <c r="F18" s="396">
        <f>IFERROR(VLOOKUP($C18,'Proposed Rates'!$B:$J,F$11,FALSE),0)</f>
        <v>0</v>
      </c>
      <c r="G18" s="414">
        <f t="shared" si="1"/>
        <v>100</v>
      </c>
      <c r="H18" s="399">
        <f t="shared" si="2"/>
        <v>0</v>
      </c>
      <c r="I18" s="132"/>
      <c r="J18" s="396">
        <f>IFERROR(VLOOKUP($C18,'Proposed Rates'!$B:$J,J$11,FALSE),0)</f>
        <v>0</v>
      </c>
      <c r="K18" s="414">
        <f t="shared" si="3"/>
        <v>100</v>
      </c>
      <c r="L18" s="399">
        <f t="shared" si="4"/>
        <v>0</v>
      </c>
      <c r="M18" s="132"/>
      <c r="N18" s="400">
        <f t="shared" si="5"/>
        <v>0</v>
      </c>
      <c r="O18" s="401" t="str">
        <f t="shared" si="6"/>
        <v/>
      </c>
      <c r="P18" s="52"/>
      <c r="Q18" s="396">
        <f>IFERROR(VLOOKUP($C18,'Proposed Rates'!$B:$J,Q$11,FALSE),0)</f>
        <v>0</v>
      </c>
      <c r="R18" s="414">
        <f t="shared" si="7"/>
        <v>100</v>
      </c>
      <c r="S18" s="399">
        <f t="shared" si="8"/>
        <v>0</v>
      </c>
      <c r="T18" s="132"/>
      <c r="U18" s="400">
        <f t="shared" si="9"/>
        <v>0</v>
      </c>
      <c r="V18" s="401" t="str">
        <f t="shared" si="10"/>
        <v/>
      </c>
      <c r="W18" s="52"/>
      <c r="X18" s="396">
        <f>IFERROR(VLOOKUP($C18,'Proposed Rates'!$B:$J,X$11,FALSE),0)</f>
        <v>0</v>
      </c>
      <c r="Y18" s="414">
        <f t="shared" si="11"/>
        <v>100</v>
      </c>
      <c r="Z18" s="399">
        <f t="shared" si="12"/>
        <v>0</v>
      </c>
      <c r="AA18" s="132"/>
      <c r="AB18" s="400">
        <f t="shared" si="13"/>
        <v>0</v>
      </c>
      <c r="AC18" s="401" t="str">
        <f t="shared" si="14"/>
        <v/>
      </c>
      <c r="AD18" s="52"/>
      <c r="AE18" s="396">
        <f>IFERROR(VLOOKUP($C18,'Proposed Rates'!$B:$J,AE$11,FALSE),0)</f>
        <v>0</v>
      </c>
      <c r="AF18" s="414">
        <f t="shared" si="15"/>
        <v>100</v>
      </c>
      <c r="AG18" s="399">
        <f t="shared" si="16"/>
        <v>0</v>
      </c>
      <c r="AH18" s="132"/>
      <c r="AI18" s="400">
        <f t="shared" si="17"/>
        <v>0</v>
      </c>
      <c r="AJ18" s="401" t="str">
        <f t="shared" si="18"/>
        <v/>
      </c>
      <c r="AK18" s="52"/>
      <c r="AL18" s="396">
        <f>IFERROR(VLOOKUP($C18,'Proposed Rates'!$B:$J,AL$11,FALSE),0)</f>
        <v>0</v>
      </c>
      <c r="AM18" s="414">
        <f t="shared" si="19"/>
        <v>100</v>
      </c>
      <c r="AN18" s="399">
        <f t="shared" si="20"/>
        <v>0</v>
      </c>
      <c r="AO18" s="132"/>
      <c r="AP18" s="400">
        <f t="shared" si="21"/>
        <v>0</v>
      </c>
      <c r="AQ18" s="401" t="str">
        <f t="shared" si="22"/>
        <v/>
      </c>
      <c r="AR18" s="402"/>
    </row>
    <row r="19" spans="1:44" ht="12" customHeight="1">
      <c r="A19" s="52"/>
      <c r="B19" s="321" t="s">
        <v>59</v>
      </c>
      <c r="C19" s="394" t="str">
        <f t="shared" si="0"/>
        <v>General Service 50 to 1,499 KW.Distribution Volumetric Rate</v>
      </c>
      <c r="D19" s="395" t="s">
        <v>381</v>
      </c>
      <c r="E19" s="321"/>
      <c r="F19" s="413">
        <f>IFERROR(VLOOKUP($C19,'Proposed Rates'!$B:$J,F$11,FALSE),0)</f>
        <v>6.5552999999999999</v>
      </c>
      <c r="G19" s="414">
        <f t="shared" si="1"/>
        <v>100</v>
      </c>
      <c r="H19" s="399">
        <f t="shared" si="2"/>
        <v>655.53</v>
      </c>
      <c r="I19" s="132"/>
      <c r="J19" s="413">
        <f>IFERROR(VLOOKUP($C19,'Proposed Rates'!$B:$J,J$11,FALSE),0)</f>
        <v>7.9935999999999998</v>
      </c>
      <c r="K19" s="414">
        <f t="shared" si="3"/>
        <v>100</v>
      </c>
      <c r="L19" s="399">
        <f t="shared" si="4"/>
        <v>799.36</v>
      </c>
      <c r="M19" s="132"/>
      <c r="N19" s="400">
        <f t="shared" si="5"/>
        <v>143.83000000000004</v>
      </c>
      <c r="O19" s="401">
        <f t="shared" si="6"/>
        <v>0.21941024819611618</v>
      </c>
      <c r="P19" s="52"/>
      <c r="Q19" s="413">
        <f>IFERROR(VLOOKUP($C19,'Proposed Rates'!$B:$J,Q$11,FALSE),0)</f>
        <v>8.4202999999999992</v>
      </c>
      <c r="R19" s="414">
        <f t="shared" si="7"/>
        <v>100</v>
      </c>
      <c r="S19" s="399">
        <f t="shared" si="8"/>
        <v>842.03</v>
      </c>
      <c r="T19" s="132"/>
      <c r="U19" s="400">
        <f t="shared" si="9"/>
        <v>42.669999999999959</v>
      </c>
      <c r="V19" s="401">
        <f t="shared" si="10"/>
        <v>5.3380204163330613E-2</v>
      </c>
      <c r="W19" s="52"/>
      <c r="X19" s="413">
        <f>IFERROR(VLOOKUP($C19,'Proposed Rates'!$B:$J,X$11,FALSE),0)</f>
        <v>9.0498999999999992</v>
      </c>
      <c r="Y19" s="414">
        <f t="shared" si="11"/>
        <v>100</v>
      </c>
      <c r="Z19" s="399">
        <f t="shared" si="12"/>
        <v>904.9899999999999</v>
      </c>
      <c r="AA19" s="132"/>
      <c r="AB19" s="400">
        <f t="shared" si="13"/>
        <v>62.959999999999923</v>
      </c>
      <c r="AC19" s="401">
        <f t="shared" si="14"/>
        <v>7.4771682719142932E-2</v>
      </c>
      <c r="AD19" s="52"/>
      <c r="AE19" s="413">
        <f>IFERROR(VLOOKUP($C19,'Proposed Rates'!$B:$J,AE$11,FALSE),0)</f>
        <v>9.3849</v>
      </c>
      <c r="AF19" s="414">
        <f t="shared" si="15"/>
        <v>100</v>
      </c>
      <c r="AG19" s="399">
        <f t="shared" si="16"/>
        <v>938.49</v>
      </c>
      <c r="AH19" s="132"/>
      <c r="AI19" s="400">
        <f t="shared" si="17"/>
        <v>33.500000000000114</v>
      </c>
      <c r="AJ19" s="401">
        <f t="shared" si="18"/>
        <v>3.701698361307873E-2</v>
      </c>
      <c r="AK19" s="52"/>
      <c r="AL19" s="413">
        <f>IFERROR(VLOOKUP($C19,'Proposed Rates'!$B:$J,AL$11,FALSE),0)</f>
        <v>9.6918000000000006</v>
      </c>
      <c r="AM19" s="414">
        <f t="shared" si="19"/>
        <v>100</v>
      </c>
      <c r="AN19" s="399">
        <f t="shared" si="20"/>
        <v>969.18000000000006</v>
      </c>
      <c r="AO19" s="132"/>
      <c r="AP19" s="400">
        <f t="shared" si="21"/>
        <v>30.690000000000055</v>
      </c>
      <c r="AQ19" s="401">
        <f t="shared" si="22"/>
        <v>3.2701467250583441E-2</v>
      </c>
      <c r="AR19" s="402"/>
    </row>
    <row r="20" spans="1:44" ht="12" customHeight="1">
      <c r="A20" s="52"/>
      <c r="B20" s="321" t="s">
        <v>313</v>
      </c>
      <c r="C20" s="394" t="str">
        <f t="shared" si="0"/>
        <v>General Service 50 to 1,499 KW.Smart Meter Disposition Rider</v>
      </c>
      <c r="D20" s="395" t="s">
        <v>312</v>
      </c>
      <c r="E20" s="321"/>
      <c r="F20" s="396">
        <f>IFERROR(VLOOKUP($C20,'Proposed Rates'!$B:$J,F$11,FALSE),0)</f>
        <v>0</v>
      </c>
      <c r="G20" s="414">
        <f t="shared" si="1"/>
        <v>51000</v>
      </c>
      <c r="H20" s="399">
        <f t="shared" si="2"/>
        <v>0</v>
      </c>
      <c r="I20" s="132"/>
      <c r="J20" s="396">
        <f>IFERROR(VLOOKUP($C20,'Proposed Rates'!$B:$J,J$11,FALSE),0)</f>
        <v>0</v>
      </c>
      <c r="K20" s="414">
        <f t="shared" si="3"/>
        <v>51000</v>
      </c>
      <c r="L20" s="399">
        <f t="shared" si="4"/>
        <v>0</v>
      </c>
      <c r="M20" s="132"/>
      <c r="N20" s="400">
        <f t="shared" si="5"/>
        <v>0</v>
      </c>
      <c r="O20" s="401" t="str">
        <f t="shared" si="6"/>
        <v/>
      </c>
      <c r="P20" s="52"/>
      <c r="Q20" s="396">
        <f>IFERROR(VLOOKUP($C20,'Proposed Rates'!$B:$J,Q$11,FALSE),0)</f>
        <v>0</v>
      </c>
      <c r="R20" s="414">
        <f t="shared" si="7"/>
        <v>51000</v>
      </c>
      <c r="S20" s="399">
        <f t="shared" si="8"/>
        <v>0</v>
      </c>
      <c r="T20" s="132"/>
      <c r="U20" s="400">
        <f t="shared" si="9"/>
        <v>0</v>
      </c>
      <c r="V20" s="401" t="str">
        <f t="shared" si="10"/>
        <v/>
      </c>
      <c r="W20" s="52"/>
      <c r="X20" s="396">
        <f>IFERROR(VLOOKUP($C20,'Proposed Rates'!$B:$J,X$11,FALSE),0)</f>
        <v>0</v>
      </c>
      <c r="Y20" s="414">
        <f t="shared" si="11"/>
        <v>51000</v>
      </c>
      <c r="Z20" s="399">
        <f t="shared" si="12"/>
        <v>0</v>
      </c>
      <c r="AA20" s="132"/>
      <c r="AB20" s="400">
        <f t="shared" si="13"/>
        <v>0</v>
      </c>
      <c r="AC20" s="401" t="str">
        <f t="shared" si="14"/>
        <v/>
      </c>
      <c r="AD20" s="52"/>
      <c r="AE20" s="396">
        <f>IFERROR(VLOOKUP($C20,'Proposed Rates'!$B:$J,AE$11,FALSE),0)</f>
        <v>0</v>
      </c>
      <c r="AF20" s="414">
        <f t="shared" si="15"/>
        <v>51000</v>
      </c>
      <c r="AG20" s="399">
        <f t="shared" si="16"/>
        <v>0</v>
      </c>
      <c r="AH20" s="132"/>
      <c r="AI20" s="400">
        <f t="shared" si="17"/>
        <v>0</v>
      </c>
      <c r="AJ20" s="401" t="str">
        <f t="shared" si="18"/>
        <v/>
      </c>
      <c r="AK20" s="52"/>
      <c r="AL20" s="396">
        <f>IFERROR(VLOOKUP($C20,'Proposed Rates'!$B:$J,AL$11,FALSE),0)</f>
        <v>0</v>
      </c>
      <c r="AM20" s="414">
        <f t="shared" si="19"/>
        <v>51000</v>
      </c>
      <c r="AN20" s="399">
        <f t="shared" si="20"/>
        <v>0</v>
      </c>
      <c r="AO20" s="132"/>
      <c r="AP20" s="400">
        <f t="shared" si="21"/>
        <v>0</v>
      </c>
      <c r="AQ20" s="401" t="str">
        <f t="shared" si="22"/>
        <v/>
      </c>
      <c r="AR20" s="402"/>
    </row>
    <row r="21" spans="1:44" ht="12" customHeight="1">
      <c r="A21" s="52"/>
      <c r="B21" s="321" t="s">
        <v>244</v>
      </c>
      <c r="C21" s="394" t="str">
        <f t="shared" si="0"/>
        <v>General Service 50 to 1,499 KW.LRAM Rate Rider</v>
      </c>
      <c r="D21" s="395" t="s">
        <v>381</v>
      </c>
      <c r="E21" s="321"/>
      <c r="F21" s="413">
        <f>'Proposed Rates'!E79+'Proposed Rates'!E92</f>
        <v>-0.2477</v>
      </c>
      <c r="G21" s="414">
        <f t="shared" si="1"/>
        <v>100</v>
      </c>
      <c r="H21" s="399">
        <f t="shared" si="2"/>
        <v>-24.77</v>
      </c>
      <c r="I21" s="132"/>
      <c r="J21" s="413">
        <f>'Proposed Rates'!F79+'Proposed Rates'!F92</f>
        <v>0</v>
      </c>
      <c r="K21" s="414">
        <f t="shared" si="3"/>
        <v>100</v>
      </c>
      <c r="L21" s="399">
        <f t="shared" si="4"/>
        <v>0</v>
      </c>
      <c r="M21" s="132"/>
      <c r="N21" s="400">
        <f t="shared" si="5"/>
        <v>24.77</v>
      </c>
      <c r="O21" s="401">
        <f t="shared" si="6"/>
        <v>-1</v>
      </c>
      <c r="P21" s="52"/>
      <c r="Q21" s="413">
        <f>'Proposed Rates'!G79+'Proposed Rates'!G92</f>
        <v>2.7900000000000001E-2</v>
      </c>
      <c r="R21" s="414">
        <f t="shared" si="7"/>
        <v>100</v>
      </c>
      <c r="S21" s="399">
        <f t="shared" si="8"/>
        <v>2.79</v>
      </c>
      <c r="T21" s="132"/>
      <c r="U21" s="400">
        <f t="shared" si="9"/>
        <v>2.79</v>
      </c>
      <c r="V21" s="401" t="str">
        <f t="shared" si="10"/>
        <v/>
      </c>
      <c r="W21" s="52"/>
      <c r="X21" s="413">
        <f>IFERROR(VLOOKUP($C21,'Proposed Rates'!$B:$J,X$11,FALSE),0)</f>
        <v>0</v>
      </c>
      <c r="Y21" s="414">
        <f t="shared" si="11"/>
        <v>100</v>
      </c>
      <c r="Z21" s="399">
        <f t="shared" si="12"/>
        <v>0</v>
      </c>
      <c r="AA21" s="132"/>
      <c r="AB21" s="400">
        <f t="shared" si="13"/>
        <v>-2.79</v>
      </c>
      <c r="AC21" s="401">
        <f t="shared" si="14"/>
        <v>-1</v>
      </c>
      <c r="AD21" s="52"/>
      <c r="AE21" s="413">
        <f>IFERROR(VLOOKUP($C21,'Proposed Rates'!$B:$J,AE$11,FALSE),0)</f>
        <v>0</v>
      </c>
      <c r="AF21" s="414">
        <f t="shared" si="15"/>
        <v>100</v>
      </c>
      <c r="AG21" s="399">
        <f t="shared" si="16"/>
        <v>0</v>
      </c>
      <c r="AH21" s="132"/>
      <c r="AI21" s="400">
        <f t="shared" si="17"/>
        <v>0</v>
      </c>
      <c r="AJ21" s="401" t="str">
        <f t="shared" si="18"/>
        <v/>
      </c>
      <c r="AK21" s="52"/>
      <c r="AL21" s="413">
        <f>IFERROR(VLOOKUP($C21,'Proposed Rates'!$B:$J,AL$11,FALSE),0)</f>
        <v>0</v>
      </c>
      <c r="AM21" s="414">
        <f t="shared" si="19"/>
        <v>100</v>
      </c>
      <c r="AN21" s="399">
        <f t="shared" si="20"/>
        <v>0</v>
      </c>
      <c r="AO21" s="132"/>
      <c r="AP21" s="400">
        <f t="shared" si="21"/>
        <v>0</v>
      </c>
      <c r="AQ21" s="401" t="str">
        <f t="shared" si="22"/>
        <v/>
      </c>
      <c r="AR21" s="402"/>
    </row>
    <row r="22" spans="1:44" ht="12" customHeight="1">
      <c r="A22" s="52"/>
      <c r="B22" s="403" t="s">
        <v>240</v>
      </c>
      <c r="C22" s="394" t="str">
        <f t="shared" si="0"/>
        <v>General Service 50 to 1,499 KW.Deferral/Variance Account Disposition Rate Rider Group 2</v>
      </c>
      <c r="D22" s="395" t="s">
        <v>381</v>
      </c>
      <c r="E22" s="321"/>
      <c r="F22" s="396">
        <f>IFERROR(VLOOKUP($C22,'Proposed Rates'!$B:$J,F$11,FALSE),0)</f>
        <v>0</v>
      </c>
      <c r="G22" s="414">
        <f t="shared" si="1"/>
        <v>100</v>
      </c>
      <c r="H22" s="399">
        <f t="shared" si="2"/>
        <v>0</v>
      </c>
      <c r="I22" s="132"/>
      <c r="J22" s="396">
        <f>IFERROR(VLOOKUP($C22,'Proposed Rates'!$B:$J,J$11,FALSE),0)</f>
        <v>-0.15229999999999999</v>
      </c>
      <c r="K22" s="414">
        <f t="shared" si="3"/>
        <v>100</v>
      </c>
      <c r="L22" s="399">
        <f t="shared" si="4"/>
        <v>-15.229999999999999</v>
      </c>
      <c r="M22" s="132"/>
      <c r="N22" s="400">
        <f t="shared" si="5"/>
        <v>-15.229999999999999</v>
      </c>
      <c r="O22" s="401" t="str">
        <f t="shared" si="6"/>
        <v/>
      </c>
      <c r="P22" s="52"/>
      <c r="Q22" s="396">
        <f>IFERROR(VLOOKUP($C22,'Proposed Rates'!$B:$J,Q$11,FALSE),0)</f>
        <v>0</v>
      </c>
      <c r="R22" s="414">
        <f t="shared" si="7"/>
        <v>100</v>
      </c>
      <c r="S22" s="399">
        <f t="shared" si="8"/>
        <v>0</v>
      </c>
      <c r="T22" s="132"/>
      <c r="U22" s="400">
        <f t="shared" si="9"/>
        <v>15.229999999999999</v>
      </c>
      <c r="V22" s="401">
        <f t="shared" si="10"/>
        <v>-1</v>
      </c>
      <c r="W22" s="52"/>
      <c r="X22" s="396">
        <f>IFERROR(VLOOKUP($C22,'Proposed Rates'!$B:$J,X$11,FALSE),0)</f>
        <v>0</v>
      </c>
      <c r="Y22" s="414">
        <f t="shared" si="11"/>
        <v>100</v>
      </c>
      <c r="Z22" s="399">
        <f t="shared" si="12"/>
        <v>0</v>
      </c>
      <c r="AA22" s="132"/>
      <c r="AB22" s="400">
        <f t="shared" si="13"/>
        <v>0</v>
      </c>
      <c r="AC22" s="401" t="str">
        <f t="shared" si="14"/>
        <v/>
      </c>
      <c r="AD22" s="52"/>
      <c r="AE22" s="396">
        <f>IFERROR(VLOOKUP($C22,'Proposed Rates'!$B:$J,AE$11,FALSE),0)</f>
        <v>0</v>
      </c>
      <c r="AF22" s="414">
        <f t="shared" si="15"/>
        <v>100</v>
      </c>
      <c r="AG22" s="399">
        <f t="shared" si="16"/>
        <v>0</v>
      </c>
      <c r="AH22" s="132"/>
      <c r="AI22" s="400">
        <f t="shared" si="17"/>
        <v>0</v>
      </c>
      <c r="AJ22" s="401" t="str">
        <f t="shared" si="18"/>
        <v/>
      </c>
      <c r="AK22" s="52"/>
      <c r="AL22" s="396">
        <f>IFERROR(VLOOKUP($C22,'Proposed Rates'!$B:$J,AL$11,FALSE),0)</f>
        <v>0</v>
      </c>
      <c r="AM22" s="414">
        <f t="shared" si="19"/>
        <v>100</v>
      </c>
      <c r="AN22" s="399">
        <f t="shared" si="20"/>
        <v>0</v>
      </c>
      <c r="AO22" s="132"/>
      <c r="AP22" s="400">
        <f t="shared" si="21"/>
        <v>0</v>
      </c>
      <c r="AQ22" s="401" t="str">
        <f t="shared" si="22"/>
        <v/>
      </c>
      <c r="AR22" s="402"/>
    </row>
    <row r="23" spans="1:44" ht="12" customHeight="1">
      <c r="A23" s="52"/>
      <c r="B23" s="403"/>
      <c r="C23" s="394" t="str">
        <f t="shared" si="0"/>
        <v>General Service 50 to 1,499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 customHeight="1">
      <c r="A24" s="52"/>
      <c r="B24" s="403"/>
      <c r="C24" s="394" t="str">
        <f t="shared" si="0"/>
        <v>General Service 50 to 1,499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 customHeight="1">
      <c r="A25" s="52"/>
      <c r="B25" s="403"/>
      <c r="C25" s="394" t="str">
        <f t="shared" si="0"/>
        <v>General Service 50 to 1,499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 customHeight="1">
      <c r="A26" s="52"/>
      <c r="B26" s="403"/>
      <c r="C26" s="394" t="str">
        <f t="shared" si="0"/>
        <v>General Service 50 to 1,499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 customHeight="1">
      <c r="A27" s="52"/>
      <c r="B27" s="403"/>
      <c r="C27" s="394" t="str">
        <f t="shared" si="0"/>
        <v>General Service 50 to 1,499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 customHeight="1">
      <c r="A28" s="52"/>
      <c r="B28" s="403"/>
      <c r="C28" s="394" t="str">
        <f t="shared" si="0"/>
        <v>General Service 50 to 1,499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 customHeight="1">
      <c r="A29" s="307"/>
      <c r="B29" s="404" t="s">
        <v>314</v>
      </c>
      <c r="C29" s="405"/>
      <c r="D29" s="405"/>
      <c r="E29" s="405"/>
      <c r="F29" s="406"/>
      <c r="G29" s="499"/>
      <c r="H29" s="408">
        <f>SUM(H15:H28)</f>
        <v>830.76</v>
      </c>
      <c r="I29" s="409"/>
      <c r="J29" s="406"/>
      <c r="K29" s="499"/>
      <c r="L29" s="408">
        <f>SUM(L15:L28)</f>
        <v>984.13</v>
      </c>
      <c r="M29" s="409"/>
      <c r="N29" s="410">
        <f t="shared" si="5"/>
        <v>153.37</v>
      </c>
      <c r="O29" s="411">
        <f t="shared" si="6"/>
        <v>0.18461408830468487</v>
      </c>
      <c r="P29" s="307"/>
      <c r="Q29" s="406"/>
      <c r="R29" s="499"/>
      <c r="S29" s="408">
        <f>SUM(S15:S28)</f>
        <v>1044.82</v>
      </c>
      <c r="T29" s="409"/>
      <c r="U29" s="410">
        <f t="shared" si="9"/>
        <v>60.689999999999941</v>
      </c>
      <c r="V29" s="411">
        <f t="shared" si="10"/>
        <v>6.166868198307128E-2</v>
      </c>
      <c r="W29" s="307"/>
      <c r="X29" s="406"/>
      <c r="Y29" s="499"/>
      <c r="Z29" s="408">
        <f>SUM(Z15:Z28)</f>
        <v>1104.9899999999998</v>
      </c>
      <c r="AA29" s="409"/>
      <c r="AB29" s="410">
        <f t="shared" si="13"/>
        <v>60.169999999999845</v>
      </c>
      <c r="AC29" s="411">
        <f t="shared" si="14"/>
        <v>5.7588866981872329E-2</v>
      </c>
      <c r="AD29" s="307"/>
      <c r="AE29" s="406"/>
      <c r="AF29" s="499"/>
      <c r="AG29" s="408">
        <f>SUM(AG15:AG28)</f>
        <v>1138.49</v>
      </c>
      <c r="AH29" s="409"/>
      <c r="AI29" s="410">
        <f t="shared" si="17"/>
        <v>33.500000000000227</v>
      </c>
      <c r="AJ29" s="411">
        <f t="shared" si="18"/>
        <v>3.0317016443587936E-2</v>
      </c>
      <c r="AK29" s="307"/>
      <c r="AL29" s="406"/>
      <c r="AM29" s="499"/>
      <c r="AN29" s="408">
        <f>SUM(AN15:AN28)</f>
        <v>1169.18</v>
      </c>
      <c r="AO29" s="409"/>
      <c r="AP29" s="410">
        <f t="shared" si="21"/>
        <v>30.690000000000055</v>
      </c>
      <c r="AQ29" s="411">
        <f t="shared" si="22"/>
        <v>2.6956758513469643E-2</v>
      </c>
      <c r="AR29" s="412"/>
    </row>
    <row r="30" spans="1:44" ht="12" customHeight="1">
      <c r="A30" s="52"/>
      <c r="B30" s="403" t="s">
        <v>237</v>
      </c>
      <c r="C30" s="394" t="str">
        <f t="shared" ref="C30:C38" si="23">D$6&amp;"."&amp;B30</f>
        <v>General Service 50 to 1,499 KW.DVA Disposition Rate Rider Group 1 -2025</v>
      </c>
      <c r="D30" s="395" t="s">
        <v>381</v>
      </c>
      <c r="E30" s="321"/>
      <c r="F30" s="413">
        <f>IFERROR(VLOOKUP($C30,'Proposed Rates'!$B:$J,F$11,FALSE),0)</f>
        <v>0.35310000000000002</v>
      </c>
      <c r="G30" s="414">
        <f t="shared" ref="G30:G36" si="24">IF($D30="Monthly",1,IF($D30="per KW",$F$10,IF($D30="per kWh",$F$9,0)))</f>
        <v>100</v>
      </c>
      <c r="H30" s="399">
        <f t="shared" ref="H30:H38" si="25">G30*F30</f>
        <v>35.31</v>
      </c>
      <c r="I30" s="132"/>
      <c r="J30" s="413">
        <f>IFERROR(VLOOKUP($C30,'Proposed Rates'!$B:$J,J$11,FALSE),0)</f>
        <v>7.3000000000000001E-3</v>
      </c>
      <c r="K30" s="414">
        <f t="shared" ref="K30:K36" si="26">IF($D30="Monthly",1,IF($D30="per KW",$F$10,IF($D30="per kWh",$F$9,0)))</f>
        <v>100</v>
      </c>
      <c r="L30" s="399">
        <f t="shared" ref="L30:L38" si="27">K30*J30</f>
        <v>0.73</v>
      </c>
      <c r="M30" s="132"/>
      <c r="N30" s="400">
        <f t="shared" si="5"/>
        <v>-34.580000000000005</v>
      </c>
      <c r="O30" s="401">
        <f t="shared" si="6"/>
        <v>-0.97932596998017563</v>
      </c>
      <c r="P30" s="52"/>
      <c r="Q30" s="413">
        <f>IFERROR(VLOOKUP($C30,'Proposed Rates'!$B:$J,Q$11,FALSE),0)</f>
        <v>0</v>
      </c>
      <c r="R30" s="414">
        <f t="shared" ref="R30:R36" si="28">IF($D30="Monthly",1,IF($D30="per KW",$F$10,IF($D30="per kWh",$F$9,0)))</f>
        <v>100</v>
      </c>
      <c r="S30" s="399">
        <f t="shared" ref="S30:S38" si="29">R30*Q30</f>
        <v>0</v>
      </c>
      <c r="T30" s="132"/>
      <c r="U30" s="400">
        <f t="shared" si="9"/>
        <v>-0.73</v>
      </c>
      <c r="V30" s="401">
        <f t="shared" si="10"/>
        <v>-1</v>
      </c>
      <c r="W30" s="52"/>
      <c r="X30" s="413">
        <f>IFERROR(VLOOKUP($C30,'Proposed Rates'!$B:$J,X$11,FALSE),0)</f>
        <v>0</v>
      </c>
      <c r="Y30" s="414">
        <f t="shared" ref="Y30:Y36" si="30">IF($D30="Monthly",1,IF($D30="per KW",$F$10,IF($D30="per kWh",$F$9,0)))</f>
        <v>100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100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100</v>
      </c>
      <c r="AN30" s="399">
        <f t="shared" ref="AN30:AN38" si="35">AM30*AL30</f>
        <v>0</v>
      </c>
      <c r="AO30" s="132"/>
      <c r="AP30" s="400">
        <f t="shared" si="21"/>
        <v>0</v>
      </c>
      <c r="AQ30" s="401" t="str">
        <f t="shared" si="22"/>
        <v/>
      </c>
      <c r="AR30" s="402"/>
    </row>
    <row r="31" spans="1:44" ht="12" customHeight="1">
      <c r="A31" s="52"/>
      <c r="B31" s="403" t="s">
        <v>239</v>
      </c>
      <c r="C31" s="394" t="str">
        <f t="shared" si="23"/>
        <v>General Service 50 to 1,499 KW.DVA Disposition Rate Rider Group 1 - 2024</v>
      </c>
      <c r="D31" s="395" t="s">
        <v>381</v>
      </c>
      <c r="E31" s="321"/>
      <c r="F31" s="413">
        <f>IFERROR(VLOOKUP($C31,'Proposed Rates'!$B:$J,F$11,FALSE),0)</f>
        <v>0</v>
      </c>
      <c r="G31" s="414">
        <f t="shared" si="24"/>
        <v>100</v>
      </c>
      <c r="H31" s="399">
        <f t="shared" si="25"/>
        <v>0</v>
      </c>
      <c r="I31" s="132"/>
      <c r="J31" s="413">
        <f>IFERROR(VLOOKUP($C31,'Proposed Rates'!$B:$J,J$11,FALSE),0)</f>
        <v>0</v>
      </c>
      <c r="K31" s="414">
        <f t="shared" si="26"/>
        <v>100</v>
      </c>
      <c r="L31" s="399">
        <f t="shared" si="27"/>
        <v>0</v>
      </c>
      <c r="M31" s="132"/>
      <c r="N31" s="400">
        <f t="shared" si="5"/>
        <v>0</v>
      </c>
      <c r="O31" s="401" t="str">
        <f t="shared" si="6"/>
        <v/>
      </c>
      <c r="P31" s="52"/>
      <c r="Q31" s="413">
        <f>IFERROR(VLOOKUP($C31,'Proposed Rates'!$B:$J,Q$11,FALSE),0)</f>
        <v>0</v>
      </c>
      <c r="R31" s="414">
        <f t="shared" si="28"/>
        <v>100</v>
      </c>
      <c r="S31" s="399">
        <f t="shared" si="29"/>
        <v>0</v>
      </c>
      <c r="T31" s="132"/>
      <c r="U31" s="400">
        <f t="shared" si="9"/>
        <v>0</v>
      </c>
      <c r="V31" s="401" t="str">
        <f t="shared" si="10"/>
        <v/>
      </c>
      <c r="W31" s="52"/>
      <c r="X31" s="413">
        <f>IFERROR(VLOOKUP($C31,'Proposed Rates'!$B:$J,X$11,FALSE),0)</f>
        <v>0</v>
      </c>
      <c r="Y31" s="414">
        <f t="shared" si="30"/>
        <v>100</v>
      </c>
      <c r="Z31" s="399">
        <f t="shared" si="31"/>
        <v>0</v>
      </c>
      <c r="AA31" s="132"/>
      <c r="AB31" s="400">
        <f t="shared" si="13"/>
        <v>0</v>
      </c>
      <c r="AC31" s="401" t="str">
        <f t="shared" si="14"/>
        <v/>
      </c>
      <c r="AD31" s="52"/>
      <c r="AE31" s="413">
        <f>IFERROR(VLOOKUP($C31,'Proposed Rates'!$B:$J,AE$11,FALSE),0)</f>
        <v>0</v>
      </c>
      <c r="AF31" s="414">
        <f t="shared" si="32"/>
        <v>100</v>
      </c>
      <c r="AG31" s="399">
        <f t="shared" si="33"/>
        <v>0</v>
      </c>
      <c r="AH31" s="132"/>
      <c r="AI31" s="400">
        <f t="shared" si="17"/>
        <v>0</v>
      </c>
      <c r="AJ31" s="401" t="str">
        <f t="shared" si="18"/>
        <v/>
      </c>
      <c r="AK31" s="52"/>
      <c r="AL31" s="413">
        <f>IFERROR(VLOOKUP($C31,'Proposed Rates'!$B:$J,AL$11,FALSE),0)</f>
        <v>0</v>
      </c>
      <c r="AM31" s="414">
        <f t="shared" si="34"/>
        <v>100</v>
      </c>
      <c r="AN31" s="399">
        <f t="shared" si="35"/>
        <v>0</v>
      </c>
      <c r="AO31" s="132"/>
      <c r="AP31" s="400">
        <f t="shared" si="21"/>
        <v>0</v>
      </c>
      <c r="AQ31" s="401" t="str">
        <f t="shared" si="22"/>
        <v/>
      </c>
      <c r="AR31" s="402"/>
    </row>
    <row r="32" spans="1:44" ht="12" customHeight="1">
      <c r="A32" s="52"/>
      <c r="B32" s="403" t="s">
        <v>247</v>
      </c>
      <c r="C32" s="394" t="str">
        <f t="shared" si="23"/>
        <v>General Service 50 to 1,499 KW.CBR Class B Rate Riders</v>
      </c>
      <c r="D32" s="395" t="s">
        <v>312</v>
      </c>
      <c r="E32" s="321"/>
      <c r="F32" s="413">
        <f>IFERROR(VLOOKUP($C32,'Proposed Rates'!$B:$J,F$11,FALSE),0)</f>
        <v>2.0000000000000001E-4</v>
      </c>
      <c r="G32" s="414">
        <f t="shared" si="24"/>
        <v>51000</v>
      </c>
      <c r="H32" s="399">
        <f t="shared" si="25"/>
        <v>10.200000000000001</v>
      </c>
      <c r="I32" s="132"/>
      <c r="J32" s="413">
        <f>IFERROR(VLOOKUP($C32,'Proposed Rates'!$B:$J,J$11,FALSE),0)</f>
        <v>4.0000000000000002E-4</v>
      </c>
      <c r="K32" s="414">
        <f t="shared" si="26"/>
        <v>51000</v>
      </c>
      <c r="L32" s="399">
        <f t="shared" si="27"/>
        <v>20.400000000000002</v>
      </c>
      <c r="M32" s="132"/>
      <c r="N32" s="400">
        <f t="shared" si="5"/>
        <v>10.200000000000001</v>
      </c>
      <c r="O32" s="401">
        <f t="shared" si="6"/>
        <v>1</v>
      </c>
      <c r="P32" s="52"/>
      <c r="Q32" s="413">
        <f>IFERROR(VLOOKUP($C32,'Proposed Rates'!$B:$J,Q$11,FALSE),0)</f>
        <v>0</v>
      </c>
      <c r="R32" s="414">
        <f t="shared" si="28"/>
        <v>51000</v>
      </c>
      <c r="S32" s="399">
        <f t="shared" si="29"/>
        <v>0</v>
      </c>
      <c r="T32" s="132"/>
      <c r="U32" s="400">
        <f t="shared" si="9"/>
        <v>-20.400000000000002</v>
      </c>
      <c r="V32" s="401">
        <f t="shared" si="10"/>
        <v>-1</v>
      </c>
      <c r="W32" s="52"/>
      <c r="X32" s="413">
        <f>IFERROR(VLOOKUP($C32,'Proposed Rates'!$B:$J,X$11,FALSE),0)</f>
        <v>0</v>
      </c>
      <c r="Y32" s="414">
        <f t="shared" si="30"/>
        <v>51000</v>
      </c>
      <c r="Z32" s="399">
        <f t="shared" si="31"/>
        <v>0</v>
      </c>
      <c r="AA32" s="132"/>
      <c r="AB32" s="400">
        <f t="shared" si="13"/>
        <v>0</v>
      </c>
      <c r="AC32" s="401" t="str">
        <f t="shared" si="14"/>
        <v/>
      </c>
      <c r="AD32" s="52"/>
      <c r="AE32" s="413">
        <f>IFERROR(VLOOKUP($C32,'Proposed Rates'!$B:$J,AE$11,FALSE),0)</f>
        <v>0</v>
      </c>
      <c r="AF32" s="414">
        <f t="shared" si="32"/>
        <v>51000</v>
      </c>
      <c r="AG32" s="399">
        <f t="shared" si="33"/>
        <v>0</v>
      </c>
      <c r="AH32" s="132"/>
      <c r="AI32" s="400">
        <f t="shared" si="17"/>
        <v>0</v>
      </c>
      <c r="AJ32" s="401" t="str">
        <f t="shared" si="18"/>
        <v/>
      </c>
      <c r="AK32" s="52"/>
      <c r="AL32" s="413">
        <f>IFERROR(VLOOKUP($C32,'Proposed Rates'!$B:$J,AL$11,FALSE),0)</f>
        <v>0</v>
      </c>
      <c r="AM32" s="414">
        <f t="shared" si="34"/>
        <v>51000</v>
      </c>
      <c r="AN32" s="399">
        <f t="shared" si="35"/>
        <v>0</v>
      </c>
      <c r="AO32" s="132"/>
      <c r="AP32" s="400">
        <f t="shared" si="21"/>
        <v>0</v>
      </c>
      <c r="AQ32" s="401" t="str">
        <f t="shared" si="22"/>
        <v/>
      </c>
      <c r="AR32" s="402"/>
    </row>
    <row r="33" spans="1:44" ht="12" customHeight="1">
      <c r="A33" s="52"/>
      <c r="B33" s="403" t="s">
        <v>252</v>
      </c>
      <c r="C33" s="394" t="str">
        <f t="shared" si="23"/>
        <v>General Service 50 to 1,499 KW.GA Rate Riders</v>
      </c>
      <c r="D33" s="395" t="s">
        <v>312</v>
      </c>
      <c r="E33" s="321"/>
      <c r="F33" s="413">
        <f>IFERROR(VLOOKUP($C33,'Proposed Rates'!$B:$J,F$11,FALSE),0)</f>
        <v>3.8999999999999998E-3</v>
      </c>
      <c r="G33" s="414">
        <f t="shared" si="24"/>
        <v>51000</v>
      </c>
      <c r="H33" s="399">
        <f t="shared" si="25"/>
        <v>198.89999999999998</v>
      </c>
      <c r="I33" s="132"/>
      <c r="J33" s="413">
        <f>IFERROR(VLOOKUP($C33,'Proposed Rates'!$B:$J,J$11,FALSE),0)</f>
        <v>4.4000000000000003E-3</v>
      </c>
      <c r="K33" s="414">
        <f t="shared" si="26"/>
        <v>51000</v>
      </c>
      <c r="L33" s="399">
        <f t="shared" si="27"/>
        <v>224.4</v>
      </c>
      <c r="M33" s="132"/>
      <c r="N33" s="400">
        <f t="shared" si="5"/>
        <v>25.500000000000028</v>
      </c>
      <c r="O33" s="401">
        <f t="shared" si="6"/>
        <v>0.12820512820512836</v>
      </c>
      <c r="P33" s="52"/>
      <c r="Q33" s="413">
        <f>IFERROR(VLOOKUP($C33,'Proposed Rates'!$B:$J,Q$11,FALSE),0)</f>
        <v>0</v>
      </c>
      <c r="R33" s="414">
        <f t="shared" si="28"/>
        <v>51000</v>
      </c>
      <c r="S33" s="399">
        <f t="shared" si="29"/>
        <v>0</v>
      </c>
      <c r="T33" s="132"/>
      <c r="U33" s="400">
        <f t="shared" si="9"/>
        <v>-224.4</v>
      </c>
      <c r="V33" s="401">
        <f t="shared" si="10"/>
        <v>-1</v>
      </c>
      <c r="W33" s="52"/>
      <c r="X33" s="413">
        <f>IFERROR(VLOOKUP($C33,'Proposed Rates'!$B:$J,X$11,FALSE),0)</f>
        <v>0</v>
      </c>
      <c r="Y33" s="414">
        <f t="shared" si="30"/>
        <v>51000</v>
      </c>
      <c r="Z33" s="399">
        <f t="shared" si="31"/>
        <v>0</v>
      </c>
      <c r="AA33" s="132"/>
      <c r="AB33" s="400">
        <f t="shared" si="13"/>
        <v>0</v>
      </c>
      <c r="AC33" s="401" t="str">
        <f t="shared" si="14"/>
        <v/>
      </c>
      <c r="AD33" s="52"/>
      <c r="AE33" s="413">
        <f>IFERROR(VLOOKUP($C33,'Proposed Rates'!$B:$J,AE$11,FALSE),0)</f>
        <v>0</v>
      </c>
      <c r="AF33" s="414">
        <f t="shared" si="32"/>
        <v>51000</v>
      </c>
      <c r="AG33" s="399">
        <f t="shared" si="33"/>
        <v>0</v>
      </c>
      <c r="AH33" s="132"/>
      <c r="AI33" s="400">
        <f t="shared" si="17"/>
        <v>0</v>
      </c>
      <c r="AJ33" s="401" t="str">
        <f t="shared" si="18"/>
        <v/>
      </c>
      <c r="AK33" s="52"/>
      <c r="AL33" s="413">
        <f>IFERROR(VLOOKUP($C33,'Proposed Rates'!$B:$J,AL$11,FALSE),0)</f>
        <v>0</v>
      </c>
      <c r="AM33" s="414">
        <f t="shared" si="34"/>
        <v>51000</v>
      </c>
      <c r="AN33" s="399">
        <f t="shared" si="35"/>
        <v>0</v>
      </c>
      <c r="AO33" s="132"/>
      <c r="AP33" s="400">
        <f t="shared" si="21"/>
        <v>0</v>
      </c>
      <c r="AQ33" s="401" t="str">
        <f t="shared" si="22"/>
        <v/>
      </c>
      <c r="AR33" s="402"/>
    </row>
    <row r="34" spans="1:44" ht="12" customHeight="1">
      <c r="A34" s="52"/>
      <c r="B34" s="403" t="s">
        <v>255</v>
      </c>
      <c r="C34" s="394" t="str">
        <f t="shared" si="23"/>
        <v>General Service 50 to 1,499 KW.Total Deferral/Variance Account Rate RidersYr2</v>
      </c>
      <c r="D34" s="395" t="s">
        <v>381</v>
      </c>
      <c r="E34" s="321"/>
      <c r="F34" s="413">
        <f>IFERROR(VLOOKUP($C34,'Proposed Rates'!$B:$J,F$11,FALSE),0)</f>
        <v>-0.30499999999999999</v>
      </c>
      <c r="G34" s="414">
        <f t="shared" si="24"/>
        <v>100</v>
      </c>
      <c r="H34" s="399">
        <f t="shared" si="25"/>
        <v>-30.5</v>
      </c>
      <c r="I34" s="132"/>
      <c r="J34" s="413">
        <f>IFERROR(VLOOKUP($C34,'Proposed Rates'!$B:$J,J$11,FALSE),0)</f>
        <v>-0.21779999999999999</v>
      </c>
      <c r="K34" s="414">
        <f t="shared" si="26"/>
        <v>100</v>
      </c>
      <c r="L34" s="399">
        <f t="shared" si="27"/>
        <v>-21.78</v>
      </c>
      <c r="M34" s="132"/>
      <c r="N34" s="400">
        <f t="shared" si="5"/>
        <v>8.7199999999999989</v>
      </c>
      <c r="O34" s="401">
        <f t="shared" si="6"/>
        <v>-0.28590163934426227</v>
      </c>
      <c r="P34" s="52"/>
      <c r="Q34" s="413">
        <f>IFERROR(VLOOKUP($C34,'Proposed Rates'!$B:$J,Q$11,FALSE),0)</f>
        <v>0</v>
      </c>
      <c r="R34" s="414">
        <f t="shared" si="28"/>
        <v>100</v>
      </c>
      <c r="S34" s="399">
        <f t="shared" si="29"/>
        <v>0</v>
      </c>
      <c r="T34" s="132"/>
      <c r="U34" s="400">
        <f t="shared" si="9"/>
        <v>21.78</v>
      </c>
      <c r="V34" s="401">
        <f t="shared" si="10"/>
        <v>-1</v>
      </c>
      <c r="W34" s="52"/>
      <c r="X34" s="413">
        <f>IFERROR(VLOOKUP($C34,'Proposed Rates'!$B:$J,X$11,FALSE),0)</f>
        <v>0</v>
      </c>
      <c r="Y34" s="414">
        <f t="shared" si="30"/>
        <v>100</v>
      </c>
      <c r="Z34" s="399">
        <f t="shared" si="31"/>
        <v>0</v>
      </c>
      <c r="AA34" s="132"/>
      <c r="AB34" s="400">
        <f t="shared" si="13"/>
        <v>0</v>
      </c>
      <c r="AC34" s="401" t="str">
        <f t="shared" si="14"/>
        <v/>
      </c>
      <c r="AD34" s="52"/>
      <c r="AE34" s="413">
        <f>IFERROR(VLOOKUP($C34,'Proposed Rates'!$B:$J,AE$11,FALSE),0)</f>
        <v>0</v>
      </c>
      <c r="AF34" s="414">
        <f t="shared" si="32"/>
        <v>100</v>
      </c>
      <c r="AG34" s="399">
        <f t="shared" si="33"/>
        <v>0</v>
      </c>
      <c r="AH34" s="132"/>
      <c r="AI34" s="400">
        <f t="shared" si="17"/>
        <v>0</v>
      </c>
      <c r="AJ34" s="401" t="str">
        <f t="shared" si="18"/>
        <v/>
      </c>
      <c r="AK34" s="52"/>
      <c r="AL34" s="413">
        <f>IFERROR(VLOOKUP($C34,'Proposed Rates'!$B:$J,AL$11,FALSE),0)</f>
        <v>0</v>
      </c>
      <c r="AM34" s="414">
        <f t="shared" si="34"/>
        <v>100</v>
      </c>
      <c r="AN34" s="399">
        <f t="shared" si="35"/>
        <v>0</v>
      </c>
      <c r="AO34" s="132"/>
      <c r="AP34" s="400">
        <f t="shared" si="21"/>
        <v>0</v>
      </c>
      <c r="AQ34" s="401" t="str">
        <f t="shared" si="22"/>
        <v/>
      </c>
      <c r="AR34" s="402"/>
    </row>
    <row r="35" spans="1:44" ht="12" customHeight="1">
      <c r="A35" s="52"/>
      <c r="B35" s="403" t="s">
        <v>257</v>
      </c>
      <c r="C35" s="394" t="str">
        <f t="shared" si="23"/>
        <v>General Service 50 to 1,499 KW.Total Deferral/Variance Account Rate Riders</v>
      </c>
      <c r="D35" s="395" t="s">
        <v>381</v>
      </c>
      <c r="E35" s="321"/>
      <c r="F35" s="413">
        <f>IFERROR(VLOOKUP($C35,'Proposed Rates'!$B:$J,F$11,FALSE),0)</f>
        <v>0</v>
      </c>
      <c r="G35" s="414">
        <f t="shared" si="24"/>
        <v>100</v>
      </c>
      <c r="H35" s="399">
        <f t="shared" si="25"/>
        <v>0</v>
      </c>
      <c r="I35" s="132"/>
      <c r="J35" s="413">
        <f>IFERROR(VLOOKUP($C35,'Proposed Rates'!$B:$J,J$11,FALSE),0)</f>
        <v>0</v>
      </c>
      <c r="K35" s="414">
        <f t="shared" si="26"/>
        <v>100</v>
      </c>
      <c r="L35" s="399">
        <f t="shared" si="27"/>
        <v>0</v>
      </c>
      <c r="M35" s="132"/>
      <c r="N35" s="400">
        <f t="shared" si="5"/>
        <v>0</v>
      </c>
      <c r="O35" s="401" t="str">
        <f t="shared" si="6"/>
        <v/>
      </c>
      <c r="P35" s="52"/>
      <c r="Q35" s="413">
        <f>IFERROR(VLOOKUP($C35,'Proposed Rates'!$B:$J,Q$11,FALSE),0)</f>
        <v>0</v>
      </c>
      <c r="R35" s="414">
        <f t="shared" si="28"/>
        <v>100</v>
      </c>
      <c r="S35" s="399">
        <f t="shared" si="29"/>
        <v>0</v>
      </c>
      <c r="T35" s="132"/>
      <c r="U35" s="400">
        <f t="shared" si="9"/>
        <v>0</v>
      </c>
      <c r="V35" s="401" t="str">
        <f t="shared" si="10"/>
        <v/>
      </c>
      <c r="W35" s="52"/>
      <c r="X35" s="413">
        <f>IFERROR(VLOOKUP($C35,'Proposed Rates'!$B:$J,X$11,FALSE),0)</f>
        <v>0</v>
      </c>
      <c r="Y35" s="414">
        <f t="shared" si="30"/>
        <v>100</v>
      </c>
      <c r="Z35" s="399">
        <f t="shared" si="31"/>
        <v>0</v>
      </c>
      <c r="AA35" s="132"/>
      <c r="AB35" s="400">
        <f t="shared" si="13"/>
        <v>0</v>
      </c>
      <c r="AC35" s="401" t="str">
        <f t="shared" si="14"/>
        <v/>
      </c>
      <c r="AD35" s="52"/>
      <c r="AE35" s="413">
        <f>IFERROR(VLOOKUP($C35,'Proposed Rates'!$B:$J,AE$11,FALSE),0)</f>
        <v>0</v>
      </c>
      <c r="AF35" s="414">
        <f t="shared" si="32"/>
        <v>100</v>
      </c>
      <c r="AG35" s="399">
        <f t="shared" si="33"/>
        <v>0</v>
      </c>
      <c r="AH35" s="132"/>
      <c r="AI35" s="400">
        <f t="shared" si="17"/>
        <v>0</v>
      </c>
      <c r="AJ35" s="401" t="str">
        <f t="shared" si="18"/>
        <v/>
      </c>
      <c r="AK35" s="52"/>
      <c r="AL35" s="413">
        <f>IFERROR(VLOOKUP($C35,'Proposed Rates'!$B:$J,AL$11,FALSE),0)</f>
        <v>0</v>
      </c>
      <c r="AM35" s="414">
        <f t="shared" si="34"/>
        <v>100</v>
      </c>
      <c r="AN35" s="399">
        <f t="shared" si="35"/>
        <v>0</v>
      </c>
      <c r="AO35" s="132"/>
      <c r="AP35" s="400">
        <f t="shared" si="21"/>
        <v>0</v>
      </c>
      <c r="AQ35" s="401" t="str">
        <f t="shared" si="22"/>
        <v/>
      </c>
      <c r="AR35" s="402"/>
    </row>
    <row r="36" spans="1:44" ht="12" customHeight="1">
      <c r="A36" s="52"/>
      <c r="B36" s="321" t="s">
        <v>273</v>
      </c>
      <c r="C36" s="394" t="str">
        <f t="shared" si="23"/>
        <v>General Service 50 to 1,499 KW.Low Voltage Service Charge</v>
      </c>
      <c r="D36" s="395" t="s">
        <v>381</v>
      </c>
      <c r="E36" s="321"/>
      <c r="F36" s="413">
        <f>IFERROR(VLOOKUP($C36,'Proposed Rates'!$B:$J,F$11,FALSE),0)</f>
        <v>2.0629999999999999E-2</v>
      </c>
      <c r="G36" s="414">
        <f t="shared" si="24"/>
        <v>100</v>
      </c>
      <c r="H36" s="399">
        <f t="shared" si="25"/>
        <v>2.0629999999999997</v>
      </c>
      <c r="I36" s="132"/>
      <c r="J36" s="413">
        <f>IFERROR(VLOOKUP($C36,'Proposed Rates'!$B:$J,J$11,FALSE),0)</f>
        <v>2.332E-2</v>
      </c>
      <c r="K36" s="414">
        <f t="shared" si="26"/>
        <v>100</v>
      </c>
      <c r="L36" s="399">
        <f t="shared" si="27"/>
        <v>2.3319999999999999</v>
      </c>
      <c r="M36" s="132"/>
      <c r="N36" s="400">
        <f t="shared" si="5"/>
        <v>0.26900000000000013</v>
      </c>
      <c r="O36" s="401">
        <f t="shared" si="6"/>
        <v>0.13039263208919058</v>
      </c>
      <c r="P36" s="52"/>
      <c r="Q36" s="413">
        <f>IFERROR(VLOOKUP($C36,'Proposed Rates'!$B:$J,Q$11,FALSE),0)</f>
        <v>2.392E-2</v>
      </c>
      <c r="R36" s="414">
        <f t="shared" si="28"/>
        <v>100</v>
      </c>
      <c r="S36" s="399">
        <f t="shared" si="29"/>
        <v>2.3919999999999999</v>
      </c>
      <c r="T36" s="132"/>
      <c r="U36" s="400">
        <f t="shared" si="9"/>
        <v>6.0000000000000053E-2</v>
      </c>
      <c r="V36" s="401">
        <f t="shared" si="10"/>
        <v>2.5728987993138962E-2</v>
      </c>
      <c r="W36" s="52"/>
      <c r="X36" s="413">
        <f>IFERROR(VLOOKUP($C36,'Proposed Rates'!$B:$J,X$11,FALSE),0)</f>
        <v>2.4209999999999999E-2</v>
      </c>
      <c r="Y36" s="414">
        <f t="shared" si="30"/>
        <v>100</v>
      </c>
      <c r="Z36" s="399">
        <f t="shared" si="31"/>
        <v>2.4209999999999998</v>
      </c>
      <c r="AA36" s="132"/>
      <c r="AB36" s="400">
        <f t="shared" si="13"/>
        <v>2.8999999999999915E-2</v>
      </c>
      <c r="AC36" s="401">
        <f t="shared" si="14"/>
        <v>1.2123745819397957E-2</v>
      </c>
      <c r="AD36" s="52"/>
      <c r="AE36" s="413">
        <f>IFERROR(VLOOKUP($C36,'Proposed Rates'!$B:$J,AE$11,FALSE),0)</f>
        <v>2.46E-2</v>
      </c>
      <c r="AF36" s="414">
        <f t="shared" si="32"/>
        <v>100</v>
      </c>
      <c r="AG36" s="399">
        <f t="shared" si="33"/>
        <v>2.46</v>
      </c>
      <c r="AH36" s="132"/>
      <c r="AI36" s="400">
        <f t="shared" si="17"/>
        <v>3.9000000000000146E-2</v>
      </c>
      <c r="AJ36" s="401">
        <f t="shared" si="18"/>
        <v>1.6109045848822862E-2</v>
      </c>
      <c r="AK36" s="52"/>
      <c r="AL36" s="413">
        <f>IFERROR(VLOOKUP($C36,'Proposed Rates'!$B:$J,AL$11,FALSE),0)</f>
        <v>2.504E-2</v>
      </c>
      <c r="AM36" s="414">
        <f t="shared" si="34"/>
        <v>100</v>
      </c>
      <c r="AN36" s="399">
        <f t="shared" si="35"/>
        <v>2.504</v>
      </c>
      <c r="AO36" s="132"/>
      <c r="AP36" s="400">
        <f t="shared" si="21"/>
        <v>4.4000000000000039E-2</v>
      </c>
      <c r="AQ36" s="401">
        <f t="shared" si="22"/>
        <v>1.7886178861788633E-2</v>
      </c>
      <c r="AR36" s="402"/>
    </row>
    <row r="37" spans="1:44" ht="12" customHeight="1">
      <c r="A37" s="52"/>
      <c r="B37" s="321" t="s">
        <v>316</v>
      </c>
      <c r="C37" s="394" t="str">
        <f t="shared" si="23"/>
        <v>General Service 50 to 1,499 KW.Line Losses on Cost of Power</v>
      </c>
      <c r="D37" s="395" t="s">
        <v>312</v>
      </c>
      <c r="E37" s="321"/>
      <c r="F37" s="429"/>
      <c r="G37" s="420">
        <f>$F$9*(1+F$65)-$F$9</f>
        <v>1723.8000000000029</v>
      </c>
      <c r="H37" s="399">
        <f t="shared" si="25"/>
        <v>0</v>
      </c>
      <c r="I37" s="132"/>
      <c r="J37" s="429"/>
      <c r="K37" s="420">
        <f>$F$9*(1+J$65)-$F$9</f>
        <v>1693.1999999999971</v>
      </c>
      <c r="L37" s="399">
        <f t="shared" si="27"/>
        <v>0</v>
      </c>
      <c r="M37" s="132"/>
      <c r="N37" s="400">
        <f t="shared" si="5"/>
        <v>0</v>
      </c>
      <c r="O37" s="401" t="str">
        <f t="shared" si="6"/>
        <v/>
      </c>
      <c r="P37" s="52"/>
      <c r="Q37" s="429"/>
      <c r="R37" s="420">
        <f>$F$9*(1+Q$65)-$F$9</f>
        <v>1693.1999999999971</v>
      </c>
      <c r="S37" s="399">
        <f t="shared" si="29"/>
        <v>0</v>
      </c>
      <c r="T37" s="132"/>
      <c r="U37" s="400">
        <f t="shared" si="9"/>
        <v>0</v>
      </c>
      <c r="V37" s="401" t="str">
        <f t="shared" si="10"/>
        <v/>
      </c>
      <c r="W37" s="52"/>
      <c r="X37" s="429"/>
      <c r="Y37" s="420">
        <f>$F$9*(1+X$65)-$F$9</f>
        <v>1693.1999999999971</v>
      </c>
      <c r="Z37" s="399">
        <f t="shared" si="31"/>
        <v>0</v>
      </c>
      <c r="AA37" s="132"/>
      <c r="AB37" s="400">
        <f t="shared" si="13"/>
        <v>0</v>
      </c>
      <c r="AC37" s="401" t="str">
        <f t="shared" si="14"/>
        <v/>
      </c>
      <c r="AD37" s="52"/>
      <c r="AE37" s="429"/>
      <c r="AF37" s="420">
        <f>$F$9*(1+AE$65)-$F$9</f>
        <v>1693.1999999999971</v>
      </c>
      <c r="AG37" s="399">
        <f t="shared" si="33"/>
        <v>0</v>
      </c>
      <c r="AH37" s="132"/>
      <c r="AI37" s="400">
        <f t="shared" si="17"/>
        <v>0</v>
      </c>
      <c r="AJ37" s="401" t="str">
        <f t="shared" si="18"/>
        <v/>
      </c>
      <c r="AK37" s="52"/>
      <c r="AL37" s="429"/>
      <c r="AM37" s="420">
        <f>$F$9*(1+AL$65)-$F$9</f>
        <v>1693.1999999999971</v>
      </c>
      <c r="AN37" s="399">
        <f t="shared" si="35"/>
        <v>0</v>
      </c>
      <c r="AO37" s="132"/>
      <c r="AP37" s="400">
        <f t="shared" si="21"/>
        <v>0</v>
      </c>
      <c r="AQ37" s="401" t="str">
        <f t="shared" si="22"/>
        <v/>
      </c>
      <c r="AR37" s="402"/>
    </row>
    <row r="38" spans="1:44" ht="12" customHeight="1">
      <c r="A38" s="52"/>
      <c r="B38" s="321" t="s">
        <v>275</v>
      </c>
      <c r="C38" s="394" t="str">
        <f t="shared" si="23"/>
        <v>General Service 50 to 1,499 KW.Smart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13"/>
        <v>0</v>
      </c>
      <c r="AC38" s="401" t="str">
        <f t="shared" si="14"/>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row>
    <row r="39" spans="1:44" ht="12" customHeight="1">
      <c r="A39" s="52"/>
      <c r="B39" s="404" t="s">
        <v>317</v>
      </c>
      <c r="C39" s="421"/>
      <c r="D39" s="421"/>
      <c r="E39" s="421"/>
      <c r="F39" s="422"/>
      <c r="G39" s="500"/>
      <c r="H39" s="408">
        <f>SUM(H30:H38)+H29</f>
        <v>1046.7329999999999</v>
      </c>
      <c r="I39" s="424"/>
      <c r="J39" s="422"/>
      <c r="K39" s="500"/>
      <c r="L39" s="408">
        <f>SUM(L30:L38)+L29</f>
        <v>1210.212</v>
      </c>
      <c r="M39" s="424"/>
      <c r="N39" s="410">
        <f t="shared" si="5"/>
        <v>163.47900000000004</v>
      </c>
      <c r="O39" s="411">
        <f t="shared" si="6"/>
        <v>0.1561802293421532</v>
      </c>
      <c r="P39" s="52"/>
      <c r="Q39" s="422"/>
      <c r="R39" s="500"/>
      <c r="S39" s="408">
        <f>SUM(S30:S38)+S29</f>
        <v>1047.212</v>
      </c>
      <c r="T39" s="424"/>
      <c r="U39" s="410">
        <f t="shared" si="9"/>
        <v>-163</v>
      </c>
      <c r="V39" s="411">
        <f t="shared" si="10"/>
        <v>-0.13468714572322865</v>
      </c>
      <c r="W39" s="52"/>
      <c r="X39" s="422"/>
      <c r="Y39" s="500"/>
      <c r="Z39" s="408">
        <f>SUM(Z30:Z38)+Z29</f>
        <v>1107.4109999999998</v>
      </c>
      <c r="AA39" s="424"/>
      <c r="AB39" s="410">
        <f t="shared" si="13"/>
        <v>60.198999999999842</v>
      </c>
      <c r="AC39" s="411">
        <f t="shared" si="14"/>
        <v>5.7485017360381509E-2</v>
      </c>
      <c r="AD39" s="52"/>
      <c r="AE39" s="422"/>
      <c r="AF39" s="500"/>
      <c r="AG39" s="408">
        <f>SUM(AG30:AG38)+AG29</f>
        <v>1140.95</v>
      </c>
      <c r="AH39" s="424"/>
      <c r="AI39" s="410">
        <f t="shared" si="17"/>
        <v>33.539000000000215</v>
      </c>
      <c r="AJ39" s="411">
        <f t="shared" si="18"/>
        <v>3.0285955259610225E-2</v>
      </c>
      <c r="AK39" s="52"/>
      <c r="AL39" s="422"/>
      <c r="AM39" s="500"/>
      <c r="AN39" s="408">
        <f>SUM(AN30:AN38)+AN29</f>
        <v>1171.684</v>
      </c>
      <c r="AO39" s="424"/>
      <c r="AP39" s="410">
        <f t="shared" si="21"/>
        <v>30.733999999999924</v>
      </c>
      <c r="AQ39" s="411">
        <f t="shared" si="22"/>
        <v>2.6937201454927843E-2</v>
      </c>
      <c r="AR39" s="412"/>
    </row>
    <row r="40" spans="1:44" ht="12" customHeight="1">
      <c r="A40" s="52"/>
      <c r="B40" s="132" t="s">
        <v>258</v>
      </c>
      <c r="C40" s="394" t="str">
        <f t="shared" ref="C40:C41" si="36">D$6&amp;"."&amp;B40</f>
        <v>General Service 50 to 1,499 KW.RTSR - Network</v>
      </c>
      <c r="D40" s="425" t="s">
        <v>381</v>
      </c>
      <c r="E40" s="132"/>
      <c r="F40" s="413">
        <f>IFERROR(VLOOKUP($C40,'Proposed Rates'!$B:$J,F$11,FALSE),0)</f>
        <v>4.8479999999999999</v>
      </c>
      <c r="G40" s="414">
        <f t="shared" ref="G40:G41" si="37">IF($D40="Monthly",1,IF($D40="per KW",$F$10,IF($D40="per kWh",$F$9,0)))</f>
        <v>100</v>
      </c>
      <c r="H40" s="399">
        <f t="shared" ref="H40:H41" si="38">G40*F40</f>
        <v>484.8</v>
      </c>
      <c r="I40" s="132"/>
      <c r="J40" s="413">
        <f>IFERROR(VLOOKUP($C40,'Proposed Rates'!$B:$J,J$11,FALSE),0)</f>
        <v>4.5787000000000004</v>
      </c>
      <c r="K40" s="414">
        <f t="shared" ref="K40:K41" si="39">IF($D40="Monthly",1,IF($D40="per KW",$F$10,IF($D40="per kWh",$F$9,0)))</f>
        <v>100</v>
      </c>
      <c r="L40" s="399">
        <f t="shared" ref="L40:L41" si="40">K40*J40</f>
        <v>457.87000000000006</v>
      </c>
      <c r="M40" s="132"/>
      <c r="N40" s="400">
        <f t="shared" si="5"/>
        <v>-26.92999999999995</v>
      </c>
      <c r="O40" s="401">
        <f t="shared" si="6"/>
        <v>-5.5548679867986693E-2</v>
      </c>
      <c r="P40" s="52"/>
      <c r="Q40" s="413">
        <f>IFERROR(VLOOKUP($C40,'Proposed Rates'!$B:$J,Q$11,FALSE),0)</f>
        <v>4.5787000000000004</v>
      </c>
      <c r="R40" s="414">
        <f t="shared" ref="R40:R41" si="41">IF($D40="Monthly",1,IF($D40="per KW",$F$10,IF($D40="per kWh",$F$9,0)))</f>
        <v>100</v>
      </c>
      <c r="S40" s="399">
        <f t="shared" ref="S40:S41" si="42">R40*Q40</f>
        <v>457.87000000000006</v>
      </c>
      <c r="T40" s="132"/>
      <c r="U40" s="400">
        <f t="shared" si="9"/>
        <v>0</v>
      </c>
      <c r="V40" s="401">
        <f t="shared" si="10"/>
        <v>0</v>
      </c>
      <c r="W40" s="52"/>
      <c r="X40" s="413">
        <f>IFERROR(VLOOKUP($C40,'Proposed Rates'!$B:$J,X$11,FALSE),0)</f>
        <v>4.5787000000000004</v>
      </c>
      <c r="Y40" s="414">
        <f t="shared" ref="Y40:Y41" si="43">IF($D40="Monthly",1,IF($D40="per KW",$F$10,IF($D40="per kWh",$F$9,0)))</f>
        <v>100</v>
      </c>
      <c r="Z40" s="399">
        <f t="shared" ref="Z40:Z41" si="44">Y40*X40</f>
        <v>457.87000000000006</v>
      </c>
      <c r="AA40" s="132"/>
      <c r="AB40" s="400">
        <f t="shared" si="13"/>
        <v>0</v>
      </c>
      <c r="AC40" s="401">
        <f t="shared" si="14"/>
        <v>0</v>
      </c>
      <c r="AD40" s="52"/>
      <c r="AE40" s="413">
        <f>IFERROR(VLOOKUP($C40,'Proposed Rates'!$B:$J,AE$11,FALSE),0)</f>
        <v>4.5787000000000004</v>
      </c>
      <c r="AF40" s="414">
        <f t="shared" ref="AF40:AF41" si="45">IF($D40="Monthly",1,IF($D40="per KW",$F$10,IF($D40="per kWh",$F$9,0)))</f>
        <v>100</v>
      </c>
      <c r="AG40" s="399">
        <f t="shared" ref="AG40:AG41" si="46">AF40*AE40</f>
        <v>457.87000000000006</v>
      </c>
      <c r="AH40" s="132"/>
      <c r="AI40" s="400">
        <f t="shared" si="17"/>
        <v>0</v>
      </c>
      <c r="AJ40" s="401">
        <f t="shared" si="18"/>
        <v>0</v>
      </c>
      <c r="AK40" s="52"/>
      <c r="AL40" s="413">
        <f>IFERROR(VLOOKUP($C40,'Proposed Rates'!$B:$J,AL$11,FALSE),0)</f>
        <v>4.5787000000000004</v>
      </c>
      <c r="AM40" s="414">
        <f t="shared" ref="AM40:AM41" si="47">IF($D40="Monthly",1,IF($D40="per KW",$F$10,IF($D40="per kWh",$F$9,0)))</f>
        <v>100</v>
      </c>
      <c r="AN40" s="399">
        <f t="shared" ref="AN40:AN41" si="48">AM40*AL40</f>
        <v>457.87000000000006</v>
      </c>
      <c r="AO40" s="132"/>
      <c r="AP40" s="400">
        <f t="shared" si="21"/>
        <v>0</v>
      </c>
      <c r="AQ40" s="401">
        <f t="shared" si="22"/>
        <v>0</v>
      </c>
      <c r="AR40" s="402"/>
    </row>
    <row r="41" spans="1:44" ht="12" customHeight="1">
      <c r="A41" s="52"/>
      <c r="B41" s="132" t="s">
        <v>261</v>
      </c>
      <c r="C41" s="394" t="str">
        <f t="shared" si="36"/>
        <v>General Service 50 to 1,499 KW.RTSR - Line and Transformation Connection</v>
      </c>
      <c r="D41" s="425" t="s">
        <v>381</v>
      </c>
      <c r="E41" s="132"/>
      <c r="F41" s="413">
        <f>IFERROR(VLOOKUP($C41,'Proposed Rates'!$B:$J,F$11,FALSE),0)</f>
        <v>2.8187000000000002</v>
      </c>
      <c r="G41" s="414">
        <f t="shared" si="37"/>
        <v>100</v>
      </c>
      <c r="H41" s="399">
        <f t="shared" si="38"/>
        <v>281.87</v>
      </c>
      <c r="I41" s="132"/>
      <c r="J41" s="413">
        <f>IFERROR(VLOOKUP($C41,'Proposed Rates'!$B:$J,J$11,FALSE),0)</f>
        <v>2.5918000000000001</v>
      </c>
      <c r="K41" s="414">
        <f t="shared" si="39"/>
        <v>100</v>
      </c>
      <c r="L41" s="399">
        <f t="shared" si="40"/>
        <v>259.18</v>
      </c>
      <c r="M41" s="132"/>
      <c r="N41" s="400">
        <f t="shared" si="5"/>
        <v>-22.689999999999998</v>
      </c>
      <c r="O41" s="401">
        <f t="shared" si="6"/>
        <v>-8.0498101961897314E-2</v>
      </c>
      <c r="P41" s="52"/>
      <c r="Q41" s="413">
        <f>IFERROR(VLOOKUP($C41,'Proposed Rates'!$B:$J,Q$11,FALSE),0)</f>
        <v>2.5918000000000001</v>
      </c>
      <c r="R41" s="414">
        <f t="shared" si="41"/>
        <v>100</v>
      </c>
      <c r="S41" s="399">
        <f t="shared" si="42"/>
        <v>259.18</v>
      </c>
      <c r="T41" s="132"/>
      <c r="U41" s="400">
        <f t="shared" si="9"/>
        <v>0</v>
      </c>
      <c r="V41" s="401">
        <f t="shared" si="10"/>
        <v>0</v>
      </c>
      <c r="W41" s="52"/>
      <c r="X41" s="413">
        <f>IFERROR(VLOOKUP($C41,'Proposed Rates'!$B:$J,X$11,FALSE),0)</f>
        <v>2.5918000000000001</v>
      </c>
      <c r="Y41" s="414">
        <f t="shared" si="43"/>
        <v>100</v>
      </c>
      <c r="Z41" s="399">
        <f t="shared" si="44"/>
        <v>259.18</v>
      </c>
      <c r="AA41" s="132"/>
      <c r="AB41" s="400">
        <f t="shared" si="13"/>
        <v>0</v>
      </c>
      <c r="AC41" s="401">
        <f t="shared" si="14"/>
        <v>0</v>
      </c>
      <c r="AD41" s="52"/>
      <c r="AE41" s="413">
        <f>IFERROR(VLOOKUP($C41,'Proposed Rates'!$B:$J,AE$11,FALSE),0)</f>
        <v>2.5918000000000001</v>
      </c>
      <c r="AF41" s="414">
        <f t="shared" si="45"/>
        <v>100</v>
      </c>
      <c r="AG41" s="399">
        <f t="shared" si="46"/>
        <v>259.18</v>
      </c>
      <c r="AH41" s="132"/>
      <c r="AI41" s="400">
        <f t="shared" si="17"/>
        <v>0</v>
      </c>
      <c r="AJ41" s="401">
        <f t="shared" si="18"/>
        <v>0</v>
      </c>
      <c r="AK41" s="52"/>
      <c r="AL41" s="413">
        <f>IFERROR(VLOOKUP($C41,'Proposed Rates'!$B:$J,AL$11,FALSE),0)</f>
        <v>2.5918000000000001</v>
      </c>
      <c r="AM41" s="414">
        <f t="shared" si="47"/>
        <v>100</v>
      </c>
      <c r="AN41" s="399">
        <f t="shared" si="48"/>
        <v>259.18</v>
      </c>
      <c r="AO41" s="132"/>
      <c r="AP41" s="400">
        <f t="shared" si="21"/>
        <v>0</v>
      </c>
      <c r="AQ41" s="401">
        <f t="shared" si="22"/>
        <v>0</v>
      </c>
      <c r="AR41" s="402"/>
    </row>
    <row r="42" spans="1:44" ht="12" customHeight="1">
      <c r="A42" s="52"/>
      <c r="B42" s="404" t="s">
        <v>318</v>
      </c>
      <c r="C42" s="426"/>
      <c r="D42" s="426"/>
      <c r="E42" s="426"/>
      <c r="F42" s="427"/>
      <c r="G42" s="500"/>
      <c r="H42" s="408">
        <f>SUM(H39:H41)</f>
        <v>1813.4029999999998</v>
      </c>
      <c r="I42" s="409"/>
      <c r="J42" s="427"/>
      <c r="K42" s="500"/>
      <c r="L42" s="408">
        <f>SUM(L39:L41)</f>
        <v>1927.2620000000002</v>
      </c>
      <c r="M42" s="409"/>
      <c r="N42" s="410">
        <f t="shared" si="5"/>
        <v>113.85900000000038</v>
      </c>
      <c r="O42" s="411">
        <f t="shared" si="6"/>
        <v>6.2787477466399025E-2</v>
      </c>
      <c r="P42" s="52"/>
      <c r="Q42" s="427"/>
      <c r="R42" s="500"/>
      <c r="S42" s="408">
        <f>SUM(S39:S41)</f>
        <v>1764.2620000000002</v>
      </c>
      <c r="T42" s="409"/>
      <c r="U42" s="410">
        <f t="shared" si="9"/>
        <v>-163</v>
      </c>
      <c r="V42" s="411">
        <f t="shared" si="10"/>
        <v>-8.4575942451000433E-2</v>
      </c>
      <c r="W42" s="52"/>
      <c r="X42" s="427"/>
      <c r="Y42" s="500"/>
      <c r="Z42" s="408">
        <f>SUM(Z39:Z41)</f>
        <v>1824.461</v>
      </c>
      <c r="AA42" s="409"/>
      <c r="AB42" s="410">
        <f t="shared" si="13"/>
        <v>60.198999999999842</v>
      </c>
      <c r="AC42" s="411">
        <f t="shared" si="14"/>
        <v>3.4121349323399719E-2</v>
      </c>
      <c r="AD42" s="52"/>
      <c r="AE42" s="427"/>
      <c r="AF42" s="500"/>
      <c r="AG42" s="408">
        <f>SUM(AG39:AG41)</f>
        <v>1858.0000000000002</v>
      </c>
      <c r="AH42" s="409"/>
      <c r="AI42" s="410">
        <f t="shared" si="17"/>
        <v>33.539000000000215</v>
      </c>
      <c r="AJ42" s="411">
        <f t="shared" si="18"/>
        <v>1.8382963516348234E-2</v>
      </c>
      <c r="AK42" s="52"/>
      <c r="AL42" s="427"/>
      <c r="AM42" s="500"/>
      <c r="AN42" s="408">
        <f>SUM(AN39:AN41)</f>
        <v>1888.7340000000002</v>
      </c>
      <c r="AO42" s="409"/>
      <c r="AP42" s="410">
        <f t="shared" si="21"/>
        <v>30.733999999999924</v>
      </c>
      <c r="AQ42" s="411">
        <f t="shared" si="22"/>
        <v>1.654144241119479E-2</v>
      </c>
      <c r="AR42" s="412"/>
    </row>
    <row r="43" spans="1:44" ht="12" customHeight="1">
      <c r="A43" s="52"/>
      <c r="B43" s="321" t="s">
        <v>262</v>
      </c>
      <c r="C43" s="394" t="str">
        <f t="shared" ref="C43:C45" si="49">D$6&amp;"."&amp;B43</f>
        <v>General Service 50 to 1,499 KW.Wholesale Market Service Charge (WMSC)</v>
      </c>
      <c r="D43" s="395" t="s">
        <v>312</v>
      </c>
      <c r="E43" s="321"/>
      <c r="F43" s="413">
        <f>IFERROR(VLOOKUP($C43,'Proposed Rates'!$B:$J,F$11,FALSE),0)</f>
        <v>4.4999999999999997E-3</v>
      </c>
      <c r="G43" s="420">
        <f t="shared" ref="G43:G44" si="50">$F$9+G$37</f>
        <v>52723.8</v>
      </c>
      <c r="H43" s="399">
        <f t="shared" ref="H43:H46" si="51">G43*F43</f>
        <v>237.25710000000001</v>
      </c>
      <c r="I43" s="132"/>
      <c r="J43" s="413">
        <f>IFERROR(VLOOKUP($C43,'Proposed Rates'!$B:$J,J$11,FALSE),0)</f>
        <v>4.7000000000000002E-3</v>
      </c>
      <c r="K43" s="420">
        <f t="shared" ref="K43:K44" si="52">$F$9+K$37</f>
        <v>52693.2</v>
      </c>
      <c r="L43" s="399">
        <f t="shared" ref="L43:L46" si="53">K43*J43</f>
        <v>247.65804</v>
      </c>
      <c r="M43" s="132"/>
      <c r="N43" s="400">
        <f t="shared" si="5"/>
        <v>10.400939999999991</v>
      </c>
      <c r="O43" s="401">
        <f t="shared" si="6"/>
        <v>4.3838266589282221E-2</v>
      </c>
      <c r="P43" s="52"/>
      <c r="Q43" s="413">
        <f>IFERROR(VLOOKUP($C43,'Proposed Rates'!$B:$J,Q$11,FALSE),0)</f>
        <v>4.7000000000000002E-3</v>
      </c>
      <c r="R43" s="420">
        <f t="shared" ref="R43:R44" si="54">$F$9+R$37</f>
        <v>52693.2</v>
      </c>
      <c r="S43" s="399">
        <f t="shared" ref="S43:S46" si="55">R43*Q43</f>
        <v>247.65804</v>
      </c>
      <c r="T43" s="132"/>
      <c r="U43" s="400">
        <f t="shared" si="9"/>
        <v>0</v>
      </c>
      <c r="V43" s="401">
        <f t="shared" si="10"/>
        <v>0</v>
      </c>
      <c r="W43" s="52"/>
      <c r="X43" s="413">
        <f>IFERROR(VLOOKUP($C43,'Proposed Rates'!$B:$J,X$11,FALSE),0)</f>
        <v>4.7000000000000002E-3</v>
      </c>
      <c r="Y43" s="420">
        <f t="shared" ref="Y43:Y44" si="56">$F$9+Y$37</f>
        <v>52693.2</v>
      </c>
      <c r="Z43" s="399">
        <f t="shared" ref="Z43:Z46" si="57">Y43*X43</f>
        <v>247.65804</v>
      </c>
      <c r="AA43" s="132"/>
      <c r="AB43" s="400">
        <f t="shared" si="13"/>
        <v>0</v>
      </c>
      <c r="AC43" s="401">
        <f t="shared" si="14"/>
        <v>0</v>
      </c>
      <c r="AD43" s="52"/>
      <c r="AE43" s="413">
        <f>IFERROR(VLOOKUP($C43,'Proposed Rates'!$B:$J,AE$11,FALSE),0)</f>
        <v>4.7000000000000002E-3</v>
      </c>
      <c r="AF43" s="420">
        <f t="shared" ref="AF43:AF44" si="58">$F$9+AF$37</f>
        <v>52693.2</v>
      </c>
      <c r="AG43" s="399">
        <f t="shared" ref="AG43:AG46" si="59">AF43*AE43</f>
        <v>247.65804</v>
      </c>
      <c r="AH43" s="132"/>
      <c r="AI43" s="400">
        <f t="shared" si="17"/>
        <v>0</v>
      </c>
      <c r="AJ43" s="401">
        <f t="shared" si="18"/>
        <v>0</v>
      </c>
      <c r="AK43" s="52"/>
      <c r="AL43" s="413">
        <f>IFERROR(VLOOKUP($C43,'Proposed Rates'!$B:$J,AL$11,FALSE),0)</f>
        <v>4.7000000000000002E-3</v>
      </c>
      <c r="AM43" s="420">
        <f t="shared" ref="AM43:AM44" si="60">$F$9+AM$37</f>
        <v>52693.2</v>
      </c>
      <c r="AN43" s="399">
        <f t="shared" ref="AN43:AN46" si="61">AM43*AL43</f>
        <v>247.65804</v>
      </c>
      <c r="AO43" s="132"/>
      <c r="AP43" s="400">
        <f t="shared" si="21"/>
        <v>0</v>
      </c>
      <c r="AQ43" s="401">
        <f t="shared" si="22"/>
        <v>0</v>
      </c>
      <c r="AR43" s="402"/>
    </row>
    <row r="44" spans="1:44" ht="12" customHeight="1">
      <c r="A44" s="52"/>
      <c r="B44" s="321" t="s">
        <v>263</v>
      </c>
      <c r="C44" s="394" t="str">
        <f t="shared" si="49"/>
        <v>General Service 50 to 1,499 KW.Rural and Remote Rate Protection (RRRP)</v>
      </c>
      <c r="D44" s="395" t="s">
        <v>312</v>
      </c>
      <c r="E44" s="321"/>
      <c r="F44" s="413">
        <f>IFERROR(VLOOKUP($C44,'Proposed Rates'!$B:$J,F$11,FALSE),0)</f>
        <v>1.5E-3</v>
      </c>
      <c r="G44" s="420">
        <f t="shared" si="50"/>
        <v>52723.8</v>
      </c>
      <c r="H44" s="399">
        <f t="shared" si="51"/>
        <v>79.085700000000003</v>
      </c>
      <c r="I44" s="132"/>
      <c r="J44" s="413">
        <f>IFERROR(VLOOKUP($C44,'Proposed Rates'!$B:$J,J$11,FALSE),0)</f>
        <v>5.9999999999999995E-4</v>
      </c>
      <c r="K44" s="420">
        <f t="shared" si="52"/>
        <v>52693.2</v>
      </c>
      <c r="L44" s="399">
        <f t="shared" si="53"/>
        <v>31.615919999999996</v>
      </c>
      <c r="M44" s="132"/>
      <c r="N44" s="400">
        <f t="shared" si="5"/>
        <v>-47.469780000000007</v>
      </c>
      <c r="O44" s="401">
        <f t="shared" si="6"/>
        <v>-0.600232153221126</v>
      </c>
      <c r="P44" s="52"/>
      <c r="Q44" s="413">
        <f>IFERROR(VLOOKUP($C44,'Proposed Rates'!$B:$J,Q$11,FALSE),0)</f>
        <v>5.9999999999999995E-4</v>
      </c>
      <c r="R44" s="420">
        <f t="shared" si="54"/>
        <v>52693.2</v>
      </c>
      <c r="S44" s="399">
        <f t="shared" si="55"/>
        <v>31.615919999999996</v>
      </c>
      <c r="T44" s="132"/>
      <c r="U44" s="400">
        <f t="shared" si="9"/>
        <v>0</v>
      </c>
      <c r="V44" s="401">
        <f t="shared" si="10"/>
        <v>0</v>
      </c>
      <c r="W44" s="52"/>
      <c r="X44" s="413">
        <f>IFERROR(VLOOKUP($C44,'Proposed Rates'!$B:$J,X$11,FALSE),0)</f>
        <v>5.9999999999999995E-4</v>
      </c>
      <c r="Y44" s="420">
        <f t="shared" si="56"/>
        <v>52693.2</v>
      </c>
      <c r="Z44" s="399">
        <f t="shared" si="57"/>
        <v>31.615919999999996</v>
      </c>
      <c r="AA44" s="132"/>
      <c r="AB44" s="400">
        <f t="shared" si="13"/>
        <v>0</v>
      </c>
      <c r="AC44" s="401">
        <f t="shared" si="14"/>
        <v>0</v>
      </c>
      <c r="AD44" s="52"/>
      <c r="AE44" s="413">
        <f>IFERROR(VLOOKUP($C44,'Proposed Rates'!$B:$J,AE$11,FALSE),0)</f>
        <v>5.9999999999999995E-4</v>
      </c>
      <c r="AF44" s="420">
        <f t="shared" si="58"/>
        <v>52693.2</v>
      </c>
      <c r="AG44" s="399">
        <f t="shared" si="59"/>
        <v>31.615919999999996</v>
      </c>
      <c r="AH44" s="132"/>
      <c r="AI44" s="400">
        <f t="shared" si="17"/>
        <v>0</v>
      </c>
      <c r="AJ44" s="401">
        <f t="shared" si="18"/>
        <v>0</v>
      </c>
      <c r="AK44" s="52"/>
      <c r="AL44" s="413">
        <f>IFERROR(VLOOKUP($C44,'Proposed Rates'!$B:$J,AL$11,FALSE),0)</f>
        <v>5.9999999999999995E-4</v>
      </c>
      <c r="AM44" s="420">
        <f t="shared" si="60"/>
        <v>52693.2</v>
      </c>
      <c r="AN44" s="399">
        <f t="shared" si="61"/>
        <v>31.615919999999996</v>
      </c>
      <c r="AO44" s="132"/>
      <c r="AP44" s="400">
        <f t="shared" si="21"/>
        <v>0</v>
      </c>
      <c r="AQ44" s="401">
        <f t="shared" si="22"/>
        <v>0</v>
      </c>
      <c r="AR44" s="402"/>
    </row>
    <row r="45" spans="1:44" ht="12" customHeight="1">
      <c r="A45" s="52"/>
      <c r="B45" s="321" t="s">
        <v>264</v>
      </c>
      <c r="C45" s="394" t="str">
        <f t="shared" si="49"/>
        <v>General Service 50 to 1,499 KW.Standard Supply Service Charge</v>
      </c>
      <c r="D45" s="395" t="s">
        <v>310</v>
      </c>
      <c r="E45" s="321"/>
      <c r="F45" s="396">
        <f>IFERROR(VLOOKUP($C45,'Proposed Rates'!$B:$J,F$11,FALSE),0)</f>
        <v>0.25</v>
      </c>
      <c r="G45" s="414">
        <f>IF($D45="Monthly",1,IF($D45="per KW",$F$10,IF($D45="per kWh",$F$9,0)))</f>
        <v>1</v>
      </c>
      <c r="H45" s="399">
        <f t="shared" si="51"/>
        <v>0.25</v>
      </c>
      <c r="I45" s="132"/>
      <c r="J45" s="396">
        <f>IFERROR(VLOOKUP($C45,'Proposed Rates'!$B:$J,J$11,FALSE),0)</f>
        <v>0.25</v>
      </c>
      <c r="K45" s="414">
        <f>IF($D45="Monthly",1,IF($D45="per KW",$F$10,IF($D45="per kWh",$F$9,0)))</f>
        <v>1</v>
      </c>
      <c r="L45" s="399">
        <f t="shared" si="53"/>
        <v>0.25</v>
      </c>
      <c r="M45" s="132"/>
      <c r="N45" s="400">
        <f t="shared" si="5"/>
        <v>0</v>
      </c>
      <c r="O45" s="401">
        <f t="shared" si="6"/>
        <v>0</v>
      </c>
      <c r="P45" s="52"/>
      <c r="Q45" s="396">
        <f>IFERROR(VLOOKUP($C45,'Proposed Rates'!$B:$J,Q$11,FALSE),0)</f>
        <v>0.25</v>
      </c>
      <c r="R45" s="414">
        <f>IF($D45="Monthly",1,IF($D45="per KW",$F$10,IF($D45="per kWh",$F$9,0)))</f>
        <v>1</v>
      </c>
      <c r="S45" s="399">
        <f t="shared" si="55"/>
        <v>0.25</v>
      </c>
      <c r="T45" s="132"/>
      <c r="U45" s="400">
        <f t="shared" si="9"/>
        <v>0</v>
      </c>
      <c r="V45" s="401">
        <f t="shared" si="10"/>
        <v>0</v>
      </c>
      <c r="W45" s="52"/>
      <c r="X45" s="396">
        <f>IFERROR(VLOOKUP($C45,'Proposed Rates'!$B:$J,X$11,FALSE),0)</f>
        <v>0.25</v>
      </c>
      <c r="Y45" s="414">
        <f>IF($D45="Monthly",1,IF($D45="per KW",$F$10,IF($D45="per kWh",$F$9,0)))</f>
        <v>1</v>
      </c>
      <c r="Z45" s="399">
        <f t="shared" si="57"/>
        <v>0.25</v>
      </c>
      <c r="AA45" s="132"/>
      <c r="AB45" s="400">
        <f t="shared" si="13"/>
        <v>0</v>
      </c>
      <c r="AC45" s="401">
        <f t="shared" si="14"/>
        <v>0</v>
      </c>
      <c r="AD45" s="52"/>
      <c r="AE45" s="396">
        <f>IFERROR(VLOOKUP($C45,'Proposed Rates'!$B:$J,AE$11,FALSE),0)</f>
        <v>0.25</v>
      </c>
      <c r="AF45" s="414">
        <f>IF($D45="Monthly",1,IF($D45="per KW",$F$10,IF($D45="per kWh",$F$9,0)))</f>
        <v>1</v>
      </c>
      <c r="AG45" s="399">
        <f t="shared" si="59"/>
        <v>0.25</v>
      </c>
      <c r="AH45" s="132"/>
      <c r="AI45" s="400">
        <f t="shared" si="17"/>
        <v>0</v>
      </c>
      <c r="AJ45" s="401">
        <f t="shared" si="18"/>
        <v>0</v>
      </c>
      <c r="AK45" s="52"/>
      <c r="AL45" s="396">
        <f>IFERROR(VLOOKUP($C45,'Proposed Rates'!$B:$J,AL$11,FALSE),0)</f>
        <v>0.25</v>
      </c>
      <c r="AM45" s="414">
        <f>IF($D45="Monthly",1,IF($D45="per KW",$F$10,IF($D45="per kWh",$F$9,0)))</f>
        <v>1</v>
      </c>
      <c r="AN45" s="399">
        <f t="shared" si="61"/>
        <v>0.25</v>
      </c>
      <c r="AO45" s="132"/>
      <c r="AP45" s="400">
        <f t="shared" si="21"/>
        <v>0</v>
      </c>
      <c r="AQ45" s="401">
        <f t="shared" si="22"/>
        <v>0</v>
      </c>
      <c r="AR45" s="402"/>
    </row>
    <row r="46" spans="1:44" ht="12" customHeight="1">
      <c r="A46" s="52"/>
      <c r="B46" s="321" t="s">
        <v>271</v>
      </c>
      <c r="C46" s="394" t="str">
        <f>B46</f>
        <v>Average IESO Wholesale Market Price</v>
      </c>
      <c r="D46" s="395" t="s">
        <v>312</v>
      </c>
      <c r="E46" s="321"/>
      <c r="F46" s="413">
        <f>IFERROR(VLOOKUP($C46,'Proposed Rates'!$B:$J,F$11,FALSE),0)</f>
        <v>0.10453</v>
      </c>
      <c r="G46" s="420">
        <f>$F$9+G$37</f>
        <v>52723.8</v>
      </c>
      <c r="H46" s="399">
        <f t="shared" si="51"/>
        <v>5511.2188139999998</v>
      </c>
      <c r="I46" s="132"/>
      <c r="J46" s="413">
        <f>IFERROR(VLOOKUP($C46,'Proposed Rates'!$B:$J,J$11,FALSE),0)</f>
        <v>0.10453</v>
      </c>
      <c r="K46" s="420">
        <f>$F$9+K$37</f>
        <v>52693.2</v>
      </c>
      <c r="L46" s="399">
        <f t="shared" si="53"/>
        <v>5508.0201959999995</v>
      </c>
      <c r="M46" s="132"/>
      <c r="N46" s="400">
        <f t="shared" si="5"/>
        <v>-3.1986180000003515</v>
      </c>
      <c r="O46" s="401">
        <f t="shared" si="6"/>
        <v>-5.8038305281492156E-4</v>
      </c>
      <c r="P46" s="52"/>
      <c r="Q46" s="413">
        <f>IFERROR(VLOOKUP($C46,'Proposed Rates'!$B:$J,Q$11,FALSE),0)</f>
        <v>0.10453</v>
      </c>
      <c r="R46" s="420">
        <f>$F$9+R$37</f>
        <v>52693.2</v>
      </c>
      <c r="S46" s="399">
        <f t="shared" si="55"/>
        <v>5508.0201959999995</v>
      </c>
      <c r="T46" s="132"/>
      <c r="U46" s="400">
        <f t="shared" si="9"/>
        <v>0</v>
      </c>
      <c r="V46" s="401">
        <f t="shared" si="10"/>
        <v>0</v>
      </c>
      <c r="W46" s="52"/>
      <c r="X46" s="413">
        <f>IFERROR(VLOOKUP($C46,'Proposed Rates'!$B:$J,X$11,FALSE),0)</f>
        <v>0.10453</v>
      </c>
      <c r="Y46" s="420">
        <f>$F$9+Y$37</f>
        <v>52693.2</v>
      </c>
      <c r="Z46" s="399">
        <f t="shared" si="57"/>
        <v>5508.0201959999995</v>
      </c>
      <c r="AA46" s="132"/>
      <c r="AB46" s="400">
        <f t="shared" si="13"/>
        <v>0</v>
      </c>
      <c r="AC46" s="401">
        <f t="shared" si="14"/>
        <v>0</v>
      </c>
      <c r="AD46" s="52"/>
      <c r="AE46" s="413">
        <f>IFERROR(VLOOKUP($C46,'Proposed Rates'!$B:$J,AE$11,FALSE),0)</f>
        <v>0.10453</v>
      </c>
      <c r="AF46" s="420">
        <f>$F$9+AF$37</f>
        <v>52693.2</v>
      </c>
      <c r="AG46" s="399">
        <f t="shared" si="59"/>
        <v>5508.0201959999995</v>
      </c>
      <c r="AH46" s="132"/>
      <c r="AI46" s="400">
        <f t="shared" si="17"/>
        <v>0</v>
      </c>
      <c r="AJ46" s="401">
        <f t="shared" si="18"/>
        <v>0</v>
      </c>
      <c r="AK46" s="52"/>
      <c r="AL46" s="413">
        <f>IFERROR(VLOOKUP($C46,'Proposed Rates'!$B:$J,AL$11,FALSE),0)</f>
        <v>0.10453</v>
      </c>
      <c r="AM46" s="420">
        <f>$F$9+AM$37</f>
        <v>52693.2</v>
      </c>
      <c r="AN46" s="399">
        <f t="shared" si="61"/>
        <v>5508.0201959999995</v>
      </c>
      <c r="AO46" s="132"/>
      <c r="AP46" s="400">
        <f t="shared" si="21"/>
        <v>0</v>
      </c>
      <c r="AQ46" s="401">
        <f t="shared" si="22"/>
        <v>0</v>
      </c>
      <c r="AR46" s="402"/>
    </row>
    <row r="47" spans="1:44" ht="12" customHeight="1">
      <c r="A47" s="52"/>
      <c r="B47" s="321"/>
      <c r="C47" s="394" t="str">
        <f t="shared" ref="C47:C50" si="62">D$6&amp;"."&amp;B47</f>
        <v>General Service 50 to 1,499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12" customHeight="1">
      <c r="A48" s="52"/>
      <c r="B48" s="52"/>
      <c r="C48" s="394" t="str">
        <f t="shared" si="62"/>
        <v>General Service 50 to 1,499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12" customHeight="1">
      <c r="A49" s="52"/>
      <c r="B49" s="321"/>
      <c r="C49" s="394" t="str">
        <f t="shared" si="62"/>
        <v>General Service 50 to 1,499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12" customHeight="1">
      <c r="A50" s="52"/>
      <c r="B50" s="321"/>
      <c r="C50" s="394" t="str">
        <f t="shared" si="62"/>
        <v>General Service 50 to 1,499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12" customHeight="1">
      <c r="A51" s="52"/>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 customHeight="1">
      <c r="A52" s="52"/>
      <c r="B52" s="443" t="s">
        <v>319</v>
      </c>
      <c r="C52" s="321"/>
      <c r="D52" s="321"/>
      <c r="E52" s="321"/>
      <c r="F52" s="444"/>
      <c r="G52" s="488"/>
      <c r="H52" s="446">
        <f>SUM(H43:H48,H42)</f>
        <v>7641.2146140000004</v>
      </c>
      <c r="I52" s="481"/>
      <c r="J52" s="445"/>
      <c r="K52" s="445"/>
      <c r="L52" s="446">
        <f>SUM(L43:L48,L42)</f>
        <v>7714.8061560000006</v>
      </c>
      <c r="M52" s="448"/>
      <c r="N52" s="447">
        <f t="shared" ref="N52:N56" si="63">L52-H52</f>
        <v>73.591542000000118</v>
      </c>
      <c r="O52" s="449">
        <f t="shared" ref="O52:O56" si="64">IF((H52)=0,"",(N52/H52))</f>
        <v>9.6308696611096273E-3</v>
      </c>
      <c r="P52" s="52"/>
      <c r="Q52" s="445"/>
      <c r="R52" s="445"/>
      <c r="S52" s="446">
        <f>SUM(S43:S48,S42)</f>
        <v>7551.8061560000006</v>
      </c>
      <c r="T52" s="448"/>
      <c r="U52" s="447">
        <f t="shared" ref="U52:U56" si="65">S52-L52</f>
        <v>-163</v>
      </c>
      <c r="V52" s="449">
        <f t="shared" ref="V52:V56" si="66">IF((L52)=0,"",(U52/L52))</f>
        <v>-2.1128204222374502E-2</v>
      </c>
      <c r="W52" s="52"/>
      <c r="X52" s="445"/>
      <c r="Y52" s="445"/>
      <c r="Z52" s="446">
        <f>SUM(Z43:Z48,Z42)</f>
        <v>7612.0051560000002</v>
      </c>
      <c r="AA52" s="448"/>
      <c r="AB52" s="447">
        <f t="shared" ref="AB52:AB56" si="67">Z52-S52</f>
        <v>60.198999999999614</v>
      </c>
      <c r="AC52" s="449">
        <f t="shared" ref="AC52:AC56" si="68">IF((S52)=0,"",(AB52/S52))</f>
        <v>7.9714705007583892E-3</v>
      </c>
      <c r="AD52" s="52"/>
      <c r="AE52" s="445"/>
      <c r="AF52" s="445"/>
      <c r="AG52" s="446">
        <f>SUM(AG43:AG48,AG42)</f>
        <v>7645.5441559999999</v>
      </c>
      <c r="AH52" s="448"/>
      <c r="AI52" s="447">
        <f t="shared" ref="AI52:AI56" si="69">AG52-Z52</f>
        <v>33.53899999999976</v>
      </c>
      <c r="AJ52" s="449">
        <f t="shared" ref="AJ52:AJ56" si="70">IF((Z52)=0,"",(AI52/Z52))</f>
        <v>4.4060663797059257E-3</v>
      </c>
      <c r="AK52" s="52"/>
      <c r="AL52" s="445"/>
      <c r="AM52" s="445"/>
      <c r="AN52" s="446">
        <f>SUM(AN43:AN48,AN42)</f>
        <v>7676.2781560000003</v>
      </c>
      <c r="AO52" s="448"/>
      <c r="AP52" s="447">
        <f t="shared" ref="AP52:AP56" si="71">AN52-AG52</f>
        <v>30.734000000000378</v>
      </c>
      <c r="AQ52" s="449">
        <f t="shared" ref="AQ52:AQ56" si="72">IF((AG52)=0,"",(AP52/AG52))</f>
        <v>4.0198577593566357E-3</v>
      </c>
      <c r="AR52" s="450"/>
    </row>
    <row r="53" spans="1:44" ht="12" customHeight="1">
      <c r="A53" s="52"/>
      <c r="B53" s="451" t="s">
        <v>320</v>
      </c>
      <c r="C53" s="321"/>
      <c r="D53" s="321"/>
      <c r="E53" s="321"/>
      <c r="F53" s="444">
        <v>0.13</v>
      </c>
      <c r="G53" s="132"/>
      <c r="H53" s="489">
        <f>H52*F53</f>
        <v>993.35789982000006</v>
      </c>
      <c r="I53" s="416"/>
      <c r="J53" s="452">
        <v>0.13</v>
      </c>
      <c r="K53" s="416"/>
      <c r="L53" s="399">
        <f>L52*J53</f>
        <v>1002.9248002800001</v>
      </c>
      <c r="M53" s="132"/>
      <c r="N53" s="400">
        <f t="shared" si="63"/>
        <v>9.5669004600000562</v>
      </c>
      <c r="O53" s="401">
        <f t="shared" si="64"/>
        <v>9.630869661109669E-3</v>
      </c>
      <c r="P53" s="52"/>
      <c r="Q53" s="452">
        <v>0.13</v>
      </c>
      <c r="R53" s="416"/>
      <c r="S53" s="399">
        <f>S52*Q53</f>
        <v>981.73480028000006</v>
      </c>
      <c r="T53" s="132"/>
      <c r="U53" s="400">
        <f t="shared" si="65"/>
        <v>-21.190000000000055</v>
      </c>
      <c r="V53" s="401">
        <f t="shared" si="66"/>
        <v>-2.1128204222374554E-2</v>
      </c>
      <c r="W53" s="52"/>
      <c r="X53" s="452">
        <v>0.13</v>
      </c>
      <c r="Y53" s="416"/>
      <c r="Z53" s="399">
        <f>Z52*X53</f>
        <v>989.56067028000007</v>
      </c>
      <c r="AA53" s="132"/>
      <c r="AB53" s="400">
        <f t="shared" si="67"/>
        <v>7.825870000000009</v>
      </c>
      <c r="AC53" s="401">
        <f t="shared" si="68"/>
        <v>7.9714705007584499E-3</v>
      </c>
      <c r="AD53" s="52"/>
      <c r="AE53" s="452">
        <v>0.13</v>
      </c>
      <c r="AF53" s="416"/>
      <c r="AG53" s="399">
        <f>AG52*AE53</f>
        <v>993.92074028000002</v>
      </c>
      <c r="AH53" s="132"/>
      <c r="AI53" s="400">
        <f t="shared" si="69"/>
        <v>4.3600699999999506</v>
      </c>
      <c r="AJ53" s="401">
        <f t="shared" si="70"/>
        <v>4.4060663797059066E-3</v>
      </c>
      <c r="AK53" s="52"/>
      <c r="AL53" s="452">
        <v>0.13</v>
      </c>
      <c r="AM53" s="416"/>
      <c r="AN53" s="399">
        <f>AN52*AL53</f>
        <v>997.9161602800001</v>
      </c>
      <c r="AO53" s="132"/>
      <c r="AP53" s="400">
        <f t="shared" si="71"/>
        <v>3.995420000000081</v>
      </c>
      <c r="AQ53" s="401">
        <f t="shared" si="72"/>
        <v>4.0198577593566678E-3</v>
      </c>
      <c r="AR53" s="402"/>
    </row>
    <row r="54" spans="1:44" ht="12" customHeight="1">
      <c r="A54" s="52"/>
      <c r="B54" s="453" t="s">
        <v>382</v>
      </c>
      <c r="C54" s="321"/>
      <c r="D54" s="321"/>
      <c r="E54" s="321"/>
      <c r="F54" s="454"/>
      <c r="G54" s="132"/>
      <c r="H54" s="489">
        <f>H52+H53</f>
        <v>8634.5725138199996</v>
      </c>
      <c r="I54" s="416"/>
      <c r="J54" s="416"/>
      <c r="K54" s="416"/>
      <c r="L54" s="399">
        <f>L52+L53</f>
        <v>8717.7309562800001</v>
      </c>
      <c r="M54" s="132"/>
      <c r="N54" s="400">
        <f t="shared" si="63"/>
        <v>83.158442460000515</v>
      </c>
      <c r="O54" s="401">
        <f t="shared" si="64"/>
        <v>9.6308696611096724E-3</v>
      </c>
      <c r="P54" s="52"/>
      <c r="Q54" s="416"/>
      <c r="R54" s="416"/>
      <c r="S54" s="399">
        <f>S52+S53</f>
        <v>8533.5409562800014</v>
      </c>
      <c r="T54" s="132"/>
      <c r="U54" s="400">
        <f t="shared" si="65"/>
        <v>-184.18999999999869</v>
      </c>
      <c r="V54" s="401">
        <f t="shared" si="66"/>
        <v>-2.1128204222374353E-2</v>
      </c>
      <c r="W54" s="52"/>
      <c r="X54" s="416"/>
      <c r="Y54" s="416"/>
      <c r="Z54" s="399">
        <f>Z52+Z53</f>
        <v>8601.5658262800007</v>
      </c>
      <c r="AA54" s="132"/>
      <c r="AB54" s="400">
        <f t="shared" si="67"/>
        <v>68.024869999999282</v>
      </c>
      <c r="AC54" s="401">
        <f t="shared" si="68"/>
        <v>7.9714705007583563E-3</v>
      </c>
      <c r="AD54" s="52"/>
      <c r="AE54" s="416"/>
      <c r="AF54" s="416"/>
      <c r="AG54" s="399">
        <f>AG52+AG53</f>
        <v>8639.4648962800002</v>
      </c>
      <c r="AH54" s="132"/>
      <c r="AI54" s="400">
        <f t="shared" si="69"/>
        <v>37.899069999999483</v>
      </c>
      <c r="AJ54" s="401">
        <f t="shared" si="70"/>
        <v>4.4060663797058971E-3</v>
      </c>
      <c r="AK54" s="52"/>
      <c r="AL54" s="416"/>
      <c r="AM54" s="416"/>
      <c r="AN54" s="399">
        <f>AN52+AN53</f>
        <v>8674.1943162799998</v>
      </c>
      <c r="AO54" s="132"/>
      <c r="AP54" s="400">
        <f t="shared" si="71"/>
        <v>34.729419999999664</v>
      </c>
      <c r="AQ54" s="401">
        <f t="shared" si="72"/>
        <v>4.0198577593565472E-3</v>
      </c>
      <c r="AR54" s="402"/>
    </row>
    <row r="55" spans="1:44" ht="12" customHeight="1">
      <c r="A55" s="52"/>
      <c r="B55" s="632" t="s">
        <v>277</v>
      </c>
      <c r="C55" s="623"/>
      <c r="D55" s="623"/>
      <c r="E55" s="321"/>
      <c r="F55" s="454"/>
      <c r="G55" s="132"/>
      <c r="H55" s="491">
        <f>F55*H52</f>
        <v>0</v>
      </c>
      <c r="I55" s="416"/>
      <c r="J55" s="416"/>
      <c r="K55" s="416"/>
      <c r="L55" s="511">
        <f>J55*L52</f>
        <v>0</v>
      </c>
      <c r="M55" s="132"/>
      <c r="N55" s="456">
        <f t="shared" si="63"/>
        <v>0</v>
      </c>
      <c r="O55" s="458" t="str">
        <f t="shared" si="64"/>
        <v/>
      </c>
      <c r="P55" s="52"/>
      <c r="Q55" s="416"/>
      <c r="R55" s="416"/>
      <c r="S55" s="511">
        <f>Q55*S52</f>
        <v>0</v>
      </c>
      <c r="T55" s="132"/>
      <c r="U55" s="456">
        <f t="shared" si="65"/>
        <v>0</v>
      </c>
      <c r="V55" s="458" t="str">
        <f t="shared" si="66"/>
        <v/>
      </c>
      <c r="W55" s="52"/>
      <c r="X55" s="416"/>
      <c r="Y55" s="416"/>
      <c r="Z55" s="511">
        <f>X55*Z52</f>
        <v>0</v>
      </c>
      <c r="AA55" s="132"/>
      <c r="AB55" s="456">
        <f t="shared" si="67"/>
        <v>0</v>
      </c>
      <c r="AC55" s="458" t="str">
        <f t="shared" si="68"/>
        <v/>
      </c>
      <c r="AD55" s="52"/>
      <c r="AE55" s="416"/>
      <c r="AF55" s="416"/>
      <c r="AG55" s="511">
        <f>AE55*AG52</f>
        <v>0</v>
      </c>
      <c r="AH55" s="132"/>
      <c r="AI55" s="456">
        <f t="shared" si="69"/>
        <v>0</v>
      </c>
      <c r="AJ55" s="458" t="str">
        <f t="shared" si="70"/>
        <v/>
      </c>
      <c r="AK55" s="52"/>
      <c r="AL55" s="416"/>
      <c r="AM55" s="416"/>
      <c r="AN55" s="511">
        <f>AL55*AN52</f>
        <v>0</v>
      </c>
      <c r="AO55" s="132"/>
      <c r="AP55" s="456">
        <f t="shared" si="71"/>
        <v>0</v>
      </c>
      <c r="AQ55" s="458" t="str">
        <f t="shared" si="72"/>
        <v/>
      </c>
      <c r="AR55" s="459"/>
    </row>
    <row r="56" spans="1:44" ht="12" customHeight="1">
      <c r="A56" s="52"/>
      <c r="B56" s="634" t="s">
        <v>322</v>
      </c>
      <c r="C56" s="615"/>
      <c r="D56" s="615"/>
      <c r="E56" s="460"/>
      <c r="F56" s="461"/>
      <c r="G56" s="492"/>
      <c r="H56" s="493">
        <f>H54-H55</f>
        <v>8634.5725138199996</v>
      </c>
      <c r="I56" s="462"/>
      <c r="J56" s="462"/>
      <c r="K56" s="462"/>
      <c r="L56" s="463">
        <f>L54-L55</f>
        <v>8717.7309562800001</v>
      </c>
      <c r="M56" s="464"/>
      <c r="N56" s="465">
        <f t="shared" si="63"/>
        <v>83.158442460000515</v>
      </c>
      <c r="O56" s="466">
        <f t="shared" si="64"/>
        <v>9.6308696611096724E-3</v>
      </c>
      <c r="P56" s="52"/>
      <c r="Q56" s="462"/>
      <c r="R56" s="462"/>
      <c r="S56" s="463">
        <f>S54-S55</f>
        <v>8533.5409562800014</v>
      </c>
      <c r="T56" s="464"/>
      <c r="U56" s="465">
        <f t="shared" si="65"/>
        <v>-184.18999999999869</v>
      </c>
      <c r="V56" s="466">
        <f t="shared" si="66"/>
        <v>-2.1128204222374353E-2</v>
      </c>
      <c r="W56" s="52"/>
      <c r="X56" s="462"/>
      <c r="Y56" s="462"/>
      <c r="Z56" s="463">
        <f>Z54-Z55</f>
        <v>8601.5658262800007</v>
      </c>
      <c r="AA56" s="464"/>
      <c r="AB56" s="465">
        <f t="shared" si="67"/>
        <v>68.024869999999282</v>
      </c>
      <c r="AC56" s="466">
        <f t="shared" si="68"/>
        <v>7.9714705007583563E-3</v>
      </c>
      <c r="AD56" s="52"/>
      <c r="AE56" s="462"/>
      <c r="AF56" s="462"/>
      <c r="AG56" s="463">
        <f>AG54-AG55</f>
        <v>8639.4648962800002</v>
      </c>
      <c r="AH56" s="464"/>
      <c r="AI56" s="465">
        <f t="shared" si="69"/>
        <v>37.899069999999483</v>
      </c>
      <c r="AJ56" s="466">
        <f t="shared" si="70"/>
        <v>4.4060663797058971E-3</v>
      </c>
      <c r="AK56" s="52"/>
      <c r="AL56" s="462"/>
      <c r="AM56" s="462"/>
      <c r="AN56" s="463">
        <f>AN54-AN55</f>
        <v>8674.1943162799998</v>
      </c>
      <c r="AO56" s="464"/>
      <c r="AP56" s="465">
        <f t="shared" si="71"/>
        <v>34.729419999999664</v>
      </c>
      <c r="AQ56" s="466">
        <f t="shared" si="72"/>
        <v>4.0198577593565472E-3</v>
      </c>
      <c r="AR56" s="467"/>
    </row>
    <row r="57" spans="1:44" ht="12" customHeight="1">
      <c r="A57" s="52"/>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 customHeight="1">
      <c r="A58" s="512"/>
      <c r="B58" s="513" t="s">
        <v>323</v>
      </c>
      <c r="C58" s="514"/>
      <c r="D58" s="514"/>
      <c r="E58" s="514"/>
      <c r="F58" s="515"/>
      <c r="G58" s="516"/>
      <c r="H58" s="517">
        <f>SUM(H49:H50,H42,H43:H45)</f>
        <v>2129.9957999999997</v>
      </c>
      <c r="I58" s="518"/>
      <c r="J58" s="519"/>
      <c r="K58" s="519"/>
      <c r="L58" s="517">
        <f>SUM(L49:L50,L42,L43:L45)</f>
        <v>2206.7859600000002</v>
      </c>
      <c r="M58" s="520"/>
      <c r="N58" s="521">
        <f t="shared" ref="N58:N62" si="73">L58-H58</f>
        <v>76.790160000000469</v>
      </c>
      <c r="O58" s="522">
        <f t="shared" ref="O58:O62" si="74">IF((H58)=0,"",(N58/H58))</f>
        <v>3.6051789397894815E-2</v>
      </c>
      <c r="P58" s="512"/>
      <c r="Q58" s="519"/>
      <c r="R58" s="519"/>
      <c r="S58" s="517">
        <f>SUM(S49:S50,S42,S43:S45)</f>
        <v>2043.7859600000002</v>
      </c>
      <c r="T58" s="520"/>
      <c r="U58" s="521">
        <f t="shared" ref="U58:U62" si="75">S58-L58</f>
        <v>-163</v>
      </c>
      <c r="V58" s="522">
        <f t="shared" ref="V58:V62" si="76">IF((L58)=0,"",(U58/L58))</f>
        <v>-7.3863076417252538E-2</v>
      </c>
      <c r="W58" s="512"/>
      <c r="X58" s="519"/>
      <c r="Y58" s="519"/>
      <c r="Z58" s="517">
        <f>SUM(Z49:Z50,Z42,Z43:Z45)</f>
        <v>2103.9849600000002</v>
      </c>
      <c r="AA58" s="520"/>
      <c r="AB58" s="521">
        <f t="shared" ref="AB58:AB62" si="77">Z58-S58</f>
        <v>60.199000000000069</v>
      </c>
      <c r="AC58" s="522">
        <f t="shared" ref="AC58:AC62" si="78">IF((S58)=0,"",(AB58/S58))</f>
        <v>2.9454649938000389E-2</v>
      </c>
      <c r="AD58" s="512"/>
      <c r="AE58" s="519"/>
      <c r="AF58" s="519"/>
      <c r="AG58" s="517">
        <f>SUM(AG49:AG50,AG42,AG43:AG45)</f>
        <v>2137.5239600000004</v>
      </c>
      <c r="AH58" s="520"/>
      <c r="AI58" s="521">
        <f t="shared" ref="AI58:AI62" si="79">AG58-Z58</f>
        <v>33.539000000000215</v>
      </c>
      <c r="AJ58" s="522">
        <f t="shared" ref="AJ58:AJ62" si="80">IF((Z58)=0,"",(AI58/Z58))</f>
        <v>1.5940703302365911E-2</v>
      </c>
      <c r="AK58" s="512"/>
      <c r="AL58" s="519"/>
      <c r="AM58" s="519"/>
      <c r="AN58" s="517">
        <f>SUM(AN49:AN50,AN42,AN43:AN45)</f>
        <v>2168.2579600000004</v>
      </c>
      <c r="AO58" s="520"/>
      <c r="AP58" s="521">
        <f t="shared" ref="AP58:AP62" si="81">AN58-AG58</f>
        <v>30.733999999999924</v>
      </c>
      <c r="AQ58" s="522">
        <f t="shared" ref="AQ58:AQ62" si="82">IF((AG58)=0,"",(AP58/AG58))</f>
        <v>1.4378318360464094E-2</v>
      </c>
      <c r="AR58" s="523"/>
    </row>
    <row r="59" spans="1:44" ht="12" customHeight="1">
      <c r="A59" s="512"/>
      <c r="B59" s="524" t="s">
        <v>320</v>
      </c>
      <c r="C59" s="514"/>
      <c r="D59" s="514"/>
      <c r="E59" s="514"/>
      <c r="F59" s="515">
        <v>0.13</v>
      </c>
      <c r="G59" s="516"/>
      <c r="H59" s="525">
        <f>H58*F59</f>
        <v>276.89945399999999</v>
      </c>
      <c r="I59" s="526"/>
      <c r="J59" s="515">
        <v>0.13</v>
      </c>
      <c r="K59" s="527"/>
      <c r="L59" s="528">
        <f>L58*J59</f>
        <v>286.88217480000003</v>
      </c>
      <c r="M59" s="529"/>
      <c r="N59" s="530">
        <f t="shared" si="73"/>
        <v>9.9827208000000383</v>
      </c>
      <c r="O59" s="531">
        <f t="shared" si="74"/>
        <v>3.6051789397894725E-2</v>
      </c>
      <c r="P59" s="512"/>
      <c r="Q59" s="515">
        <v>0.13</v>
      </c>
      <c r="R59" s="527"/>
      <c r="S59" s="528">
        <f>S58*Q59</f>
        <v>265.69217480000003</v>
      </c>
      <c r="T59" s="529"/>
      <c r="U59" s="530">
        <f t="shared" si="75"/>
        <v>-21.189999999999998</v>
      </c>
      <c r="V59" s="531">
        <f t="shared" si="76"/>
        <v>-7.3863076417252524E-2</v>
      </c>
      <c r="W59" s="512"/>
      <c r="X59" s="515">
        <v>0.13</v>
      </c>
      <c r="Y59" s="527"/>
      <c r="Z59" s="528">
        <f>Z58*X59</f>
        <v>273.51804480000004</v>
      </c>
      <c r="AA59" s="529"/>
      <c r="AB59" s="530">
        <f t="shared" si="77"/>
        <v>7.825870000000009</v>
      </c>
      <c r="AC59" s="531">
        <f t="shared" si="78"/>
        <v>2.9454649938000389E-2</v>
      </c>
      <c r="AD59" s="512"/>
      <c r="AE59" s="515">
        <v>0.13</v>
      </c>
      <c r="AF59" s="527"/>
      <c r="AG59" s="528">
        <f>AG58*AE59</f>
        <v>277.87811480000005</v>
      </c>
      <c r="AH59" s="529"/>
      <c r="AI59" s="530">
        <f t="shared" si="79"/>
        <v>4.3600700000000074</v>
      </c>
      <c r="AJ59" s="531">
        <f t="shared" si="80"/>
        <v>1.5940703302365838E-2</v>
      </c>
      <c r="AK59" s="512"/>
      <c r="AL59" s="515">
        <v>0.13</v>
      </c>
      <c r="AM59" s="527"/>
      <c r="AN59" s="528">
        <f>AN58*AL59</f>
        <v>281.87353480000007</v>
      </c>
      <c r="AO59" s="529"/>
      <c r="AP59" s="530">
        <f t="shared" si="81"/>
        <v>3.9954200000000242</v>
      </c>
      <c r="AQ59" s="531">
        <f t="shared" si="82"/>
        <v>1.4378318360464217E-2</v>
      </c>
      <c r="AR59" s="532"/>
    </row>
    <row r="60" spans="1:44" ht="12" customHeight="1">
      <c r="A60" s="512"/>
      <c r="B60" s="533" t="s">
        <v>383</v>
      </c>
      <c r="C60" s="514"/>
      <c r="D60" s="514"/>
      <c r="E60" s="514"/>
      <c r="F60" s="534"/>
      <c r="G60" s="529"/>
      <c r="H60" s="525">
        <f>H58+H59</f>
        <v>2406.8952539999996</v>
      </c>
      <c r="I60" s="526"/>
      <c r="J60" s="526"/>
      <c r="K60" s="526"/>
      <c r="L60" s="528">
        <f>L58+L59</f>
        <v>2493.6681348000002</v>
      </c>
      <c r="M60" s="529"/>
      <c r="N60" s="530">
        <f t="shared" si="73"/>
        <v>86.772880800000621</v>
      </c>
      <c r="O60" s="531">
        <f t="shared" si="74"/>
        <v>3.605178939789485E-2</v>
      </c>
      <c r="P60" s="512"/>
      <c r="Q60" s="526"/>
      <c r="R60" s="526"/>
      <c r="S60" s="528">
        <f>S58+S59</f>
        <v>2309.4781348000001</v>
      </c>
      <c r="T60" s="529"/>
      <c r="U60" s="530">
        <f t="shared" si="75"/>
        <v>-184.19000000000005</v>
      </c>
      <c r="V60" s="531">
        <f t="shared" si="76"/>
        <v>-7.3863076417252552E-2</v>
      </c>
      <c r="W60" s="512"/>
      <c r="X60" s="526"/>
      <c r="Y60" s="526"/>
      <c r="Z60" s="528">
        <f>Z58+Z59</f>
        <v>2377.5030048000003</v>
      </c>
      <c r="AA60" s="529"/>
      <c r="AB60" s="530">
        <f t="shared" si="77"/>
        <v>68.024870000000192</v>
      </c>
      <c r="AC60" s="531">
        <f t="shared" si="78"/>
        <v>2.9454649938000437E-2</v>
      </c>
      <c r="AD60" s="512"/>
      <c r="AE60" s="526"/>
      <c r="AF60" s="526"/>
      <c r="AG60" s="528">
        <f>AG58+AG59</f>
        <v>2415.4020748000003</v>
      </c>
      <c r="AH60" s="529"/>
      <c r="AI60" s="530">
        <f t="shared" si="79"/>
        <v>37.899069999999938</v>
      </c>
      <c r="AJ60" s="531">
        <f t="shared" si="80"/>
        <v>1.5940703302365782E-2</v>
      </c>
      <c r="AK60" s="512"/>
      <c r="AL60" s="526"/>
      <c r="AM60" s="526"/>
      <c r="AN60" s="528">
        <f>AN58+AN59</f>
        <v>2450.1314948000004</v>
      </c>
      <c r="AO60" s="529"/>
      <c r="AP60" s="530">
        <f t="shared" si="81"/>
        <v>34.729420000000118</v>
      </c>
      <c r="AQ60" s="531">
        <f t="shared" si="82"/>
        <v>1.437831836046418E-2</v>
      </c>
      <c r="AR60" s="532"/>
    </row>
    <row r="61" spans="1:44" ht="12" customHeight="1">
      <c r="A61" s="512"/>
      <c r="B61" s="644" t="s">
        <v>277</v>
      </c>
      <c r="C61" s="623"/>
      <c r="D61" s="623"/>
      <c r="E61" s="514"/>
      <c r="F61" s="534"/>
      <c r="G61" s="529"/>
      <c r="H61" s="535">
        <f>F61*H58</f>
        <v>0</v>
      </c>
      <c r="I61" s="526"/>
      <c r="J61" s="526"/>
      <c r="K61" s="526"/>
      <c r="L61" s="536">
        <f>J61*L58</f>
        <v>0</v>
      </c>
      <c r="M61" s="529"/>
      <c r="N61" s="537">
        <f t="shared" si="73"/>
        <v>0</v>
      </c>
      <c r="O61" s="538" t="str">
        <f t="shared" si="74"/>
        <v/>
      </c>
      <c r="P61" s="512"/>
      <c r="Q61" s="526"/>
      <c r="R61" s="526"/>
      <c r="S61" s="536">
        <f>Q61*S58</f>
        <v>0</v>
      </c>
      <c r="T61" s="529"/>
      <c r="U61" s="537">
        <f t="shared" si="75"/>
        <v>0</v>
      </c>
      <c r="V61" s="538" t="str">
        <f t="shared" si="76"/>
        <v/>
      </c>
      <c r="W61" s="512"/>
      <c r="X61" s="526"/>
      <c r="Y61" s="526"/>
      <c r="Z61" s="536">
        <f>X61*Z58</f>
        <v>0</v>
      </c>
      <c r="AA61" s="529"/>
      <c r="AB61" s="537">
        <f t="shared" si="77"/>
        <v>0</v>
      </c>
      <c r="AC61" s="538" t="str">
        <f t="shared" si="78"/>
        <v/>
      </c>
      <c r="AD61" s="512"/>
      <c r="AE61" s="526"/>
      <c r="AF61" s="526"/>
      <c r="AG61" s="536">
        <f>AE61*AG58</f>
        <v>0</v>
      </c>
      <c r="AH61" s="529"/>
      <c r="AI61" s="537">
        <f t="shared" si="79"/>
        <v>0</v>
      </c>
      <c r="AJ61" s="538" t="str">
        <f t="shared" si="80"/>
        <v/>
      </c>
      <c r="AK61" s="512"/>
      <c r="AL61" s="526"/>
      <c r="AM61" s="526"/>
      <c r="AN61" s="536">
        <f>AL61*AN58</f>
        <v>0</v>
      </c>
      <c r="AO61" s="529"/>
      <c r="AP61" s="537">
        <f t="shared" si="81"/>
        <v>0</v>
      </c>
      <c r="AQ61" s="538" t="str">
        <f t="shared" si="82"/>
        <v/>
      </c>
      <c r="AR61" s="539"/>
    </row>
    <row r="62" spans="1:44" ht="12" customHeight="1">
      <c r="A62" s="512"/>
      <c r="B62" s="643" t="s">
        <v>325</v>
      </c>
      <c r="C62" s="615"/>
      <c r="D62" s="615"/>
      <c r="E62" s="540"/>
      <c r="F62" s="541"/>
      <c r="G62" s="542"/>
      <c r="H62" s="543">
        <f>H60-H61</f>
        <v>2406.8952539999996</v>
      </c>
      <c r="I62" s="544"/>
      <c r="J62" s="544"/>
      <c r="K62" s="544"/>
      <c r="L62" s="545">
        <f>L60-L61</f>
        <v>2493.6681348000002</v>
      </c>
      <c r="M62" s="546"/>
      <c r="N62" s="547">
        <f t="shared" si="73"/>
        <v>86.772880800000621</v>
      </c>
      <c r="O62" s="548">
        <f t="shared" si="74"/>
        <v>3.605178939789485E-2</v>
      </c>
      <c r="P62" s="512"/>
      <c r="Q62" s="544"/>
      <c r="R62" s="544"/>
      <c r="S62" s="545">
        <f>S60-S61</f>
        <v>2309.4781348000001</v>
      </c>
      <c r="T62" s="546"/>
      <c r="U62" s="547">
        <f t="shared" si="75"/>
        <v>-184.19000000000005</v>
      </c>
      <c r="V62" s="548">
        <f t="shared" si="76"/>
        <v>-7.3863076417252552E-2</v>
      </c>
      <c r="W62" s="512"/>
      <c r="X62" s="544"/>
      <c r="Y62" s="544"/>
      <c r="Z62" s="545">
        <f>Z60-Z61</f>
        <v>2377.5030048000003</v>
      </c>
      <c r="AA62" s="546"/>
      <c r="AB62" s="547">
        <f t="shared" si="77"/>
        <v>68.024870000000192</v>
      </c>
      <c r="AC62" s="548">
        <f t="shared" si="78"/>
        <v>2.9454649938000437E-2</v>
      </c>
      <c r="AD62" s="512"/>
      <c r="AE62" s="544"/>
      <c r="AF62" s="544"/>
      <c r="AG62" s="545">
        <f>AG60-AG61</f>
        <v>2415.4020748000003</v>
      </c>
      <c r="AH62" s="546"/>
      <c r="AI62" s="547">
        <f t="shared" si="79"/>
        <v>37.899069999999938</v>
      </c>
      <c r="AJ62" s="548">
        <f t="shared" si="80"/>
        <v>1.5940703302365782E-2</v>
      </c>
      <c r="AK62" s="512"/>
      <c r="AL62" s="544"/>
      <c r="AM62" s="544"/>
      <c r="AN62" s="545">
        <f>AN60-AN61</f>
        <v>2450.1314948000004</v>
      </c>
      <c r="AO62" s="546"/>
      <c r="AP62" s="547">
        <f t="shared" si="81"/>
        <v>34.729420000000118</v>
      </c>
      <c r="AQ62" s="548">
        <f t="shared" si="82"/>
        <v>1.437831836046418E-2</v>
      </c>
      <c r="AR62" s="549"/>
    </row>
    <row r="63" spans="1:44" ht="12" customHeight="1">
      <c r="A63" s="52"/>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 customHeight="1">
      <c r="A64" s="52"/>
      <c r="B64" s="52"/>
      <c r="C64" s="52"/>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 customHeight="1">
      <c r="A65" s="52"/>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8" t="s">
        <v>384</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328</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329</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t="s">
        <v>330</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331</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333</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334</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t="s">
        <v>335</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t="s">
        <v>336</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800-000000000000}">
      <formula1>"TOU,non-TOU"</formula1>
    </dataValidation>
    <dataValidation type="list" allowBlank="1" showErrorMessage="1" sqref="E15:E28 E30:E38 E40:E41 E43:E51 E57 E63" xr:uid="{00000000-0002-0000-1800-000001000000}">
      <formula1>#REF!</formula1>
    </dataValidation>
    <dataValidation type="list" allowBlank="1" showInputMessage="1" showErrorMessage="1" prompt="Select Charge Unit - monthly, per kWh, per kW" sqref="D15:D28 D30:D38 D40:D41 D43:D51 D57 D63" xr:uid="{00000000-0002-0000-1800-000002000000}">
      <formula1>"Monthly,per kWh,per kW"</formula1>
    </dataValidation>
  </dataValidations>
  <pageMargins left="0.74803149606299213" right="0.74803149606299213" top="0.98425196850393704" bottom="0.98425196850393704"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X1000"/>
  <sheetViews>
    <sheetView showGridLines="0" workbookViewId="0"/>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2"/>
      <c r="B1" s="52"/>
      <c r="C1" s="52"/>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c r="AV1" s="3"/>
      <c r="AW1" s="3"/>
      <c r="AX1" s="3"/>
    </row>
    <row r="2" spans="1:50" ht="12" customHeight="1">
      <c r="A2" s="52"/>
      <c r="B2" s="52"/>
      <c r="C2" s="378"/>
      <c r="D2" s="378"/>
      <c r="E2" s="378"/>
      <c r="F2" s="378" t="s">
        <v>295</v>
      </c>
      <c r="G2" s="378"/>
      <c r="H2" s="378"/>
      <c r="I2" s="378"/>
      <c r="J2" s="378"/>
      <c r="K2" s="378"/>
      <c r="L2" s="378"/>
      <c r="M2" s="378"/>
      <c r="N2" s="378"/>
      <c r="O2" s="378"/>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c r="AV2" s="3"/>
      <c r="AW2" s="3"/>
      <c r="AX2" s="3"/>
    </row>
    <row r="3" spans="1:50" ht="12" customHeight="1">
      <c r="A3" s="52"/>
      <c r="B3" s="52"/>
      <c r="C3" s="378"/>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c r="AW3" s="3"/>
      <c r="AX3" s="3"/>
    </row>
    <row r="4" spans="1:50"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c r="AW4" s="3"/>
      <c r="AX4" s="3"/>
    </row>
    <row r="5" spans="1:50"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c r="AW5" s="3"/>
      <c r="AX5" s="3"/>
    </row>
    <row r="6" spans="1:50" ht="12" customHeight="1">
      <c r="A6" s="52"/>
      <c r="B6" s="320" t="s">
        <v>298</v>
      </c>
      <c r="C6" s="52"/>
      <c r="D6" s="504" t="s">
        <v>224</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row>
    <row r="7" spans="1:50"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c r="AW7" s="3"/>
      <c r="AX7" s="3"/>
    </row>
    <row r="8" spans="1:50" ht="12" customHeight="1">
      <c r="A8" s="52"/>
      <c r="B8" s="320" t="s">
        <v>299</v>
      </c>
      <c r="C8" s="52"/>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c r="AV8" s="3"/>
      <c r="AW8" s="3"/>
      <c r="AX8" s="3"/>
    </row>
    <row r="9" spans="1:50" ht="12" customHeight="1">
      <c r="A9" s="52"/>
      <c r="B9" s="382"/>
      <c r="C9" s="52"/>
      <c r="D9" s="307" t="s">
        <v>301</v>
      </c>
      <c r="E9" s="307"/>
      <c r="F9" s="385">
        <v>76480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c r="AV9" s="3"/>
      <c r="AW9" s="3"/>
      <c r="AX9" s="3"/>
    </row>
    <row r="10" spans="1:50" ht="12" customHeight="1">
      <c r="A10" s="52"/>
      <c r="B10" s="52"/>
      <c r="C10" s="52"/>
      <c r="D10" s="52"/>
      <c r="E10" s="52"/>
      <c r="F10" s="385">
        <v>185</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c r="AV10" s="3"/>
      <c r="AW10" s="3"/>
      <c r="AX10" s="3"/>
    </row>
    <row r="11" spans="1:50" ht="12" customHeight="1">
      <c r="A11" s="550"/>
      <c r="B11" s="52"/>
      <c r="C11" s="52"/>
      <c r="D11" s="3"/>
      <c r="E11" s="3"/>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
      <c r="AT11" s="3"/>
      <c r="AU11" s="3"/>
      <c r="AV11" s="3"/>
      <c r="AW11" s="3"/>
      <c r="AX11" s="3"/>
    </row>
    <row r="12" spans="1:50" ht="12" customHeight="1">
      <c r="A12" s="550"/>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
      <c r="AT12" s="3"/>
      <c r="AU12" s="3"/>
      <c r="AV12" s="3"/>
      <c r="AW12" s="3"/>
      <c r="AX12" s="3"/>
    </row>
    <row r="13" spans="1:50" ht="12" customHeight="1">
      <c r="A13" s="550"/>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
      <c r="AT13" s="3"/>
      <c r="AU13" s="3"/>
      <c r="AV13" s="3"/>
      <c r="AW13" s="3"/>
      <c r="AX13" s="3"/>
    </row>
    <row r="14" spans="1:50" ht="12" customHeight="1">
      <c r="A14" s="550"/>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
      <c r="AT14" s="3"/>
      <c r="AU14" s="3"/>
      <c r="AV14" s="3"/>
      <c r="AW14" s="3"/>
      <c r="AX14" s="3"/>
    </row>
    <row r="15" spans="1:50" ht="12" customHeight="1">
      <c r="A15" s="550"/>
      <c r="B15" s="321" t="s">
        <v>221</v>
      </c>
      <c r="C15" s="394" t="str">
        <f t="shared" ref="C15:C28" si="0">D$6&amp;"."&amp;B15</f>
        <v>General Service 50 to 1,499 KW.Monthly Service Charge</v>
      </c>
      <c r="D15" s="395" t="s">
        <v>310</v>
      </c>
      <c r="E15" s="321"/>
      <c r="F15" s="396">
        <f>VLOOKUP($C15,'Proposed Rates'!$B:$J,F$11,FALSE)</f>
        <v>200</v>
      </c>
      <c r="G15" s="414">
        <f t="shared" ref="G15:G28" si="1">IF($D15="Monthly",1,IF($D15="per KW",$F$10,IF($D15="per kWh",$F$9,0)))</f>
        <v>1</v>
      </c>
      <c r="H15" s="399">
        <f t="shared" ref="H15:H28" si="2">G15*F15</f>
        <v>200</v>
      </c>
      <c r="I15" s="132"/>
      <c r="J15" s="396">
        <f>VLOOKUP($C15,'Proposed Rates'!$B:$J,J$11,FALSE)</f>
        <v>200</v>
      </c>
      <c r="K15" s="414">
        <f t="shared" ref="K15:K28" si="3">IF($D15="Monthly",1,IF($D15="per KW",$F$10,IF($D15="per kWh",$F$9,0)))</f>
        <v>1</v>
      </c>
      <c r="L15" s="399">
        <f t="shared" ref="L15:L28" si="4">K15*J15</f>
        <v>200</v>
      </c>
      <c r="M15" s="132"/>
      <c r="N15" s="400">
        <f t="shared" ref="N15:N46" si="5">L15-H15</f>
        <v>0</v>
      </c>
      <c r="O15" s="401">
        <f t="shared" ref="O15:O46" si="6">IF((H15)=0,"",(N15/H15))</f>
        <v>0</v>
      </c>
      <c r="P15" s="52"/>
      <c r="Q15" s="396">
        <f>VLOOKUP($C15,'Proposed Rates'!$B:$J,Q$11,FALSE)</f>
        <v>200</v>
      </c>
      <c r="R15" s="414">
        <f t="shared" ref="R15:R28" si="7">IF($D15="Monthly",1,IF($D15="per KW",$F$10,IF($D15="per kWh",$F$9,0)))</f>
        <v>1</v>
      </c>
      <c r="S15" s="399">
        <f t="shared" ref="S15:S28" si="8">R15*Q15</f>
        <v>200</v>
      </c>
      <c r="T15" s="132"/>
      <c r="U15" s="400">
        <f t="shared" ref="U15:U46" si="9">S15-L15</f>
        <v>0</v>
      </c>
      <c r="V15" s="401">
        <f t="shared" ref="V15:V46" si="10">IF((L15)=0,"",(U15/L15))</f>
        <v>0</v>
      </c>
      <c r="W15" s="52"/>
      <c r="X15" s="396">
        <f>VLOOKUP($C15,'Proposed Rates'!$B:$J,X$11,FALSE)</f>
        <v>200</v>
      </c>
      <c r="Y15" s="414">
        <f t="shared" ref="Y15:Y28" si="11">IF($D15="Monthly",1,IF($D15="per KW",$F$10,IF($D15="per kWh",$F$9,0)))</f>
        <v>1</v>
      </c>
      <c r="Z15" s="399">
        <f t="shared" ref="Z15:Z28" si="12">Y15*X15</f>
        <v>200</v>
      </c>
      <c r="AA15" s="132"/>
      <c r="AB15" s="400">
        <f t="shared" ref="AB15:AB34" si="13">Z15-S15</f>
        <v>0</v>
      </c>
      <c r="AC15" s="401">
        <f t="shared" ref="AC15:AC34" si="14">IF((S15)=0,"",(AB15/S15))</f>
        <v>0</v>
      </c>
      <c r="AD15" s="52"/>
      <c r="AE15" s="396">
        <f>VLOOKUP($C15,'Proposed Rates'!$B:$J,AE$11,FALSE)</f>
        <v>200</v>
      </c>
      <c r="AF15" s="414">
        <f t="shared" ref="AF15:AF28" si="15">IF($D15="Monthly",1,IF($D15="per KW",$F$10,IF($D15="per kWh",$F$9,0)))</f>
        <v>1</v>
      </c>
      <c r="AG15" s="399">
        <f t="shared" ref="AG15:AG28" si="16">AF15*AE15</f>
        <v>200</v>
      </c>
      <c r="AH15" s="132"/>
      <c r="AI15" s="400">
        <f t="shared" ref="AI15:AI46" si="17">AG15-Z15</f>
        <v>0</v>
      </c>
      <c r="AJ15" s="401">
        <f t="shared" ref="AJ15:AJ46" si="18">IF((Z15)=0,"",(AI15/Z15))</f>
        <v>0</v>
      </c>
      <c r="AK15" s="52"/>
      <c r="AL15" s="396">
        <f>VLOOKUP($C15,'Proposed Rates'!$B:$J,AL$11,FALSE)</f>
        <v>200</v>
      </c>
      <c r="AM15" s="414">
        <f t="shared" ref="AM15:AM28" si="19">IF($D15="Monthly",1,IF($D15="per KW",$F$10,IF($D15="per kWh",$F$9,0)))</f>
        <v>1</v>
      </c>
      <c r="AN15" s="399">
        <f t="shared" ref="AN15:AN28" si="20">AM15*AL15</f>
        <v>200</v>
      </c>
      <c r="AO15" s="132"/>
      <c r="AP15" s="400">
        <f t="shared" ref="AP15:AP46" si="21">AN15-AG15</f>
        <v>0</v>
      </c>
      <c r="AQ15" s="401">
        <f t="shared" ref="AQ15:AQ46" si="22">IF((AG15)=0,"",(AP15/AG15))</f>
        <v>0</v>
      </c>
      <c r="AR15" s="402"/>
      <c r="AS15" s="3"/>
      <c r="AT15" s="3"/>
      <c r="AU15" s="3"/>
      <c r="AV15" s="3"/>
      <c r="AW15" s="3"/>
      <c r="AX15" s="3"/>
    </row>
    <row r="16" spans="1:50" ht="12" customHeight="1">
      <c r="A16" s="550"/>
      <c r="B16" s="321" t="s">
        <v>311</v>
      </c>
      <c r="C16" s="394" t="str">
        <f t="shared" si="0"/>
        <v>General Service 50 to 1,499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c r="AS16" s="3"/>
      <c r="AT16" s="3"/>
      <c r="AU16" s="3"/>
      <c r="AV16" s="3"/>
      <c r="AW16" s="3"/>
      <c r="AX16" s="3"/>
    </row>
    <row r="17" spans="1:50" ht="12" customHeight="1">
      <c r="A17" s="550"/>
      <c r="B17" s="403" t="str">
        <f>'Proposed Rates'!C115</f>
        <v>Rate Rider Calculation for PILs</v>
      </c>
      <c r="C17" s="394" t="str">
        <f t="shared" si="0"/>
        <v>General Service 50 to 1,499 KW.Rate Rider Calculation for PILs</v>
      </c>
      <c r="D17" s="395" t="s">
        <v>381</v>
      </c>
      <c r="E17" s="321"/>
      <c r="F17" s="396">
        <f>IFERROR(VLOOKUP($C17,'Proposed Rates'!$B:$J,F$11,FALSE),0)</f>
        <v>0</v>
      </c>
      <c r="G17" s="414">
        <f t="shared" si="1"/>
        <v>185</v>
      </c>
      <c r="H17" s="399">
        <f t="shared" si="2"/>
        <v>0</v>
      </c>
      <c r="I17" s="132"/>
      <c r="J17" s="396">
        <f>IFERROR(VLOOKUP($C17,'Proposed Rates'!$B:$J,J$11,FALSE),0)</f>
        <v>0</v>
      </c>
      <c r="K17" s="414">
        <f t="shared" si="3"/>
        <v>185</v>
      </c>
      <c r="L17" s="399">
        <f t="shared" si="4"/>
        <v>0</v>
      </c>
      <c r="M17" s="132"/>
      <c r="N17" s="400">
        <f t="shared" si="5"/>
        <v>0</v>
      </c>
      <c r="O17" s="401" t="str">
        <f t="shared" si="6"/>
        <v/>
      </c>
      <c r="P17" s="52"/>
      <c r="Q17" s="396">
        <f>IFERROR(VLOOKUP($C17,'Proposed Rates'!$B:$J,Q$11,FALSE),0)</f>
        <v>0</v>
      </c>
      <c r="R17" s="414">
        <f t="shared" si="7"/>
        <v>185</v>
      </c>
      <c r="S17" s="399">
        <f t="shared" si="8"/>
        <v>0</v>
      </c>
      <c r="T17" s="132"/>
      <c r="U17" s="400">
        <f t="shared" si="9"/>
        <v>0</v>
      </c>
      <c r="V17" s="401" t="str">
        <f t="shared" si="10"/>
        <v/>
      </c>
      <c r="W17" s="52"/>
      <c r="X17" s="396">
        <f>IFERROR(VLOOKUP($C17,'Proposed Rates'!$B:$J,X$11,FALSE),0)</f>
        <v>0</v>
      </c>
      <c r="Y17" s="414">
        <f t="shared" si="11"/>
        <v>185</v>
      </c>
      <c r="Z17" s="399">
        <f t="shared" si="12"/>
        <v>0</v>
      </c>
      <c r="AA17" s="132"/>
      <c r="AB17" s="400">
        <f t="shared" si="13"/>
        <v>0</v>
      </c>
      <c r="AC17" s="401" t="str">
        <f t="shared" si="14"/>
        <v/>
      </c>
      <c r="AD17" s="52"/>
      <c r="AE17" s="396">
        <f>IFERROR(VLOOKUP($C17,'Proposed Rates'!$B:$J,AE$11,FALSE),0)</f>
        <v>0</v>
      </c>
      <c r="AF17" s="414">
        <f t="shared" si="15"/>
        <v>185</v>
      </c>
      <c r="AG17" s="399">
        <f t="shared" si="16"/>
        <v>0</v>
      </c>
      <c r="AH17" s="132"/>
      <c r="AI17" s="400">
        <f t="shared" si="17"/>
        <v>0</v>
      </c>
      <c r="AJ17" s="401" t="str">
        <f t="shared" si="18"/>
        <v/>
      </c>
      <c r="AK17" s="52"/>
      <c r="AL17" s="396">
        <f>IFERROR(VLOOKUP($C17,'Proposed Rates'!$B:$J,AL$11,FALSE),0)</f>
        <v>0</v>
      </c>
      <c r="AM17" s="414">
        <f t="shared" si="19"/>
        <v>185</v>
      </c>
      <c r="AN17" s="399">
        <f t="shared" si="20"/>
        <v>0</v>
      </c>
      <c r="AO17" s="132"/>
      <c r="AP17" s="400">
        <f t="shared" si="21"/>
        <v>0</v>
      </c>
      <c r="AQ17" s="401" t="str">
        <f t="shared" si="22"/>
        <v/>
      </c>
      <c r="AR17" s="402"/>
      <c r="AS17" s="3"/>
      <c r="AT17" s="3"/>
      <c r="AU17" s="3"/>
      <c r="AV17" s="3"/>
      <c r="AW17" s="3"/>
      <c r="AX17" s="3"/>
    </row>
    <row r="18" spans="1:50" ht="12" customHeight="1">
      <c r="A18" s="550"/>
      <c r="B18" s="403" t="str">
        <f>'Proposed Rates'!C128</f>
        <v>Rate Rider Calculation for Generic</v>
      </c>
      <c r="C18" s="394" t="str">
        <f t="shared" si="0"/>
        <v>General Service 50 to 1,499 KW.Rate Rider Calculation for Generic</v>
      </c>
      <c r="D18" s="395" t="s">
        <v>381</v>
      </c>
      <c r="E18" s="321"/>
      <c r="F18" s="396">
        <f>IFERROR(VLOOKUP($C18,'Proposed Rates'!$B:$J,F$11,FALSE),0)</f>
        <v>0</v>
      </c>
      <c r="G18" s="414">
        <f t="shared" si="1"/>
        <v>185</v>
      </c>
      <c r="H18" s="399">
        <f t="shared" si="2"/>
        <v>0</v>
      </c>
      <c r="I18" s="132"/>
      <c r="J18" s="396">
        <f>IFERROR(VLOOKUP($C18,'Proposed Rates'!$B:$J,J$11,FALSE),0)</f>
        <v>0</v>
      </c>
      <c r="K18" s="414">
        <f t="shared" si="3"/>
        <v>185</v>
      </c>
      <c r="L18" s="399">
        <f t="shared" si="4"/>
        <v>0</v>
      </c>
      <c r="M18" s="132"/>
      <c r="N18" s="400">
        <f t="shared" si="5"/>
        <v>0</v>
      </c>
      <c r="O18" s="401" t="str">
        <f t="shared" si="6"/>
        <v/>
      </c>
      <c r="P18" s="52"/>
      <c r="Q18" s="396">
        <f>IFERROR(VLOOKUP($C18,'Proposed Rates'!$B:$J,Q$11,FALSE),0)</f>
        <v>0</v>
      </c>
      <c r="R18" s="414">
        <f t="shared" si="7"/>
        <v>185</v>
      </c>
      <c r="S18" s="399">
        <f t="shared" si="8"/>
        <v>0</v>
      </c>
      <c r="T18" s="132"/>
      <c r="U18" s="400">
        <f t="shared" si="9"/>
        <v>0</v>
      </c>
      <c r="V18" s="401" t="str">
        <f t="shared" si="10"/>
        <v/>
      </c>
      <c r="W18" s="52"/>
      <c r="X18" s="396">
        <f>IFERROR(VLOOKUP($C18,'Proposed Rates'!$B:$J,X$11,FALSE),0)</f>
        <v>0</v>
      </c>
      <c r="Y18" s="414">
        <f t="shared" si="11"/>
        <v>185</v>
      </c>
      <c r="Z18" s="399">
        <f t="shared" si="12"/>
        <v>0</v>
      </c>
      <c r="AA18" s="132"/>
      <c r="AB18" s="400">
        <f t="shared" si="13"/>
        <v>0</v>
      </c>
      <c r="AC18" s="401" t="str">
        <f t="shared" si="14"/>
        <v/>
      </c>
      <c r="AD18" s="52"/>
      <c r="AE18" s="396">
        <f>IFERROR(VLOOKUP($C18,'Proposed Rates'!$B:$J,AE$11,FALSE),0)</f>
        <v>0</v>
      </c>
      <c r="AF18" s="414">
        <f t="shared" si="15"/>
        <v>185</v>
      </c>
      <c r="AG18" s="399">
        <f t="shared" si="16"/>
        <v>0</v>
      </c>
      <c r="AH18" s="132"/>
      <c r="AI18" s="400">
        <f t="shared" si="17"/>
        <v>0</v>
      </c>
      <c r="AJ18" s="401" t="str">
        <f t="shared" si="18"/>
        <v/>
      </c>
      <c r="AK18" s="52"/>
      <c r="AL18" s="396">
        <f>IFERROR(VLOOKUP($C18,'Proposed Rates'!$B:$J,AL$11,FALSE),0)</f>
        <v>0</v>
      </c>
      <c r="AM18" s="414">
        <f t="shared" si="19"/>
        <v>185</v>
      </c>
      <c r="AN18" s="399">
        <f t="shared" si="20"/>
        <v>0</v>
      </c>
      <c r="AO18" s="132"/>
      <c r="AP18" s="400">
        <f t="shared" si="21"/>
        <v>0</v>
      </c>
      <c r="AQ18" s="401" t="str">
        <f t="shared" si="22"/>
        <v/>
      </c>
      <c r="AR18" s="402"/>
      <c r="AS18" s="3"/>
      <c r="AT18" s="3"/>
      <c r="AU18" s="3"/>
      <c r="AV18" s="3"/>
      <c r="AW18" s="3"/>
      <c r="AX18" s="3"/>
    </row>
    <row r="19" spans="1:50" ht="12" customHeight="1">
      <c r="A19" s="550"/>
      <c r="B19" s="321" t="s">
        <v>59</v>
      </c>
      <c r="C19" s="394" t="str">
        <f t="shared" si="0"/>
        <v>General Service 50 to 1,499 KW.Distribution Volumetric Rate</v>
      </c>
      <c r="D19" s="395" t="s">
        <v>381</v>
      </c>
      <c r="E19" s="321"/>
      <c r="F19" s="413">
        <f>IFERROR(VLOOKUP($C19,'Proposed Rates'!$B:$J,F$11,FALSE),0)</f>
        <v>6.5552999999999999</v>
      </c>
      <c r="G19" s="414">
        <f t="shared" si="1"/>
        <v>185</v>
      </c>
      <c r="H19" s="399">
        <f t="shared" si="2"/>
        <v>1212.7304999999999</v>
      </c>
      <c r="I19" s="132"/>
      <c r="J19" s="413">
        <f>IFERROR(VLOOKUP($C19,'Proposed Rates'!$B:$J,J$11,FALSE),0)</f>
        <v>7.9935999999999998</v>
      </c>
      <c r="K19" s="414">
        <f t="shared" si="3"/>
        <v>185</v>
      </c>
      <c r="L19" s="399">
        <f t="shared" si="4"/>
        <v>1478.816</v>
      </c>
      <c r="M19" s="132"/>
      <c r="N19" s="400">
        <f t="shared" si="5"/>
        <v>266.08550000000014</v>
      </c>
      <c r="O19" s="401">
        <f t="shared" si="6"/>
        <v>0.21941024819611626</v>
      </c>
      <c r="P19" s="52"/>
      <c r="Q19" s="413">
        <f>IFERROR(VLOOKUP($C19,'Proposed Rates'!$B:$J,Q$11,FALSE),0)</f>
        <v>8.4202999999999992</v>
      </c>
      <c r="R19" s="414">
        <f t="shared" si="7"/>
        <v>185</v>
      </c>
      <c r="S19" s="399">
        <f t="shared" si="8"/>
        <v>1557.7554999999998</v>
      </c>
      <c r="T19" s="132"/>
      <c r="U19" s="400">
        <f t="shared" si="9"/>
        <v>78.939499999999725</v>
      </c>
      <c r="V19" s="401">
        <f t="shared" si="10"/>
        <v>5.3380204163330475E-2</v>
      </c>
      <c r="W19" s="52"/>
      <c r="X19" s="413">
        <f>IFERROR(VLOOKUP($C19,'Proposed Rates'!$B:$J,X$11,FALSE),0)</f>
        <v>9.0498999999999992</v>
      </c>
      <c r="Y19" s="414">
        <f t="shared" si="11"/>
        <v>185</v>
      </c>
      <c r="Z19" s="399">
        <f t="shared" si="12"/>
        <v>1674.2314999999999</v>
      </c>
      <c r="AA19" s="132"/>
      <c r="AB19" s="400">
        <f t="shared" si="13"/>
        <v>116.47600000000011</v>
      </c>
      <c r="AC19" s="401">
        <f t="shared" si="14"/>
        <v>7.4771682719143112E-2</v>
      </c>
      <c r="AD19" s="52"/>
      <c r="AE19" s="413">
        <f>IFERROR(VLOOKUP($C19,'Proposed Rates'!$B:$J,AE$11,FALSE),0)</f>
        <v>9.3849</v>
      </c>
      <c r="AF19" s="414">
        <f t="shared" si="15"/>
        <v>185</v>
      </c>
      <c r="AG19" s="399">
        <f t="shared" si="16"/>
        <v>1736.2065</v>
      </c>
      <c r="AH19" s="132"/>
      <c r="AI19" s="400">
        <f t="shared" si="17"/>
        <v>61.975000000000136</v>
      </c>
      <c r="AJ19" s="401">
        <f t="shared" si="18"/>
        <v>3.7016983613078681E-2</v>
      </c>
      <c r="AK19" s="52"/>
      <c r="AL19" s="413">
        <f>IFERROR(VLOOKUP($C19,'Proposed Rates'!$B:$J,AL$11,FALSE),0)</f>
        <v>9.6918000000000006</v>
      </c>
      <c r="AM19" s="414">
        <f t="shared" si="19"/>
        <v>185</v>
      </c>
      <c r="AN19" s="399">
        <f t="shared" si="20"/>
        <v>1792.9830000000002</v>
      </c>
      <c r="AO19" s="132"/>
      <c r="AP19" s="400">
        <f t="shared" si="21"/>
        <v>56.776500000000169</v>
      </c>
      <c r="AQ19" s="401">
        <f t="shared" si="22"/>
        <v>3.2701467250583482E-2</v>
      </c>
      <c r="AR19" s="402"/>
      <c r="AS19" s="3"/>
      <c r="AT19" s="3"/>
      <c r="AU19" s="3"/>
      <c r="AV19" s="3"/>
      <c r="AW19" s="3"/>
      <c r="AX19" s="3"/>
    </row>
    <row r="20" spans="1:50" ht="12" customHeight="1">
      <c r="A20" s="550"/>
      <c r="B20" s="321" t="s">
        <v>313</v>
      </c>
      <c r="C20" s="394" t="str">
        <f t="shared" si="0"/>
        <v>General Service 50 to 1,499 KW.Smart Meter Disposition Rider</v>
      </c>
      <c r="D20" s="395" t="s">
        <v>312</v>
      </c>
      <c r="E20" s="321"/>
      <c r="F20" s="396">
        <f>IFERROR(VLOOKUP($C20,'Proposed Rates'!$B:$J,F$11,FALSE),0)</f>
        <v>0</v>
      </c>
      <c r="G20" s="414">
        <f t="shared" si="1"/>
        <v>76480</v>
      </c>
      <c r="H20" s="399">
        <f t="shared" si="2"/>
        <v>0</v>
      </c>
      <c r="I20" s="132"/>
      <c r="J20" s="396">
        <f>IFERROR(VLOOKUP($C20,'Proposed Rates'!$B:$J,J$11,FALSE),0)</f>
        <v>0</v>
      </c>
      <c r="K20" s="414">
        <f t="shared" si="3"/>
        <v>76480</v>
      </c>
      <c r="L20" s="399">
        <f t="shared" si="4"/>
        <v>0</v>
      </c>
      <c r="M20" s="132"/>
      <c r="N20" s="400">
        <f t="shared" si="5"/>
        <v>0</v>
      </c>
      <c r="O20" s="401" t="str">
        <f t="shared" si="6"/>
        <v/>
      </c>
      <c r="P20" s="52"/>
      <c r="Q20" s="396">
        <f>IFERROR(VLOOKUP($C20,'Proposed Rates'!$B:$J,Q$11,FALSE),0)</f>
        <v>0</v>
      </c>
      <c r="R20" s="414">
        <f t="shared" si="7"/>
        <v>76480</v>
      </c>
      <c r="S20" s="399">
        <f t="shared" si="8"/>
        <v>0</v>
      </c>
      <c r="T20" s="132"/>
      <c r="U20" s="400">
        <f t="shared" si="9"/>
        <v>0</v>
      </c>
      <c r="V20" s="401" t="str">
        <f t="shared" si="10"/>
        <v/>
      </c>
      <c r="W20" s="52"/>
      <c r="X20" s="396">
        <f>IFERROR(VLOOKUP($C20,'Proposed Rates'!$B:$J,X$11,FALSE),0)</f>
        <v>0</v>
      </c>
      <c r="Y20" s="414">
        <f t="shared" si="11"/>
        <v>76480</v>
      </c>
      <c r="Z20" s="399">
        <f t="shared" si="12"/>
        <v>0</v>
      </c>
      <c r="AA20" s="132"/>
      <c r="AB20" s="400">
        <f t="shared" si="13"/>
        <v>0</v>
      </c>
      <c r="AC20" s="401" t="str">
        <f t="shared" si="14"/>
        <v/>
      </c>
      <c r="AD20" s="52"/>
      <c r="AE20" s="396">
        <f>IFERROR(VLOOKUP($C20,'Proposed Rates'!$B:$J,AE$11,FALSE),0)</f>
        <v>0</v>
      </c>
      <c r="AF20" s="414">
        <f t="shared" si="15"/>
        <v>76480</v>
      </c>
      <c r="AG20" s="399">
        <f t="shared" si="16"/>
        <v>0</v>
      </c>
      <c r="AH20" s="132"/>
      <c r="AI20" s="400">
        <f t="shared" si="17"/>
        <v>0</v>
      </c>
      <c r="AJ20" s="401" t="str">
        <f t="shared" si="18"/>
        <v/>
      </c>
      <c r="AK20" s="52"/>
      <c r="AL20" s="396">
        <f>IFERROR(VLOOKUP($C20,'Proposed Rates'!$B:$J,AL$11,FALSE),0)</f>
        <v>0</v>
      </c>
      <c r="AM20" s="414">
        <f t="shared" si="19"/>
        <v>76480</v>
      </c>
      <c r="AN20" s="399">
        <f t="shared" si="20"/>
        <v>0</v>
      </c>
      <c r="AO20" s="132"/>
      <c r="AP20" s="400">
        <f t="shared" si="21"/>
        <v>0</v>
      </c>
      <c r="AQ20" s="401" t="str">
        <f t="shared" si="22"/>
        <v/>
      </c>
      <c r="AR20" s="402"/>
      <c r="AS20" s="3"/>
      <c r="AT20" s="3"/>
      <c r="AU20" s="3"/>
      <c r="AV20" s="3"/>
      <c r="AW20" s="3"/>
      <c r="AX20" s="3"/>
    </row>
    <row r="21" spans="1:50" ht="12" customHeight="1">
      <c r="A21" s="550"/>
      <c r="B21" s="321" t="s">
        <v>244</v>
      </c>
      <c r="C21" s="394" t="str">
        <f t="shared" si="0"/>
        <v>General Service 50 to 1,499 KW.LRAM Rate Rider</v>
      </c>
      <c r="D21" s="395" t="s">
        <v>381</v>
      </c>
      <c r="E21" s="321"/>
      <c r="F21" s="413">
        <f>'Proposed Rates'!E79+'Proposed Rates'!E92</f>
        <v>-0.2477</v>
      </c>
      <c r="G21" s="414">
        <f t="shared" si="1"/>
        <v>185</v>
      </c>
      <c r="H21" s="399">
        <f t="shared" si="2"/>
        <v>-45.8245</v>
      </c>
      <c r="I21" s="132"/>
      <c r="J21" s="413">
        <f>'Proposed Rates'!F79+'Proposed Rates'!F92</f>
        <v>0</v>
      </c>
      <c r="K21" s="414">
        <f t="shared" si="3"/>
        <v>185</v>
      </c>
      <c r="L21" s="399">
        <f t="shared" si="4"/>
        <v>0</v>
      </c>
      <c r="M21" s="132"/>
      <c r="N21" s="400">
        <f t="shared" si="5"/>
        <v>45.8245</v>
      </c>
      <c r="O21" s="401">
        <f t="shared" si="6"/>
        <v>-1</v>
      </c>
      <c r="P21" s="52"/>
      <c r="Q21" s="413">
        <f>'Proposed Rates'!G79+'Proposed Rates'!G92</f>
        <v>2.7900000000000001E-2</v>
      </c>
      <c r="R21" s="414">
        <f t="shared" si="7"/>
        <v>185</v>
      </c>
      <c r="S21" s="399">
        <f t="shared" si="8"/>
        <v>5.1615000000000002</v>
      </c>
      <c r="T21" s="132"/>
      <c r="U21" s="400">
        <f t="shared" si="9"/>
        <v>5.1615000000000002</v>
      </c>
      <c r="V21" s="401" t="str">
        <f t="shared" si="10"/>
        <v/>
      </c>
      <c r="W21" s="52"/>
      <c r="X21" s="413">
        <f>IFERROR(VLOOKUP($C21,'Proposed Rates'!$B:$J,X$11,FALSE),0)</f>
        <v>0</v>
      </c>
      <c r="Y21" s="414">
        <f t="shared" si="11"/>
        <v>185</v>
      </c>
      <c r="Z21" s="399">
        <f t="shared" si="12"/>
        <v>0</v>
      </c>
      <c r="AA21" s="132"/>
      <c r="AB21" s="400">
        <f t="shared" si="13"/>
        <v>-5.1615000000000002</v>
      </c>
      <c r="AC21" s="401">
        <f t="shared" si="14"/>
        <v>-1</v>
      </c>
      <c r="AD21" s="52"/>
      <c r="AE21" s="413">
        <f>IFERROR(VLOOKUP($C21,'Proposed Rates'!$B:$J,AE$11,FALSE),0)</f>
        <v>0</v>
      </c>
      <c r="AF21" s="414">
        <f t="shared" si="15"/>
        <v>185</v>
      </c>
      <c r="AG21" s="399">
        <f t="shared" si="16"/>
        <v>0</v>
      </c>
      <c r="AH21" s="132"/>
      <c r="AI21" s="400">
        <f t="shared" si="17"/>
        <v>0</v>
      </c>
      <c r="AJ21" s="401" t="str">
        <f t="shared" si="18"/>
        <v/>
      </c>
      <c r="AK21" s="52"/>
      <c r="AL21" s="413">
        <f>IFERROR(VLOOKUP($C21,'Proposed Rates'!$B:$J,AL$11,FALSE),0)</f>
        <v>0</v>
      </c>
      <c r="AM21" s="414">
        <f t="shared" si="19"/>
        <v>185</v>
      </c>
      <c r="AN21" s="399">
        <f t="shared" si="20"/>
        <v>0</v>
      </c>
      <c r="AO21" s="132"/>
      <c r="AP21" s="400">
        <f t="shared" si="21"/>
        <v>0</v>
      </c>
      <c r="AQ21" s="401" t="str">
        <f t="shared" si="22"/>
        <v/>
      </c>
      <c r="AR21" s="402"/>
      <c r="AS21" s="3"/>
      <c r="AT21" s="3"/>
      <c r="AU21" s="3"/>
      <c r="AV21" s="3"/>
      <c r="AW21" s="3"/>
      <c r="AX21" s="3"/>
    </row>
    <row r="22" spans="1:50" ht="12" customHeight="1">
      <c r="A22" s="550"/>
      <c r="B22" s="403" t="s">
        <v>240</v>
      </c>
      <c r="C22" s="394" t="str">
        <f t="shared" si="0"/>
        <v>General Service 50 to 1,499 KW.Deferral/Variance Account Disposition Rate Rider Group 2</v>
      </c>
      <c r="D22" s="395" t="s">
        <v>381</v>
      </c>
      <c r="E22" s="321"/>
      <c r="F22" s="396">
        <f>IFERROR(VLOOKUP($C22,'Proposed Rates'!$B:$J,F$11,FALSE),0)</f>
        <v>0</v>
      </c>
      <c r="G22" s="414">
        <f t="shared" si="1"/>
        <v>185</v>
      </c>
      <c r="H22" s="399">
        <f t="shared" si="2"/>
        <v>0</v>
      </c>
      <c r="I22" s="132"/>
      <c r="J22" s="396">
        <f>IFERROR(VLOOKUP($C22,'Proposed Rates'!$B:$J,J$11,FALSE),0)</f>
        <v>-0.15229999999999999</v>
      </c>
      <c r="K22" s="414">
        <f t="shared" si="3"/>
        <v>185</v>
      </c>
      <c r="L22" s="399">
        <f t="shared" si="4"/>
        <v>-28.1755</v>
      </c>
      <c r="M22" s="132"/>
      <c r="N22" s="400">
        <f t="shared" si="5"/>
        <v>-28.1755</v>
      </c>
      <c r="O22" s="401" t="str">
        <f t="shared" si="6"/>
        <v/>
      </c>
      <c r="P22" s="52"/>
      <c r="Q22" s="396">
        <f>IFERROR(VLOOKUP($C22,'Proposed Rates'!$B:$J,Q$11,FALSE),0)</f>
        <v>0</v>
      </c>
      <c r="R22" s="414">
        <f t="shared" si="7"/>
        <v>185</v>
      </c>
      <c r="S22" s="399">
        <f t="shared" si="8"/>
        <v>0</v>
      </c>
      <c r="T22" s="132"/>
      <c r="U22" s="400">
        <f t="shared" si="9"/>
        <v>28.1755</v>
      </c>
      <c r="V22" s="401">
        <f t="shared" si="10"/>
        <v>-1</v>
      </c>
      <c r="W22" s="52"/>
      <c r="X22" s="396">
        <f>IFERROR(VLOOKUP($C22,'Proposed Rates'!$B:$J,X$11,FALSE),0)</f>
        <v>0</v>
      </c>
      <c r="Y22" s="414">
        <f t="shared" si="11"/>
        <v>185</v>
      </c>
      <c r="Z22" s="399">
        <f t="shared" si="12"/>
        <v>0</v>
      </c>
      <c r="AA22" s="132"/>
      <c r="AB22" s="400">
        <f t="shared" si="13"/>
        <v>0</v>
      </c>
      <c r="AC22" s="401" t="str">
        <f t="shared" si="14"/>
        <v/>
      </c>
      <c r="AD22" s="52"/>
      <c r="AE22" s="396">
        <f>IFERROR(VLOOKUP($C22,'Proposed Rates'!$B:$J,AE$11,FALSE),0)</f>
        <v>0</v>
      </c>
      <c r="AF22" s="414">
        <f t="shared" si="15"/>
        <v>185</v>
      </c>
      <c r="AG22" s="399">
        <f t="shared" si="16"/>
        <v>0</v>
      </c>
      <c r="AH22" s="132"/>
      <c r="AI22" s="400">
        <f t="shared" si="17"/>
        <v>0</v>
      </c>
      <c r="AJ22" s="401" t="str">
        <f t="shared" si="18"/>
        <v/>
      </c>
      <c r="AK22" s="52"/>
      <c r="AL22" s="396">
        <f>IFERROR(VLOOKUP($C22,'Proposed Rates'!$B:$J,AL$11,FALSE),0)</f>
        <v>0</v>
      </c>
      <c r="AM22" s="414">
        <f t="shared" si="19"/>
        <v>185</v>
      </c>
      <c r="AN22" s="399">
        <f t="shared" si="20"/>
        <v>0</v>
      </c>
      <c r="AO22" s="132"/>
      <c r="AP22" s="400">
        <f t="shared" si="21"/>
        <v>0</v>
      </c>
      <c r="AQ22" s="401" t="str">
        <f t="shared" si="22"/>
        <v/>
      </c>
      <c r="AR22" s="402"/>
      <c r="AS22" s="3"/>
      <c r="AT22" s="3"/>
      <c r="AU22" s="3"/>
      <c r="AV22" s="3"/>
      <c r="AW22" s="3"/>
      <c r="AX22" s="3"/>
    </row>
    <row r="23" spans="1:50" ht="12" customHeight="1">
      <c r="A23" s="550"/>
      <c r="B23" s="403"/>
      <c r="C23" s="394" t="str">
        <f t="shared" si="0"/>
        <v>General Service 50 to 1,499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c r="AS23" s="3"/>
      <c r="AT23" s="3"/>
      <c r="AU23" s="3"/>
      <c r="AV23" s="3"/>
      <c r="AW23" s="3"/>
      <c r="AX23" s="3"/>
    </row>
    <row r="24" spans="1:50" ht="12" customHeight="1">
      <c r="A24" s="550"/>
      <c r="B24" s="403"/>
      <c r="C24" s="394" t="str">
        <f t="shared" si="0"/>
        <v>General Service 50 to 1,499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c r="AS24" s="3"/>
      <c r="AT24" s="3"/>
      <c r="AU24" s="3"/>
      <c r="AV24" s="3"/>
      <c r="AW24" s="3"/>
      <c r="AX24" s="3"/>
    </row>
    <row r="25" spans="1:50" ht="12" customHeight="1">
      <c r="A25" s="550"/>
      <c r="B25" s="403"/>
      <c r="C25" s="394" t="str">
        <f t="shared" si="0"/>
        <v>General Service 50 to 1,499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c r="AS25" s="3"/>
      <c r="AT25" s="3"/>
      <c r="AU25" s="3"/>
      <c r="AV25" s="3"/>
      <c r="AW25" s="3"/>
      <c r="AX25" s="3"/>
    </row>
    <row r="26" spans="1:50" ht="12" customHeight="1">
      <c r="A26" s="550"/>
      <c r="B26" s="403"/>
      <c r="C26" s="394" t="str">
        <f t="shared" si="0"/>
        <v>General Service 50 to 1,499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c r="AS26" s="3"/>
      <c r="AT26" s="3"/>
      <c r="AU26" s="3"/>
      <c r="AV26" s="3"/>
      <c r="AW26" s="3"/>
      <c r="AX26" s="3"/>
    </row>
    <row r="27" spans="1:50" ht="12" customHeight="1">
      <c r="A27" s="550"/>
      <c r="B27" s="403"/>
      <c r="C27" s="394" t="str">
        <f t="shared" si="0"/>
        <v>General Service 50 to 1,499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c r="AS27" s="3"/>
      <c r="AT27" s="3"/>
      <c r="AU27" s="3"/>
      <c r="AV27" s="3"/>
      <c r="AW27" s="3"/>
      <c r="AX27" s="3"/>
    </row>
    <row r="28" spans="1:50" ht="12" customHeight="1">
      <c r="A28" s="550"/>
      <c r="B28" s="403"/>
      <c r="C28" s="394" t="str">
        <f t="shared" si="0"/>
        <v>General Service 50 to 1,499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c r="AS28" s="3"/>
      <c r="AT28" s="3"/>
      <c r="AU28" s="3"/>
      <c r="AV28" s="3"/>
      <c r="AW28" s="3"/>
      <c r="AX28" s="3"/>
    </row>
    <row r="29" spans="1:50" ht="12" customHeight="1">
      <c r="A29" s="550"/>
      <c r="B29" s="404" t="s">
        <v>314</v>
      </c>
      <c r="C29" s="405"/>
      <c r="D29" s="405"/>
      <c r="E29" s="405"/>
      <c r="F29" s="406"/>
      <c r="G29" s="499"/>
      <c r="H29" s="408">
        <f>SUM(H15:H28)</f>
        <v>1366.9059999999999</v>
      </c>
      <c r="I29" s="409"/>
      <c r="J29" s="406"/>
      <c r="K29" s="499"/>
      <c r="L29" s="408">
        <f>SUM(L15:L28)</f>
        <v>1650.6405</v>
      </c>
      <c r="M29" s="409"/>
      <c r="N29" s="410">
        <f t="shared" si="5"/>
        <v>283.73450000000003</v>
      </c>
      <c r="O29" s="411">
        <f t="shared" si="6"/>
        <v>0.20757425894684786</v>
      </c>
      <c r="P29" s="307"/>
      <c r="Q29" s="406"/>
      <c r="R29" s="499"/>
      <c r="S29" s="408">
        <f>SUM(S15:S28)</f>
        <v>1762.9169999999997</v>
      </c>
      <c r="T29" s="409"/>
      <c r="U29" s="410">
        <f t="shared" si="9"/>
        <v>112.27649999999971</v>
      </c>
      <c r="V29" s="411">
        <f t="shared" si="10"/>
        <v>6.801995952480247E-2</v>
      </c>
      <c r="W29" s="307"/>
      <c r="X29" s="406"/>
      <c r="Y29" s="499"/>
      <c r="Z29" s="408">
        <f>SUM(Z15:Z28)</f>
        <v>1874.2314999999999</v>
      </c>
      <c r="AA29" s="409"/>
      <c r="AB29" s="410">
        <f t="shared" si="13"/>
        <v>111.31450000000018</v>
      </c>
      <c r="AC29" s="411">
        <f t="shared" si="14"/>
        <v>6.3142223939073816E-2</v>
      </c>
      <c r="AD29" s="307"/>
      <c r="AE29" s="406"/>
      <c r="AF29" s="499"/>
      <c r="AG29" s="408">
        <f>SUM(AG15:AG28)</f>
        <v>1936.2065</v>
      </c>
      <c r="AH29" s="409"/>
      <c r="AI29" s="410">
        <f t="shared" si="17"/>
        <v>61.975000000000136</v>
      </c>
      <c r="AJ29" s="411">
        <f t="shared" si="18"/>
        <v>3.3066886347817834E-2</v>
      </c>
      <c r="AK29" s="307"/>
      <c r="AL29" s="406"/>
      <c r="AM29" s="499"/>
      <c r="AN29" s="408">
        <f>SUM(AN15:AN28)</f>
        <v>1992.9830000000002</v>
      </c>
      <c r="AO29" s="409"/>
      <c r="AP29" s="410">
        <f t="shared" si="21"/>
        <v>56.776500000000169</v>
      </c>
      <c r="AQ29" s="411">
        <f t="shared" si="22"/>
        <v>2.9323576798239326E-2</v>
      </c>
      <c r="AR29" s="412"/>
      <c r="AS29" s="3"/>
      <c r="AT29" s="3"/>
      <c r="AU29" s="3"/>
      <c r="AV29" s="3"/>
      <c r="AW29" s="3"/>
      <c r="AX29" s="3"/>
    </row>
    <row r="30" spans="1:50" ht="12" customHeight="1">
      <c r="A30" s="550"/>
      <c r="B30" s="403" t="s">
        <v>237</v>
      </c>
      <c r="C30" s="394" t="str">
        <f t="shared" ref="C30:C38" si="23">D$6&amp;"."&amp;B30</f>
        <v>General Service 50 to 1,499 KW.DVA Disposition Rate Rider Group 1 -2025</v>
      </c>
      <c r="D30" s="395" t="s">
        <v>381</v>
      </c>
      <c r="E30" s="321"/>
      <c r="F30" s="413">
        <f>IFERROR(VLOOKUP($C30,'Proposed Rates'!$B:$J,F$11,FALSE),0)</f>
        <v>0.35310000000000002</v>
      </c>
      <c r="G30" s="414">
        <f t="shared" ref="G30:G36" si="24">IF($D30="Monthly",1,IF($D30="per KW",$F$10,IF($D30="per kWh",$F$9,0)))</f>
        <v>185</v>
      </c>
      <c r="H30" s="399">
        <f t="shared" ref="H30:H38" si="25">G30*F30</f>
        <v>65.32350000000001</v>
      </c>
      <c r="I30" s="132"/>
      <c r="J30" s="413">
        <f>IFERROR(VLOOKUP($C30,'Proposed Rates'!$B:$J,J$11,FALSE),0)</f>
        <v>7.3000000000000001E-3</v>
      </c>
      <c r="K30" s="414">
        <f t="shared" ref="K30:K36" si="26">IF($D30="Monthly",1,IF($D30="per KW",$F$10,IF($D30="per kWh",$F$9,0)))</f>
        <v>185</v>
      </c>
      <c r="L30" s="399">
        <f t="shared" ref="L30:L38" si="27">K30*J30</f>
        <v>1.3505</v>
      </c>
      <c r="M30" s="132"/>
      <c r="N30" s="400">
        <f t="shared" si="5"/>
        <v>-63.973000000000013</v>
      </c>
      <c r="O30" s="401">
        <f t="shared" si="6"/>
        <v>-0.97932596998017563</v>
      </c>
      <c r="P30" s="52"/>
      <c r="Q30" s="413">
        <f>IFERROR(VLOOKUP($C30,'Proposed Rates'!$B:$J,Q$11,FALSE),0)</f>
        <v>0</v>
      </c>
      <c r="R30" s="414">
        <f t="shared" ref="R30:R36" si="28">IF($D30="Monthly",1,IF($D30="per KW",$F$10,IF($D30="per kWh",$F$9,0)))</f>
        <v>185</v>
      </c>
      <c r="S30" s="399">
        <f t="shared" ref="S30:S38" si="29">R30*Q30</f>
        <v>0</v>
      </c>
      <c r="T30" s="132"/>
      <c r="U30" s="400">
        <f t="shared" si="9"/>
        <v>-1.3505</v>
      </c>
      <c r="V30" s="401">
        <f t="shared" si="10"/>
        <v>-1</v>
      </c>
      <c r="W30" s="52"/>
      <c r="X30" s="413">
        <f>IFERROR(VLOOKUP($C30,'Proposed Rates'!$B:$J,X$11,FALSE),0)</f>
        <v>0</v>
      </c>
      <c r="Y30" s="414">
        <f t="shared" ref="Y30:Y36" si="30">IF($D30="Monthly",1,IF($D30="per KW",$F$10,IF($D30="per kWh",$F$9,0)))</f>
        <v>185</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185</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185</v>
      </c>
      <c r="AN30" s="399">
        <f t="shared" ref="AN30:AN38" si="35">AM30*AL30</f>
        <v>0</v>
      </c>
      <c r="AO30" s="132"/>
      <c r="AP30" s="400">
        <f t="shared" si="21"/>
        <v>0</v>
      </c>
      <c r="AQ30" s="401" t="str">
        <f t="shared" si="22"/>
        <v/>
      </c>
      <c r="AR30" s="402"/>
      <c r="AS30" s="3"/>
      <c r="AT30" s="3"/>
      <c r="AU30" s="3"/>
      <c r="AV30" s="3"/>
      <c r="AW30" s="3"/>
      <c r="AX30" s="3"/>
    </row>
    <row r="31" spans="1:50" ht="12" customHeight="1">
      <c r="A31" s="550"/>
      <c r="B31" s="403" t="s">
        <v>239</v>
      </c>
      <c r="C31" s="394" t="str">
        <f t="shared" si="23"/>
        <v>General Service 50 to 1,499 KW.DVA Disposition Rate Rider Group 1 - 2024</v>
      </c>
      <c r="D31" s="395" t="s">
        <v>381</v>
      </c>
      <c r="E31" s="321"/>
      <c r="F31" s="413">
        <f>IFERROR(VLOOKUP($C31,'Proposed Rates'!$B:$J,F$11,FALSE),0)</f>
        <v>0</v>
      </c>
      <c r="G31" s="414">
        <f t="shared" si="24"/>
        <v>185</v>
      </c>
      <c r="H31" s="399">
        <f t="shared" si="25"/>
        <v>0</v>
      </c>
      <c r="I31" s="132"/>
      <c r="J31" s="413">
        <f>IFERROR(VLOOKUP($C31,'Proposed Rates'!$B:$J,J$11,FALSE),0)</f>
        <v>0</v>
      </c>
      <c r="K31" s="414">
        <f t="shared" si="26"/>
        <v>185</v>
      </c>
      <c r="L31" s="399">
        <f t="shared" si="27"/>
        <v>0</v>
      </c>
      <c r="M31" s="132"/>
      <c r="N31" s="400">
        <f t="shared" si="5"/>
        <v>0</v>
      </c>
      <c r="O31" s="401" t="str">
        <f t="shared" si="6"/>
        <v/>
      </c>
      <c r="P31" s="52"/>
      <c r="Q31" s="413">
        <f>IFERROR(VLOOKUP($C31,'Proposed Rates'!$B:$J,Q$11,FALSE),0)</f>
        <v>0</v>
      </c>
      <c r="R31" s="414">
        <f t="shared" si="28"/>
        <v>185</v>
      </c>
      <c r="S31" s="399">
        <f t="shared" si="29"/>
        <v>0</v>
      </c>
      <c r="T31" s="132"/>
      <c r="U31" s="400">
        <f t="shared" si="9"/>
        <v>0</v>
      </c>
      <c r="V31" s="401" t="str">
        <f t="shared" si="10"/>
        <v/>
      </c>
      <c r="W31" s="52"/>
      <c r="X31" s="413">
        <f>IFERROR(VLOOKUP($C31,'Proposed Rates'!$B:$J,X$11,FALSE),0)</f>
        <v>0</v>
      </c>
      <c r="Y31" s="414">
        <f t="shared" si="30"/>
        <v>185</v>
      </c>
      <c r="Z31" s="399">
        <f t="shared" si="31"/>
        <v>0</v>
      </c>
      <c r="AA31" s="132"/>
      <c r="AB31" s="400">
        <f t="shared" si="13"/>
        <v>0</v>
      </c>
      <c r="AC31" s="401" t="str">
        <f t="shared" si="14"/>
        <v/>
      </c>
      <c r="AD31" s="52"/>
      <c r="AE31" s="413">
        <f>IFERROR(VLOOKUP($C31,'Proposed Rates'!$B:$J,AE$11,FALSE),0)</f>
        <v>0</v>
      </c>
      <c r="AF31" s="414">
        <f t="shared" si="32"/>
        <v>185</v>
      </c>
      <c r="AG31" s="399">
        <f t="shared" si="33"/>
        <v>0</v>
      </c>
      <c r="AH31" s="132"/>
      <c r="AI31" s="400">
        <f t="shared" si="17"/>
        <v>0</v>
      </c>
      <c r="AJ31" s="401" t="str">
        <f t="shared" si="18"/>
        <v/>
      </c>
      <c r="AK31" s="52"/>
      <c r="AL31" s="413">
        <f>IFERROR(VLOOKUP($C31,'Proposed Rates'!$B:$J,AL$11,FALSE),0)</f>
        <v>0</v>
      </c>
      <c r="AM31" s="414">
        <f t="shared" si="34"/>
        <v>185</v>
      </c>
      <c r="AN31" s="399">
        <f t="shared" si="35"/>
        <v>0</v>
      </c>
      <c r="AO31" s="132"/>
      <c r="AP31" s="400">
        <f t="shared" si="21"/>
        <v>0</v>
      </c>
      <c r="AQ31" s="401" t="str">
        <f t="shared" si="22"/>
        <v/>
      </c>
      <c r="AR31" s="402"/>
      <c r="AS31" s="3"/>
      <c r="AT31" s="3"/>
      <c r="AU31" s="3"/>
      <c r="AV31" s="3"/>
      <c r="AW31" s="3"/>
      <c r="AX31" s="3"/>
    </row>
    <row r="32" spans="1:50" ht="12" customHeight="1">
      <c r="A32" s="550"/>
      <c r="B32" s="403" t="s">
        <v>247</v>
      </c>
      <c r="C32" s="394" t="str">
        <f t="shared" si="23"/>
        <v>General Service 50 to 1,499 KW.CBR Class B Rate Riders</v>
      </c>
      <c r="D32" s="395" t="s">
        <v>312</v>
      </c>
      <c r="E32" s="321"/>
      <c r="F32" s="413">
        <f>IFERROR(VLOOKUP($C32,'Proposed Rates'!$B:$J,F$11,FALSE),0)</f>
        <v>2.0000000000000001E-4</v>
      </c>
      <c r="G32" s="414">
        <f t="shared" si="24"/>
        <v>76480</v>
      </c>
      <c r="H32" s="399">
        <f t="shared" si="25"/>
        <v>15.296000000000001</v>
      </c>
      <c r="I32" s="484"/>
      <c r="J32" s="413">
        <f>IFERROR(VLOOKUP($C32,'Proposed Rates'!$B:$J,J$11,FALSE),0)</f>
        <v>4.0000000000000002E-4</v>
      </c>
      <c r="K32" s="414">
        <f t="shared" si="26"/>
        <v>76480</v>
      </c>
      <c r="L32" s="399">
        <f t="shared" si="27"/>
        <v>30.592000000000002</v>
      </c>
      <c r="M32" s="416"/>
      <c r="N32" s="400">
        <f t="shared" si="5"/>
        <v>15.296000000000001</v>
      </c>
      <c r="O32" s="401">
        <f t="shared" si="6"/>
        <v>1</v>
      </c>
      <c r="P32" s="52"/>
      <c r="Q32" s="413">
        <f>IFERROR(VLOOKUP($C32,'Proposed Rates'!$B:$J,Q$11,FALSE),0)</f>
        <v>0</v>
      </c>
      <c r="R32" s="414">
        <f t="shared" si="28"/>
        <v>76480</v>
      </c>
      <c r="S32" s="399">
        <f t="shared" si="29"/>
        <v>0</v>
      </c>
      <c r="T32" s="416"/>
      <c r="U32" s="400">
        <f t="shared" si="9"/>
        <v>-30.592000000000002</v>
      </c>
      <c r="V32" s="401">
        <f t="shared" si="10"/>
        <v>-1</v>
      </c>
      <c r="W32" s="52"/>
      <c r="X32" s="413">
        <f>IFERROR(VLOOKUP($C32,'Proposed Rates'!$B:$J,X$11,FALSE),0)</f>
        <v>0</v>
      </c>
      <c r="Y32" s="414">
        <f t="shared" si="30"/>
        <v>76480</v>
      </c>
      <c r="Z32" s="399">
        <f t="shared" si="31"/>
        <v>0</v>
      </c>
      <c r="AA32" s="132"/>
      <c r="AB32" s="400">
        <f t="shared" si="13"/>
        <v>0</v>
      </c>
      <c r="AC32" s="401" t="str">
        <f t="shared" si="14"/>
        <v/>
      </c>
      <c r="AD32" s="52"/>
      <c r="AE32" s="413">
        <f>IFERROR(VLOOKUP($C32,'Proposed Rates'!$B:$J,AE$11,FALSE),0)</f>
        <v>0</v>
      </c>
      <c r="AF32" s="414">
        <f t="shared" si="32"/>
        <v>76480</v>
      </c>
      <c r="AG32" s="399">
        <f t="shared" si="33"/>
        <v>0</v>
      </c>
      <c r="AH32" s="132"/>
      <c r="AI32" s="400">
        <f t="shared" si="17"/>
        <v>0</v>
      </c>
      <c r="AJ32" s="401" t="str">
        <f t="shared" si="18"/>
        <v/>
      </c>
      <c r="AK32" s="52"/>
      <c r="AL32" s="413">
        <f>IFERROR(VLOOKUP($C32,'Proposed Rates'!$B:$J,AL$11,FALSE),0)</f>
        <v>0</v>
      </c>
      <c r="AM32" s="414">
        <f t="shared" si="34"/>
        <v>76480</v>
      </c>
      <c r="AN32" s="399">
        <f t="shared" si="35"/>
        <v>0</v>
      </c>
      <c r="AO32" s="416"/>
      <c r="AP32" s="400">
        <f t="shared" si="21"/>
        <v>0</v>
      </c>
      <c r="AQ32" s="401" t="str">
        <f t="shared" si="22"/>
        <v/>
      </c>
      <c r="AR32" s="402"/>
      <c r="AS32" s="3"/>
      <c r="AT32" s="3"/>
      <c r="AU32" s="3"/>
      <c r="AV32" s="3"/>
      <c r="AW32" s="3"/>
      <c r="AX32" s="3"/>
    </row>
    <row r="33" spans="1:50" ht="12" customHeight="1">
      <c r="A33" s="550"/>
      <c r="B33" s="403" t="s">
        <v>252</v>
      </c>
      <c r="C33" s="394" t="str">
        <f t="shared" si="23"/>
        <v>General Service 50 to 1,499 KW.GA Rate Riders</v>
      </c>
      <c r="D33" s="395" t="s">
        <v>312</v>
      </c>
      <c r="E33" s="321"/>
      <c r="F33" s="413">
        <f>IFERROR(VLOOKUP($C33,'Proposed Rates'!$B:$J,F$11,FALSE),0)</f>
        <v>3.8999999999999998E-3</v>
      </c>
      <c r="G33" s="414">
        <f t="shared" si="24"/>
        <v>76480</v>
      </c>
      <c r="H33" s="399">
        <f t="shared" si="25"/>
        <v>298.27199999999999</v>
      </c>
      <c r="I33" s="484"/>
      <c r="J33" s="413">
        <f>IFERROR(VLOOKUP($C33,'Proposed Rates'!$B:$J,J$11,FALSE),0)</f>
        <v>4.4000000000000003E-3</v>
      </c>
      <c r="K33" s="414">
        <f t="shared" si="26"/>
        <v>76480</v>
      </c>
      <c r="L33" s="399">
        <f t="shared" si="27"/>
        <v>336.512</v>
      </c>
      <c r="M33" s="416"/>
      <c r="N33" s="400">
        <f t="shared" si="5"/>
        <v>38.240000000000009</v>
      </c>
      <c r="O33" s="401">
        <f t="shared" si="6"/>
        <v>0.12820512820512825</v>
      </c>
      <c r="P33" s="52"/>
      <c r="Q33" s="413">
        <f>IFERROR(VLOOKUP($C33,'Proposed Rates'!$B:$J,Q$11,FALSE),0)</f>
        <v>0</v>
      </c>
      <c r="R33" s="414">
        <f t="shared" si="28"/>
        <v>76480</v>
      </c>
      <c r="S33" s="399">
        <f t="shared" si="29"/>
        <v>0</v>
      </c>
      <c r="T33" s="416"/>
      <c r="U33" s="400">
        <f t="shared" si="9"/>
        <v>-336.512</v>
      </c>
      <c r="V33" s="401">
        <f t="shared" si="10"/>
        <v>-1</v>
      </c>
      <c r="W33" s="52"/>
      <c r="X33" s="413">
        <f>IFERROR(VLOOKUP($C33,'Proposed Rates'!$B:$J,X$11,FALSE),0)</f>
        <v>0</v>
      </c>
      <c r="Y33" s="414">
        <f t="shared" si="30"/>
        <v>76480</v>
      </c>
      <c r="Z33" s="399">
        <f t="shared" si="31"/>
        <v>0</v>
      </c>
      <c r="AA33" s="416"/>
      <c r="AB33" s="400">
        <f t="shared" si="13"/>
        <v>0</v>
      </c>
      <c r="AC33" s="401" t="str">
        <f t="shared" si="14"/>
        <v/>
      </c>
      <c r="AD33" s="52"/>
      <c r="AE33" s="413">
        <f>IFERROR(VLOOKUP($C33,'Proposed Rates'!$B:$J,AE$11,FALSE),0)</f>
        <v>0</v>
      </c>
      <c r="AF33" s="414">
        <f t="shared" si="32"/>
        <v>76480</v>
      </c>
      <c r="AG33" s="399">
        <f t="shared" si="33"/>
        <v>0</v>
      </c>
      <c r="AH33" s="416"/>
      <c r="AI33" s="400">
        <f t="shared" si="17"/>
        <v>0</v>
      </c>
      <c r="AJ33" s="401" t="str">
        <f t="shared" si="18"/>
        <v/>
      </c>
      <c r="AK33" s="52"/>
      <c r="AL33" s="413">
        <f>IFERROR(VLOOKUP($C33,'Proposed Rates'!$B:$J,AL$11,FALSE),0)</f>
        <v>0</v>
      </c>
      <c r="AM33" s="414">
        <f t="shared" si="34"/>
        <v>76480</v>
      </c>
      <c r="AN33" s="399">
        <f t="shared" si="35"/>
        <v>0</v>
      </c>
      <c r="AO33" s="416"/>
      <c r="AP33" s="400">
        <f t="shared" si="21"/>
        <v>0</v>
      </c>
      <c r="AQ33" s="401" t="str">
        <f t="shared" si="22"/>
        <v/>
      </c>
      <c r="AR33" s="402"/>
      <c r="AS33" s="3"/>
      <c r="AT33" s="3"/>
      <c r="AU33" s="3"/>
      <c r="AV33" s="3"/>
      <c r="AW33" s="3"/>
      <c r="AX33" s="3"/>
    </row>
    <row r="34" spans="1:50" ht="12" customHeight="1">
      <c r="A34" s="550"/>
      <c r="B34" s="403" t="s">
        <v>255</v>
      </c>
      <c r="C34" s="394" t="str">
        <f t="shared" si="23"/>
        <v>General Service 50 to 1,499 KW.Total Deferral/Variance Account Rate RidersYr2</v>
      </c>
      <c r="D34" s="395" t="s">
        <v>381</v>
      </c>
      <c r="E34" s="321"/>
      <c r="F34" s="413">
        <f>IFERROR(VLOOKUP($C34,'Proposed Rates'!$B:$J,F$11,FALSE),0)</f>
        <v>-0.30499999999999999</v>
      </c>
      <c r="G34" s="414">
        <f t="shared" si="24"/>
        <v>185</v>
      </c>
      <c r="H34" s="399">
        <f t="shared" si="25"/>
        <v>-56.424999999999997</v>
      </c>
      <c r="I34" s="484"/>
      <c r="J34" s="413">
        <f>IFERROR(VLOOKUP($C34,'Proposed Rates'!$B:$J,J$11,FALSE),0)</f>
        <v>-0.21779999999999999</v>
      </c>
      <c r="K34" s="414">
        <f t="shared" si="26"/>
        <v>185</v>
      </c>
      <c r="L34" s="399">
        <f t="shared" si="27"/>
        <v>-40.292999999999999</v>
      </c>
      <c r="M34" s="416"/>
      <c r="N34" s="400">
        <f t="shared" si="5"/>
        <v>16.131999999999998</v>
      </c>
      <c r="O34" s="401">
        <f t="shared" si="6"/>
        <v>-0.28590163934426227</v>
      </c>
      <c r="P34" s="52"/>
      <c r="Q34" s="413">
        <f>IFERROR(VLOOKUP($C34,'Proposed Rates'!$B:$J,Q$11,FALSE),0)</f>
        <v>0</v>
      </c>
      <c r="R34" s="414">
        <f t="shared" si="28"/>
        <v>185</v>
      </c>
      <c r="S34" s="399">
        <f t="shared" si="29"/>
        <v>0</v>
      </c>
      <c r="T34" s="416"/>
      <c r="U34" s="400">
        <f t="shared" si="9"/>
        <v>40.292999999999999</v>
      </c>
      <c r="V34" s="401">
        <f t="shared" si="10"/>
        <v>-1</v>
      </c>
      <c r="W34" s="52"/>
      <c r="X34" s="413">
        <f>IFERROR(VLOOKUP($C34,'Proposed Rates'!$B:$J,X$11,FALSE),0)</f>
        <v>0</v>
      </c>
      <c r="Y34" s="414">
        <f t="shared" si="30"/>
        <v>185</v>
      </c>
      <c r="Z34" s="399">
        <f t="shared" si="31"/>
        <v>0</v>
      </c>
      <c r="AA34" s="416"/>
      <c r="AB34" s="400">
        <f t="shared" si="13"/>
        <v>0</v>
      </c>
      <c r="AC34" s="401" t="str">
        <f t="shared" si="14"/>
        <v/>
      </c>
      <c r="AD34" s="52"/>
      <c r="AE34" s="413">
        <f>IFERROR(VLOOKUP($C34,'Proposed Rates'!$B:$J,AE$11,FALSE),0)</f>
        <v>0</v>
      </c>
      <c r="AF34" s="414">
        <f t="shared" si="32"/>
        <v>185</v>
      </c>
      <c r="AG34" s="399">
        <f t="shared" si="33"/>
        <v>0</v>
      </c>
      <c r="AH34" s="416"/>
      <c r="AI34" s="400">
        <f t="shared" si="17"/>
        <v>0</v>
      </c>
      <c r="AJ34" s="401" t="str">
        <f t="shared" si="18"/>
        <v/>
      </c>
      <c r="AK34" s="52"/>
      <c r="AL34" s="413">
        <f>IFERROR(VLOOKUP($C34,'Proposed Rates'!$B:$J,AL$11,FALSE),0)</f>
        <v>0</v>
      </c>
      <c r="AM34" s="414">
        <f t="shared" si="34"/>
        <v>185</v>
      </c>
      <c r="AN34" s="399">
        <f t="shared" si="35"/>
        <v>0</v>
      </c>
      <c r="AO34" s="416"/>
      <c r="AP34" s="400">
        <f t="shared" si="21"/>
        <v>0</v>
      </c>
      <c r="AQ34" s="401" t="str">
        <f t="shared" si="22"/>
        <v/>
      </c>
      <c r="AR34" s="402"/>
      <c r="AS34" s="3"/>
      <c r="AT34" s="3"/>
      <c r="AU34" s="3"/>
      <c r="AV34" s="3"/>
      <c r="AW34" s="3"/>
      <c r="AX34" s="3"/>
    </row>
    <row r="35" spans="1:50" ht="12" customHeight="1">
      <c r="A35" s="550"/>
      <c r="B35" s="403" t="s">
        <v>257</v>
      </c>
      <c r="C35" s="394" t="str">
        <f t="shared" si="23"/>
        <v>General Service 50 to 1,499 KW.Total Deferral/Variance Account Rate Riders</v>
      </c>
      <c r="D35" s="395" t="s">
        <v>381</v>
      </c>
      <c r="E35" s="321"/>
      <c r="F35" s="413">
        <f>IFERROR(VLOOKUP($C35,'Proposed Rates'!$B:$J,F$11,FALSE),0)</f>
        <v>0</v>
      </c>
      <c r="G35" s="414">
        <f t="shared" si="24"/>
        <v>185</v>
      </c>
      <c r="H35" s="399">
        <f t="shared" si="25"/>
        <v>0</v>
      </c>
      <c r="I35" s="132"/>
      <c r="J35" s="413">
        <f>IFERROR(VLOOKUP($C35,'Proposed Rates'!$B:$J,J$11,FALSE),0)</f>
        <v>0</v>
      </c>
      <c r="K35" s="414">
        <f t="shared" si="26"/>
        <v>185</v>
      </c>
      <c r="L35" s="399">
        <f t="shared" si="27"/>
        <v>0</v>
      </c>
      <c r="M35" s="132"/>
      <c r="N35" s="400">
        <f t="shared" si="5"/>
        <v>0</v>
      </c>
      <c r="O35" s="401" t="str">
        <f t="shared" si="6"/>
        <v/>
      </c>
      <c r="P35" s="52"/>
      <c r="Q35" s="413">
        <f>IFERROR(VLOOKUP($C35,'Proposed Rates'!$B:$J,Q$11,FALSE),0)</f>
        <v>0</v>
      </c>
      <c r="R35" s="414">
        <f t="shared" si="28"/>
        <v>185</v>
      </c>
      <c r="S35" s="399">
        <f t="shared" si="29"/>
        <v>0</v>
      </c>
      <c r="T35" s="132"/>
      <c r="U35" s="400">
        <f t="shared" si="9"/>
        <v>0</v>
      </c>
      <c r="V35" s="401" t="str">
        <f t="shared" si="10"/>
        <v/>
      </c>
      <c r="W35" s="52"/>
      <c r="X35" s="413">
        <f>IFERROR(VLOOKUP($C35,'Proposed Rates'!$B:$J,X$11,FALSE),0)</f>
        <v>0</v>
      </c>
      <c r="Y35" s="414">
        <f t="shared" si="30"/>
        <v>185</v>
      </c>
      <c r="Z35" s="399">
        <f t="shared" si="31"/>
        <v>0</v>
      </c>
      <c r="AA35" s="132"/>
      <c r="AB35" s="400"/>
      <c r="AC35" s="401"/>
      <c r="AD35" s="52"/>
      <c r="AE35" s="413">
        <f>IFERROR(VLOOKUP($C35,'Proposed Rates'!$B:$J,AE$11,FALSE),0)</f>
        <v>0</v>
      </c>
      <c r="AF35" s="414">
        <f t="shared" si="32"/>
        <v>185</v>
      </c>
      <c r="AG35" s="399">
        <f t="shared" si="33"/>
        <v>0</v>
      </c>
      <c r="AH35" s="132"/>
      <c r="AI35" s="400">
        <f t="shared" si="17"/>
        <v>0</v>
      </c>
      <c r="AJ35" s="401" t="str">
        <f t="shared" si="18"/>
        <v/>
      </c>
      <c r="AK35" s="52"/>
      <c r="AL35" s="413">
        <f>IFERROR(VLOOKUP($C35,'Proposed Rates'!$B:$J,AL$11,FALSE),0)</f>
        <v>0</v>
      </c>
      <c r="AM35" s="414">
        <f t="shared" si="34"/>
        <v>185</v>
      </c>
      <c r="AN35" s="399">
        <f t="shared" si="35"/>
        <v>0</v>
      </c>
      <c r="AO35" s="132"/>
      <c r="AP35" s="400">
        <f t="shared" si="21"/>
        <v>0</v>
      </c>
      <c r="AQ35" s="401" t="str">
        <f t="shared" si="22"/>
        <v/>
      </c>
      <c r="AR35" s="402"/>
      <c r="AS35" s="3"/>
      <c r="AT35" s="3"/>
      <c r="AU35" s="3"/>
      <c r="AV35" s="3"/>
      <c r="AW35" s="3"/>
      <c r="AX35" s="3"/>
    </row>
    <row r="36" spans="1:50" ht="12" customHeight="1">
      <c r="A36" s="550"/>
      <c r="B36" s="321" t="s">
        <v>273</v>
      </c>
      <c r="C36" s="394" t="str">
        <f t="shared" si="23"/>
        <v>General Service 50 to 1,499 KW.Low Voltage Service Charge</v>
      </c>
      <c r="D36" s="395" t="s">
        <v>381</v>
      </c>
      <c r="E36" s="321"/>
      <c r="F36" s="413">
        <f>IFERROR(VLOOKUP($C36,'Proposed Rates'!$B:$J,F$11,FALSE),0)</f>
        <v>2.0629999999999999E-2</v>
      </c>
      <c r="G36" s="414">
        <f t="shared" si="24"/>
        <v>185</v>
      </c>
      <c r="H36" s="399">
        <f t="shared" si="25"/>
        <v>3.8165499999999999</v>
      </c>
      <c r="I36" s="132"/>
      <c r="J36" s="413">
        <f>IFERROR(VLOOKUP($C36,'Proposed Rates'!$B:$J,J$11,FALSE),0)</f>
        <v>2.332E-2</v>
      </c>
      <c r="K36" s="414">
        <f t="shared" si="26"/>
        <v>185</v>
      </c>
      <c r="L36" s="399">
        <f t="shared" si="27"/>
        <v>4.3142000000000005</v>
      </c>
      <c r="M36" s="132"/>
      <c r="N36" s="400">
        <f t="shared" si="5"/>
        <v>0.49765000000000059</v>
      </c>
      <c r="O36" s="401">
        <f t="shared" si="6"/>
        <v>0.13039263208919066</v>
      </c>
      <c r="P36" s="52"/>
      <c r="Q36" s="413">
        <f>IFERROR(VLOOKUP($C36,'Proposed Rates'!$B:$J,Q$11,FALSE),0)</f>
        <v>2.392E-2</v>
      </c>
      <c r="R36" s="414">
        <f t="shared" si="28"/>
        <v>185</v>
      </c>
      <c r="S36" s="399">
        <f t="shared" si="29"/>
        <v>4.4252000000000002</v>
      </c>
      <c r="T36" s="132"/>
      <c r="U36" s="400">
        <f t="shared" si="9"/>
        <v>0.11099999999999977</v>
      </c>
      <c r="V36" s="401">
        <f t="shared" si="10"/>
        <v>2.5728987993138878E-2</v>
      </c>
      <c r="W36" s="52"/>
      <c r="X36" s="413">
        <f>IFERROR(VLOOKUP($C36,'Proposed Rates'!$B:$J,X$11,FALSE),0)</f>
        <v>2.4209999999999999E-2</v>
      </c>
      <c r="Y36" s="414">
        <f t="shared" si="30"/>
        <v>185</v>
      </c>
      <c r="Z36" s="399">
        <f t="shared" si="31"/>
        <v>4.4788499999999996</v>
      </c>
      <c r="AA36" s="132"/>
      <c r="AB36" s="400">
        <f t="shared" ref="AB36:AB46" si="36">Z36-S36</f>
        <v>5.3649999999999309E-2</v>
      </c>
      <c r="AC36" s="401">
        <f t="shared" ref="AC36:AC46" si="37">IF((S36)=0,"",(AB36/S36))</f>
        <v>1.2123745819397836E-2</v>
      </c>
      <c r="AD36" s="52"/>
      <c r="AE36" s="413">
        <f>IFERROR(VLOOKUP($C36,'Proposed Rates'!$B:$J,AE$11,FALSE),0)</f>
        <v>2.46E-2</v>
      </c>
      <c r="AF36" s="414">
        <f t="shared" si="32"/>
        <v>185</v>
      </c>
      <c r="AG36" s="399">
        <f t="shared" si="33"/>
        <v>4.5510000000000002</v>
      </c>
      <c r="AH36" s="132"/>
      <c r="AI36" s="400">
        <f t="shared" si="17"/>
        <v>7.2150000000000603E-2</v>
      </c>
      <c r="AJ36" s="401">
        <f t="shared" si="18"/>
        <v>1.6109045848822938E-2</v>
      </c>
      <c r="AK36" s="52"/>
      <c r="AL36" s="413">
        <f>IFERROR(VLOOKUP($C36,'Proposed Rates'!$B:$J,AL$11,FALSE),0)</f>
        <v>2.504E-2</v>
      </c>
      <c r="AM36" s="414">
        <f t="shared" si="34"/>
        <v>185</v>
      </c>
      <c r="AN36" s="399">
        <f t="shared" si="35"/>
        <v>4.6323999999999996</v>
      </c>
      <c r="AO36" s="132"/>
      <c r="AP36" s="400">
        <f t="shared" si="21"/>
        <v>8.1399999999999473E-2</v>
      </c>
      <c r="AQ36" s="401">
        <f t="shared" si="22"/>
        <v>1.7886178861788501E-2</v>
      </c>
      <c r="AR36" s="402"/>
      <c r="AS36" s="3"/>
      <c r="AT36" s="3"/>
      <c r="AU36" s="3"/>
      <c r="AV36" s="3"/>
      <c r="AW36" s="3"/>
      <c r="AX36" s="3"/>
    </row>
    <row r="37" spans="1:50" ht="12" customHeight="1">
      <c r="A37" s="550"/>
      <c r="B37" s="321" t="s">
        <v>316</v>
      </c>
      <c r="C37" s="394" t="str">
        <f t="shared" si="23"/>
        <v>General Service 50 to 1,499 KW.Line Losses on Cost of Power</v>
      </c>
      <c r="D37" s="395" t="s">
        <v>312</v>
      </c>
      <c r="E37" s="321"/>
      <c r="F37" s="429"/>
      <c r="G37" s="420">
        <f>$F$9*(1+F$65)-$F$9</f>
        <v>2585.0240000000049</v>
      </c>
      <c r="H37" s="399">
        <f t="shared" si="25"/>
        <v>0</v>
      </c>
      <c r="I37" s="132"/>
      <c r="J37" s="429"/>
      <c r="K37" s="420">
        <f>$F$9*(1+J$65)-$F$9</f>
        <v>2539.1359999999986</v>
      </c>
      <c r="L37" s="399">
        <f t="shared" si="27"/>
        <v>0</v>
      </c>
      <c r="M37" s="132"/>
      <c r="N37" s="400">
        <f t="shared" si="5"/>
        <v>0</v>
      </c>
      <c r="O37" s="401" t="str">
        <f t="shared" si="6"/>
        <v/>
      </c>
      <c r="P37" s="52"/>
      <c r="Q37" s="429"/>
      <c r="R37" s="420">
        <f>$F$9*(1+Q$65)-$F$9</f>
        <v>2539.1359999999986</v>
      </c>
      <c r="S37" s="399">
        <f t="shared" si="29"/>
        <v>0</v>
      </c>
      <c r="T37" s="132"/>
      <c r="U37" s="400">
        <f t="shared" si="9"/>
        <v>0</v>
      </c>
      <c r="V37" s="401" t="str">
        <f t="shared" si="10"/>
        <v/>
      </c>
      <c r="W37" s="52"/>
      <c r="X37" s="429"/>
      <c r="Y37" s="420">
        <f>$F$9*(1+X$65)-$F$9</f>
        <v>2539.1359999999986</v>
      </c>
      <c r="Z37" s="399">
        <f t="shared" si="31"/>
        <v>0</v>
      </c>
      <c r="AA37" s="132"/>
      <c r="AB37" s="400">
        <f t="shared" si="36"/>
        <v>0</v>
      </c>
      <c r="AC37" s="401" t="str">
        <f t="shared" si="37"/>
        <v/>
      </c>
      <c r="AD37" s="52"/>
      <c r="AE37" s="429"/>
      <c r="AF37" s="420">
        <f>$F$9*(1+AE$65)-$F$9</f>
        <v>2539.1359999999986</v>
      </c>
      <c r="AG37" s="399">
        <f t="shared" si="33"/>
        <v>0</v>
      </c>
      <c r="AH37" s="132"/>
      <c r="AI37" s="400">
        <f t="shared" si="17"/>
        <v>0</v>
      </c>
      <c r="AJ37" s="401" t="str">
        <f t="shared" si="18"/>
        <v/>
      </c>
      <c r="AK37" s="52"/>
      <c r="AL37" s="429"/>
      <c r="AM37" s="420">
        <f>$F$9*(1+AL$65)-$F$9</f>
        <v>2539.1359999999986</v>
      </c>
      <c r="AN37" s="399">
        <f t="shared" si="35"/>
        <v>0</v>
      </c>
      <c r="AO37" s="132"/>
      <c r="AP37" s="400">
        <f t="shared" si="21"/>
        <v>0</v>
      </c>
      <c r="AQ37" s="401" t="str">
        <f t="shared" si="22"/>
        <v/>
      </c>
      <c r="AR37" s="402"/>
      <c r="AS37" s="3"/>
      <c r="AT37" s="3"/>
      <c r="AU37" s="3"/>
      <c r="AV37" s="3"/>
      <c r="AW37" s="3"/>
      <c r="AX37" s="3"/>
    </row>
    <row r="38" spans="1:50" ht="12" customHeight="1">
      <c r="A38" s="550"/>
      <c r="B38" s="321" t="s">
        <v>275</v>
      </c>
      <c r="C38" s="394" t="str">
        <f t="shared" si="23"/>
        <v>General Service 50 to 1,499 KW.Smart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36"/>
        <v>0</v>
      </c>
      <c r="AC38" s="401" t="str">
        <f t="shared" si="37"/>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c r="AS38" s="3"/>
      <c r="AT38" s="3"/>
      <c r="AU38" s="3"/>
      <c r="AV38" s="3"/>
      <c r="AW38" s="3"/>
      <c r="AX38" s="3"/>
    </row>
    <row r="39" spans="1:50" ht="12" customHeight="1">
      <c r="A39" s="550"/>
      <c r="B39" s="404" t="s">
        <v>317</v>
      </c>
      <c r="C39" s="421"/>
      <c r="D39" s="421"/>
      <c r="E39" s="421"/>
      <c r="F39" s="422"/>
      <c r="G39" s="500"/>
      <c r="H39" s="408">
        <f>SUM(H30:H38)+H29</f>
        <v>1693.18905</v>
      </c>
      <c r="I39" s="424"/>
      <c r="J39" s="422"/>
      <c r="K39" s="500"/>
      <c r="L39" s="408">
        <f>SUM(L30:L38)+L29</f>
        <v>1983.1161999999999</v>
      </c>
      <c r="M39" s="424"/>
      <c r="N39" s="410">
        <f t="shared" si="5"/>
        <v>289.92714999999998</v>
      </c>
      <c r="O39" s="411">
        <f t="shared" si="6"/>
        <v>0.17123141092838984</v>
      </c>
      <c r="P39" s="52"/>
      <c r="Q39" s="422"/>
      <c r="R39" s="500"/>
      <c r="S39" s="408">
        <f>SUM(S30:S38)+S29</f>
        <v>1767.3421999999996</v>
      </c>
      <c r="T39" s="424"/>
      <c r="U39" s="410">
        <f t="shared" si="9"/>
        <v>-215.77400000000034</v>
      </c>
      <c r="V39" s="411">
        <f t="shared" si="10"/>
        <v>-0.10880552536457538</v>
      </c>
      <c r="W39" s="52"/>
      <c r="X39" s="422"/>
      <c r="Y39" s="500"/>
      <c r="Z39" s="408">
        <f>SUM(Z30:Z38)+Z29</f>
        <v>1878.7103499999998</v>
      </c>
      <c r="AA39" s="424"/>
      <c r="AB39" s="410">
        <f t="shared" si="36"/>
        <v>111.36815000000024</v>
      </c>
      <c r="AC39" s="411">
        <f t="shared" si="37"/>
        <v>6.3014480161227557E-2</v>
      </c>
      <c r="AD39" s="52"/>
      <c r="AE39" s="422"/>
      <c r="AF39" s="500"/>
      <c r="AG39" s="408">
        <f>SUM(AG30:AG38)+AG29</f>
        <v>1940.7574999999999</v>
      </c>
      <c r="AH39" s="424"/>
      <c r="AI39" s="410">
        <f t="shared" si="17"/>
        <v>62.047150000000101</v>
      </c>
      <c r="AJ39" s="411">
        <f t="shared" si="18"/>
        <v>3.30264588152187E-2</v>
      </c>
      <c r="AK39" s="52"/>
      <c r="AL39" s="422"/>
      <c r="AM39" s="500"/>
      <c r="AN39" s="408">
        <f>SUM(AN30:AN38)+AN29</f>
        <v>1997.6154000000001</v>
      </c>
      <c r="AO39" s="424"/>
      <c r="AP39" s="410">
        <f t="shared" si="21"/>
        <v>56.8579000000002</v>
      </c>
      <c r="AQ39" s="411">
        <f t="shared" si="22"/>
        <v>2.929675654995547E-2</v>
      </c>
      <c r="AR39" s="412"/>
      <c r="AS39" s="3"/>
      <c r="AT39" s="3"/>
      <c r="AU39" s="3"/>
      <c r="AV39" s="3"/>
      <c r="AW39" s="3"/>
      <c r="AX39" s="3"/>
    </row>
    <row r="40" spans="1:50" ht="12" customHeight="1">
      <c r="A40" s="550"/>
      <c r="B40" s="132" t="s">
        <v>258</v>
      </c>
      <c r="C40" s="394" t="str">
        <f t="shared" ref="C40:C41" si="38">D$6&amp;"."&amp;B40</f>
        <v>General Service 50 to 1,499 KW.RTSR - Network</v>
      </c>
      <c r="D40" s="425" t="s">
        <v>381</v>
      </c>
      <c r="E40" s="132"/>
      <c r="F40" s="413">
        <f>IFERROR(VLOOKUP($C40,'Proposed Rates'!$B:$J,F$11,FALSE),0)</f>
        <v>4.8479999999999999</v>
      </c>
      <c r="G40" s="414">
        <f t="shared" ref="G40:G41" si="39">IF($D40="Monthly",1,IF($D40="per KW",$F$10,IF($D40="per kWh",$F$9,0)))</f>
        <v>185</v>
      </c>
      <c r="H40" s="399">
        <f t="shared" ref="H40:H41" si="40">G40*F40</f>
        <v>896.88</v>
      </c>
      <c r="I40" s="132"/>
      <c r="J40" s="413">
        <f>IFERROR(VLOOKUP($C40,'Proposed Rates'!$B:$J,J$11,FALSE),0)</f>
        <v>4.5787000000000004</v>
      </c>
      <c r="K40" s="414">
        <f t="shared" ref="K40:K41" si="41">IF($D40="Monthly",1,IF($D40="per KW",$F$10,IF($D40="per kWh",$F$9,0)))</f>
        <v>185</v>
      </c>
      <c r="L40" s="399">
        <f t="shared" ref="L40:L41" si="42">K40*J40</f>
        <v>847.05950000000007</v>
      </c>
      <c r="M40" s="132"/>
      <c r="N40" s="400">
        <f t="shared" si="5"/>
        <v>-49.820499999999925</v>
      </c>
      <c r="O40" s="401">
        <f t="shared" si="6"/>
        <v>-5.5548679867986714E-2</v>
      </c>
      <c r="P40" s="52"/>
      <c r="Q40" s="413">
        <f>IFERROR(VLOOKUP($C40,'Proposed Rates'!$B:$J,Q$11,FALSE),0)</f>
        <v>4.5787000000000004</v>
      </c>
      <c r="R40" s="414">
        <f t="shared" ref="R40:R41" si="43">IF($D40="Monthly",1,IF($D40="per KW",$F$10,IF($D40="per kWh",$F$9,0)))</f>
        <v>185</v>
      </c>
      <c r="S40" s="399">
        <f t="shared" ref="S40:S41" si="44">R40*Q40</f>
        <v>847.05950000000007</v>
      </c>
      <c r="T40" s="132"/>
      <c r="U40" s="400">
        <f t="shared" si="9"/>
        <v>0</v>
      </c>
      <c r="V40" s="401">
        <f t="shared" si="10"/>
        <v>0</v>
      </c>
      <c r="W40" s="52"/>
      <c r="X40" s="413">
        <f>IFERROR(VLOOKUP($C40,'Proposed Rates'!$B:$J,X$11,FALSE),0)</f>
        <v>4.5787000000000004</v>
      </c>
      <c r="Y40" s="414">
        <f t="shared" ref="Y40:Y41" si="45">IF($D40="Monthly",1,IF($D40="per KW",$F$10,IF($D40="per kWh",$F$9,0)))</f>
        <v>185</v>
      </c>
      <c r="Z40" s="399">
        <f t="shared" ref="Z40:Z41" si="46">Y40*X40</f>
        <v>847.05950000000007</v>
      </c>
      <c r="AA40" s="132"/>
      <c r="AB40" s="400">
        <f t="shared" si="36"/>
        <v>0</v>
      </c>
      <c r="AC40" s="401">
        <f t="shared" si="37"/>
        <v>0</v>
      </c>
      <c r="AD40" s="52"/>
      <c r="AE40" s="413">
        <f>IFERROR(VLOOKUP($C40,'Proposed Rates'!$B:$J,AE$11,FALSE),0)</f>
        <v>4.5787000000000004</v>
      </c>
      <c r="AF40" s="414">
        <f t="shared" ref="AF40:AF41" si="47">IF($D40="Monthly",1,IF($D40="per KW",$F$10,IF($D40="per kWh",$F$9,0)))</f>
        <v>185</v>
      </c>
      <c r="AG40" s="399">
        <f t="shared" ref="AG40:AG41" si="48">AF40*AE40</f>
        <v>847.05950000000007</v>
      </c>
      <c r="AH40" s="132"/>
      <c r="AI40" s="400">
        <f t="shared" si="17"/>
        <v>0</v>
      </c>
      <c r="AJ40" s="401">
        <f t="shared" si="18"/>
        <v>0</v>
      </c>
      <c r="AK40" s="52"/>
      <c r="AL40" s="413">
        <f>IFERROR(VLOOKUP($C40,'Proposed Rates'!$B:$J,AL$11,FALSE),0)</f>
        <v>4.5787000000000004</v>
      </c>
      <c r="AM40" s="414">
        <f t="shared" ref="AM40:AM41" si="49">IF($D40="Monthly",1,IF($D40="per KW",$F$10,IF($D40="per kWh",$F$9,0)))</f>
        <v>185</v>
      </c>
      <c r="AN40" s="399">
        <f t="shared" ref="AN40:AN41" si="50">AM40*AL40</f>
        <v>847.05950000000007</v>
      </c>
      <c r="AO40" s="132"/>
      <c r="AP40" s="400">
        <f t="shared" si="21"/>
        <v>0</v>
      </c>
      <c r="AQ40" s="401">
        <f t="shared" si="22"/>
        <v>0</v>
      </c>
      <c r="AR40" s="402"/>
      <c r="AS40" s="3"/>
      <c r="AT40" s="3"/>
      <c r="AU40" s="3"/>
      <c r="AV40" s="3"/>
      <c r="AW40" s="3"/>
      <c r="AX40" s="3"/>
    </row>
    <row r="41" spans="1:50" ht="12" customHeight="1">
      <c r="A41" s="550"/>
      <c r="B41" s="132" t="s">
        <v>261</v>
      </c>
      <c r="C41" s="394" t="str">
        <f t="shared" si="38"/>
        <v>General Service 50 to 1,499 KW.RTSR - Line and Transformation Connection</v>
      </c>
      <c r="D41" s="425" t="s">
        <v>381</v>
      </c>
      <c r="E41" s="132"/>
      <c r="F41" s="413">
        <f>IFERROR(VLOOKUP($C41,'Proposed Rates'!$B:$J,F$11,FALSE),0)</f>
        <v>2.8187000000000002</v>
      </c>
      <c r="G41" s="414">
        <f t="shared" si="39"/>
        <v>185</v>
      </c>
      <c r="H41" s="399">
        <f t="shared" si="40"/>
        <v>521.45950000000005</v>
      </c>
      <c r="I41" s="132"/>
      <c r="J41" s="413">
        <f>IFERROR(VLOOKUP($C41,'Proposed Rates'!$B:$J,J$11,FALSE),0)</f>
        <v>2.5918000000000001</v>
      </c>
      <c r="K41" s="414">
        <f t="shared" si="41"/>
        <v>185</v>
      </c>
      <c r="L41" s="399">
        <f t="shared" si="42"/>
        <v>479.483</v>
      </c>
      <c r="M41" s="132"/>
      <c r="N41" s="400">
        <f t="shared" si="5"/>
        <v>-41.976500000000044</v>
      </c>
      <c r="O41" s="401">
        <f t="shared" si="6"/>
        <v>-8.0498101961897411E-2</v>
      </c>
      <c r="P41" s="52"/>
      <c r="Q41" s="413">
        <f>IFERROR(VLOOKUP($C41,'Proposed Rates'!$B:$J,Q$11,FALSE),0)</f>
        <v>2.5918000000000001</v>
      </c>
      <c r="R41" s="414">
        <f t="shared" si="43"/>
        <v>185</v>
      </c>
      <c r="S41" s="399">
        <f t="shared" si="44"/>
        <v>479.483</v>
      </c>
      <c r="T41" s="132"/>
      <c r="U41" s="400">
        <f t="shared" si="9"/>
        <v>0</v>
      </c>
      <c r="V41" s="401">
        <f t="shared" si="10"/>
        <v>0</v>
      </c>
      <c r="W41" s="52"/>
      <c r="X41" s="413">
        <f>IFERROR(VLOOKUP($C41,'Proposed Rates'!$B:$J,X$11,FALSE),0)</f>
        <v>2.5918000000000001</v>
      </c>
      <c r="Y41" s="414">
        <f t="shared" si="45"/>
        <v>185</v>
      </c>
      <c r="Z41" s="399">
        <f t="shared" si="46"/>
        <v>479.483</v>
      </c>
      <c r="AA41" s="132"/>
      <c r="AB41" s="400">
        <f t="shared" si="36"/>
        <v>0</v>
      </c>
      <c r="AC41" s="401">
        <f t="shared" si="37"/>
        <v>0</v>
      </c>
      <c r="AD41" s="52"/>
      <c r="AE41" s="413">
        <f>IFERROR(VLOOKUP($C41,'Proposed Rates'!$B:$J,AE$11,FALSE),0)</f>
        <v>2.5918000000000001</v>
      </c>
      <c r="AF41" s="414">
        <f t="shared" si="47"/>
        <v>185</v>
      </c>
      <c r="AG41" s="399">
        <f t="shared" si="48"/>
        <v>479.483</v>
      </c>
      <c r="AH41" s="132"/>
      <c r="AI41" s="400">
        <f t="shared" si="17"/>
        <v>0</v>
      </c>
      <c r="AJ41" s="401">
        <f t="shared" si="18"/>
        <v>0</v>
      </c>
      <c r="AK41" s="52"/>
      <c r="AL41" s="413">
        <f>IFERROR(VLOOKUP($C41,'Proposed Rates'!$B:$J,AL$11,FALSE),0)</f>
        <v>2.5918000000000001</v>
      </c>
      <c r="AM41" s="414">
        <f t="shared" si="49"/>
        <v>185</v>
      </c>
      <c r="AN41" s="399">
        <f t="shared" si="50"/>
        <v>479.483</v>
      </c>
      <c r="AO41" s="132"/>
      <c r="AP41" s="400">
        <f t="shared" si="21"/>
        <v>0</v>
      </c>
      <c r="AQ41" s="401">
        <f t="shared" si="22"/>
        <v>0</v>
      </c>
      <c r="AR41" s="402"/>
      <c r="AS41" s="3"/>
      <c r="AT41" s="3"/>
      <c r="AU41" s="3"/>
      <c r="AV41" s="3"/>
      <c r="AW41" s="3"/>
      <c r="AX41" s="3"/>
    </row>
    <row r="42" spans="1:50" ht="12" customHeight="1">
      <c r="A42" s="550"/>
      <c r="B42" s="404" t="s">
        <v>318</v>
      </c>
      <c r="C42" s="426"/>
      <c r="D42" s="426"/>
      <c r="E42" s="426"/>
      <c r="F42" s="427"/>
      <c r="G42" s="500"/>
      <c r="H42" s="408">
        <f>SUM(H39:H41)</f>
        <v>3111.52855</v>
      </c>
      <c r="I42" s="409"/>
      <c r="J42" s="427"/>
      <c r="K42" s="500"/>
      <c r="L42" s="408">
        <f>SUM(L39:L41)</f>
        <v>3309.6587</v>
      </c>
      <c r="M42" s="409"/>
      <c r="N42" s="410">
        <f t="shared" si="5"/>
        <v>198.13014999999996</v>
      </c>
      <c r="O42" s="411">
        <f t="shared" si="6"/>
        <v>6.3676147210669165E-2</v>
      </c>
      <c r="P42" s="52"/>
      <c r="Q42" s="427"/>
      <c r="R42" s="500"/>
      <c r="S42" s="408">
        <f>SUM(S39:S41)</f>
        <v>3093.8846999999996</v>
      </c>
      <c r="T42" s="409"/>
      <c r="U42" s="410">
        <f t="shared" si="9"/>
        <v>-215.77400000000034</v>
      </c>
      <c r="V42" s="411">
        <f t="shared" si="10"/>
        <v>-6.5195242035077622E-2</v>
      </c>
      <c r="W42" s="52"/>
      <c r="X42" s="427"/>
      <c r="Y42" s="500"/>
      <c r="Z42" s="408">
        <f>SUM(Z39:Z41)</f>
        <v>3205.2528499999999</v>
      </c>
      <c r="AA42" s="409"/>
      <c r="AB42" s="410">
        <f t="shared" si="36"/>
        <v>111.36815000000024</v>
      </c>
      <c r="AC42" s="411">
        <f t="shared" si="37"/>
        <v>3.5996218605043769E-2</v>
      </c>
      <c r="AD42" s="52"/>
      <c r="AE42" s="427"/>
      <c r="AF42" s="500"/>
      <c r="AG42" s="408">
        <f>SUM(AG39:AG41)</f>
        <v>3267.3</v>
      </c>
      <c r="AH42" s="409"/>
      <c r="AI42" s="410">
        <f t="shared" si="17"/>
        <v>62.047150000000329</v>
      </c>
      <c r="AJ42" s="411">
        <f t="shared" si="18"/>
        <v>1.9357957984500452E-2</v>
      </c>
      <c r="AK42" s="52"/>
      <c r="AL42" s="427"/>
      <c r="AM42" s="500"/>
      <c r="AN42" s="408">
        <f>SUM(AN39:AN41)</f>
        <v>3324.1579000000002</v>
      </c>
      <c r="AO42" s="409"/>
      <c r="AP42" s="410">
        <f t="shared" si="21"/>
        <v>56.857899999999972</v>
      </c>
      <c r="AQ42" s="411">
        <f t="shared" si="22"/>
        <v>1.7402105714198257E-2</v>
      </c>
      <c r="AR42" s="412"/>
      <c r="AS42" s="3"/>
      <c r="AT42" s="3"/>
      <c r="AU42" s="3"/>
      <c r="AV42" s="3"/>
      <c r="AW42" s="3"/>
      <c r="AX42" s="3"/>
    </row>
    <row r="43" spans="1:50" ht="12" customHeight="1">
      <c r="A43" s="550"/>
      <c r="B43" s="321" t="s">
        <v>262</v>
      </c>
      <c r="C43" s="394" t="str">
        <f t="shared" ref="C43:C45" si="51">D$6&amp;"."&amp;B43</f>
        <v>General Service 50 to 1,499 KW.Wholesale Market Service Charge (WMSC)</v>
      </c>
      <c r="D43" s="395" t="s">
        <v>312</v>
      </c>
      <c r="E43" s="321"/>
      <c r="F43" s="413">
        <f>IFERROR(VLOOKUP($C43,'Proposed Rates'!$B:$J,F$11,FALSE),0)</f>
        <v>4.4999999999999997E-3</v>
      </c>
      <c r="G43" s="420">
        <f t="shared" ref="G43:G44" si="52">$F$9+G$37</f>
        <v>79065.024000000005</v>
      </c>
      <c r="H43" s="399">
        <f t="shared" ref="H43:H46" si="53">G43*F43</f>
        <v>355.79260799999997</v>
      </c>
      <c r="I43" s="132"/>
      <c r="J43" s="413">
        <f>IFERROR(VLOOKUP($C43,'Proposed Rates'!$B:$J,J$11,FALSE),0)</f>
        <v>4.7000000000000002E-3</v>
      </c>
      <c r="K43" s="420">
        <f t="shared" ref="K43:K44" si="54">$F$9+K$37</f>
        <v>79019.135999999999</v>
      </c>
      <c r="L43" s="399">
        <f t="shared" ref="L43:L46" si="55">K43*J43</f>
        <v>371.38993920000001</v>
      </c>
      <c r="M43" s="132"/>
      <c r="N43" s="400">
        <f t="shared" si="5"/>
        <v>15.597331200000042</v>
      </c>
      <c r="O43" s="401">
        <f t="shared" si="6"/>
        <v>4.3838266589282381E-2</v>
      </c>
      <c r="P43" s="52"/>
      <c r="Q43" s="413">
        <f>IFERROR(VLOOKUP($C43,'Proposed Rates'!$B:$J,Q$11,FALSE),0)</f>
        <v>4.7000000000000002E-3</v>
      </c>
      <c r="R43" s="420">
        <f t="shared" ref="R43:R44" si="56">$F$9+R$37</f>
        <v>79019.135999999999</v>
      </c>
      <c r="S43" s="399">
        <f t="shared" ref="S43:S46" si="57">R43*Q43</f>
        <v>371.38993920000001</v>
      </c>
      <c r="T43" s="132"/>
      <c r="U43" s="400">
        <f t="shared" si="9"/>
        <v>0</v>
      </c>
      <c r="V43" s="401">
        <f t="shared" si="10"/>
        <v>0</v>
      </c>
      <c r="W43" s="52"/>
      <c r="X43" s="413">
        <f>IFERROR(VLOOKUP($C43,'Proposed Rates'!$B:$J,X$11,FALSE),0)</f>
        <v>4.7000000000000002E-3</v>
      </c>
      <c r="Y43" s="420">
        <f t="shared" ref="Y43:Y44" si="58">$F$9+Y$37</f>
        <v>79019.135999999999</v>
      </c>
      <c r="Z43" s="399">
        <f t="shared" ref="Z43:Z46" si="59">Y43*X43</f>
        <v>371.38993920000001</v>
      </c>
      <c r="AA43" s="132"/>
      <c r="AB43" s="400">
        <f t="shared" si="36"/>
        <v>0</v>
      </c>
      <c r="AC43" s="401">
        <f t="shared" si="37"/>
        <v>0</v>
      </c>
      <c r="AD43" s="52"/>
      <c r="AE43" s="413">
        <f>IFERROR(VLOOKUP($C43,'Proposed Rates'!$B:$J,AE$11,FALSE),0)</f>
        <v>4.7000000000000002E-3</v>
      </c>
      <c r="AF43" s="420">
        <f t="shared" ref="AF43:AF44" si="60">$F$9+AF$37</f>
        <v>79019.135999999999</v>
      </c>
      <c r="AG43" s="399">
        <f t="shared" ref="AG43:AG46" si="61">AF43*AE43</f>
        <v>371.38993920000001</v>
      </c>
      <c r="AH43" s="132"/>
      <c r="AI43" s="400">
        <f t="shared" si="17"/>
        <v>0</v>
      </c>
      <c r="AJ43" s="401">
        <f t="shared" si="18"/>
        <v>0</v>
      </c>
      <c r="AK43" s="52"/>
      <c r="AL43" s="413">
        <f>IFERROR(VLOOKUP($C43,'Proposed Rates'!$B:$J,AL$11,FALSE),0)</f>
        <v>4.7000000000000002E-3</v>
      </c>
      <c r="AM43" s="420">
        <f t="shared" ref="AM43:AM44" si="62">$F$9+AM$37</f>
        <v>79019.135999999999</v>
      </c>
      <c r="AN43" s="399">
        <f t="shared" ref="AN43:AN46" si="63">AM43*AL43</f>
        <v>371.38993920000001</v>
      </c>
      <c r="AO43" s="132"/>
      <c r="AP43" s="400">
        <f t="shared" si="21"/>
        <v>0</v>
      </c>
      <c r="AQ43" s="401">
        <f t="shared" si="22"/>
        <v>0</v>
      </c>
      <c r="AR43" s="402"/>
      <c r="AS43" s="3"/>
      <c r="AT43" s="3"/>
      <c r="AU43" s="3"/>
      <c r="AV43" s="3"/>
      <c r="AW43" s="3"/>
      <c r="AX43" s="3"/>
    </row>
    <row r="44" spans="1:50" ht="12" customHeight="1">
      <c r="A44" s="550"/>
      <c r="B44" s="321" t="s">
        <v>263</v>
      </c>
      <c r="C44" s="394" t="str">
        <f t="shared" si="51"/>
        <v>General Service 50 to 1,499 KW.Rural and Remote Rate Protection (RRRP)</v>
      </c>
      <c r="D44" s="395" t="s">
        <v>312</v>
      </c>
      <c r="E44" s="321"/>
      <c r="F44" s="413">
        <f>IFERROR(VLOOKUP($C44,'Proposed Rates'!$B:$J,F$11,FALSE),0)</f>
        <v>1.5E-3</v>
      </c>
      <c r="G44" s="420">
        <f t="shared" si="52"/>
        <v>79065.024000000005</v>
      </c>
      <c r="H44" s="399">
        <f t="shared" si="53"/>
        <v>118.59753600000001</v>
      </c>
      <c r="I44" s="132"/>
      <c r="J44" s="413">
        <f>IFERROR(VLOOKUP($C44,'Proposed Rates'!$B:$J,J$11,FALSE),0)</f>
        <v>5.9999999999999995E-4</v>
      </c>
      <c r="K44" s="420">
        <f t="shared" si="54"/>
        <v>79019.135999999999</v>
      </c>
      <c r="L44" s="399">
        <f t="shared" si="55"/>
        <v>47.411481599999995</v>
      </c>
      <c r="M44" s="132"/>
      <c r="N44" s="400">
        <f t="shared" si="5"/>
        <v>-71.186054400000017</v>
      </c>
      <c r="O44" s="401">
        <f t="shared" si="6"/>
        <v>-0.60023215322112611</v>
      </c>
      <c r="P44" s="52"/>
      <c r="Q44" s="413">
        <f>IFERROR(VLOOKUP($C44,'Proposed Rates'!$B:$J,Q$11,FALSE),0)</f>
        <v>5.9999999999999995E-4</v>
      </c>
      <c r="R44" s="420">
        <f t="shared" si="56"/>
        <v>79019.135999999999</v>
      </c>
      <c r="S44" s="399">
        <f t="shared" si="57"/>
        <v>47.411481599999995</v>
      </c>
      <c r="T44" s="132"/>
      <c r="U44" s="400">
        <f t="shared" si="9"/>
        <v>0</v>
      </c>
      <c r="V44" s="401">
        <f t="shared" si="10"/>
        <v>0</v>
      </c>
      <c r="W44" s="52"/>
      <c r="X44" s="413">
        <f>IFERROR(VLOOKUP($C44,'Proposed Rates'!$B:$J,X$11,FALSE),0)</f>
        <v>5.9999999999999995E-4</v>
      </c>
      <c r="Y44" s="420">
        <f t="shared" si="58"/>
        <v>79019.135999999999</v>
      </c>
      <c r="Z44" s="399">
        <f t="shared" si="59"/>
        <v>47.411481599999995</v>
      </c>
      <c r="AA44" s="132"/>
      <c r="AB44" s="400">
        <f t="shared" si="36"/>
        <v>0</v>
      </c>
      <c r="AC44" s="401">
        <f t="shared" si="37"/>
        <v>0</v>
      </c>
      <c r="AD44" s="52"/>
      <c r="AE44" s="413">
        <f>IFERROR(VLOOKUP($C44,'Proposed Rates'!$B:$J,AE$11,FALSE),0)</f>
        <v>5.9999999999999995E-4</v>
      </c>
      <c r="AF44" s="420">
        <f t="shared" si="60"/>
        <v>79019.135999999999</v>
      </c>
      <c r="AG44" s="399">
        <f t="shared" si="61"/>
        <v>47.411481599999995</v>
      </c>
      <c r="AH44" s="132"/>
      <c r="AI44" s="400">
        <f t="shared" si="17"/>
        <v>0</v>
      </c>
      <c r="AJ44" s="401">
        <f t="shared" si="18"/>
        <v>0</v>
      </c>
      <c r="AK44" s="52"/>
      <c r="AL44" s="413">
        <f>IFERROR(VLOOKUP($C44,'Proposed Rates'!$B:$J,AL$11,FALSE),0)</f>
        <v>5.9999999999999995E-4</v>
      </c>
      <c r="AM44" s="420">
        <f t="shared" si="62"/>
        <v>79019.135999999999</v>
      </c>
      <c r="AN44" s="399">
        <f t="shared" si="63"/>
        <v>47.411481599999995</v>
      </c>
      <c r="AO44" s="132"/>
      <c r="AP44" s="400">
        <f t="shared" si="21"/>
        <v>0</v>
      </c>
      <c r="AQ44" s="401">
        <f t="shared" si="22"/>
        <v>0</v>
      </c>
      <c r="AR44" s="402"/>
      <c r="AS44" s="3"/>
      <c r="AT44" s="3"/>
      <c r="AU44" s="3"/>
      <c r="AV44" s="3"/>
      <c r="AW44" s="3"/>
      <c r="AX44" s="3"/>
    </row>
    <row r="45" spans="1:50" ht="12" customHeight="1">
      <c r="A45" s="550"/>
      <c r="B45" s="321" t="s">
        <v>264</v>
      </c>
      <c r="C45" s="394" t="str">
        <f t="shared" si="51"/>
        <v>General Service 50 to 1,499 KW.Standard Supply Service Charge</v>
      </c>
      <c r="D45" s="395" t="s">
        <v>310</v>
      </c>
      <c r="E45" s="321"/>
      <c r="F45" s="396">
        <f>IFERROR(VLOOKUP($C45,'Proposed Rates'!$B:$J,F$11,FALSE),0)</f>
        <v>0.25</v>
      </c>
      <c r="G45" s="414">
        <f>IF($D45="Monthly",1,IF($D45="per KW",$F$10,IF($D45="per kWh",$F$9,0)))</f>
        <v>1</v>
      </c>
      <c r="H45" s="399">
        <f t="shared" si="53"/>
        <v>0.25</v>
      </c>
      <c r="I45" s="132"/>
      <c r="J45" s="396">
        <f>IFERROR(VLOOKUP($C45,'Proposed Rates'!$B:$J,J$11,FALSE),0)</f>
        <v>0.25</v>
      </c>
      <c r="K45" s="414">
        <f>IF($D45="Monthly",1,IF($D45="per KW",$F$10,IF($D45="per kWh",$F$9,0)))</f>
        <v>1</v>
      </c>
      <c r="L45" s="399">
        <f t="shared" si="55"/>
        <v>0.25</v>
      </c>
      <c r="M45" s="132"/>
      <c r="N45" s="400">
        <f t="shared" si="5"/>
        <v>0</v>
      </c>
      <c r="O45" s="401">
        <f t="shared" si="6"/>
        <v>0</v>
      </c>
      <c r="P45" s="52"/>
      <c r="Q45" s="396">
        <f>IFERROR(VLOOKUP($C45,'Proposed Rates'!$B:$J,Q$11,FALSE),0)</f>
        <v>0.25</v>
      </c>
      <c r="R45" s="414">
        <f>IF($D45="Monthly",1,IF($D45="per KW",$F$10,IF($D45="per kWh",$F$9,0)))</f>
        <v>1</v>
      </c>
      <c r="S45" s="399">
        <f t="shared" si="57"/>
        <v>0.25</v>
      </c>
      <c r="T45" s="132"/>
      <c r="U45" s="400">
        <f t="shared" si="9"/>
        <v>0</v>
      </c>
      <c r="V45" s="401">
        <f t="shared" si="10"/>
        <v>0</v>
      </c>
      <c r="W45" s="52"/>
      <c r="X45" s="396">
        <f>IFERROR(VLOOKUP($C45,'Proposed Rates'!$B:$J,X$11,FALSE),0)</f>
        <v>0.25</v>
      </c>
      <c r="Y45" s="414">
        <f>IF($D45="Monthly",1,IF($D45="per KW",$F$10,IF($D45="per kWh",$F$9,0)))</f>
        <v>1</v>
      </c>
      <c r="Z45" s="399">
        <f t="shared" si="59"/>
        <v>0.25</v>
      </c>
      <c r="AA45" s="132"/>
      <c r="AB45" s="400">
        <f t="shared" si="36"/>
        <v>0</v>
      </c>
      <c r="AC45" s="401">
        <f t="shared" si="37"/>
        <v>0</v>
      </c>
      <c r="AD45" s="52"/>
      <c r="AE45" s="396">
        <f>IFERROR(VLOOKUP($C45,'Proposed Rates'!$B:$J,AE$11,FALSE),0)</f>
        <v>0.25</v>
      </c>
      <c r="AF45" s="414">
        <f>IF($D45="Monthly",1,IF($D45="per KW",$F$10,IF($D45="per kWh",$F$9,0)))</f>
        <v>1</v>
      </c>
      <c r="AG45" s="399">
        <f t="shared" si="61"/>
        <v>0.25</v>
      </c>
      <c r="AH45" s="132"/>
      <c r="AI45" s="400">
        <f t="shared" si="17"/>
        <v>0</v>
      </c>
      <c r="AJ45" s="401">
        <f t="shared" si="18"/>
        <v>0</v>
      </c>
      <c r="AK45" s="52"/>
      <c r="AL45" s="396">
        <f>IFERROR(VLOOKUP($C45,'Proposed Rates'!$B:$J,AL$11,FALSE),0)</f>
        <v>0.25</v>
      </c>
      <c r="AM45" s="414">
        <f>IF($D45="Monthly",1,IF($D45="per KW",$F$10,IF($D45="per kWh",$F$9,0)))</f>
        <v>1</v>
      </c>
      <c r="AN45" s="399">
        <f t="shared" si="63"/>
        <v>0.25</v>
      </c>
      <c r="AO45" s="132"/>
      <c r="AP45" s="400">
        <f t="shared" si="21"/>
        <v>0</v>
      </c>
      <c r="AQ45" s="401">
        <f t="shared" si="22"/>
        <v>0</v>
      </c>
      <c r="AR45" s="402"/>
      <c r="AS45" s="3"/>
      <c r="AT45" s="3"/>
      <c r="AU45" s="3"/>
      <c r="AV45" s="3"/>
      <c r="AW45" s="3"/>
      <c r="AX45" s="3"/>
    </row>
    <row r="46" spans="1:50" ht="12" customHeight="1">
      <c r="A46" s="550"/>
      <c r="B46" s="321" t="s">
        <v>271</v>
      </c>
      <c r="C46" s="394" t="str">
        <f>B46</f>
        <v>Average IESO Wholesale Market Price</v>
      </c>
      <c r="D46" s="395" t="s">
        <v>312</v>
      </c>
      <c r="E46" s="321"/>
      <c r="F46" s="413">
        <f>IFERROR(VLOOKUP($C46,'Proposed Rates'!$B:$J,F$11,FALSE),0)</f>
        <v>0.10453</v>
      </c>
      <c r="G46" s="420">
        <f>$F$9+G$37</f>
        <v>79065.024000000005</v>
      </c>
      <c r="H46" s="399">
        <f t="shared" si="53"/>
        <v>8264.6669587199995</v>
      </c>
      <c r="I46" s="132"/>
      <c r="J46" s="413">
        <f>IFERROR(VLOOKUP($C46,'Proposed Rates'!$B:$J,J$11,FALSE),0)</f>
        <v>0.10453</v>
      </c>
      <c r="K46" s="420">
        <f>$F$9+K$37</f>
        <v>79019.135999999999</v>
      </c>
      <c r="L46" s="399">
        <f t="shared" si="55"/>
        <v>8259.8702860800004</v>
      </c>
      <c r="M46" s="132"/>
      <c r="N46" s="400">
        <f t="shared" si="5"/>
        <v>-4.7966726399990876</v>
      </c>
      <c r="O46" s="401">
        <f t="shared" si="6"/>
        <v>-5.8038305281474744E-4</v>
      </c>
      <c r="P46" s="52"/>
      <c r="Q46" s="413">
        <f>IFERROR(VLOOKUP($C46,'Proposed Rates'!$B:$J,Q$11,FALSE),0)</f>
        <v>0.10453</v>
      </c>
      <c r="R46" s="420">
        <f>$F$9+R$37</f>
        <v>79019.135999999999</v>
      </c>
      <c r="S46" s="399">
        <f t="shared" si="57"/>
        <v>8259.8702860800004</v>
      </c>
      <c r="T46" s="132"/>
      <c r="U46" s="400">
        <f t="shared" si="9"/>
        <v>0</v>
      </c>
      <c r="V46" s="401">
        <f t="shared" si="10"/>
        <v>0</v>
      </c>
      <c r="W46" s="52"/>
      <c r="X46" s="413">
        <f>IFERROR(VLOOKUP($C46,'Proposed Rates'!$B:$J,X$11,FALSE),0)</f>
        <v>0.10453</v>
      </c>
      <c r="Y46" s="420">
        <f>$F$9+Y$37</f>
        <v>79019.135999999999</v>
      </c>
      <c r="Z46" s="399">
        <f t="shared" si="59"/>
        <v>8259.8702860800004</v>
      </c>
      <c r="AA46" s="132"/>
      <c r="AB46" s="400">
        <f t="shared" si="36"/>
        <v>0</v>
      </c>
      <c r="AC46" s="401">
        <f t="shared" si="37"/>
        <v>0</v>
      </c>
      <c r="AD46" s="52"/>
      <c r="AE46" s="413">
        <f>IFERROR(VLOOKUP($C46,'Proposed Rates'!$B:$J,AE$11,FALSE),0)</f>
        <v>0.10453</v>
      </c>
      <c r="AF46" s="420">
        <f>$F$9+AF$37</f>
        <v>79019.135999999999</v>
      </c>
      <c r="AG46" s="399">
        <f t="shared" si="61"/>
        <v>8259.8702860800004</v>
      </c>
      <c r="AH46" s="132"/>
      <c r="AI46" s="400">
        <f t="shared" si="17"/>
        <v>0</v>
      </c>
      <c r="AJ46" s="401">
        <f t="shared" si="18"/>
        <v>0</v>
      </c>
      <c r="AK46" s="52"/>
      <c r="AL46" s="413">
        <f>IFERROR(VLOOKUP($C46,'Proposed Rates'!$B:$J,AL$11,FALSE),0)</f>
        <v>0.10453</v>
      </c>
      <c r="AM46" s="420">
        <f>$F$9+AM$37</f>
        <v>79019.135999999999</v>
      </c>
      <c r="AN46" s="399">
        <f t="shared" si="63"/>
        <v>8259.8702860800004</v>
      </c>
      <c r="AO46" s="132"/>
      <c r="AP46" s="400">
        <f t="shared" si="21"/>
        <v>0</v>
      </c>
      <c r="AQ46" s="401">
        <f t="shared" si="22"/>
        <v>0</v>
      </c>
      <c r="AR46" s="402"/>
      <c r="AS46" s="3"/>
      <c r="AT46" s="3"/>
      <c r="AU46" s="3"/>
      <c r="AV46" s="3"/>
      <c r="AW46" s="3"/>
      <c r="AX46" s="3"/>
    </row>
    <row r="47" spans="1:50" ht="12" customHeight="1">
      <c r="A47" s="550"/>
      <c r="B47" s="321"/>
      <c r="C47" s="394" t="str">
        <f t="shared" ref="C47:C50" si="64">D$6&amp;"."&amp;B47</f>
        <v>General Service 50 to 1,499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c r="AS47" s="3"/>
      <c r="AT47" s="3"/>
      <c r="AU47" s="3"/>
      <c r="AV47" s="3"/>
      <c r="AW47" s="3"/>
      <c r="AX47" s="3"/>
    </row>
    <row r="48" spans="1:50" ht="12" customHeight="1">
      <c r="A48" s="550"/>
      <c r="B48" s="52"/>
      <c r="C48" s="394" t="str">
        <f t="shared" si="64"/>
        <v>General Service 50 to 1,499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c r="AS48" s="3"/>
      <c r="AT48" s="3"/>
      <c r="AU48" s="3"/>
      <c r="AV48" s="3"/>
      <c r="AW48" s="3"/>
      <c r="AX48" s="3"/>
    </row>
    <row r="49" spans="1:50" ht="12" customHeight="1">
      <c r="A49" s="550"/>
      <c r="B49" s="321"/>
      <c r="C49" s="394" t="str">
        <f t="shared" si="64"/>
        <v>General Service 50 to 1,499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c r="AS49" s="3"/>
      <c r="AT49" s="3"/>
      <c r="AU49" s="3"/>
      <c r="AV49" s="3"/>
      <c r="AW49" s="3"/>
      <c r="AX49" s="3"/>
    </row>
    <row r="50" spans="1:50" ht="12" customHeight="1">
      <c r="A50" s="550"/>
      <c r="B50" s="321"/>
      <c r="C50" s="394" t="str">
        <f t="shared" si="64"/>
        <v>General Service 50 to 1,499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c r="AS50" s="3"/>
      <c r="AT50" s="3"/>
      <c r="AU50" s="3"/>
      <c r="AV50" s="3"/>
      <c r="AW50" s="3"/>
      <c r="AX50" s="3"/>
    </row>
    <row r="51" spans="1:50" ht="12" customHeight="1">
      <c r="A51" s="550"/>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3"/>
      <c r="AT51" s="3"/>
      <c r="AU51" s="3"/>
      <c r="AV51" s="3"/>
      <c r="AW51" s="3"/>
      <c r="AX51" s="3"/>
    </row>
    <row r="52" spans="1:50" ht="12" customHeight="1">
      <c r="A52" s="550"/>
      <c r="B52" s="443" t="s">
        <v>319</v>
      </c>
      <c r="C52" s="321"/>
      <c r="D52" s="321"/>
      <c r="E52" s="321"/>
      <c r="F52" s="444"/>
      <c r="G52" s="488"/>
      <c r="H52" s="446">
        <f>SUM(H43:H48,H42)</f>
        <v>11850.835652719998</v>
      </c>
      <c r="I52" s="481"/>
      <c r="J52" s="445"/>
      <c r="K52" s="445"/>
      <c r="L52" s="446">
        <f>SUM(L43:L48,L42)</f>
        <v>11988.580406880001</v>
      </c>
      <c r="M52" s="448"/>
      <c r="N52" s="447">
        <f t="shared" ref="N52:N56" si="65">L52-H52</f>
        <v>137.74475416000314</v>
      </c>
      <c r="O52" s="449">
        <f t="shared" ref="O52:O56" si="66">IF((H52)=0,"",(N52/H52))</f>
        <v>1.1623210227237269E-2</v>
      </c>
      <c r="P52" s="52"/>
      <c r="Q52" s="445"/>
      <c r="R52" s="445"/>
      <c r="S52" s="446">
        <f>SUM(S43:S48,S42)</f>
        <v>11772.806406880001</v>
      </c>
      <c r="T52" s="448"/>
      <c r="U52" s="447">
        <f t="shared" ref="U52:U56" si="67">S52-L52</f>
        <v>-215.77399999999943</v>
      </c>
      <c r="V52" s="449">
        <f t="shared" ref="V52:V56" si="68">IF((L52)=0,"",(U52/L52))</f>
        <v>-1.7998294433273446E-2</v>
      </c>
      <c r="W52" s="52"/>
      <c r="X52" s="445"/>
      <c r="Y52" s="445"/>
      <c r="Z52" s="446">
        <f>SUM(Z43:Z48,Z42)</f>
        <v>11884.17455688</v>
      </c>
      <c r="AA52" s="448"/>
      <c r="AB52" s="447">
        <f t="shared" ref="AB52:AB56" si="69">Z52-S52</f>
        <v>111.36814999999842</v>
      </c>
      <c r="AC52" s="449">
        <f t="shared" ref="AC52:AC56" si="70">IF((S52)=0,"",(AB52/S52))</f>
        <v>9.4597792702099583E-3</v>
      </c>
      <c r="AD52" s="52"/>
      <c r="AE52" s="445"/>
      <c r="AF52" s="445"/>
      <c r="AG52" s="446">
        <f>SUM(AG43:AG48,AG42)</f>
        <v>11946.221706880002</v>
      </c>
      <c r="AH52" s="448"/>
      <c r="AI52" s="447">
        <f t="shared" ref="AI52:AI56" si="71">AG52-Z52</f>
        <v>62.047150000002148</v>
      </c>
      <c r="AJ52" s="449">
        <f t="shared" ref="AJ52:AJ56" si="72">IF((Z52)=0,"",(AI52/Z52))</f>
        <v>5.2209894513945646E-3</v>
      </c>
      <c r="AK52" s="52"/>
      <c r="AL52" s="445"/>
      <c r="AM52" s="445"/>
      <c r="AN52" s="446">
        <f>SUM(AN43:AN48,AN42)</f>
        <v>12003.079606880001</v>
      </c>
      <c r="AO52" s="448"/>
      <c r="AP52" s="447">
        <f t="shared" ref="AP52:AP56" si="73">AN52-AG52</f>
        <v>56.857899999999063</v>
      </c>
      <c r="AQ52" s="449">
        <f t="shared" ref="AQ52:AQ56" si="74">IF((AG52)=0,"",(AP52/AG52))</f>
        <v>4.7594880954916294E-3</v>
      </c>
      <c r="AR52" s="450"/>
      <c r="AS52" s="3"/>
      <c r="AT52" s="3"/>
      <c r="AU52" s="3"/>
      <c r="AV52" s="3"/>
      <c r="AW52" s="3"/>
      <c r="AX52" s="3"/>
    </row>
    <row r="53" spans="1:50" ht="12" customHeight="1">
      <c r="A53" s="550"/>
      <c r="B53" s="451" t="s">
        <v>320</v>
      </c>
      <c r="C53" s="321"/>
      <c r="D53" s="321"/>
      <c r="E53" s="321"/>
      <c r="F53" s="444">
        <v>0.13</v>
      </c>
      <c r="G53" s="132"/>
      <c r="H53" s="489">
        <f>H52*F53</f>
        <v>1540.6086348535998</v>
      </c>
      <c r="I53" s="416"/>
      <c r="J53" s="452">
        <v>0.13</v>
      </c>
      <c r="K53" s="416"/>
      <c r="L53" s="399">
        <f>L52*J53</f>
        <v>1558.5154528944001</v>
      </c>
      <c r="M53" s="132"/>
      <c r="N53" s="400">
        <f t="shared" si="65"/>
        <v>17.906818040800317</v>
      </c>
      <c r="O53" s="401">
        <f t="shared" si="66"/>
        <v>1.162321022723721E-2</v>
      </c>
      <c r="P53" s="52"/>
      <c r="Q53" s="452">
        <v>0.13</v>
      </c>
      <c r="R53" s="416"/>
      <c r="S53" s="399">
        <f>S52*Q53</f>
        <v>1530.4648328944002</v>
      </c>
      <c r="T53" s="132"/>
      <c r="U53" s="400">
        <f t="shared" si="67"/>
        <v>-28.050619999999981</v>
      </c>
      <c r="V53" s="401">
        <f t="shared" si="68"/>
        <v>-1.7998294433273481E-2</v>
      </c>
      <c r="W53" s="52"/>
      <c r="X53" s="452">
        <v>0.13</v>
      </c>
      <c r="Y53" s="416"/>
      <c r="Z53" s="399">
        <f>Z52*X53</f>
        <v>1544.9426923944</v>
      </c>
      <c r="AA53" s="132"/>
      <c r="AB53" s="400">
        <f t="shared" si="69"/>
        <v>14.477859499999795</v>
      </c>
      <c r="AC53" s="401">
        <f t="shared" si="70"/>
        <v>9.4597792702099583E-3</v>
      </c>
      <c r="AD53" s="52"/>
      <c r="AE53" s="452">
        <v>0.13</v>
      </c>
      <c r="AF53" s="416"/>
      <c r="AG53" s="399">
        <f>AG52*AE53</f>
        <v>1553.0088218944004</v>
      </c>
      <c r="AH53" s="132"/>
      <c r="AI53" s="400">
        <f t="shared" si="71"/>
        <v>8.0661295000004429</v>
      </c>
      <c r="AJ53" s="401">
        <f t="shared" si="72"/>
        <v>5.2209894513946704E-3</v>
      </c>
      <c r="AK53" s="52"/>
      <c r="AL53" s="452">
        <v>0.13</v>
      </c>
      <c r="AM53" s="416"/>
      <c r="AN53" s="399">
        <f>AN52*AL53</f>
        <v>1560.4003488944002</v>
      </c>
      <c r="AO53" s="132"/>
      <c r="AP53" s="400">
        <f t="shared" si="73"/>
        <v>7.391526999999769</v>
      </c>
      <c r="AQ53" s="401">
        <f t="shared" si="74"/>
        <v>4.7594880954915583E-3</v>
      </c>
      <c r="AR53" s="402"/>
      <c r="AS53" s="3"/>
      <c r="AT53" s="3"/>
      <c r="AU53" s="3"/>
      <c r="AV53" s="3"/>
      <c r="AW53" s="3"/>
      <c r="AX53" s="3"/>
    </row>
    <row r="54" spans="1:50" ht="12" customHeight="1">
      <c r="A54" s="550"/>
      <c r="B54" s="453" t="s">
        <v>385</v>
      </c>
      <c r="C54" s="321"/>
      <c r="D54" s="321"/>
      <c r="E54" s="321"/>
      <c r="F54" s="454"/>
      <c r="G54" s="132"/>
      <c r="H54" s="489">
        <f>H52+H53</f>
        <v>13391.444287573597</v>
      </c>
      <c r="I54" s="416"/>
      <c r="J54" s="416"/>
      <c r="K54" s="416"/>
      <c r="L54" s="399">
        <f>L52+L53</f>
        <v>13547.095859774401</v>
      </c>
      <c r="M54" s="132"/>
      <c r="N54" s="400">
        <f t="shared" si="65"/>
        <v>155.65157220080437</v>
      </c>
      <c r="O54" s="401">
        <f t="shared" si="66"/>
        <v>1.1623210227237332E-2</v>
      </c>
      <c r="P54" s="52"/>
      <c r="Q54" s="416"/>
      <c r="R54" s="416"/>
      <c r="S54" s="399">
        <f>S52+S53</f>
        <v>13303.271239774402</v>
      </c>
      <c r="T54" s="132"/>
      <c r="U54" s="400">
        <f t="shared" si="67"/>
        <v>-243.82461999999941</v>
      </c>
      <c r="V54" s="401">
        <f t="shared" si="68"/>
        <v>-1.799829443327345E-2</v>
      </c>
      <c r="W54" s="52"/>
      <c r="X54" s="416"/>
      <c r="Y54" s="416"/>
      <c r="Z54" s="399">
        <f>Z52+Z53</f>
        <v>13429.117249274399</v>
      </c>
      <c r="AA54" s="132"/>
      <c r="AB54" s="400">
        <f t="shared" si="69"/>
        <v>125.84600949999731</v>
      </c>
      <c r="AC54" s="401">
        <f t="shared" si="70"/>
        <v>9.4597792702098907E-3</v>
      </c>
      <c r="AD54" s="52"/>
      <c r="AE54" s="416"/>
      <c r="AF54" s="416"/>
      <c r="AG54" s="399">
        <f>AG52+AG53</f>
        <v>13499.230528774402</v>
      </c>
      <c r="AH54" s="132"/>
      <c r="AI54" s="400">
        <f t="shared" si="71"/>
        <v>70.113279500003046</v>
      </c>
      <c r="AJ54" s="401">
        <f t="shared" si="72"/>
        <v>5.2209894513946106E-3</v>
      </c>
      <c r="AK54" s="52"/>
      <c r="AL54" s="416"/>
      <c r="AM54" s="416"/>
      <c r="AN54" s="399">
        <f>AN52+AN53</f>
        <v>13563.479955774401</v>
      </c>
      <c r="AO54" s="132"/>
      <c r="AP54" s="400">
        <f t="shared" si="73"/>
        <v>64.249426999998832</v>
      </c>
      <c r="AQ54" s="401">
        <f t="shared" si="74"/>
        <v>4.7594880954916216E-3</v>
      </c>
      <c r="AR54" s="402"/>
      <c r="AS54" s="3"/>
      <c r="AT54" s="3"/>
      <c r="AU54" s="3"/>
      <c r="AV54" s="3"/>
      <c r="AW54" s="3"/>
      <c r="AX54" s="3"/>
    </row>
    <row r="55" spans="1:50" ht="12" customHeight="1">
      <c r="A55" s="550"/>
      <c r="B55" s="632" t="s">
        <v>277</v>
      </c>
      <c r="C55" s="623"/>
      <c r="D55" s="623"/>
      <c r="E55" s="321"/>
      <c r="F55" s="454"/>
      <c r="G55" s="132"/>
      <c r="H55" s="491">
        <f>F55*H52</f>
        <v>0</v>
      </c>
      <c r="I55" s="416"/>
      <c r="J55" s="416"/>
      <c r="K55" s="416"/>
      <c r="L55" s="511">
        <f>J55*L52</f>
        <v>0</v>
      </c>
      <c r="M55" s="132"/>
      <c r="N55" s="456">
        <f t="shared" si="65"/>
        <v>0</v>
      </c>
      <c r="O55" s="458" t="str">
        <f t="shared" si="66"/>
        <v/>
      </c>
      <c r="P55" s="52"/>
      <c r="Q55" s="416"/>
      <c r="R55" s="416"/>
      <c r="S55" s="511">
        <f>Q55*S52</f>
        <v>0</v>
      </c>
      <c r="T55" s="132"/>
      <c r="U55" s="456">
        <f t="shared" si="67"/>
        <v>0</v>
      </c>
      <c r="V55" s="458" t="str">
        <f t="shared" si="68"/>
        <v/>
      </c>
      <c r="W55" s="52"/>
      <c r="X55" s="416"/>
      <c r="Y55" s="416"/>
      <c r="Z55" s="511">
        <f>X55*Z52</f>
        <v>0</v>
      </c>
      <c r="AA55" s="132"/>
      <c r="AB55" s="456">
        <f t="shared" si="69"/>
        <v>0</v>
      </c>
      <c r="AC55" s="458" t="str">
        <f t="shared" si="70"/>
        <v/>
      </c>
      <c r="AD55" s="52"/>
      <c r="AE55" s="416"/>
      <c r="AF55" s="416"/>
      <c r="AG55" s="511">
        <f>AE55*AG52</f>
        <v>0</v>
      </c>
      <c r="AH55" s="132"/>
      <c r="AI55" s="456">
        <f t="shared" si="71"/>
        <v>0</v>
      </c>
      <c r="AJ55" s="458" t="str">
        <f t="shared" si="72"/>
        <v/>
      </c>
      <c r="AK55" s="52"/>
      <c r="AL55" s="416"/>
      <c r="AM55" s="416"/>
      <c r="AN55" s="511">
        <f>AL55*AN52</f>
        <v>0</v>
      </c>
      <c r="AO55" s="132"/>
      <c r="AP55" s="456">
        <f t="shared" si="73"/>
        <v>0</v>
      </c>
      <c r="AQ55" s="458" t="str">
        <f t="shared" si="74"/>
        <v/>
      </c>
      <c r="AR55" s="459"/>
      <c r="AS55" s="3"/>
      <c r="AT55" s="3"/>
      <c r="AU55" s="3"/>
      <c r="AV55" s="3"/>
      <c r="AW55" s="3"/>
      <c r="AX55" s="3"/>
    </row>
    <row r="56" spans="1:50" ht="12" customHeight="1">
      <c r="A56" s="550"/>
      <c r="B56" s="634" t="s">
        <v>322</v>
      </c>
      <c r="C56" s="615"/>
      <c r="D56" s="615"/>
      <c r="E56" s="460"/>
      <c r="F56" s="461"/>
      <c r="G56" s="492"/>
      <c r="H56" s="493">
        <f>H54-H55</f>
        <v>13391.444287573597</v>
      </c>
      <c r="I56" s="462"/>
      <c r="J56" s="462"/>
      <c r="K56" s="462"/>
      <c r="L56" s="463">
        <f>L54-L55</f>
        <v>13547.095859774401</v>
      </c>
      <c r="M56" s="464"/>
      <c r="N56" s="465">
        <f t="shared" si="65"/>
        <v>155.65157220080437</v>
      </c>
      <c r="O56" s="466">
        <f t="shared" si="66"/>
        <v>1.1623210227237332E-2</v>
      </c>
      <c r="P56" s="52"/>
      <c r="Q56" s="462"/>
      <c r="R56" s="462"/>
      <c r="S56" s="463">
        <f>S54-S55</f>
        <v>13303.271239774402</v>
      </c>
      <c r="T56" s="464"/>
      <c r="U56" s="465">
        <f t="shared" si="67"/>
        <v>-243.82461999999941</v>
      </c>
      <c r="V56" s="466">
        <f t="shared" si="68"/>
        <v>-1.799829443327345E-2</v>
      </c>
      <c r="W56" s="52"/>
      <c r="X56" s="462"/>
      <c r="Y56" s="462"/>
      <c r="Z56" s="463">
        <f>Z54-Z55</f>
        <v>13429.117249274399</v>
      </c>
      <c r="AA56" s="464"/>
      <c r="AB56" s="465">
        <f t="shared" si="69"/>
        <v>125.84600949999731</v>
      </c>
      <c r="AC56" s="466">
        <f t="shared" si="70"/>
        <v>9.4597792702098907E-3</v>
      </c>
      <c r="AD56" s="52"/>
      <c r="AE56" s="462"/>
      <c r="AF56" s="462"/>
      <c r="AG56" s="463">
        <f>AG54-AG55</f>
        <v>13499.230528774402</v>
      </c>
      <c r="AH56" s="464"/>
      <c r="AI56" s="465">
        <f t="shared" si="71"/>
        <v>70.113279500003046</v>
      </c>
      <c r="AJ56" s="466">
        <f t="shared" si="72"/>
        <v>5.2209894513946106E-3</v>
      </c>
      <c r="AK56" s="52"/>
      <c r="AL56" s="462"/>
      <c r="AM56" s="462"/>
      <c r="AN56" s="463">
        <f>AN54-AN55</f>
        <v>13563.479955774401</v>
      </c>
      <c r="AO56" s="464"/>
      <c r="AP56" s="465">
        <f t="shared" si="73"/>
        <v>64.249426999998832</v>
      </c>
      <c r="AQ56" s="466">
        <f t="shared" si="74"/>
        <v>4.7594880954916216E-3</v>
      </c>
      <c r="AR56" s="467"/>
      <c r="AS56" s="3"/>
      <c r="AT56" s="3"/>
      <c r="AU56" s="3"/>
      <c r="AV56" s="3"/>
      <c r="AW56" s="3"/>
      <c r="AX56" s="3"/>
    </row>
    <row r="57" spans="1:50" ht="12" customHeight="1">
      <c r="A57" s="550"/>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3"/>
      <c r="AT57" s="3"/>
      <c r="AU57" s="3"/>
      <c r="AV57" s="3"/>
      <c r="AW57" s="3"/>
      <c r="AX57" s="3"/>
    </row>
    <row r="58" spans="1:50" ht="12" customHeight="1">
      <c r="A58" s="551"/>
      <c r="B58" s="513" t="s">
        <v>323</v>
      </c>
      <c r="C58" s="514"/>
      <c r="D58" s="514"/>
      <c r="E58" s="514"/>
      <c r="F58" s="515"/>
      <c r="G58" s="516"/>
      <c r="H58" s="517">
        <f>SUM(H49:H50,H42,H43:H45)</f>
        <v>3586.168694</v>
      </c>
      <c r="I58" s="518"/>
      <c r="J58" s="519"/>
      <c r="K58" s="519"/>
      <c r="L58" s="517">
        <f>SUM(L49:L50,L42,L43:L45)</f>
        <v>3728.7101207999999</v>
      </c>
      <c r="M58" s="520"/>
      <c r="N58" s="521">
        <f t="shared" ref="N58:N62" si="75">L58-H58</f>
        <v>142.54142679999995</v>
      </c>
      <c r="O58" s="522">
        <f t="shared" ref="O58:O62" si="76">IF((H58)=0,"",(N58/H58))</f>
        <v>3.9747552043071836E-2</v>
      </c>
      <c r="P58" s="512"/>
      <c r="Q58" s="519"/>
      <c r="R58" s="519"/>
      <c r="S58" s="517">
        <f>SUM(S49:S50,S42,S43:S45)</f>
        <v>3512.9361207999996</v>
      </c>
      <c r="T58" s="520"/>
      <c r="U58" s="521">
        <f t="shared" ref="U58:U62" si="77">S58-L58</f>
        <v>-215.77400000000034</v>
      </c>
      <c r="V58" s="522">
        <f t="shared" ref="V58:V62" si="78">IF((L58)=0,"",(U58/L58))</f>
        <v>-5.7868268921292744E-2</v>
      </c>
      <c r="W58" s="512"/>
      <c r="X58" s="519"/>
      <c r="Y58" s="519"/>
      <c r="Z58" s="517">
        <f>SUM(Z49:Z50,Z42,Z43:Z45)</f>
        <v>3624.3042707999998</v>
      </c>
      <c r="AA58" s="520"/>
      <c r="AB58" s="521">
        <f t="shared" ref="AB58:AB62" si="79">Z58-S58</f>
        <v>111.36815000000024</v>
      </c>
      <c r="AC58" s="522">
        <f t="shared" ref="AC58:AC62" si="80">IF((S58)=0,"",(AB58/S58))</f>
        <v>3.1702298638620965E-2</v>
      </c>
      <c r="AD58" s="512"/>
      <c r="AE58" s="519"/>
      <c r="AF58" s="519"/>
      <c r="AG58" s="517">
        <f>SUM(AG49:AG50,AG42,AG43:AG45)</f>
        <v>3686.3514208000001</v>
      </c>
      <c r="AH58" s="520"/>
      <c r="AI58" s="521">
        <f t="shared" ref="AI58:AI62" si="81">AG58-Z58</f>
        <v>62.047150000000329</v>
      </c>
      <c r="AJ58" s="522">
        <f t="shared" ref="AJ58:AJ62" si="82">IF((Z58)=0,"",(AI58/Z58))</f>
        <v>1.711974088375989E-2</v>
      </c>
      <c r="AK58" s="512"/>
      <c r="AL58" s="519"/>
      <c r="AM58" s="519"/>
      <c r="AN58" s="517">
        <f>SUM(AN49:AN50,AN42,AN43:AN45)</f>
        <v>3743.2093208000001</v>
      </c>
      <c r="AO58" s="520"/>
      <c r="AP58" s="521">
        <f t="shared" ref="AP58:AP62" si="83">AN58-AG58</f>
        <v>56.857899999999972</v>
      </c>
      <c r="AQ58" s="522">
        <f t="shared" ref="AQ58:AQ62" si="84">IF((AG58)=0,"",(AP58/AG58))</f>
        <v>1.5423895746667813E-2</v>
      </c>
      <c r="AR58" s="523"/>
      <c r="AS58" s="552"/>
      <c r="AT58" s="552"/>
      <c r="AU58" s="552"/>
      <c r="AV58" s="552"/>
      <c r="AW58" s="552"/>
      <c r="AX58" s="552"/>
    </row>
    <row r="59" spans="1:50" ht="12" customHeight="1">
      <c r="A59" s="551"/>
      <c r="B59" s="524" t="s">
        <v>320</v>
      </c>
      <c r="C59" s="514"/>
      <c r="D59" s="514"/>
      <c r="E59" s="514"/>
      <c r="F59" s="515">
        <v>0.13</v>
      </c>
      <c r="G59" s="516"/>
      <c r="H59" s="525">
        <f>H58*F59</f>
        <v>466.20193022000001</v>
      </c>
      <c r="I59" s="526"/>
      <c r="J59" s="515">
        <v>0.13</v>
      </c>
      <c r="K59" s="527"/>
      <c r="L59" s="528">
        <f>L58*J59</f>
        <v>484.73231570400003</v>
      </c>
      <c r="M59" s="529"/>
      <c r="N59" s="530">
        <f t="shared" si="75"/>
        <v>18.530385484000021</v>
      </c>
      <c r="O59" s="531">
        <f t="shared" si="76"/>
        <v>3.9747552043071892E-2</v>
      </c>
      <c r="P59" s="512"/>
      <c r="Q59" s="515">
        <v>0.13</v>
      </c>
      <c r="R59" s="527"/>
      <c r="S59" s="528">
        <f>S58*Q59</f>
        <v>456.68169570399994</v>
      </c>
      <c r="T59" s="529"/>
      <c r="U59" s="530">
        <f t="shared" si="77"/>
        <v>-28.050620000000094</v>
      </c>
      <c r="V59" s="531">
        <f t="shared" si="78"/>
        <v>-5.7868268921292841E-2</v>
      </c>
      <c r="W59" s="512"/>
      <c r="X59" s="515">
        <v>0.13</v>
      </c>
      <c r="Y59" s="527"/>
      <c r="Z59" s="528">
        <f>Z58*X59</f>
        <v>471.15955520400001</v>
      </c>
      <c r="AA59" s="529"/>
      <c r="AB59" s="530">
        <f t="shared" si="79"/>
        <v>14.477859500000079</v>
      </c>
      <c r="AC59" s="531">
        <f t="shared" si="80"/>
        <v>3.170229863862107E-2</v>
      </c>
      <c r="AD59" s="512"/>
      <c r="AE59" s="515">
        <v>0.13</v>
      </c>
      <c r="AF59" s="527"/>
      <c r="AG59" s="528">
        <f>AG58*AE59</f>
        <v>479.22568470400006</v>
      </c>
      <c r="AH59" s="529"/>
      <c r="AI59" s="530">
        <f t="shared" si="81"/>
        <v>8.066129500000045</v>
      </c>
      <c r="AJ59" s="531">
        <f t="shared" si="82"/>
        <v>1.7119740883759893E-2</v>
      </c>
      <c r="AK59" s="512"/>
      <c r="AL59" s="515">
        <v>0.13</v>
      </c>
      <c r="AM59" s="527"/>
      <c r="AN59" s="528">
        <f>AN58*AL59</f>
        <v>486.61721170400006</v>
      </c>
      <c r="AO59" s="529"/>
      <c r="AP59" s="530">
        <f t="shared" si="83"/>
        <v>7.3915269999999964</v>
      </c>
      <c r="AQ59" s="531">
        <f t="shared" si="84"/>
        <v>1.5423895746667813E-2</v>
      </c>
      <c r="AR59" s="532"/>
      <c r="AS59" s="552"/>
      <c r="AT59" s="552"/>
      <c r="AU59" s="552"/>
      <c r="AV59" s="552"/>
      <c r="AW59" s="552"/>
      <c r="AX59" s="552"/>
    </row>
    <row r="60" spans="1:50" ht="12" customHeight="1">
      <c r="A60" s="551"/>
      <c r="B60" s="533" t="s">
        <v>386</v>
      </c>
      <c r="C60" s="514"/>
      <c r="D60" s="514"/>
      <c r="E60" s="514"/>
      <c r="F60" s="534"/>
      <c r="G60" s="529"/>
      <c r="H60" s="525">
        <f>H58+H59</f>
        <v>4052.3706242200001</v>
      </c>
      <c r="I60" s="526"/>
      <c r="J60" s="526"/>
      <c r="K60" s="526"/>
      <c r="L60" s="528">
        <f>L58+L59</f>
        <v>4213.4424365039995</v>
      </c>
      <c r="M60" s="529"/>
      <c r="N60" s="530">
        <f t="shared" si="75"/>
        <v>161.07181228399941</v>
      </c>
      <c r="O60" s="531">
        <f t="shared" si="76"/>
        <v>3.9747552043071697E-2</v>
      </c>
      <c r="P60" s="512"/>
      <c r="Q60" s="526"/>
      <c r="R60" s="526"/>
      <c r="S60" s="528">
        <f>S58+S59</f>
        <v>3969.6178165039996</v>
      </c>
      <c r="T60" s="529"/>
      <c r="U60" s="530">
        <f t="shared" si="77"/>
        <v>-243.82461999999987</v>
      </c>
      <c r="V60" s="531">
        <f t="shared" si="78"/>
        <v>-5.7868268921292626E-2</v>
      </c>
      <c r="W60" s="512"/>
      <c r="X60" s="526"/>
      <c r="Y60" s="526"/>
      <c r="Z60" s="528">
        <f>Z58+Z59</f>
        <v>4095.4638260039997</v>
      </c>
      <c r="AA60" s="529"/>
      <c r="AB60" s="530">
        <f t="shared" si="79"/>
        <v>125.84600950000004</v>
      </c>
      <c r="AC60" s="531">
        <f t="shared" si="80"/>
        <v>3.1702298638620903E-2</v>
      </c>
      <c r="AD60" s="512"/>
      <c r="AE60" s="526"/>
      <c r="AF60" s="526"/>
      <c r="AG60" s="528">
        <f>AG58+AG59</f>
        <v>4165.5771055040004</v>
      </c>
      <c r="AH60" s="529"/>
      <c r="AI60" s="530">
        <f t="shared" si="81"/>
        <v>70.113279500000772</v>
      </c>
      <c r="AJ60" s="531">
        <f t="shared" si="82"/>
        <v>1.7119740883759987E-2</v>
      </c>
      <c r="AK60" s="512"/>
      <c r="AL60" s="526"/>
      <c r="AM60" s="526"/>
      <c r="AN60" s="528">
        <f>AN58+AN59</f>
        <v>4229.8265325040002</v>
      </c>
      <c r="AO60" s="529"/>
      <c r="AP60" s="530">
        <f t="shared" si="83"/>
        <v>64.249426999999741</v>
      </c>
      <c r="AQ60" s="531">
        <f t="shared" si="84"/>
        <v>1.5423895746667757E-2</v>
      </c>
      <c r="AR60" s="532"/>
      <c r="AS60" s="552"/>
      <c r="AT60" s="552"/>
      <c r="AU60" s="552"/>
      <c r="AV60" s="552"/>
      <c r="AW60" s="552"/>
      <c r="AX60" s="552"/>
    </row>
    <row r="61" spans="1:50" ht="12" customHeight="1">
      <c r="A61" s="551"/>
      <c r="B61" s="644" t="s">
        <v>277</v>
      </c>
      <c r="C61" s="623"/>
      <c r="D61" s="623"/>
      <c r="E61" s="514"/>
      <c r="F61" s="534"/>
      <c r="G61" s="529"/>
      <c r="H61" s="535">
        <f>F61*H58</f>
        <v>0</v>
      </c>
      <c r="I61" s="526"/>
      <c r="J61" s="526"/>
      <c r="K61" s="526"/>
      <c r="L61" s="536">
        <f>J61*L58</f>
        <v>0</v>
      </c>
      <c r="M61" s="529"/>
      <c r="N61" s="537">
        <f t="shared" si="75"/>
        <v>0</v>
      </c>
      <c r="O61" s="538" t="str">
        <f t="shared" si="76"/>
        <v/>
      </c>
      <c r="P61" s="512"/>
      <c r="Q61" s="526"/>
      <c r="R61" s="526"/>
      <c r="S61" s="536">
        <f>Q61*S58</f>
        <v>0</v>
      </c>
      <c r="T61" s="529"/>
      <c r="U61" s="537">
        <f t="shared" si="77"/>
        <v>0</v>
      </c>
      <c r="V61" s="538" t="str">
        <f t="shared" si="78"/>
        <v/>
      </c>
      <c r="W61" s="512"/>
      <c r="X61" s="526"/>
      <c r="Y61" s="526"/>
      <c r="Z61" s="536">
        <f>X61*Z58</f>
        <v>0</v>
      </c>
      <c r="AA61" s="529"/>
      <c r="AB61" s="537">
        <f t="shared" si="79"/>
        <v>0</v>
      </c>
      <c r="AC61" s="538" t="str">
        <f t="shared" si="80"/>
        <v/>
      </c>
      <c r="AD61" s="512"/>
      <c r="AE61" s="526"/>
      <c r="AF61" s="526"/>
      <c r="AG61" s="536">
        <f>AE61*AG58</f>
        <v>0</v>
      </c>
      <c r="AH61" s="529"/>
      <c r="AI61" s="537">
        <f t="shared" si="81"/>
        <v>0</v>
      </c>
      <c r="AJ61" s="538" t="str">
        <f t="shared" si="82"/>
        <v/>
      </c>
      <c r="AK61" s="512"/>
      <c r="AL61" s="526"/>
      <c r="AM61" s="526"/>
      <c r="AN61" s="536">
        <f>AL61*AN58</f>
        <v>0</v>
      </c>
      <c r="AO61" s="529"/>
      <c r="AP61" s="537">
        <f t="shared" si="83"/>
        <v>0</v>
      </c>
      <c r="AQ61" s="538" t="str">
        <f t="shared" si="84"/>
        <v/>
      </c>
      <c r="AR61" s="539"/>
      <c r="AS61" s="552"/>
      <c r="AT61" s="552"/>
      <c r="AU61" s="552"/>
      <c r="AV61" s="552"/>
      <c r="AW61" s="552"/>
      <c r="AX61" s="552"/>
    </row>
    <row r="62" spans="1:50" ht="12" customHeight="1">
      <c r="A62" s="551"/>
      <c r="B62" s="643" t="s">
        <v>325</v>
      </c>
      <c r="C62" s="615"/>
      <c r="D62" s="615"/>
      <c r="E62" s="540"/>
      <c r="F62" s="541"/>
      <c r="G62" s="542"/>
      <c r="H62" s="543">
        <f>H60-H61</f>
        <v>4052.3706242200001</v>
      </c>
      <c r="I62" s="544"/>
      <c r="J62" s="544"/>
      <c r="K62" s="544"/>
      <c r="L62" s="545">
        <f>L60-L61</f>
        <v>4213.4424365039995</v>
      </c>
      <c r="M62" s="546"/>
      <c r="N62" s="547">
        <f t="shared" si="75"/>
        <v>161.07181228399941</v>
      </c>
      <c r="O62" s="548">
        <f t="shared" si="76"/>
        <v>3.9747552043071697E-2</v>
      </c>
      <c r="P62" s="512"/>
      <c r="Q62" s="544"/>
      <c r="R62" s="544"/>
      <c r="S62" s="545">
        <f>S60-S61</f>
        <v>3969.6178165039996</v>
      </c>
      <c r="T62" s="546"/>
      <c r="U62" s="547">
        <f t="shared" si="77"/>
        <v>-243.82461999999987</v>
      </c>
      <c r="V62" s="548">
        <f t="shared" si="78"/>
        <v>-5.7868268921292626E-2</v>
      </c>
      <c r="W62" s="512"/>
      <c r="X62" s="544"/>
      <c r="Y62" s="544"/>
      <c r="Z62" s="545">
        <f>Z60-Z61</f>
        <v>4095.4638260039997</v>
      </c>
      <c r="AA62" s="546"/>
      <c r="AB62" s="547">
        <f t="shared" si="79"/>
        <v>125.84600950000004</v>
      </c>
      <c r="AC62" s="548">
        <f t="shared" si="80"/>
        <v>3.1702298638620903E-2</v>
      </c>
      <c r="AD62" s="512"/>
      <c r="AE62" s="544"/>
      <c r="AF62" s="544"/>
      <c r="AG62" s="545">
        <f>AG60-AG61</f>
        <v>4165.5771055040004</v>
      </c>
      <c r="AH62" s="546"/>
      <c r="AI62" s="547">
        <f t="shared" si="81"/>
        <v>70.113279500000772</v>
      </c>
      <c r="AJ62" s="548">
        <f t="shared" si="82"/>
        <v>1.7119740883759987E-2</v>
      </c>
      <c r="AK62" s="512"/>
      <c r="AL62" s="544"/>
      <c r="AM62" s="544"/>
      <c r="AN62" s="545">
        <f>AN60-AN61</f>
        <v>4229.8265325040002</v>
      </c>
      <c r="AO62" s="546"/>
      <c r="AP62" s="547">
        <f t="shared" si="83"/>
        <v>64.249426999999741</v>
      </c>
      <c r="AQ62" s="548">
        <f t="shared" si="84"/>
        <v>1.5423895746667757E-2</v>
      </c>
      <c r="AR62" s="549"/>
      <c r="AS62" s="552"/>
      <c r="AT62" s="552"/>
      <c r="AU62" s="552"/>
      <c r="AV62" s="552"/>
      <c r="AW62" s="552"/>
      <c r="AX62" s="552"/>
    </row>
    <row r="63" spans="1:50" ht="12" customHeight="1">
      <c r="A63" s="550"/>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3"/>
      <c r="AT63" s="3"/>
      <c r="AU63" s="3"/>
      <c r="AV63" s="3"/>
      <c r="AW63" s="3"/>
      <c r="AX63" s="3"/>
    </row>
    <row r="64" spans="1:50" ht="12" customHeight="1">
      <c r="A64" s="550"/>
      <c r="B64" s="52"/>
      <c r="C64" s="52"/>
      <c r="D64" s="52"/>
      <c r="E64" s="52"/>
      <c r="F64" s="52"/>
      <c r="G64" s="52"/>
      <c r="H64" s="52">
        <v>17559.439999999999</v>
      </c>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3"/>
      <c r="AT64" s="3"/>
      <c r="AU64" s="3"/>
      <c r="AV64" s="3"/>
      <c r="AW64" s="3"/>
      <c r="AX64" s="3"/>
    </row>
    <row r="65" spans="1:50" ht="12" customHeight="1">
      <c r="A65" s="550"/>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3"/>
      <c r="AT65" s="3"/>
      <c r="AU65" s="3"/>
      <c r="AV65" s="3"/>
      <c r="AW65" s="3"/>
      <c r="AX65" s="3"/>
    </row>
    <row r="66" spans="1:50"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c r="AV66" s="3"/>
      <c r="AW66" s="3"/>
      <c r="AX66" s="3"/>
    </row>
    <row r="67" spans="1:50" ht="12" customHeight="1">
      <c r="A67" s="478" t="s">
        <v>387</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c r="AV67" s="3"/>
      <c r="AW67" s="3"/>
      <c r="AX67" s="3"/>
    </row>
    <row r="68" spans="1:50"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c r="AV68" s="3"/>
      <c r="AW68" s="3"/>
      <c r="AX68" s="3"/>
    </row>
    <row r="69" spans="1:50" ht="12" customHeight="1">
      <c r="A69" s="52" t="s">
        <v>328</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c r="AV69" s="3"/>
      <c r="AW69" s="3"/>
      <c r="AX69" s="3"/>
    </row>
    <row r="70" spans="1:50" ht="12" customHeight="1">
      <c r="A70" s="52" t="s">
        <v>329</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c r="AV70" s="3"/>
      <c r="AW70" s="3"/>
      <c r="AX70" s="3"/>
    </row>
    <row r="71" spans="1:50"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c r="AV71" s="3"/>
      <c r="AW71" s="3"/>
      <c r="AX71" s="3"/>
    </row>
    <row r="72" spans="1:50" ht="12" customHeight="1">
      <c r="A72" s="52" t="s">
        <v>330</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c r="AV72" s="3"/>
      <c r="AW72" s="3"/>
      <c r="AX72" s="3"/>
    </row>
    <row r="73" spans="1:50" ht="12" customHeight="1">
      <c r="A73" s="52" t="s">
        <v>331</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c r="AV73" s="3"/>
      <c r="AW73" s="3"/>
      <c r="AX73" s="3"/>
    </row>
    <row r="74" spans="1:50"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c r="AV74" s="3"/>
      <c r="AW74" s="3"/>
      <c r="AX74" s="3"/>
    </row>
    <row r="75" spans="1:50" ht="12" customHeight="1">
      <c r="A75" s="52" t="s">
        <v>332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c r="AV75" s="3"/>
      <c r="AW75" s="3"/>
      <c r="AX75" s="3"/>
    </row>
    <row r="76" spans="1:50" ht="12" customHeight="1">
      <c r="A76" s="52" t="s">
        <v>333</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c r="AV76" s="3"/>
      <c r="AW76" s="3"/>
      <c r="AX76" s="3"/>
    </row>
    <row r="77" spans="1:50" ht="12" customHeight="1">
      <c r="A77" s="52" t="s">
        <v>334</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c r="AV77" s="3"/>
      <c r="AW77" s="3"/>
      <c r="AX77" s="3"/>
    </row>
    <row r="78" spans="1:50" ht="12" customHeight="1">
      <c r="A78" s="52" t="s">
        <v>335</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c r="AV78" s="3"/>
      <c r="AW78" s="3"/>
      <c r="AX78" s="3"/>
    </row>
    <row r="79" spans="1:50" ht="12" customHeight="1">
      <c r="A79" s="52" t="s">
        <v>336</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c r="AV79" s="3"/>
      <c r="AW79" s="3"/>
      <c r="AX79" s="3"/>
    </row>
    <row r="80" spans="1:50"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c r="AV80" s="3"/>
      <c r="AW80" s="3"/>
      <c r="AX80" s="3"/>
    </row>
    <row r="81" spans="1:50"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c r="AV81" s="3"/>
      <c r="AW81" s="3"/>
      <c r="AX81" s="3"/>
    </row>
    <row r="82" spans="1:50"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c r="AV82" s="3"/>
      <c r="AW82" s="3"/>
      <c r="AX82" s="3"/>
    </row>
    <row r="83" spans="1:50"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c r="AV83" s="3"/>
      <c r="AW83" s="3"/>
      <c r="AX83" s="3"/>
    </row>
    <row r="84" spans="1:50"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c r="AV84" s="3"/>
      <c r="AW84" s="3"/>
      <c r="AX84" s="3"/>
    </row>
    <row r="85" spans="1:50"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c r="AV85" s="3"/>
      <c r="AW85" s="3"/>
      <c r="AX85" s="3"/>
    </row>
    <row r="86" spans="1:50"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c r="AV86" s="3"/>
      <c r="AW86" s="3"/>
      <c r="AX86" s="3"/>
    </row>
    <row r="87" spans="1:50"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c r="AV87" s="3"/>
      <c r="AW87" s="3"/>
      <c r="AX87" s="3"/>
    </row>
    <row r="88" spans="1:50"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c r="AV88" s="3"/>
      <c r="AW88" s="3"/>
      <c r="AX88" s="3"/>
    </row>
    <row r="89" spans="1:50"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c r="AV89" s="3"/>
      <c r="AW89" s="3"/>
      <c r="AX89" s="3"/>
    </row>
    <row r="90" spans="1:50"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c r="AV90" s="3"/>
      <c r="AW90" s="3"/>
      <c r="AX90" s="3"/>
    </row>
    <row r="91" spans="1:50"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c r="AV91" s="3"/>
      <c r="AW91" s="3"/>
      <c r="AX91" s="3"/>
    </row>
    <row r="92" spans="1:50"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c r="AV92" s="3"/>
      <c r="AW92" s="3"/>
      <c r="AX92" s="3"/>
    </row>
    <row r="93" spans="1:50"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c r="AV93" s="3"/>
      <c r="AW93" s="3"/>
      <c r="AX93" s="3"/>
    </row>
    <row r="94" spans="1:50"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c r="AV94" s="3"/>
      <c r="AW94" s="3"/>
      <c r="AX94" s="3"/>
    </row>
    <row r="95" spans="1:50"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c r="AV95" s="3"/>
      <c r="AW95" s="3"/>
      <c r="AX95" s="3"/>
    </row>
    <row r="96" spans="1:50"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c r="AV96" s="3"/>
      <c r="AW96" s="3"/>
      <c r="AX96" s="3"/>
    </row>
    <row r="97" spans="1:50"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c r="AV97" s="3"/>
      <c r="AW97" s="3"/>
      <c r="AX97" s="3"/>
    </row>
    <row r="98" spans="1:50"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c r="AV98" s="3"/>
      <c r="AW98" s="3"/>
      <c r="AX98" s="3"/>
    </row>
    <row r="99" spans="1:50"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c r="AV99" s="3"/>
      <c r="AW99" s="3"/>
      <c r="AX99" s="3"/>
    </row>
    <row r="100" spans="1:50"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c r="AV100" s="3"/>
      <c r="AW100" s="3"/>
      <c r="AX100" s="3"/>
    </row>
    <row r="101" spans="1:50"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c r="AV101" s="3"/>
      <c r="AW101" s="3"/>
      <c r="AX101" s="3"/>
    </row>
    <row r="102" spans="1:50"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c r="AV102" s="3"/>
      <c r="AW102" s="3"/>
      <c r="AX102" s="3"/>
    </row>
    <row r="103" spans="1:50"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c r="AV103" s="3"/>
      <c r="AW103" s="3"/>
      <c r="AX103" s="3"/>
    </row>
    <row r="104" spans="1:50"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c r="AV104" s="3"/>
      <c r="AW104" s="3"/>
      <c r="AX104" s="3"/>
    </row>
    <row r="105" spans="1:50"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c r="AV105" s="3"/>
      <c r="AW105" s="3"/>
      <c r="AX105" s="3"/>
    </row>
    <row r="106" spans="1:50"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c r="AV106" s="3"/>
      <c r="AW106" s="3"/>
      <c r="AX106" s="3"/>
    </row>
    <row r="107" spans="1:50"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c r="AV107" s="3"/>
      <c r="AW107" s="3"/>
      <c r="AX107" s="3"/>
    </row>
    <row r="108" spans="1:50"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c r="AV108" s="3"/>
      <c r="AW108" s="3"/>
      <c r="AX108" s="3"/>
    </row>
    <row r="109" spans="1:50"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c r="AV109" s="3"/>
      <c r="AW109" s="3"/>
      <c r="AX109" s="3"/>
    </row>
    <row r="110" spans="1:50"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c r="AV110" s="3"/>
      <c r="AW110" s="3"/>
      <c r="AX110" s="3"/>
    </row>
    <row r="111" spans="1:50"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c r="AV111" s="3"/>
      <c r="AW111" s="3"/>
      <c r="AX111" s="3"/>
    </row>
    <row r="112" spans="1:50"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c r="AV112" s="3"/>
      <c r="AW112" s="3"/>
      <c r="AX112" s="3"/>
    </row>
    <row r="113" spans="1:50"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c r="AV113" s="3"/>
      <c r="AW113" s="3"/>
      <c r="AX113" s="3"/>
    </row>
    <row r="114" spans="1:50"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c r="AV114" s="3"/>
      <c r="AW114" s="3"/>
      <c r="AX114" s="3"/>
    </row>
    <row r="115" spans="1:50"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c r="AV115" s="3"/>
      <c r="AW115" s="3"/>
      <c r="AX115" s="3"/>
    </row>
    <row r="116" spans="1:50"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c r="AV116" s="3"/>
      <c r="AW116" s="3"/>
      <c r="AX116" s="3"/>
    </row>
    <row r="117" spans="1:50"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c r="AV117" s="3"/>
      <c r="AW117" s="3"/>
      <c r="AX117" s="3"/>
    </row>
    <row r="118" spans="1:50"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c r="AV118" s="3"/>
      <c r="AW118" s="3"/>
      <c r="AX118" s="3"/>
    </row>
    <row r="119" spans="1:50"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c r="AV119" s="3"/>
      <c r="AW119" s="3"/>
      <c r="AX119" s="3"/>
    </row>
    <row r="120" spans="1:50"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c r="AV120" s="3"/>
      <c r="AW120" s="3"/>
      <c r="AX120" s="3"/>
    </row>
    <row r="121" spans="1:50"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c r="AV121" s="3"/>
      <c r="AW121" s="3"/>
      <c r="AX121" s="3"/>
    </row>
    <row r="122" spans="1:50"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c r="AV122" s="3"/>
      <c r="AW122" s="3"/>
      <c r="AX122" s="3"/>
    </row>
    <row r="123" spans="1:50"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c r="AV123" s="3"/>
      <c r="AW123" s="3"/>
      <c r="AX123" s="3"/>
    </row>
    <row r="124" spans="1:50"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c r="AV124" s="3"/>
      <c r="AW124" s="3"/>
      <c r="AX124" s="3"/>
    </row>
    <row r="125" spans="1:50"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c r="AV125" s="3"/>
      <c r="AW125" s="3"/>
      <c r="AX125" s="3"/>
    </row>
    <row r="126" spans="1:50"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c r="AV126" s="3"/>
      <c r="AW126" s="3"/>
      <c r="AX126" s="3"/>
    </row>
    <row r="127" spans="1:50"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c r="AV127" s="3"/>
      <c r="AW127" s="3"/>
      <c r="AX127" s="3"/>
    </row>
    <row r="128" spans="1:50"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c r="AV128" s="3"/>
      <c r="AW128" s="3"/>
      <c r="AX128" s="3"/>
    </row>
    <row r="129" spans="1:50"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c r="AV129" s="3"/>
      <c r="AW129" s="3"/>
      <c r="AX129" s="3"/>
    </row>
    <row r="130" spans="1:50"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c r="AV130" s="3"/>
      <c r="AW130" s="3"/>
      <c r="AX130" s="3"/>
    </row>
    <row r="131" spans="1:50"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c r="AV131" s="3"/>
      <c r="AW131" s="3"/>
      <c r="AX131" s="3"/>
    </row>
    <row r="132" spans="1:50"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c r="AV132" s="3"/>
      <c r="AW132" s="3"/>
      <c r="AX132" s="3"/>
    </row>
    <row r="133" spans="1:50"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c r="AV133" s="3"/>
      <c r="AW133" s="3"/>
      <c r="AX133" s="3"/>
    </row>
    <row r="134" spans="1:50"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c r="AV134" s="3"/>
      <c r="AW134" s="3"/>
      <c r="AX134" s="3"/>
    </row>
    <row r="135" spans="1:50"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c r="AV135" s="3"/>
      <c r="AW135" s="3"/>
      <c r="AX135" s="3"/>
    </row>
    <row r="136" spans="1:50"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c r="AV136" s="3"/>
      <c r="AW136" s="3"/>
      <c r="AX136" s="3"/>
    </row>
    <row r="137" spans="1:50"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c r="AV137" s="3"/>
      <c r="AW137" s="3"/>
      <c r="AX137" s="3"/>
    </row>
    <row r="138" spans="1:50"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c r="AV138" s="3"/>
      <c r="AW138" s="3"/>
      <c r="AX138" s="3"/>
    </row>
    <row r="139" spans="1:50"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c r="AV139" s="3"/>
      <c r="AW139" s="3"/>
      <c r="AX139" s="3"/>
    </row>
    <row r="140" spans="1:50"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c r="AV140" s="3"/>
      <c r="AW140" s="3"/>
      <c r="AX140" s="3"/>
    </row>
    <row r="141" spans="1:50"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c r="AV141" s="3"/>
      <c r="AW141" s="3"/>
      <c r="AX141" s="3"/>
    </row>
    <row r="142" spans="1:50"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c r="AV142" s="3"/>
      <c r="AW142" s="3"/>
      <c r="AX142" s="3"/>
    </row>
    <row r="143" spans="1:50"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c r="AV143" s="3"/>
      <c r="AW143" s="3"/>
      <c r="AX143" s="3"/>
    </row>
    <row r="144" spans="1:50"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c r="AV144" s="3"/>
      <c r="AW144" s="3"/>
      <c r="AX144" s="3"/>
    </row>
    <row r="145" spans="1:50"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c r="AV145" s="3"/>
      <c r="AW145" s="3"/>
      <c r="AX145" s="3"/>
    </row>
    <row r="146" spans="1:50"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c r="AV146" s="3"/>
      <c r="AW146" s="3"/>
      <c r="AX146" s="3"/>
    </row>
    <row r="147" spans="1:50"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c r="AV147" s="3"/>
      <c r="AW147" s="3"/>
      <c r="AX147" s="3"/>
    </row>
    <row r="148" spans="1:50"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c r="AV148" s="3"/>
      <c r="AW148" s="3"/>
      <c r="AX148" s="3"/>
    </row>
    <row r="149" spans="1:50"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c r="AV149" s="3"/>
      <c r="AW149" s="3"/>
      <c r="AX149" s="3"/>
    </row>
    <row r="150" spans="1:50"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c r="AV150" s="3"/>
      <c r="AW150" s="3"/>
      <c r="AX150" s="3"/>
    </row>
    <row r="151" spans="1:50"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c r="AV151" s="3"/>
      <c r="AW151" s="3"/>
      <c r="AX151" s="3"/>
    </row>
    <row r="152" spans="1:50"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c r="AV152" s="3"/>
      <c r="AW152" s="3"/>
      <c r="AX152" s="3"/>
    </row>
    <row r="153" spans="1:50"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c r="AV153" s="3"/>
      <c r="AW153" s="3"/>
      <c r="AX153" s="3"/>
    </row>
    <row r="154" spans="1:50"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c r="AV154" s="3"/>
      <c r="AW154" s="3"/>
      <c r="AX154" s="3"/>
    </row>
    <row r="155" spans="1:50"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c r="AV155" s="3"/>
      <c r="AW155" s="3"/>
      <c r="AX155" s="3"/>
    </row>
    <row r="156" spans="1:50"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c r="AV156" s="3"/>
      <c r="AW156" s="3"/>
      <c r="AX156" s="3"/>
    </row>
    <row r="157" spans="1:50"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c r="AV157" s="3"/>
      <c r="AW157" s="3"/>
      <c r="AX157" s="3"/>
    </row>
    <row r="158" spans="1:50"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c r="AV158" s="3"/>
      <c r="AW158" s="3"/>
      <c r="AX158" s="3"/>
    </row>
    <row r="159" spans="1:50"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c r="AV159" s="3"/>
      <c r="AW159" s="3"/>
      <c r="AX159" s="3"/>
    </row>
    <row r="160" spans="1:50"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c r="AV160" s="3"/>
      <c r="AW160" s="3"/>
      <c r="AX160" s="3"/>
    </row>
    <row r="161" spans="1:50"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c r="AV161" s="3"/>
      <c r="AW161" s="3"/>
      <c r="AX161" s="3"/>
    </row>
    <row r="162" spans="1:50"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c r="AV162" s="3"/>
      <c r="AW162" s="3"/>
      <c r="AX162" s="3"/>
    </row>
    <row r="163" spans="1:50"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c r="AV163" s="3"/>
      <c r="AW163" s="3"/>
      <c r="AX163" s="3"/>
    </row>
    <row r="164" spans="1:50"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c r="AV164" s="3"/>
      <c r="AW164" s="3"/>
      <c r="AX164" s="3"/>
    </row>
    <row r="165" spans="1:50"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c r="AV165" s="3"/>
      <c r="AW165" s="3"/>
      <c r="AX165" s="3"/>
    </row>
    <row r="166" spans="1:50"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c r="AV166" s="3"/>
      <c r="AW166" s="3"/>
      <c r="AX166" s="3"/>
    </row>
    <row r="167" spans="1:50"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c r="AV167" s="3"/>
      <c r="AW167" s="3"/>
      <c r="AX167" s="3"/>
    </row>
    <row r="168" spans="1:50"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c r="AV168" s="3"/>
      <c r="AW168" s="3"/>
      <c r="AX168" s="3"/>
    </row>
    <row r="169" spans="1:50"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c r="AV169" s="3"/>
      <c r="AW169" s="3"/>
      <c r="AX169" s="3"/>
    </row>
    <row r="170" spans="1:50"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c r="AV170" s="3"/>
      <c r="AW170" s="3"/>
      <c r="AX170" s="3"/>
    </row>
    <row r="171" spans="1:50"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c r="AV171" s="3"/>
      <c r="AW171" s="3"/>
      <c r="AX171" s="3"/>
    </row>
    <row r="172" spans="1:50"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c r="AV172" s="3"/>
      <c r="AW172" s="3"/>
      <c r="AX172" s="3"/>
    </row>
    <row r="173" spans="1:50"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c r="AV173" s="3"/>
      <c r="AW173" s="3"/>
      <c r="AX173" s="3"/>
    </row>
    <row r="174" spans="1:50"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c r="AV174" s="3"/>
      <c r="AW174" s="3"/>
      <c r="AX174" s="3"/>
    </row>
    <row r="175" spans="1:50"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c r="AV175" s="3"/>
      <c r="AW175" s="3"/>
      <c r="AX175" s="3"/>
    </row>
    <row r="176" spans="1:50"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c r="AV176" s="3"/>
      <c r="AW176" s="3"/>
      <c r="AX176" s="3"/>
    </row>
    <row r="177" spans="1:50"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c r="AV177" s="3"/>
      <c r="AW177" s="3"/>
      <c r="AX177" s="3"/>
    </row>
    <row r="178" spans="1:50"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c r="AV178" s="3"/>
      <c r="AW178" s="3"/>
      <c r="AX178" s="3"/>
    </row>
    <row r="179" spans="1:50"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c r="AV179" s="3"/>
      <c r="AW179" s="3"/>
      <c r="AX179" s="3"/>
    </row>
    <row r="180" spans="1:50"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c r="AV180" s="3"/>
      <c r="AW180" s="3"/>
      <c r="AX180" s="3"/>
    </row>
    <row r="181" spans="1:50"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c r="AV181" s="3"/>
      <c r="AW181" s="3"/>
      <c r="AX181" s="3"/>
    </row>
    <row r="182" spans="1:50"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c r="AV182" s="3"/>
      <c r="AW182" s="3"/>
      <c r="AX182" s="3"/>
    </row>
    <row r="183" spans="1:50"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c r="AV183" s="3"/>
      <c r="AW183" s="3"/>
      <c r="AX183" s="3"/>
    </row>
    <row r="184" spans="1:50"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c r="AV184" s="3"/>
      <c r="AW184" s="3"/>
      <c r="AX184" s="3"/>
    </row>
    <row r="185" spans="1:50"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c r="AV185" s="3"/>
      <c r="AW185" s="3"/>
      <c r="AX185" s="3"/>
    </row>
    <row r="186" spans="1:50"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c r="AV186" s="3"/>
      <c r="AW186" s="3"/>
      <c r="AX186" s="3"/>
    </row>
    <row r="187" spans="1:50"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c r="AV187" s="3"/>
      <c r="AW187" s="3"/>
      <c r="AX187" s="3"/>
    </row>
    <row r="188" spans="1:50"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c r="AV188" s="3"/>
      <c r="AW188" s="3"/>
      <c r="AX188" s="3"/>
    </row>
    <row r="189" spans="1:50"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c r="AV189" s="3"/>
      <c r="AW189" s="3"/>
      <c r="AX189" s="3"/>
    </row>
    <row r="190" spans="1:50"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c r="AV190" s="3"/>
      <c r="AW190" s="3"/>
      <c r="AX190" s="3"/>
    </row>
    <row r="191" spans="1:50"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c r="AV191" s="3"/>
      <c r="AW191" s="3"/>
      <c r="AX191" s="3"/>
    </row>
    <row r="192" spans="1:50"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c r="AV192" s="3"/>
      <c r="AW192" s="3"/>
      <c r="AX192" s="3"/>
    </row>
    <row r="193" spans="1:50"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c r="AV193" s="3"/>
      <c r="AW193" s="3"/>
      <c r="AX193" s="3"/>
    </row>
    <row r="194" spans="1:50"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c r="AV194" s="3"/>
      <c r="AW194" s="3"/>
      <c r="AX194" s="3"/>
    </row>
    <row r="195" spans="1:50"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c r="AV195" s="3"/>
      <c r="AW195" s="3"/>
      <c r="AX195" s="3"/>
    </row>
    <row r="196" spans="1:50"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c r="AV196" s="3"/>
      <c r="AW196" s="3"/>
      <c r="AX196" s="3"/>
    </row>
    <row r="197" spans="1:50"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c r="AV197" s="3"/>
      <c r="AW197" s="3"/>
      <c r="AX197" s="3"/>
    </row>
    <row r="198" spans="1:50"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c r="AV198" s="3"/>
      <c r="AW198" s="3"/>
      <c r="AX198" s="3"/>
    </row>
    <row r="199" spans="1:50"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c r="AV199" s="3"/>
      <c r="AW199" s="3"/>
      <c r="AX199" s="3"/>
    </row>
    <row r="200" spans="1:50"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c r="AV200" s="3"/>
      <c r="AW200" s="3"/>
      <c r="AX200" s="3"/>
    </row>
    <row r="201" spans="1:50"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c r="AV201" s="3"/>
      <c r="AW201" s="3"/>
      <c r="AX201" s="3"/>
    </row>
    <row r="202" spans="1:50"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c r="AV202" s="3"/>
      <c r="AW202" s="3"/>
      <c r="AX202" s="3"/>
    </row>
    <row r="203" spans="1:50"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c r="AV203" s="3"/>
      <c r="AW203" s="3"/>
      <c r="AX203" s="3"/>
    </row>
    <row r="204" spans="1:50"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c r="AV204" s="3"/>
      <c r="AW204" s="3"/>
      <c r="AX204" s="3"/>
    </row>
    <row r="205" spans="1:50"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c r="AV205" s="3"/>
      <c r="AW205" s="3"/>
      <c r="AX205" s="3"/>
    </row>
    <row r="206" spans="1:50"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c r="AV206" s="3"/>
      <c r="AW206" s="3"/>
      <c r="AX206" s="3"/>
    </row>
    <row r="207" spans="1:50"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c r="AV207" s="3"/>
      <c r="AW207" s="3"/>
      <c r="AX207" s="3"/>
    </row>
    <row r="208" spans="1:50"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c r="AV208" s="3"/>
      <c r="AW208" s="3"/>
      <c r="AX208" s="3"/>
    </row>
    <row r="209" spans="1:50"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c r="AV209" s="3"/>
      <c r="AW209" s="3"/>
      <c r="AX209" s="3"/>
    </row>
    <row r="210" spans="1:50"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c r="AV210" s="3"/>
      <c r="AW210" s="3"/>
      <c r="AX210" s="3"/>
    </row>
    <row r="211" spans="1:50"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c r="AV211" s="3"/>
      <c r="AW211" s="3"/>
      <c r="AX211" s="3"/>
    </row>
    <row r="212" spans="1:50"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c r="AV212" s="3"/>
      <c r="AW212" s="3"/>
      <c r="AX212" s="3"/>
    </row>
    <row r="213" spans="1:50"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c r="AV213" s="3"/>
      <c r="AW213" s="3"/>
      <c r="AX213" s="3"/>
    </row>
    <row r="214" spans="1:50"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c r="AV214" s="3"/>
      <c r="AW214" s="3"/>
      <c r="AX214" s="3"/>
    </row>
    <row r="215" spans="1:50"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c r="AV215" s="3"/>
      <c r="AW215" s="3"/>
      <c r="AX215" s="3"/>
    </row>
    <row r="216" spans="1:50"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c r="AV216" s="3"/>
      <c r="AW216" s="3"/>
      <c r="AX216" s="3"/>
    </row>
    <row r="217" spans="1:50"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c r="AV217" s="3"/>
      <c r="AW217" s="3"/>
      <c r="AX217" s="3"/>
    </row>
    <row r="218" spans="1:50"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c r="AV218" s="3"/>
      <c r="AW218" s="3"/>
      <c r="AX218" s="3"/>
    </row>
    <row r="219" spans="1:50"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c r="AV219" s="3"/>
      <c r="AW219" s="3"/>
      <c r="AX219" s="3"/>
    </row>
    <row r="220" spans="1:50"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c r="AV220" s="3"/>
      <c r="AW220" s="3"/>
      <c r="AX220" s="3"/>
    </row>
    <row r="221" spans="1:50"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c r="AV221" s="3"/>
      <c r="AW221" s="3"/>
      <c r="AX221" s="3"/>
    </row>
    <row r="222" spans="1:50"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c r="AV222" s="3"/>
      <c r="AW222" s="3"/>
      <c r="AX222" s="3"/>
    </row>
    <row r="223" spans="1:50"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c r="AV223" s="3"/>
      <c r="AW223" s="3"/>
      <c r="AX223" s="3"/>
    </row>
    <row r="224" spans="1:50"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c r="AV224" s="3"/>
      <c r="AW224" s="3"/>
      <c r="AX224" s="3"/>
    </row>
    <row r="225" spans="1:50"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c r="AV225" s="3"/>
      <c r="AW225" s="3"/>
      <c r="AX225" s="3"/>
    </row>
    <row r="226" spans="1:50"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c r="AV226" s="3"/>
      <c r="AW226" s="3"/>
      <c r="AX226" s="3"/>
    </row>
    <row r="227" spans="1:50"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c r="AV227" s="3"/>
      <c r="AW227" s="3"/>
      <c r="AX227" s="3"/>
    </row>
    <row r="228" spans="1:50"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c r="AV228" s="3"/>
      <c r="AW228" s="3"/>
      <c r="AX228" s="3"/>
    </row>
    <row r="229" spans="1:50"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c r="AV229" s="3"/>
      <c r="AW229" s="3"/>
      <c r="AX229" s="3"/>
    </row>
    <row r="230" spans="1:50"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c r="AV230" s="3"/>
      <c r="AW230" s="3"/>
      <c r="AX230" s="3"/>
    </row>
    <row r="231" spans="1:50"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c r="AV231" s="3"/>
      <c r="AW231" s="3"/>
      <c r="AX231" s="3"/>
    </row>
    <row r="232" spans="1:50"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c r="AV232" s="3"/>
      <c r="AW232" s="3"/>
      <c r="AX232" s="3"/>
    </row>
    <row r="233" spans="1:50"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c r="AV233" s="3"/>
      <c r="AW233" s="3"/>
      <c r="AX233" s="3"/>
    </row>
    <row r="234" spans="1:50"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c r="AV234" s="3"/>
      <c r="AW234" s="3"/>
      <c r="AX234" s="3"/>
    </row>
    <row r="235" spans="1:50"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c r="AV235" s="3"/>
      <c r="AW235" s="3"/>
      <c r="AX235" s="3"/>
    </row>
    <row r="236" spans="1:50"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c r="AV236" s="3"/>
      <c r="AW236" s="3"/>
      <c r="AX236" s="3"/>
    </row>
    <row r="237" spans="1:50"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c r="AV237" s="3"/>
      <c r="AW237" s="3"/>
      <c r="AX237" s="3"/>
    </row>
    <row r="238" spans="1:50"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c r="AV238" s="3"/>
      <c r="AW238" s="3"/>
      <c r="AX238" s="3"/>
    </row>
    <row r="239" spans="1:50"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c r="AV239" s="3"/>
      <c r="AW239" s="3"/>
      <c r="AX239" s="3"/>
    </row>
    <row r="240" spans="1:50"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c r="AV240" s="3"/>
      <c r="AW240" s="3"/>
      <c r="AX240" s="3"/>
    </row>
    <row r="241" spans="1:50"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c r="AV241" s="3"/>
      <c r="AW241" s="3"/>
      <c r="AX241" s="3"/>
    </row>
    <row r="242" spans="1:50"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c r="AV242" s="3"/>
      <c r="AW242" s="3"/>
      <c r="AX242" s="3"/>
    </row>
    <row r="243" spans="1:50"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c r="AV243" s="3"/>
      <c r="AW243" s="3"/>
      <c r="AX243" s="3"/>
    </row>
    <row r="244" spans="1:50"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c r="AV244" s="3"/>
      <c r="AW244" s="3"/>
      <c r="AX244" s="3"/>
    </row>
    <row r="245" spans="1:50"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c r="AV245" s="3"/>
      <c r="AW245" s="3"/>
      <c r="AX245" s="3"/>
    </row>
    <row r="246" spans="1:50"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c r="AV246" s="3"/>
      <c r="AW246" s="3"/>
      <c r="AX246" s="3"/>
    </row>
    <row r="247" spans="1:50"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c r="AV247" s="3"/>
      <c r="AW247" s="3"/>
      <c r="AX247" s="3"/>
    </row>
    <row r="248" spans="1:50"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c r="AV248" s="3"/>
      <c r="AW248" s="3"/>
      <c r="AX248" s="3"/>
    </row>
    <row r="249" spans="1:50"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c r="AV249" s="3"/>
      <c r="AW249" s="3"/>
      <c r="AX249" s="3"/>
    </row>
    <row r="250" spans="1:50"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c r="AV250" s="3"/>
      <c r="AW250" s="3"/>
      <c r="AX250" s="3"/>
    </row>
    <row r="251" spans="1:50"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c r="AV251" s="3"/>
      <c r="AW251" s="3"/>
      <c r="AX251" s="3"/>
    </row>
    <row r="252" spans="1:50"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c r="AV252" s="3"/>
      <c r="AW252" s="3"/>
      <c r="AX252" s="3"/>
    </row>
    <row r="253" spans="1:50"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c r="AV253" s="3"/>
      <c r="AW253" s="3"/>
      <c r="AX253" s="3"/>
    </row>
    <row r="254" spans="1:50"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c r="AV254" s="3"/>
      <c r="AW254" s="3"/>
      <c r="AX254" s="3"/>
    </row>
    <row r="255" spans="1:50"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c r="AV255" s="3"/>
      <c r="AW255" s="3"/>
      <c r="AX255" s="3"/>
    </row>
    <row r="256" spans="1:50"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c r="AV256" s="3"/>
      <c r="AW256" s="3"/>
      <c r="AX256" s="3"/>
    </row>
    <row r="257" spans="1:50"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c r="AV257" s="3"/>
      <c r="AW257" s="3"/>
      <c r="AX257" s="3"/>
    </row>
    <row r="258" spans="1:50"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c r="AV258" s="3"/>
      <c r="AW258" s="3"/>
      <c r="AX258" s="3"/>
    </row>
    <row r="259" spans="1:50"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c r="AV259" s="3"/>
      <c r="AW259" s="3"/>
      <c r="AX259" s="3"/>
    </row>
    <row r="260" spans="1:50"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c r="AV260" s="3"/>
      <c r="AW260" s="3"/>
      <c r="AX260" s="3"/>
    </row>
    <row r="261" spans="1:50"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c r="AV261" s="3"/>
      <c r="AW261" s="3"/>
      <c r="AX261" s="3"/>
    </row>
    <row r="262" spans="1:50"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c r="AV262" s="3"/>
      <c r="AW262" s="3"/>
      <c r="AX262" s="3"/>
    </row>
    <row r="263" spans="1:50"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c r="AV263" s="3"/>
      <c r="AW263" s="3"/>
      <c r="AX263" s="3"/>
    </row>
    <row r="264" spans="1:50"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c r="AV264" s="3"/>
      <c r="AW264" s="3"/>
      <c r="AX264" s="3"/>
    </row>
    <row r="265" spans="1:50"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c r="AV265" s="3"/>
      <c r="AW265" s="3"/>
      <c r="AX265" s="3"/>
    </row>
    <row r="266" spans="1:50"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c r="AV266" s="3"/>
      <c r="AW266" s="3"/>
      <c r="AX266" s="3"/>
    </row>
    <row r="267" spans="1:50"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c r="AV267" s="3"/>
      <c r="AW267" s="3"/>
      <c r="AX267" s="3"/>
    </row>
    <row r="268" spans="1:50"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c r="AV268" s="3"/>
      <c r="AW268" s="3"/>
      <c r="AX268" s="3"/>
    </row>
    <row r="269" spans="1:50"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c r="AV269" s="3"/>
      <c r="AW269" s="3"/>
      <c r="AX269" s="3"/>
    </row>
    <row r="270" spans="1:50"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c r="AV270" s="3"/>
      <c r="AW270" s="3"/>
      <c r="AX270" s="3"/>
    </row>
    <row r="271" spans="1:50"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c r="AV271" s="3"/>
      <c r="AW271" s="3"/>
      <c r="AX271" s="3"/>
    </row>
    <row r="272" spans="1:50"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c r="AV272" s="3"/>
      <c r="AW272" s="3"/>
      <c r="AX272" s="3"/>
    </row>
    <row r="273" spans="1:50"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c r="AV273" s="3"/>
      <c r="AW273" s="3"/>
      <c r="AX273" s="3"/>
    </row>
    <row r="274" spans="1:50"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c r="AV274" s="3"/>
      <c r="AW274" s="3"/>
      <c r="AX274" s="3"/>
    </row>
    <row r="275" spans="1:50"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c r="AV275" s="3"/>
      <c r="AW275" s="3"/>
      <c r="AX275" s="3"/>
    </row>
    <row r="276" spans="1:50"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c r="AV276" s="3"/>
      <c r="AW276" s="3"/>
      <c r="AX276" s="3"/>
    </row>
    <row r="277" spans="1:50"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c r="AV277" s="3"/>
      <c r="AW277" s="3"/>
      <c r="AX277" s="3"/>
    </row>
    <row r="278" spans="1:50"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c r="AV278" s="3"/>
      <c r="AW278" s="3"/>
      <c r="AX278" s="3"/>
    </row>
    <row r="279" spans="1:50"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c r="AV279" s="3"/>
      <c r="AW279" s="3"/>
      <c r="AX279" s="3"/>
    </row>
    <row r="280" spans="1:50"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c r="AV280" s="3"/>
      <c r="AW280" s="3"/>
      <c r="AX280" s="3"/>
    </row>
    <row r="281" spans="1:50"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c r="AV281" s="3"/>
      <c r="AW281" s="3"/>
      <c r="AX281" s="3"/>
    </row>
    <row r="282" spans="1:50"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c r="AV282" s="3"/>
      <c r="AW282" s="3"/>
      <c r="AX282" s="3"/>
    </row>
    <row r="283" spans="1:50"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900-000000000000}">
      <formula1>"TOU,non-TOU"</formula1>
    </dataValidation>
    <dataValidation type="list" allowBlank="1" showErrorMessage="1" sqref="E15:E28 E30:E38 E40:E41 E43:E51 E57 E63" xr:uid="{00000000-0002-0000-1900-000001000000}">
      <formula1>#REF!</formula1>
    </dataValidation>
    <dataValidation type="list" allowBlank="1" showInputMessage="1" showErrorMessage="1" prompt="Select Charge Unit - monthly, per kWh, per kW" sqref="D15:D28 D30:D38 D40:D41 D43:D51 D57 D63" xr:uid="{00000000-0002-0000-1900-000002000000}">
      <formula1>"Monthly,per kWh,per kW"</formula1>
    </dataValidation>
  </dataValidations>
  <pageMargins left="0.74803149606299213" right="0.74803149606299213" top="0.98425196850393704" bottom="0.98425196850393704"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1000"/>
  <sheetViews>
    <sheetView showGridLines="0" workbookViewId="0"/>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9.28515625" customWidth="1"/>
    <col min="8" max="8" width="12.28515625" customWidth="1"/>
    <col min="9" max="9" width="0.7109375" customWidth="1"/>
    <col min="10" max="11" width="9.28515625" customWidth="1"/>
    <col min="12" max="12" width="12.28515625" customWidth="1"/>
    <col min="13" max="13" width="0.42578125" customWidth="1"/>
    <col min="14" max="14" width="9.42578125" customWidth="1"/>
    <col min="15" max="15" width="10" customWidth="1"/>
    <col min="16" max="16" width="0.42578125" customWidth="1"/>
    <col min="17" max="18" width="9.28515625" customWidth="1"/>
    <col min="19" max="19" width="12.28515625" customWidth="1"/>
    <col min="20" max="20" width="0.42578125" customWidth="1"/>
    <col min="21" max="21" width="9.42578125"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2"/>
      <c r="B1" s="52"/>
      <c r="C1" s="52"/>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50" ht="12" customHeight="1">
      <c r="A2" s="52"/>
      <c r="B2" s="52"/>
      <c r="C2" s="378"/>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50"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50"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50"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50" ht="12" customHeight="1">
      <c r="A6" s="52"/>
      <c r="B6" s="320" t="s">
        <v>298</v>
      </c>
      <c r="C6" s="52"/>
      <c r="D6" s="504" t="s">
        <v>224</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row>
    <row r="7" spans="1:50"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50" ht="12" customHeight="1">
      <c r="A8" s="52"/>
      <c r="B8" s="320" t="s">
        <v>299</v>
      </c>
      <c r="C8" s="52"/>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50" ht="12" customHeight="1">
      <c r="A9" s="52"/>
      <c r="B9" s="382"/>
      <c r="C9" s="52"/>
      <c r="D9" s="307" t="s">
        <v>301</v>
      </c>
      <c r="E9" s="307"/>
      <c r="F9" s="385">
        <v>127750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50" ht="12" customHeight="1">
      <c r="A10" s="52"/>
      <c r="B10" s="52"/>
      <c r="C10" s="52"/>
      <c r="D10" s="52"/>
      <c r="E10" s="52"/>
      <c r="F10" s="385">
        <v>250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50" ht="12" customHeight="1">
      <c r="A11" s="550"/>
      <c r="B11" s="52"/>
      <c r="C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50" ht="12" customHeight="1">
      <c r="A12" s="550"/>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50" ht="12" customHeight="1">
      <c r="A13" s="550"/>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50" ht="12" customHeight="1">
      <c r="A14" s="550"/>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50" ht="12" customHeight="1">
      <c r="A15" s="550"/>
      <c r="B15" s="321" t="s">
        <v>221</v>
      </c>
      <c r="C15" s="394" t="str">
        <f t="shared" ref="C15:C28" si="0">D$6&amp;"."&amp;B15</f>
        <v>General Service 50 to 1,499 KW.Monthly Service Charge</v>
      </c>
      <c r="D15" s="395" t="s">
        <v>310</v>
      </c>
      <c r="E15" s="321"/>
      <c r="F15" s="396">
        <f>VLOOKUP($C15,'Proposed Rates'!$B:$J,F$11,FALSE)</f>
        <v>200</v>
      </c>
      <c r="G15" s="414">
        <f t="shared" ref="G15:G28" si="1">IF($D15="Monthly",1,IF($D15="per KW",$F$10,IF($D15="per kWh",$F$9,0)))</f>
        <v>1</v>
      </c>
      <c r="H15" s="399">
        <f t="shared" ref="H15:H28" si="2">G15*F15</f>
        <v>200</v>
      </c>
      <c r="I15" s="132"/>
      <c r="J15" s="396">
        <f>VLOOKUP($C15,'Proposed Rates'!$B:$J,J$11,FALSE)</f>
        <v>200</v>
      </c>
      <c r="K15" s="414">
        <f t="shared" ref="K15:K28" si="3">IF($D15="Monthly",1,IF($D15="per KW",$F$10,IF($D15="per kWh",$F$9,0)))</f>
        <v>1</v>
      </c>
      <c r="L15" s="399">
        <f t="shared" ref="L15:L28" si="4">K15*J15</f>
        <v>200</v>
      </c>
      <c r="M15" s="132"/>
      <c r="N15" s="400">
        <f t="shared" ref="N15:N46" si="5">L15-H15</f>
        <v>0</v>
      </c>
      <c r="O15" s="401">
        <f t="shared" ref="O15:O46" si="6">IF((H15)=0,"",(N15/H15))</f>
        <v>0</v>
      </c>
      <c r="P15" s="52"/>
      <c r="Q15" s="396">
        <f>VLOOKUP($C15,'Proposed Rates'!$B:$J,Q$11,FALSE)</f>
        <v>200</v>
      </c>
      <c r="R15" s="414">
        <f t="shared" ref="R15:R28" si="7">IF($D15="Monthly",1,IF($D15="per KW",$F$10,IF($D15="per kWh",$F$9,0)))</f>
        <v>1</v>
      </c>
      <c r="S15" s="399">
        <f t="shared" ref="S15:S28" si="8">R15*Q15</f>
        <v>200</v>
      </c>
      <c r="T15" s="132"/>
      <c r="U15" s="400">
        <f t="shared" ref="U15:U46" si="9">S15-L15</f>
        <v>0</v>
      </c>
      <c r="V15" s="401">
        <f t="shared" ref="V15:V46" si="10">IF((L15)=0,"",(U15/L15))</f>
        <v>0</v>
      </c>
      <c r="W15" s="52"/>
      <c r="X15" s="396">
        <f>VLOOKUP($C15,'Proposed Rates'!$B:$J,X$11,FALSE)</f>
        <v>200</v>
      </c>
      <c r="Y15" s="414">
        <f t="shared" ref="Y15:Y28" si="11">IF($D15="Monthly",1,IF($D15="per KW",$F$10,IF($D15="per kWh",$F$9,0)))</f>
        <v>1</v>
      </c>
      <c r="Z15" s="399">
        <f t="shared" ref="Z15:Z28" si="12">Y15*X15</f>
        <v>200</v>
      </c>
      <c r="AA15" s="132"/>
      <c r="AB15" s="400">
        <f t="shared" ref="AB15:AB34" si="13">Z15-S15</f>
        <v>0</v>
      </c>
      <c r="AC15" s="401">
        <f t="shared" ref="AC15:AC34" si="14">IF((S15)=0,"",(AB15/S15))</f>
        <v>0</v>
      </c>
      <c r="AD15" s="52"/>
      <c r="AE15" s="396">
        <f>VLOOKUP($C15,'Proposed Rates'!$B:$J,AE$11,FALSE)</f>
        <v>200</v>
      </c>
      <c r="AF15" s="414">
        <f t="shared" ref="AF15:AF28" si="15">IF($D15="Monthly",1,IF($D15="per KW",$F$10,IF($D15="per kWh",$F$9,0)))</f>
        <v>1</v>
      </c>
      <c r="AG15" s="399">
        <f t="shared" ref="AG15:AG28" si="16">AF15*AE15</f>
        <v>200</v>
      </c>
      <c r="AH15" s="132"/>
      <c r="AI15" s="400">
        <f t="shared" ref="AI15:AI46" si="17">AG15-Z15</f>
        <v>0</v>
      </c>
      <c r="AJ15" s="401">
        <f t="shared" ref="AJ15:AJ46" si="18">IF((Z15)=0,"",(AI15/Z15))</f>
        <v>0</v>
      </c>
      <c r="AK15" s="52"/>
      <c r="AL15" s="396">
        <f>VLOOKUP($C15,'Proposed Rates'!$B:$J,AL$11,FALSE)</f>
        <v>200</v>
      </c>
      <c r="AM15" s="414">
        <f t="shared" ref="AM15:AM28" si="19">IF($D15="Monthly",1,IF($D15="per KW",$F$10,IF($D15="per kWh",$F$9,0)))</f>
        <v>1</v>
      </c>
      <c r="AN15" s="399">
        <f t="shared" ref="AN15:AN28" si="20">AM15*AL15</f>
        <v>200</v>
      </c>
      <c r="AO15" s="132"/>
      <c r="AP15" s="400">
        <f t="shared" ref="AP15:AP46" si="21">AN15-AG15</f>
        <v>0</v>
      </c>
      <c r="AQ15" s="401">
        <f t="shared" ref="AQ15:AQ46" si="22">IF((AG15)=0,"",(AP15/AG15))</f>
        <v>0</v>
      </c>
      <c r="AR15" s="402"/>
    </row>
    <row r="16" spans="1:50" ht="12" customHeight="1">
      <c r="A16" s="550"/>
      <c r="B16" s="321" t="s">
        <v>311</v>
      </c>
      <c r="C16" s="394" t="str">
        <f t="shared" si="0"/>
        <v>General Service 50 to 1,499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 customHeight="1">
      <c r="A17" s="550"/>
      <c r="B17" s="403" t="str">
        <f>'Proposed Rates'!C115</f>
        <v>Rate Rider Calculation for PILs</v>
      </c>
      <c r="C17" s="394" t="str">
        <f t="shared" si="0"/>
        <v>General Service 50 to 1,499 KW.Rate Rider Calculation for PILs</v>
      </c>
      <c r="D17" s="395" t="s">
        <v>381</v>
      </c>
      <c r="E17" s="321"/>
      <c r="F17" s="396">
        <f>IFERROR(VLOOKUP($C17,'Proposed Rates'!$B:$J,F$11,FALSE),0)</f>
        <v>0</v>
      </c>
      <c r="G17" s="414">
        <f t="shared" si="1"/>
        <v>250</v>
      </c>
      <c r="H17" s="399">
        <f t="shared" si="2"/>
        <v>0</v>
      </c>
      <c r="I17" s="132"/>
      <c r="J17" s="396">
        <f>IFERROR(VLOOKUP($C17,'Proposed Rates'!$B:$J,J$11,FALSE),0)</f>
        <v>0</v>
      </c>
      <c r="K17" s="414">
        <f t="shared" si="3"/>
        <v>250</v>
      </c>
      <c r="L17" s="399">
        <f t="shared" si="4"/>
        <v>0</v>
      </c>
      <c r="M17" s="132"/>
      <c r="N17" s="400">
        <f t="shared" si="5"/>
        <v>0</v>
      </c>
      <c r="O17" s="401" t="str">
        <f t="shared" si="6"/>
        <v/>
      </c>
      <c r="P17" s="52"/>
      <c r="Q17" s="396">
        <f>IFERROR(VLOOKUP($C17,'Proposed Rates'!$B:$J,Q$11,FALSE),0)</f>
        <v>0</v>
      </c>
      <c r="R17" s="414">
        <f t="shared" si="7"/>
        <v>250</v>
      </c>
      <c r="S17" s="399">
        <f t="shared" si="8"/>
        <v>0</v>
      </c>
      <c r="T17" s="132"/>
      <c r="U17" s="400">
        <f t="shared" si="9"/>
        <v>0</v>
      </c>
      <c r="V17" s="401" t="str">
        <f t="shared" si="10"/>
        <v/>
      </c>
      <c r="W17" s="52"/>
      <c r="X17" s="396">
        <f>IFERROR(VLOOKUP($C17,'Proposed Rates'!$B:$J,X$11,FALSE),0)</f>
        <v>0</v>
      </c>
      <c r="Y17" s="414">
        <f t="shared" si="11"/>
        <v>250</v>
      </c>
      <c r="Z17" s="399">
        <f t="shared" si="12"/>
        <v>0</v>
      </c>
      <c r="AA17" s="132"/>
      <c r="AB17" s="400">
        <f t="shared" si="13"/>
        <v>0</v>
      </c>
      <c r="AC17" s="401" t="str">
        <f t="shared" si="14"/>
        <v/>
      </c>
      <c r="AD17" s="52"/>
      <c r="AE17" s="396">
        <f>IFERROR(VLOOKUP($C17,'Proposed Rates'!$B:$J,AE$11,FALSE),0)</f>
        <v>0</v>
      </c>
      <c r="AF17" s="414">
        <f t="shared" si="15"/>
        <v>250</v>
      </c>
      <c r="AG17" s="399">
        <f t="shared" si="16"/>
        <v>0</v>
      </c>
      <c r="AH17" s="132"/>
      <c r="AI17" s="400">
        <f t="shared" si="17"/>
        <v>0</v>
      </c>
      <c r="AJ17" s="401" t="str">
        <f t="shared" si="18"/>
        <v/>
      </c>
      <c r="AK17" s="52"/>
      <c r="AL17" s="396">
        <f>IFERROR(VLOOKUP($C17,'Proposed Rates'!$B:$J,AL$11,FALSE),0)</f>
        <v>0</v>
      </c>
      <c r="AM17" s="414">
        <f t="shared" si="19"/>
        <v>250</v>
      </c>
      <c r="AN17" s="399">
        <f t="shared" si="20"/>
        <v>0</v>
      </c>
      <c r="AO17" s="132"/>
      <c r="AP17" s="400">
        <f t="shared" si="21"/>
        <v>0</v>
      </c>
      <c r="AQ17" s="401" t="str">
        <f t="shared" si="22"/>
        <v/>
      </c>
      <c r="AR17" s="402"/>
    </row>
    <row r="18" spans="1:44" ht="12" customHeight="1">
      <c r="A18" s="550"/>
      <c r="B18" s="403" t="str">
        <f>'Proposed Rates'!C128</f>
        <v>Rate Rider Calculation for Generic</v>
      </c>
      <c r="C18" s="394" t="str">
        <f t="shared" si="0"/>
        <v>General Service 50 to 1,499 KW.Rate Rider Calculation for Generic</v>
      </c>
      <c r="D18" s="395" t="s">
        <v>381</v>
      </c>
      <c r="E18" s="321"/>
      <c r="F18" s="396">
        <f>IFERROR(VLOOKUP($C18,'Proposed Rates'!$B:$J,F$11,FALSE),0)</f>
        <v>0</v>
      </c>
      <c r="G18" s="414">
        <f t="shared" si="1"/>
        <v>250</v>
      </c>
      <c r="H18" s="399">
        <f t="shared" si="2"/>
        <v>0</v>
      </c>
      <c r="I18" s="132"/>
      <c r="J18" s="396">
        <f>IFERROR(VLOOKUP($C18,'Proposed Rates'!$B:$J,J$11,FALSE),0)</f>
        <v>0</v>
      </c>
      <c r="K18" s="414">
        <f t="shared" si="3"/>
        <v>250</v>
      </c>
      <c r="L18" s="399">
        <f t="shared" si="4"/>
        <v>0</v>
      </c>
      <c r="M18" s="132"/>
      <c r="N18" s="400">
        <f t="shared" si="5"/>
        <v>0</v>
      </c>
      <c r="O18" s="401" t="str">
        <f t="shared" si="6"/>
        <v/>
      </c>
      <c r="P18" s="52"/>
      <c r="Q18" s="396">
        <f>IFERROR(VLOOKUP($C18,'Proposed Rates'!$B:$J,Q$11,FALSE),0)</f>
        <v>0</v>
      </c>
      <c r="R18" s="414">
        <f t="shared" si="7"/>
        <v>250</v>
      </c>
      <c r="S18" s="399">
        <f t="shared" si="8"/>
        <v>0</v>
      </c>
      <c r="T18" s="132"/>
      <c r="U18" s="400">
        <f t="shared" si="9"/>
        <v>0</v>
      </c>
      <c r="V18" s="401" t="str">
        <f t="shared" si="10"/>
        <v/>
      </c>
      <c r="W18" s="52"/>
      <c r="X18" s="396">
        <f>IFERROR(VLOOKUP($C18,'Proposed Rates'!$B:$J,X$11,FALSE),0)</f>
        <v>0</v>
      </c>
      <c r="Y18" s="414">
        <f t="shared" si="11"/>
        <v>250</v>
      </c>
      <c r="Z18" s="399">
        <f t="shared" si="12"/>
        <v>0</v>
      </c>
      <c r="AA18" s="132"/>
      <c r="AB18" s="400">
        <f t="shared" si="13"/>
        <v>0</v>
      </c>
      <c r="AC18" s="401" t="str">
        <f t="shared" si="14"/>
        <v/>
      </c>
      <c r="AD18" s="52"/>
      <c r="AE18" s="396">
        <f>IFERROR(VLOOKUP($C18,'Proposed Rates'!$B:$J,AE$11,FALSE),0)</f>
        <v>0</v>
      </c>
      <c r="AF18" s="414">
        <f t="shared" si="15"/>
        <v>250</v>
      </c>
      <c r="AG18" s="399">
        <f t="shared" si="16"/>
        <v>0</v>
      </c>
      <c r="AH18" s="132"/>
      <c r="AI18" s="400">
        <f t="shared" si="17"/>
        <v>0</v>
      </c>
      <c r="AJ18" s="401" t="str">
        <f t="shared" si="18"/>
        <v/>
      </c>
      <c r="AK18" s="52"/>
      <c r="AL18" s="396">
        <f>IFERROR(VLOOKUP($C18,'Proposed Rates'!$B:$J,AL$11,FALSE),0)</f>
        <v>0</v>
      </c>
      <c r="AM18" s="414">
        <f t="shared" si="19"/>
        <v>250</v>
      </c>
      <c r="AN18" s="399">
        <f t="shared" si="20"/>
        <v>0</v>
      </c>
      <c r="AO18" s="132"/>
      <c r="AP18" s="400">
        <f t="shared" si="21"/>
        <v>0</v>
      </c>
      <c r="AQ18" s="401" t="str">
        <f t="shared" si="22"/>
        <v/>
      </c>
      <c r="AR18" s="402"/>
    </row>
    <row r="19" spans="1:44" ht="12" customHeight="1">
      <c r="A19" s="550"/>
      <c r="B19" s="321" t="s">
        <v>59</v>
      </c>
      <c r="C19" s="394" t="str">
        <f t="shared" si="0"/>
        <v>General Service 50 to 1,499 KW.Distribution Volumetric Rate</v>
      </c>
      <c r="D19" s="395" t="s">
        <v>381</v>
      </c>
      <c r="E19" s="321"/>
      <c r="F19" s="413">
        <f>IFERROR(VLOOKUP($C19,'Proposed Rates'!$B:$J,F$11,FALSE),0)</f>
        <v>6.5552999999999999</v>
      </c>
      <c r="G19" s="414">
        <f t="shared" si="1"/>
        <v>250</v>
      </c>
      <c r="H19" s="399">
        <f t="shared" si="2"/>
        <v>1638.825</v>
      </c>
      <c r="I19" s="132"/>
      <c r="J19" s="413">
        <f>IFERROR(VLOOKUP($C19,'Proposed Rates'!$B:$J,J$11,FALSE),0)</f>
        <v>7.9935999999999998</v>
      </c>
      <c r="K19" s="414">
        <f t="shared" si="3"/>
        <v>250</v>
      </c>
      <c r="L19" s="399">
        <f t="shared" si="4"/>
        <v>1998.3999999999999</v>
      </c>
      <c r="M19" s="132"/>
      <c r="N19" s="400">
        <f t="shared" si="5"/>
        <v>359.57499999999982</v>
      </c>
      <c r="O19" s="401">
        <f t="shared" si="6"/>
        <v>0.21941024819611601</v>
      </c>
      <c r="P19" s="52"/>
      <c r="Q19" s="413">
        <f>IFERROR(VLOOKUP($C19,'Proposed Rates'!$B:$J,Q$11,FALSE),0)</f>
        <v>8.4202999999999992</v>
      </c>
      <c r="R19" s="414">
        <f t="shared" si="7"/>
        <v>250</v>
      </c>
      <c r="S19" s="399">
        <f t="shared" si="8"/>
        <v>2105.0749999999998</v>
      </c>
      <c r="T19" s="132"/>
      <c r="U19" s="400">
        <f t="shared" si="9"/>
        <v>106.67499999999995</v>
      </c>
      <c r="V19" s="401">
        <f t="shared" si="10"/>
        <v>5.3380204163330648E-2</v>
      </c>
      <c r="W19" s="52"/>
      <c r="X19" s="413">
        <f>IFERROR(VLOOKUP($C19,'Proposed Rates'!$B:$J,X$11,FALSE),0)</f>
        <v>9.0498999999999992</v>
      </c>
      <c r="Y19" s="414">
        <f t="shared" si="11"/>
        <v>250</v>
      </c>
      <c r="Z19" s="399">
        <f t="shared" si="12"/>
        <v>2262.4749999999999</v>
      </c>
      <c r="AA19" s="132"/>
      <c r="AB19" s="400">
        <f t="shared" si="13"/>
        <v>157.40000000000009</v>
      </c>
      <c r="AC19" s="401">
        <f t="shared" si="14"/>
        <v>7.4771682719143071E-2</v>
      </c>
      <c r="AD19" s="52"/>
      <c r="AE19" s="413">
        <f>IFERROR(VLOOKUP($C19,'Proposed Rates'!$B:$J,AE$11,FALSE),0)</f>
        <v>9.3849</v>
      </c>
      <c r="AF19" s="414">
        <f t="shared" si="15"/>
        <v>250</v>
      </c>
      <c r="AG19" s="399">
        <f t="shared" si="16"/>
        <v>2346.2249999999999</v>
      </c>
      <c r="AH19" s="132"/>
      <c r="AI19" s="400">
        <f t="shared" si="17"/>
        <v>83.75</v>
      </c>
      <c r="AJ19" s="401">
        <f t="shared" si="18"/>
        <v>3.7016983613078598E-2</v>
      </c>
      <c r="AK19" s="52"/>
      <c r="AL19" s="413">
        <f>IFERROR(VLOOKUP($C19,'Proposed Rates'!$B:$J,AL$11,FALSE),0)</f>
        <v>9.6918000000000006</v>
      </c>
      <c r="AM19" s="414">
        <f t="shared" si="19"/>
        <v>250</v>
      </c>
      <c r="AN19" s="399">
        <f t="shared" si="20"/>
        <v>2422.9500000000003</v>
      </c>
      <c r="AO19" s="132"/>
      <c r="AP19" s="400">
        <f t="shared" si="21"/>
        <v>76.725000000000364</v>
      </c>
      <c r="AQ19" s="401">
        <f t="shared" si="22"/>
        <v>3.2701467250583538E-2</v>
      </c>
      <c r="AR19" s="402"/>
    </row>
    <row r="20" spans="1:44" ht="12" customHeight="1">
      <c r="A20" s="550"/>
      <c r="B20" s="321" t="s">
        <v>313</v>
      </c>
      <c r="C20" s="394" t="str">
        <f t="shared" si="0"/>
        <v>General Service 50 to 1,499 KW.Smart Meter Disposition Rider</v>
      </c>
      <c r="D20" s="395" t="s">
        <v>312</v>
      </c>
      <c r="E20" s="321"/>
      <c r="F20" s="396">
        <f>IFERROR(VLOOKUP($C20,'Proposed Rates'!$B:$J,F$11,FALSE),0)</f>
        <v>0</v>
      </c>
      <c r="G20" s="414">
        <f t="shared" si="1"/>
        <v>127750</v>
      </c>
      <c r="H20" s="399">
        <f t="shared" si="2"/>
        <v>0</v>
      </c>
      <c r="I20" s="132"/>
      <c r="J20" s="396">
        <f>IFERROR(VLOOKUP($C20,'Proposed Rates'!$B:$J,J$11,FALSE),0)</f>
        <v>0</v>
      </c>
      <c r="K20" s="414">
        <f t="shared" si="3"/>
        <v>127750</v>
      </c>
      <c r="L20" s="399">
        <f t="shared" si="4"/>
        <v>0</v>
      </c>
      <c r="M20" s="132"/>
      <c r="N20" s="400">
        <f t="shared" si="5"/>
        <v>0</v>
      </c>
      <c r="O20" s="401" t="str">
        <f t="shared" si="6"/>
        <v/>
      </c>
      <c r="P20" s="52"/>
      <c r="Q20" s="396">
        <f>IFERROR(VLOOKUP($C20,'Proposed Rates'!$B:$J,Q$11,FALSE),0)</f>
        <v>0</v>
      </c>
      <c r="R20" s="414">
        <f t="shared" si="7"/>
        <v>127750</v>
      </c>
      <c r="S20" s="399">
        <f t="shared" si="8"/>
        <v>0</v>
      </c>
      <c r="T20" s="132"/>
      <c r="U20" s="400">
        <f t="shared" si="9"/>
        <v>0</v>
      </c>
      <c r="V20" s="401" t="str">
        <f t="shared" si="10"/>
        <v/>
      </c>
      <c r="W20" s="52"/>
      <c r="X20" s="396">
        <f>IFERROR(VLOOKUP($C20,'Proposed Rates'!$B:$J,X$11,FALSE),0)</f>
        <v>0</v>
      </c>
      <c r="Y20" s="414">
        <f t="shared" si="11"/>
        <v>127750</v>
      </c>
      <c r="Z20" s="399">
        <f t="shared" si="12"/>
        <v>0</v>
      </c>
      <c r="AA20" s="132"/>
      <c r="AB20" s="400">
        <f t="shared" si="13"/>
        <v>0</v>
      </c>
      <c r="AC20" s="401" t="str">
        <f t="shared" si="14"/>
        <v/>
      </c>
      <c r="AD20" s="52"/>
      <c r="AE20" s="396">
        <f>IFERROR(VLOOKUP($C20,'Proposed Rates'!$B:$J,AE$11,FALSE),0)</f>
        <v>0</v>
      </c>
      <c r="AF20" s="414">
        <f t="shared" si="15"/>
        <v>127750</v>
      </c>
      <c r="AG20" s="399">
        <f t="shared" si="16"/>
        <v>0</v>
      </c>
      <c r="AH20" s="132"/>
      <c r="AI20" s="400">
        <f t="shared" si="17"/>
        <v>0</v>
      </c>
      <c r="AJ20" s="401" t="str">
        <f t="shared" si="18"/>
        <v/>
      </c>
      <c r="AK20" s="52"/>
      <c r="AL20" s="396">
        <f>IFERROR(VLOOKUP($C20,'Proposed Rates'!$B:$J,AL$11,FALSE),0)</f>
        <v>0</v>
      </c>
      <c r="AM20" s="414">
        <f t="shared" si="19"/>
        <v>127750</v>
      </c>
      <c r="AN20" s="399">
        <f t="shared" si="20"/>
        <v>0</v>
      </c>
      <c r="AO20" s="132"/>
      <c r="AP20" s="400">
        <f t="shared" si="21"/>
        <v>0</v>
      </c>
      <c r="AQ20" s="401" t="str">
        <f t="shared" si="22"/>
        <v/>
      </c>
      <c r="AR20" s="402"/>
    </row>
    <row r="21" spans="1:44" ht="12" customHeight="1">
      <c r="A21" s="550"/>
      <c r="B21" s="321" t="s">
        <v>244</v>
      </c>
      <c r="C21" s="394" t="str">
        <f t="shared" si="0"/>
        <v>General Service 50 to 1,499 KW.LRAM Rate Rider</v>
      </c>
      <c r="D21" s="395" t="s">
        <v>381</v>
      </c>
      <c r="E21" s="321"/>
      <c r="F21" s="413">
        <f>'Proposed Rates'!E79+'Proposed Rates'!E92</f>
        <v>-0.2477</v>
      </c>
      <c r="G21" s="414">
        <f t="shared" si="1"/>
        <v>250</v>
      </c>
      <c r="H21" s="399">
        <f t="shared" si="2"/>
        <v>-61.925000000000004</v>
      </c>
      <c r="I21" s="132"/>
      <c r="J21" s="413">
        <f>'Proposed Rates'!F79+'Proposed Rates'!F92</f>
        <v>0</v>
      </c>
      <c r="K21" s="414">
        <f t="shared" si="3"/>
        <v>250</v>
      </c>
      <c r="L21" s="399">
        <f t="shared" si="4"/>
        <v>0</v>
      </c>
      <c r="M21" s="132"/>
      <c r="N21" s="400">
        <f t="shared" si="5"/>
        <v>61.925000000000004</v>
      </c>
      <c r="O21" s="401">
        <f t="shared" si="6"/>
        <v>-1</v>
      </c>
      <c r="P21" s="52"/>
      <c r="Q21" s="413">
        <f>'Proposed Rates'!G79+'Proposed Rates'!G92</f>
        <v>2.7900000000000001E-2</v>
      </c>
      <c r="R21" s="414">
        <f t="shared" si="7"/>
        <v>250</v>
      </c>
      <c r="S21" s="399">
        <f t="shared" si="8"/>
        <v>6.9750000000000005</v>
      </c>
      <c r="T21" s="132"/>
      <c r="U21" s="400">
        <f t="shared" si="9"/>
        <v>6.9750000000000005</v>
      </c>
      <c r="V21" s="401" t="str">
        <f t="shared" si="10"/>
        <v/>
      </c>
      <c r="W21" s="52"/>
      <c r="X21" s="413">
        <f>IFERROR(VLOOKUP($C21,'Proposed Rates'!$B:$J,X$11,FALSE),0)</f>
        <v>0</v>
      </c>
      <c r="Y21" s="414">
        <f t="shared" si="11"/>
        <v>250</v>
      </c>
      <c r="Z21" s="399">
        <f t="shared" si="12"/>
        <v>0</v>
      </c>
      <c r="AA21" s="132"/>
      <c r="AB21" s="400">
        <f t="shared" si="13"/>
        <v>-6.9750000000000005</v>
      </c>
      <c r="AC21" s="401">
        <f t="shared" si="14"/>
        <v>-1</v>
      </c>
      <c r="AD21" s="52"/>
      <c r="AE21" s="413">
        <f>IFERROR(VLOOKUP($C21,'Proposed Rates'!$B:$J,AE$11,FALSE),0)</f>
        <v>0</v>
      </c>
      <c r="AF21" s="414">
        <f t="shared" si="15"/>
        <v>250</v>
      </c>
      <c r="AG21" s="399">
        <f t="shared" si="16"/>
        <v>0</v>
      </c>
      <c r="AH21" s="132"/>
      <c r="AI21" s="400">
        <f t="shared" si="17"/>
        <v>0</v>
      </c>
      <c r="AJ21" s="401" t="str">
        <f t="shared" si="18"/>
        <v/>
      </c>
      <c r="AK21" s="52"/>
      <c r="AL21" s="413">
        <f>IFERROR(VLOOKUP($C21,'Proposed Rates'!$B:$J,AL$11,FALSE),0)</f>
        <v>0</v>
      </c>
      <c r="AM21" s="414">
        <f t="shared" si="19"/>
        <v>250</v>
      </c>
      <c r="AN21" s="399">
        <f t="shared" si="20"/>
        <v>0</v>
      </c>
      <c r="AO21" s="132"/>
      <c r="AP21" s="400">
        <f t="shared" si="21"/>
        <v>0</v>
      </c>
      <c r="AQ21" s="401" t="str">
        <f t="shared" si="22"/>
        <v/>
      </c>
      <c r="AR21" s="402"/>
    </row>
    <row r="22" spans="1:44" ht="12" customHeight="1">
      <c r="A22" s="550"/>
      <c r="B22" s="403" t="s">
        <v>240</v>
      </c>
      <c r="C22" s="394" t="str">
        <f t="shared" si="0"/>
        <v>General Service 50 to 1,499 KW.Deferral/Variance Account Disposition Rate Rider Group 2</v>
      </c>
      <c r="D22" s="395" t="s">
        <v>381</v>
      </c>
      <c r="E22" s="321"/>
      <c r="F22" s="396">
        <f>IFERROR(VLOOKUP($C22,'Proposed Rates'!$B:$J,F$11,FALSE),0)</f>
        <v>0</v>
      </c>
      <c r="G22" s="414">
        <f t="shared" si="1"/>
        <v>250</v>
      </c>
      <c r="H22" s="399">
        <f t="shared" si="2"/>
        <v>0</v>
      </c>
      <c r="I22" s="132"/>
      <c r="J22" s="396">
        <f>IFERROR(VLOOKUP($C22,'Proposed Rates'!$B:$J,J$11,FALSE),0)</f>
        <v>-0.15229999999999999</v>
      </c>
      <c r="K22" s="414">
        <f t="shared" si="3"/>
        <v>250</v>
      </c>
      <c r="L22" s="399">
        <f t="shared" si="4"/>
        <v>-38.074999999999996</v>
      </c>
      <c r="M22" s="132"/>
      <c r="N22" s="400">
        <f t="shared" si="5"/>
        <v>-38.074999999999996</v>
      </c>
      <c r="O22" s="401" t="str">
        <f t="shared" si="6"/>
        <v/>
      </c>
      <c r="P22" s="52"/>
      <c r="Q22" s="396">
        <f>IFERROR(VLOOKUP($C22,'Proposed Rates'!$B:$J,Q$11,FALSE),0)</f>
        <v>0</v>
      </c>
      <c r="R22" s="414">
        <f t="shared" si="7"/>
        <v>250</v>
      </c>
      <c r="S22" s="399">
        <f t="shared" si="8"/>
        <v>0</v>
      </c>
      <c r="T22" s="132"/>
      <c r="U22" s="400">
        <f t="shared" si="9"/>
        <v>38.074999999999996</v>
      </c>
      <c r="V22" s="401">
        <f t="shared" si="10"/>
        <v>-1</v>
      </c>
      <c r="W22" s="52"/>
      <c r="X22" s="396">
        <f>IFERROR(VLOOKUP($C22,'Proposed Rates'!$B:$J,X$11,FALSE),0)</f>
        <v>0</v>
      </c>
      <c r="Y22" s="414">
        <f t="shared" si="11"/>
        <v>250</v>
      </c>
      <c r="Z22" s="399">
        <f t="shared" si="12"/>
        <v>0</v>
      </c>
      <c r="AA22" s="132"/>
      <c r="AB22" s="400">
        <f t="shared" si="13"/>
        <v>0</v>
      </c>
      <c r="AC22" s="401" t="str">
        <f t="shared" si="14"/>
        <v/>
      </c>
      <c r="AD22" s="52"/>
      <c r="AE22" s="396">
        <f>IFERROR(VLOOKUP($C22,'Proposed Rates'!$B:$J,AE$11,FALSE),0)</f>
        <v>0</v>
      </c>
      <c r="AF22" s="414">
        <f t="shared" si="15"/>
        <v>250</v>
      </c>
      <c r="AG22" s="399">
        <f t="shared" si="16"/>
        <v>0</v>
      </c>
      <c r="AH22" s="132"/>
      <c r="AI22" s="400">
        <f t="shared" si="17"/>
        <v>0</v>
      </c>
      <c r="AJ22" s="401" t="str">
        <f t="shared" si="18"/>
        <v/>
      </c>
      <c r="AK22" s="52"/>
      <c r="AL22" s="396">
        <f>IFERROR(VLOOKUP($C22,'Proposed Rates'!$B:$J,AL$11,FALSE),0)</f>
        <v>0</v>
      </c>
      <c r="AM22" s="414">
        <f t="shared" si="19"/>
        <v>250</v>
      </c>
      <c r="AN22" s="399">
        <f t="shared" si="20"/>
        <v>0</v>
      </c>
      <c r="AO22" s="132"/>
      <c r="AP22" s="400">
        <f t="shared" si="21"/>
        <v>0</v>
      </c>
      <c r="AQ22" s="401" t="str">
        <f t="shared" si="22"/>
        <v/>
      </c>
      <c r="AR22" s="402"/>
    </row>
    <row r="23" spans="1:44" ht="12" customHeight="1">
      <c r="A23" s="550"/>
      <c r="B23" s="403"/>
      <c r="C23" s="394" t="str">
        <f t="shared" si="0"/>
        <v>General Service 50 to 1,499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 customHeight="1">
      <c r="A24" s="550"/>
      <c r="B24" s="403"/>
      <c r="C24" s="394" t="str">
        <f t="shared" si="0"/>
        <v>General Service 50 to 1,499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 customHeight="1">
      <c r="A25" s="550"/>
      <c r="B25" s="403"/>
      <c r="C25" s="394" t="str">
        <f t="shared" si="0"/>
        <v>General Service 50 to 1,499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 customHeight="1">
      <c r="A26" s="550"/>
      <c r="B26" s="403"/>
      <c r="C26" s="394" t="str">
        <f t="shared" si="0"/>
        <v>General Service 50 to 1,499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 customHeight="1">
      <c r="A27" s="550"/>
      <c r="B27" s="403"/>
      <c r="C27" s="394" t="str">
        <f t="shared" si="0"/>
        <v>General Service 50 to 1,499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 customHeight="1">
      <c r="A28" s="550"/>
      <c r="B28" s="403"/>
      <c r="C28" s="394" t="str">
        <f t="shared" si="0"/>
        <v>General Service 50 to 1,499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 customHeight="1">
      <c r="A29" s="550"/>
      <c r="B29" s="404" t="s">
        <v>314</v>
      </c>
      <c r="C29" s="405"/>
      <c r="D29" s="405"/>
      <c r="E29" s="405"/>
      <c r="F29" s="406"/>
      <c r="G29" s="499"/>
      <c r="H29" s="408">
        <f>SUM(H15:H28)</f>
        <v>1776.9</v>
      </c>
      <c r="I29" s="409"/>
      <c r="J29" s="406"/>
      <c r="K29" s="499"/>
      <c r="L29" s="408">
        <f>SUM(L15:L28)</f>
        <v>2160.3249999999998</v>
      </c>
      <c r="M29" s="409"/>
      <c r="N29" s="410">
        <f t="shared" si="5"/>
        <v>383.42499999999973</v>
      </c>
      <c r="O29" s="411">
        <f t="shared" si="6"/>
        <v>0.21578310540829518</v>
      </c>
      <c r="P29" s="307"/>
      <c r="Q29" s="406"/>
      <c r="R29" s="499"/>
      <c r="S29" s="408">
        <f>SUM(S15:S28)</f>
        <v>2312.0499999999997</v>
      </c>
      <c r="T29" s="409"/>
      <c r="U29" s="410">
        <f t="shared" si="9"/>
        <v>151.72499999999991</v>
      </c>
      <c r="V29" s="411">
        <f t="shared" si="10"/>
        <v>7.0232488167289608E-2</v>
      </c>
      <c r="W29" s="307"/>
      <c r="X29" s="406"/>
      <c r="Y29" s="499"/>
      <c r="Z29" s="408">
        <f>SUM(Z15:Z28)</f>
        <v>2462.4749999999999</v>
      </c>
      <c r="AA29" s="409"/>
      <c r="AB29" s="410">
        <f t="shared" si="13"/>
        <v>150.42500000000018</v>
      </c>
      <c r="AC29" s="411">
        <f t="shared" si="14"/>
        <v>6.5061309227741698E-2</v>
      </c>
      <c r="AD29" s="307"/>
      <c r="AE29" s="406"/>
      <c r="AF29" s="499"/>
      <c r="AG29" s="408">
        <f>SUM(AG15:AG28)</f>
        <v>2546.2249999999999</v>
      </c>
      <c r="AH29" s="409"/>
      <c r="AI29" s="410">
        <f t="shared" si="17"/>
        <v>83.75</v>
      </c>
      <c r="AJ29" s="411">
        <f t="shared" si="18"/>
        <v>3.4010497568503238E-2</v>
      </c>
      <c r="AK29" s="307"/>
      <c r="AL29" s="406"/>
      <c r="AM29" s="499"/>
      <c r="AN29" s="408">
        <f>SUM(AN15:AN28)</f>
        <v>2622.9500000000003</v>
      </c>
      <c r="AO29" s="409"/>
      <c r="AP29" s="410">
        <f t="shared" si="21"/>
        <v>76.725000000000364</v>
      </c>
      <c r="AQ29" s="411">
        <f t="shared" si="22"/>
        <v>3.0132843719624294E-2</v>
      </c>
      <c r="AR29" s="412"/>
    </row>
    <row r="30" spans="1:44" ht="12" customHeight="1">
      <c r="A30" s="550"/>
      <c r="B30" s="403" t="s">
        <v>237</v>
      </c>
      <c r="C30" s="394" t="str">
        <f t="shared" ref="C30:C38" si="23">D$6&amp;"."&amp;B30</f>
        <v>General Service 50 to 1,499 KW.DVA Disposition Rate Rider Group 1 -2025</v>
      </c>
      <c r="D30" s="395" t="s">
        <v>381</v>
      </c>
      <c r="E30" s="321"/>
      <c r="F30" s="413">
        <f>IFERROR(VLOOKUP($C30,'Proposed Rates'!$B:$J,F$11,FALSE),0)</f>
        <v>0.35310000000000002</v>
      </c>
      <c r="G30" s="414">
        <f t="shared" ref="G30:G36" si="24">IF($D30="Monthly",1,IF($D30="per KW",$F$10,IF($D30="per kWh",$F$9,0)))</f>
        <v>250</v>
      </c>
      <c r="H30" s="399">
        <f t="shared" ref="H30:H38" si="25">G30*F30</f>
        <v>88.275000000000006</v>
      </c>
      <c r="I30" s="132"/>
      <c r="J30" s="413">
        <f>IFERROR(VLOOKUP($C30,'Proposed Rates'!$B:$J,J$11,FALSE),0)</f>
        <v>7.3000000000000001E-3</v>
      </c>
      <c r="K30" s="414">
        <f t="shared" ref="K30:K36" si="26">IF($D30="Monthly",1,IF($D30="per KW",$F$10,IF($D30="per kWh",$F$9,0)))</f>
        <v>250</v>
      </c>
      <c r="L30" s="399">
        <f t="shared" ref="L30:L38" si="27">K30*J30</f>
        <v>1.825</v>
      </c>
      <c r="M30" s="132"/>
      <c r="N30" s="400">
        <f t="shared" si="5"/>
        <v>-86.45</v>
      </c>
      <c r="O30" s="401">
        <f t="shared" si="6"/>
        <v>-0.97932596998017551</v>
      </c>
      <c r="P30" s="52"/>
      <c r="Q30" s="413">
        <f>IFERROR(VLOOKUP($C30,'Proposed Rates'!$B:$J,Q$11,FALSE),0)</f>
        <v>0</v>
      </c>
      <c r="R30" s="414">
        <f t="shared" ref="R30:R36" si="28">IF($D30="Monthly",1,IF($D30="per KW",$F$10,IF($D30="per kWh",$F$9,0)))</f>
        <v>250</v>
      </c>
      <c r="S30" s="399">
        <f t="shared" ref="S30:S38" si="29">R30*Q30</f>
        <v>0</v>
      </c>
      <c r="T30" s="132"/>
      <c r="U30" s="400">
        <f t="shared" si="9"/>
        <v>-1.825</v>
      </c>
      <c r="V30" s="401">
        <f t="shared" si="10"/>
        <v>-1</v>
      </c>
      <c r="W30" s="52"/>
      <c r="X30" s="413">
        <f>IFERROR(VLOOKUP($C30,'Proposed Rates'!$B:$J,X$11,FALSE),0)</f>
        <v>0</v>
      </c>
      <c r="Y30" s="414">
        <f t="shared" ref="Y30:Y36" si="30">IF($D30="Monthly",1,IF($D30="per KW",$F$10,IF($D30="per kWh",$F$9,0)))</f>
        <v>250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250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250</v>
      </c>
      <c r="AN30" s="399">
        <f t="shared" ref="AN30:AN38" si="35">AM30*AL30</f>
        <v>0</v>
      </c>
      <c r="AO30" s="132"/>
      <c r="AP30" s="400">
        <f t="shared" si="21"/>
        <v>0</v>
      </c>
      <c r="AQ30" s="401" t="str">
        <f t="shared" si="22"/>
        <v/>
      </c>
      <c r="AR30" s="402"/>
    </row>
    <row r="31" spans="1:44" ht="12" customHeight="1">
      <c r="A31" s="550"/>
      <c r="B31" s="403" t="s">
        <v>239</v>
      </c>
      <c r="C31" s="394" t="str">
        <f t="shared" si="23"/>
        <v>General Service 50 to 1,499 KW.DVA Disposition Rate Rider Group 1 - 2024</v>
      </c>
      <c r="D31" s="395" t="s">
        <v>381</v>
      </c>
      <c r="E31" s="321"/>
      <c r="F31" s="413">
        <f>IFERROR(VLOOKUP($C31,'Proposed Rates'!$B:$J,F$11,FALSE),0)</f>
        <v>0</v>
      </c>
      <c r="G31" s="414">
        <f t="shared" si="24"/>
        <v>250</v>
      </c>
      <c r="H31" s="399">
        <f t="shared" si="25"/>
        <v>0</v>
      </c>
      <c r="I31" s="132"/>
      <c r="J31" s="413">
        <f>IFERROR(VLOOKUP($C31,'Proposed Rates'!$B:$J,J$11,FALSE),0)</f>
        <v>0</v>
      </c>
      <c r="K31" s="414">
        <f t="shared" si="26"/>
        <v>250</v>
      </c>
      <c r="L31" s="399">
        <f t="shared" si="27"/>
        <v>0</v>
      </c>
      <c r="M31" s="132"/>
      <c r="N31" s="400">
        <f t="shared" si="5"/>
        <v>0</v>
      </c>
      <c r="O31" s="401" t="str">
        <f t="shared" si="6"/>
        <v/>
      </c>
      <c r="P31" s="52"/>
      <c r="Q31" s="413">
        <f>IFERROR(VLOOKUP($C31,'Proposed Rates'!$B:$J,Q$11,FALSE),0)</f>
        <v>0</v>
      </c>
      <c r="R31" s="414">
        <f t="shared" si="28"/>
        <v>250</v>
      </c>
      <c r="S31" s="399">
        <f t="shared" si="29"/>
        <v>0</v>
      </c>
      <c r="T31" s="132"/>
      <c r="U31" s="400">
        <f t="shared" si="9"/>
        <v>0</v>
      </c>
      <c r="V31" s="401" t="str">
        <f t="shared" si="10"/>
        <v/>
      </c>
      <c r="W31" s="52"/>
      <c r="X31" s="413">
        <f>IFERROR(VLOOKUP($C31,'Proposed Rates'!$B:$J,X$11,FALSE),0)</f>
        <v>0</v>
      </c>
      <c r="Y31" s="414">
        <f t="shared" si="30"/>
        <v>250</v>
      </c>
      <c r="Z31" s="399">
        <f t="shared" si="31"/>
        <v>0</v>
      </c>
      <c r="AA31" s="132"/>
      <c r="AB31" s="400">
        <f t="shared" si="13"/>
        <v>0</v>
      </c>
      <c r="AC31" s="401" t="str">
        <f t="shared" si="14"/>
        <v/>
      </c>
      <c r="AD31" s="52"/>
      <c r="AE31" s="413">
        <f>IFERROR(VLOOKUP($C31,'Proposed Rates'!$B:$J,AE$11,FALSE),0)</f>
        <v>0</v>
      </c>
      <c r="AF31" s="414">
        <f t="shared" si="32"/>
        <v>250</v>
      </c>
      <c r="AG31" s="399">
        <f t="shared" si="33"/>
        <v>0</v>
      </c>
      <c r="AH31" s="132"/>
      <c r="AI31" s="400">
        <f t="shared" si="17"/>
        <v>0</v>
      </c>
      <c r="AJ31" s="401" t="str">
        <f t="shared" si="18"/>
        <v/>
      </c>
      <c r="AK31" s="52"/>
      <c r="AL31" s="413">
        <f>IFERROR(VLOOKUP($C31,'Proposed Rates'!$B:$J,AL$11,FALSE),0)</f>
        <v>0</v>
      </c>
      <c r="AM31" s="414">
        <f t="shared" si="34"/>
        <v>250</v>
      </c>
      <c r="AN31" s="399">
        <f t="shared" si="35"/>
        <v>0</v>
      </c>
      <c r="AO31" s="132"/>
      <c r="AP31" s="400">
        <f t="shared" si="21"/>
        <v>0</v>
      </c>
      <c r="AQ31" s="401" t="str">
        <f t="shared" si="22"/>
        <v/>
      </c>
      <c r="AR31" s="402"/>
    </row>
    <row r="32" spans="1:44" ht="12" customHeight="1">
      <c r="A32" s="550"/>
      <c r="B32" s="403" t="s">
        <v>247</v>
      </c>
      <c r="C32" s="394" t="str">
        <f t="shared" si="23"/>
        <v>General Service 50 to 1,499 KW.CBR Class B Rate Riders</v>
      </c>
      <c r="D32" s="395" t="s">
        <v>312</v>
      </c>
      <c r="E32" s="321"/>
      <c r="F32" s="413">
        <f>IFERROR(VLOOKUP($C32,'Proposed Rates'!$B:$J,F$11,FALSE),0)</f>
        <v>2.0000000000000001E-4</v>
      </c>
      <c r="G32" s="414">
        <f t="shared" si="24"/>
        <v>127750</v>
      </c>
      <c r="H32" s="399">
        <f t="shared" si="25"/>
        <v>25.55</v>
      </c>
      <c r="I32" s="484"/>
      <c r="J32" s="413">
        <f>IFERROR(VLOOKUP($C32,'Proposed Rates'!$B:$J,J$11,FALSE),0)</f>
        <v>4.0000000000000002E-4</v>
      </c>
      <c r="K32" s="414">
        <f t="shared" si="26"/>
        <v>127750</v>
      </c>
      <c r="L32" s="399">
        <f t="shared" si="27"/>
        <v>51.1</v>
      </c>
      <c r="M32" s="416"/>
      <c r="N32" s="400">
        <f t="shared" si="5"/>
        <v>25.55</v>
      </c>
      <c r="O32" s="401">
        <f t="shared" si="6"/>
        <v>1</v>
      </c>
      <c r="P32" s="52"/>
      <c r="Q32" s="413">
        <f>IFERROR(VLOOKUP($C32,'Proposed Rates'!$B:$J,Q$11,FALSE),0)</f>
        <v>0</v>
      </c>
      <c r="R32" s="414">
        <f t="shared" si="28"/>
        <v>127750</v>
      </c>
      <c r="S32" s="399">
        <f t="shared" si="29"/>
        <v>0</v>
      </c>
      <c r="T32" s="416"/>
      <c r="U32" s="400">
        <f t="shared" si="9"/>
        <v>-51.1</v>
      </c>
      <c r="V32" s="401">
        <f t="shared" si="10"/>
        <v>-1</v>
      </c>
      <c r="W32" s="52"/>
      <c r="X32" s="413">
        <f>IFERROR(VLOOKUP($C32,'Proposed Rates'!$B:$J,X$11,FALSE),0)</f>
        <v>0</v>
      </c>
      <c r="Y32" s="414">
        <f t="shared" si="30"/>
        <v>127750</v>
      </c>
      <c r="Z32" s="399">
        <f t="shared" si="31"/>
        <v>0</v>
      </c>
      <c r="AA32" s="132"/>
      <c r="AB32" s="400">
        <f t="shared" si="13"/>
        <v>0</v>
      </c>
      <c r="AC32" s="401" t="str">
        <f t="shared" si="14"/>
        <v/>
      </c>
      <c r="AD32" s="52"/>
      <c r="AE32" s="413">
        <f>IFERROR(VLOOKUP($C32,'Proposed Rates'!$B:$J,AE$11,FALSE),0)</f>
        <v>0</v>
      </c>
      <c r="AF32" s="414">
        <f t="shared" si="32"/>
        <v>127750</v>
      </c>
      <c r="AG32" s="399">
        <f t="shared" si="33"/>
        <v>0</v>
      </c>
      <c r="AH32" s="132"/>
      <c r="AI32" s="400">
        <f t="shared" si="17"/>
        <v>0</v>
      </c>
      <c r="AJ32" s="401" t="str">
        <f t="shared" si="18"/>
        <v/>
      </c>
      <c r="AK32" s="52"/>
      <c r="AL32" s="413">
        <f>IFERROR(VLOOKUP($C32,'Proposed Rates'!$B:$J,AL$11,FALSE),0)</f>
        <v>0</v>
      </c>
      <c r="AM32" s="414">
        <f t="shared" si="34"/>
        <v>127750</v>
      </c>
      <c r="AN32" s="399">
        <f t="shared" si="35"/>
        <v>0</v>
      </c>
      <c r="AO32" s="416"/>
      <c r="AP32" s="400">
        <f t="shared" si="21"/>
        <v>0</v>
      </c>
      <c r="AQ32" s="401" t="str">
        <f t="shared" si="22"/>
        <v/>
      </c>
      <c r="AR32" s="402"/>
    </row>
    <row r="33" spans="1:44" ht="12" customHeight="1">
      <c r="A33" s="550"/>
      <c r="B33" s="403" t="s">
        <v>252</v>
      </c>
      <c r="C33" s="394" t="str">
        <f t="shared" si="23"/>
        <v>General Service 50 to 1,499 KW.GA Rate Riders</v>
      </c>
      <c r="D33" s="395" t="s">
        <v>312</v>
      </c>
      <c r="E33" s="321"/>
      <c r="F33" s="413">
        <f>IFERROR(VLOOKUP($C33,'Proposed Rates'!$B:$J,F$11,FALSE),0)</f>
        <v>3.8999999999999998E-3</v>
      </c>
      <c r="G33" s="414">
        <f t="shared" si="24"/>
        <v>127750</v>
      </c>
      <c r="H33" s="399">
        <f t="shared" si="25"/>
        <v>498.22499999999997</v>
      </c>
      <c r="I33" s="484"/>
      <c r="J33" s="413">
        <f>IFERROR(VLOOKUP($C33,'Proposed Rates'!$B:$J,J$11,FALSE),0)</f>
        <v>4.4000000000000003E-3</v>
      </c>
      <c r="K33" s="414">
        <f t="shared" si="26"/>
        <v>127750</v>
      </c>
      <c r="L33" s="399">
        <f t="shared" si="27"/>
        <v>562.1</v>
      </c>
      <c r="M33" s="416"/>
      <c r="N33" s="400">
        <f t="shared" si="5"/>
        <v>63.875000000000057</v>
      </c>
      <c r="O33" s="401">
        <f t="shared" si="6"/>
        <v>0.12820512820512833</v>
      </c>
      <c r="P33" s="52"/>
      <c r="Q33" s="413">
        <f>IFERROR(VLOOKUP($C33,'Proposed Rates'!$B:$J,Q$11,FALSE),0)</f>
        <v>0</v>
      </c>
      <c r="R33" s="414">
        <f t="shared" si="28"/>
        <v>127750</v>
      </c>
      <c r="S33" s="399">
        <f t="shared" si="29"/>
        <v>0</v>
      </c>
      <c r="T33" s="416"/>
      <c r="U33" s="400">
        <f t="shared" si="9"/>
        <v>-562.1</v>
      </c>
      <c r="V33" s="401">
        <f t="shared" si="10"/>
        <v>-1</v>
      </c>
      <c r="W33" s="52"/>
      <c r="X33" s="413">
        <f>IFERROR(VLOOKUP($C33,'Proposed Rates'!$B:$J,X$11,FALSE),0)</f>
        <v>0</v>
      </c>
      <c r="Y33" s="414">
        <f t="shared" si="30"/>
        <v>127750</v>
      </c>
      <c r="Z33" s="399">
        <f t="shared" si="31"/>
        <v>0</v>
      </c>
      <c r="AA33" s="416"/>
      <c r="AB33" s="400">
        <f t="shared" si="13"/>
        <v>0</v>
      </c>
      <c r="AC33" s="401" t="str">
        <f t="shared" si="14"/>
        <v/>
      </c>
      <c r="AD33" s="52"/>
      <c r="AE33" s="413">
        <f>IFERROR(VLOOKUP($C33,'Proposed Rates'!$B:$J,AE$11,FALSE),0)</f>
        <v>0</v>
      </c>
      <c r="AF33" s="414">
        <f t="shared" si="32"/>
        <v>127750</v>
      </c>
      <c r="AG33" s="399">
        <f t="shared" si="33"/>
        <v>0</v>
      </c>
      <c r="AH33" s="416"/>
      <c r="AI33" s="400">
        <f t="shared" si="17"/>
        <v>0</v>
      </c>
      <c r="AJ33" s="401" t="str">
        <f t="shared" si="18"/>
        <v/>
      </c>
      <c r="AK33" s="52"/>
      <c r="AL33" s="413">
        <f>IFERROR(VLOOKUP($C33,'Proposed Rates'!$B:$J,AL$11,FALSE),0)</f>
        <v>0</v>
      </c>
      <c r="AM33" s="414">
        <f t="shared" si="34"/>
        <v>127750</v>
      </c>
      <c r="AN33" s="399">
        <f t="shared" si="35"/>
        <v>0</v>
      </c>
      <c r="AO33" s="416"/>
      <c r="AP33" s="400">
        <f t="shared" si="21"/>
        <v>0</v>
      </c>
      <c r="AQ33" s="401" t="str">
        <f t="shared" si="22"/>
        <v/>
      </c>
      <c r="AR33" s="402"/>
    </row>
    <row r="34" spans="1:44" ht="12" customHeight="1">
      <c r="A34" s="550"/>
      <c r="B34" s="403" t="s">
        <v>255</v>
      </c>
      <c r="C34" s="394" t="str">
        <f t="shared" si="23"/>
        <v>General Service 50 to 1,499 KW.Total Deferral/Variance Account Rate RidersYr2</v>
      </c>
      <c r="D34" s="395" t="s">
        <v>381</v>
      </c>
      <c r="E34" s="321"/>
      <c r="F34" s="413">
        <f>IFERROR(VLOOKUP($C34,'Proposed Rates'!$B:$J,F$11,FALSE),0)</f>
        <v>-0.30499999999999999</v>
      </c>
      <c r="G34" s="414">
        <f t="shared" si="24"/>
        <v>250</v>
      </c>
      <c r="H34" s="399">
        <f t="shared" si="25"/>
        <v>-76.25</v>
      </c>
      <c r="I34" s="484"/>
      <c r="J34" s="413">
        <f>IFERROR(VLOOKUP($C34,'Proposed Rates'!$B:$J,J$11,FALSE),0)</f>
        <v>-0.21779999999999999</v>
      </c>
      <c r="K34" s="414">
        <f t="shared" si="26"/>
        <v>250</v>
      </c>
      <c r="L34" s="399">
        <f t="shared" si="27"/>
        <v>-54.449999999999996</v>
      </c>
      <c r="M34" s="416"/>
      <c r="N34" s="400">
        <f t="shared" si="5"/>
        <v>21.800000000000004</v>
      </c>
      <c r="O34" s="401">
        <f t="shared" si="6"/>
        <v>-0.28590163934426233</v>
      </c>
      <c r="P34" s="52"/>
      <c r="Q34" s="413">
        <f>IFERROR(VLOOKUP($C34,'Proposed Rates'!$B:$J,Q$11,FALSE),0)</f>
        <v>0</v>
      </c>
      <c r="R34" s="414">
        <f t="shared" si="28"/>
        <v>250</v>
      </c>
      <c r="S34" s="399">
        <f t="shared" si="29"/>
        <v>0</v>
      </c>
      <c r="T34" s="416"/>
      <c r="U34" s="400">
        <f t="shared" si="9"/>
        <v>54.449999999999996</v>
      </c>
      <c r="V34" s="401">
        <f t="shared" si="10"/>
        <v>-1</v>
      </c>
      <c r="W34" s="52"/>
      <c r="X34" s="413">
        <f>IFERROR(VLOOKUP($C34,'Proposed Rates'!$B:$J,X$11,FALSE),0)</f>
        <v>0</v>
      </c>
      <c r="Y34" s="414">
        <f t="shared" si="30"/>
        <v>250</v>
      </c>
      <c r="Z34" s="399">
        <f t="shared" si="31"/>
        <v>0</v>
      </c>
      <c r="AA34" s="416"/>
      <c r="AB34" s="400">
        <f t="shared" si="13"/>
        <v>0</v>
      </c>
      <c r="AC34" s="401" t="str">
        <f t="shared" si="14"/>
        <v/>
      </c>
      <c r="AD34" s="52"/>
      <c r="AE34" s="413">
        <f>IFERROR(VLOOKUP($C34,'Proposed Rates'!$B:$J,AE$11,FALSE),0)</f>
        <v>0</v>
      </c>
      <c r="AF34" s="414">
        <f t="shared" si="32"/>
        <v>250</v>
      </c>
      <c r="AG34" s="399">
        <f t="shared" si="33"/>
        <v>0</v>
      </c>
      <c r="AH34" s="416"/>
      <c r="AI34" s="400">
        <f t="shared" si="17"/>
        <v>0</v>
      </c>
      <c r="AJ34" s="401" t="str">
        <f t="shared" si="18"/>
        <v/>
      </c>
      <c r="AK34" s="52"/>
      <c r="AL34" s="413">
        <f>IFERROR(VLOOKUP($C34,'Proposed Rates'!$B:$J,AL$11,FALSE),0)</f>
        <v>0</v>
      </c>
      <c r="AM34" s="414">
        <f t="shared" si="34"/>
        <v>250</v>
      </c>
      <c r="AN34" s="399">
        <f t="shared" si="35"/>
        <v>0</v>
      </c>
      <c r="AO34" s="416"/>
      <c r="AP34" s="400">
        <f t="shared" si="21"/>
        <v>0</v>
      </c>
      <c r="AQ34" s="401" t="str">
        <f t="shared" si="22"/>
        <v/>
      </c>
      <c r="AR34" s="402"/>
    </row>
    <row r="35" spans="1:44" ht="12" customHeight="1">
      <c r="A35" s="550"/>
      <c r="B35" s="403" t="s">
        <v>257</v>
      </c>
      <c r="C35" s="394" t="str">
        <f t="shared" si="23"/>
        <v>General Service 50 to 1,499 KW.Total Deferral/Variance Account Rate Riders</v>
      </c>
      <c r="D35" s="395" t="s">
        <v>381</v>
      </c>
      <c r="E35" s="321"/>
      <c r="F35" s="413">
        <f>IFERROR(VLOOKUP($C35,'Proposed Rates'!$B:$J,F$11,FALSE),0)</f>
        <v>0</v>
      </c>
      <c r="G35" s="414">
        <f t="shared" si="24"/>
        <v>250</v>
      </c>
      <c r="H35" s="399">
        <f t="shared" si="25"/>
        <v>0</v>
      </c>
      <c r="I35" s="132"/>
      <c r="J35" s="413">
        <f>IFERROR(VLOOKUP($C35,'Proposed Rates'!$B:$J,J$11,FALSE),0)</f>
        <v>0</v>
      </c>
      <c r="K35" s="414">
        <f t="shared" si="26"/>
        <v>250</v>
      </c>
      <c r="L35" s="399">
        <f t="shared" si="27"/>
        <v>0</v>
      </c>
      <c r="M35" s="132"/>
      <c r="N35" s="400">
        <f t="shared" si="5"/>
        <v>0</v>
      </c>
      <c r="O35" s="401" t="str">
        <f t="shared" si="6"/>
        <v/>
      </c>
      <c r="P35" s="52"/>
      <c r="Q35" s="413">
        <f>IFERROR(VLOOKUP($C35,'Proposed Rates'!$B:$J,Q$11,FALSE),0)</f>
        <v>0</v>
      </c>
      <c r="R35" s="414">
        <f t="shared" si="28"/>
        <v>250</v>
      </c>
      <c r="S35" s="399">
        <f t="shared" si="29"/>
        <v>0</v>
      </c>
      <c r="T35" s="132"/>
      <c r="U35" s="400">
        <f t="shared" si="9"/>
        <v>0</v>
      </c>
      <c r="V35" s="401" t="str">
        <f t="shared" si="10"/>
        <v/>
      </c>
      <c r="W35" s="52"/>
      <c r="X35" s="413">
        <f>IFERROR(VLOOKUP($C35,'Proposed Rates'!$B:$J,X$11,FALSE),0)</f>
        <v>0</v>
      </c>
      <c r="Y35" s="414">
        <f t="shared" si="30"/>
        <v>250</v>
      </c>
      <c r="Z35" s="399">
        <f t="shared" si="31"/>
        <v>0</v>
      </c>
      <c r="AA35" s="132"/>
      <c r="AB35" s="400"/>
      <c r="AC35" s="401"/>
      <c r="AD35" s="52"/>
      <c r="AE35" s="413">
        <f>IFERROR(VLOOKUP($C35,'Proposed Rates'!$B:$J,AE$11,FALSE),0)</f>
        <v>0</v>
      </c>
      <c r="AF35" s="414">
        <f t="shared" si="32"/>
        <v>250</v>
      </c>
      <c r="AG35" s="399">
        <f t="shared" si="33"/>
        <v>0</v>
      </c>
      <c r="AH35" s="132"/>
      <c r="AI35" s="400">
        <f t="shared" si="17"/>
        <v>0</v>
      </c>
      <c r="AJ35" s="401" t="str">
        <f t="shared" si="18"/>
        <v/>
      </c>
      <c r="AK35" s="52"/>
      <c r="AL35" s="413">
        <f>IFERROR(VLOOKUP($C35,'Proposed Rates'!$B:$J,AL$11,FALSE),0)</f>
        <v>0</v>
      </c>
      <c r="AM35" s="414">
        <f t="shared" si="34"/>
        <v>250</v>
      </c>
      <c r="AN35" s="399">
        <f t="shared" si="35"/>
        <v>0</v>
      </c>
      <c r="AO35" s="132"/>
      <c r="AP35" s="400">
        <f t="shared" si="21"/>
        <v>0</v>
      </c>
      <c r="AQ35" s="401" t="str">
        <f t="shared" si="22"/>
        <v/>
      </c>
      <c r="AR35" s="402"/>
    </row>
    <row r="36" spans="1:44" ht="12" customHeight="1">
      <c r="A36" s="550"/>
      <c r="B36" s="321" t="s">
        <v>273</v>
      </c>
      <c r="C36" s="394" t="str">
        <f t="shared" si="23"/>
        <v>General Service 50 to 1,499 KW.Low Voltage Service Charge</v>
      </c>
      <c r="D36" s="395" t="s">
        <v>381</v>
      </c>
      <c r="E36" s="321"/>
      <c r="F36" s="413">
        <f>IFERROR(VLOOKUP($C36,'Proposed Rates'!$B:$J,F$11,FALSE),0)</f>
        <v>2.0629999999999999E-2</v>
      </c>
      <c r="G36" s="414">
        <f t="shared" si="24"/>
        <v>250</v>
      </c>
      <c r="H36" s="399">
        <f t="shared" si="25"/>
        <v>5.1574999999999998</v>
      </c>
      <c r="I36" s="132"/>
      <c r="J36" s="413">
        <f>IFERROR(VLOOKUP($C36,'Proposed Rates'!$B:$J,J$11,FALSE),0)</f>
        <v>2.332E-2</v>
      </c>
      <c r="K36" s="414">
        <f t="shared" si="26"/>
        <v>250</v>
      </c>
      <c r="L36" s="399">
        <f t="shared" si="27"/>
        <v>5.83</v>
      </c>
      <c r="M36" s="132"/>
      <c r="N36" s="400">
        <f t="shared" si="5"/>
        <v>0.67250000000000032</v>
      </c>
      <c r="O36" s="401">
        <f t="shared" si="6"/>
        <v>0.13039263208919058</v>
      </c>
      <c r="P36" s="52"/>
      <c r="Q36" s="413">
        <f>IFERROR(VLOOKUP($C36,'Proposed Rates'!$B:$J,Q$11,FALSE),0)</f>
        <v>2.392E-2</v>
      </c>
      <c r="R36" s="414">
        <f t="shared" si="28"/>
        <v>250</v>
      </c>
      <c r="S36" s="399">
        <f t="shared" si="29"/>
        <v>5.98</v>
      </c>
      <c r="T36" s="132"/>
      <c r="U36" s="400">
        <f t="shared" si="9"/>
        <v>0.15000000000000036</v>
      </c>
      <c r="V36" s="401">
        <f t="shared" si="10"/>
        <v>2.5728987993138996E-2</v>
      </c>
      <c r="W36" s="52"/>
      <c r="X36" s="413">
        <f>IFERROR(VLOOKUP($C36,'Proposed Rates'!$B:$J,X$11,FALSE),0)</f>
        <v>2.4209999999999999E-2</v>
      </c>
      <c r="Y36" s="414">
        <f t="shared" si="30"/>
        <v>250</v>
      </c>
      <c r="Z36" s="399">
        <f t="shared" si="31"/>
        <v>6.0524999999999993</v>
      </c>
      <c r="AA36" s="132"/>
      <c r="AB36" s="400">
        <f t="shared" ref="AB36:AB46" si="36">Z36-S36</f>
        <v>7.2499999999998899E-2</v>
      </c>
      <c r="AC36" s="401">
        <f t="shared" ref="AC36:AC46" si="37">IF((S36)=0,"",(AB36/S36))</f>
        <v>1.2123745819397808E-2</v>
      </c>
      <c r="AD36" s="52"/>
      <c r="AE36" s="413">
        <f>IFERROR(VLOOKUP($C36,'Proposed Rates'!$B:$J,AE$11,FALSE),0)</f>
        <v>2.46E-2</v>
      </c>
      <c r="AF36" s="414">
        <f t="shared" si="32"/>
        <v>250</v>
      </c>
      <c r="AG36" s="399">
        <f t="shared" si="33"/>
        <v>6.15</v>
      </c>
      <c r="AH36" s="132"/>
      <c r="AI36" s="400">
        <f t="shared" si="17"/>
        <v>9.750000000000103E-2</v>
      </c>
      <c r="AJ36" s="401">
        <f t="shared" si="18"/>
        <v>1.6109045848822973E-2</v>
      </c>
      <c r="AK36" s="52"/>
      <c r="AL36" s="413">
        <f>IFERROR(VLOOKUP($C36,'Proposed Rates'!$B:$J,AL$11,FALSE),0)</f>
        <v>2.504E-2</v>
      </c>
      <c r="AM36" s="414">
        <f t="shared" si="34"/>
        <v>250</v>
      </c>
      <c r="AN36" s="399">
        <f t="shared" si="35"/>
        <v>6.26</v>
      </c>
      <c r="AO36" s="132"/>
      <c r="AP36" s="400">
        <f t="shared" si="21"/>
        <v>0.10999999999999943</v>
      </c>
      <c r="AQ36" s="401">
        <f t="shared" si="22"/>
        <v>1.7886178861788525E-2</v>
      </c>
      <c r="AR36" s="402"/>
    </row>
    <row r="37" spans="1:44" ht="12" customHeight="1">
      <c r="A37" s="550"/>
      <c r="B37" s="321" t="s">
        <v>316</v>
      </c>
      <c r="C37" s="394" t="str">
        <f t="shared" si="23"/>
        <v>General Service 50 to 1,499 KW.Line Losses on Cost of Power</v>
      </c>
      <c r="D37" s="395" t="s">
        <v>312</v>
      </c>
      <c r="E37" s="321"/>
      <c r="F37" s="429"/>
      <c r="G37" s="420">
        <f>$F$9*(1+F$65)-$F$9</f>
        <v>4317.9500000000116</v>
      </c>
      <c r="H37" s="399">
        <f t="shared" si="25"/>
        <v>0</v>
      </c>
      <c r="I37" s="132"/>
      <c r="J37" s="429"/>
      <c r="K37" s="420">
        <f>$F$9*(1+J$65)-$F$9</f>
        <v>4241.2999999999884</v>
      </c>
      <c r="L37" s="399">
        <f t="shared" si="27"/>
        <v>0</v>
      </c>
      <c r="M37" s="132"/>
      <c r="N37" s="400">
        <f t="shared" si="5"/>
        <v>0</v>
      </c>
      <c r="O37" s="401" t="str">
        <f t="shared" si="6"/>
        <v/>
      </c>
      <c r="P37" s="52"/>
      <c r="Q37" s="429"/>
      <c r="R37" s="420">
        <f>$F$9*(1+Q$65)-$F$9</f>
        <v>4241.2999999999884</v>
      </c>
      <c r="S37" s="399">
        <f t="shared" si="29"/>
        <v>0</v>
      </c>
      <c r="T37" s="132"/>
      <c r="U37" s="400">
        <f t="shared" si="9"/>
        <v>0</v>
      </c>
      <c r="V37" s="401" t="str">
        <f t="shared" si="10"/>
        <v/>
      </c>
      <c r="W37" s="52"/>
      <c r="X37" s="429"/>
      <c r="Y37" s="420">
        <f>$F$9*(1+X$65)-$F$9</f>
        <v>4241.2999999999884</v>
      </c>
      <c r="Z37" s="399">
        <f t="shared" si="31"/>
        <v>0</v>
      </c>
      <c r="AA37" s="132"/>
      <c r="AB37" s="400">
        <f t="shared" si="36"/>
        <v>0</v>
      </c>
      <c r="AC37" s="401" t="str">
        <f t="shared" si="37"/>
        <v/>
      </c>
      <c r="AD37" s="52"/>
      <c r="AE37" s="429"/>
      <c r="AF37" s="420">
        <f>$F$9*(1+AE$65)-$F$9</f>
        <v>4241.2999999999884</v>
      </c>
      <c r="AG37" s="399">
        <f t="shared" si="33"/>
        <v>0</v>
      </c>
      <c r="AH37" s="132"/>
      <c r="AI37" s="400">
        <f t="shared" si="17"/>
        <v>0</v>
      </c>
      <c r="AJ37" s="401" t="str">
        <f t="shared" si="18"/>
        <v/>
      </c>
      <c r="AK37" s="52"/>
      <c r="AL37" s="429"/>
      <c r="AM37" s="420">
        <f>$F$9*(1+AL$65)-$F$9</f>
        <v>4241.2999999999884</v>
      </c>
      <c r="AN37" s="399">
        <f t="shared" si="35"/>
        <v>0</v>
      </c>
      <c r="AO37" s="132"/>
      <c r="AP37" s="400">
        <f t="shared" si="21"/>
        <v>0</v>
      </c>
      <c r="AQ37" s="401" t="str">
        <f t="shared" si="22"/>
        <v/>
      </c>
      <c r="AR37" s="402"/>
    </row>
    <row r="38" spans="1:44" ht="12" customHeight="1">
      <c r="A38" s="550"/>
      <c r="B38" s="321" t="s">
        <v>275</v>
      </c>
      <c r="C38" s="394" t="str">
        <f t="shared" si="23"/>
        <v>General Service 50 to 1,499 KW.Smart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36"/>
        <v>0</v>
      </c>
      <c r="AC38" s="401" t="str">
        <f t="shared" si="37"/>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row>
    <row r="39" spans="1:44" ht="12" customHeight="1">
      <c r="A39" s="550"/>
      <c r="B39" s="404" t="s">
        <v>317</v>
      </c>
      <c r="C39" s="421"/>
      <c r="D39" s="421"/>
      <c r="E39" s="421"/>
      <c r="F39" s="422"/>
      <c r="G39" s="500"/>
      <c r="H39" s="408">
        <f>SUM(H30:H38)+H29</f>
        <v>2317.8575000000001</v>
      </c>
      <c r="I39" s="424"/>
      <c r="J39" s="422"/>
      <c r="K39" s="500"/>
      <c r="L39" s="408">
        <f>SUM(L30:L38)+L29</f>
        <v>2726.7299999999996</v>
      </c>
      <c r="M39" s="424"/>
      <c r="N39" s="410">
        <f t="shared" si="5"/>
        <v>408.87249999999949</v>
      </c>
      <c r="O39" s="411">
        <f t="shared" si="6"/>
        <v>0.17640105140199494</v>
      </c>
      <c r="P39" s="52"/>
      <c r="Q39" s="422"/>
      <c r="R39" s="500"/>
      <c r="S39" s="408">
        <f>SUM(S30:S38)+S29</f>
        <v>2318.0299999999997</v>
      </c>
      <c r="T39" s="424"/>
      <c r="U39" s="410">
        <f t="shared" si="9"/>
        <v>-408.69999999999982</v>
      </c>
      <c r="V39" s="411">
        <f t="shared" si="10"/>
        <v>-0.14988649407898835</v>
      </c>
      <c r="W39" s="52"/>
      <c r="X39" s="422"/>
      <c r="Y39" s="500"/>
      <c r="Z39" s="408">
        <f>SUM(Z30:Z38)+Z29</f>
        <v>2468.5274999999997</v>
      </c>
      <c r="AA39" s="424"/>
      <c r="AB39" s="410">
        <f t="shared" si="36"/>
        <v>150.49749999999995</v>
      </c>
      <c r="AC39" s="411">
        <f t="shared" si="37"/>
        <v>6.4924742130170868E-2</v>
      </c>
      <c r="AD39" s="52"/>
      <c r="AE39" s="422"/>
      <c r="AF39" s="500"/>
      <c r="AG39" s="408">
        <f>SUM(AG30:AG38)+AG29</f>
        <v>2552.375</v>
      </c>
      <c r="AH39" s="424"/>
      <c r="AI39" s="410">
        <f t="shared" si="17"/>
        <v>83.847500000000309</v>
      </c>
      <c r="AJ39" s="411">
        <f t="shared" si="18"/>
        <v>3.3966605597871735E-2</v>
      </c>
      <c r="AK39" s="52"/>
      <c r="AL39" s="422"/>
      <c r="AM39" s="500"/>
      <c r="AN39" s="408">
        <f>SUM(AN30:AN38)+AN29</f>
        <v>2629.2100000000005</v>
      </c>
      <c r="AO39" s="424"/>
      <c r="AP39" s="410">
        <f t="shared" si="21"/>
        <v>76.835000000000491</v>
      </c>
      <c r="AQ39" s="411">
        <f t="shared" si="22"/>
        <v>3.0103335129046668E-2</v>
      </c>
      <c r="AR39" s="412"/>
    </row>
    <row r="40" spans="1:44" ht="12" customHeight="1">
      <c r="A40" s="550"/>
      <c r="B40" s="132" t="s">
        <v>258</v>
      </c>
      <c r="C40" s="394" t="str">
        <f t="shared" ref="C40:C41" si="38">D$6&amp;"."&amp;B40</f>
        <v>General Service 50 to 1,499 KW.RTSR - Network</v>
      </c>
      <c r="D40" s="425" t="s">
        <v>381</v>
      </c>
      <c r="E40" s="132"/>
      <c r="F40" s="413">
        <f>IFERROR(VLOOKUP($C40,'Proposed Rates'!$B:$J,F$11,FALSE),0)</f>
        <v>4.8479999999999999</v>
      </c>
      <c r="G40" s="414">
        <f t="shared" ref="G40:G41" si="39">IF($D40="Monthly",1,IF($D40="per KW",$F$10,IF($D40="per kWh",$F$9,0)))</f>
        <v>250</v>
      </c>
      <c r="H40" s="399">
        <f t="shared" ref="H40:H41" si="40">G40*F40</f>
        <v>1212</v>
      </c>
      <c r="I40" s="132"/>
      <c r="J40" s="413">
        <f>IFERROR(VLOOKUP($C40,'Proposed Rates'!$B:$J,J$11,FALSE),0)</f>
        <v>4.5787000000000004</v>
      </c>
      <c r="K40" s="414">
        <f t="shared" ref="K40:K41" si="41">IF($D40="Monthly",1,IF($D40="per KW",$F$10,IF($D40="per kWh",$F$9,0)))</f>
        <v>250</v>
      </c>
      <c r="L40" s="399">
        <f t="shared" ref="L40:L41" si="42">K40*J40</f>
        <v>1144.6750000000002</v>
      </c>
      <c r="M40" s="132"/>
      <c r="N40" s="400">
        <f t="shared" si="5"/>
        <v>-67.324999999999818</v>
      </c>
      <c r="O40" s="401">
        <f t="shared" si="6"/>
        <v>-5.5548679867986651E-2</v>
      </c>
      <c r="P40" s="52"/>
      <c r="Q40" s="413">
        <f>IFERROR(VLOOKUP($C40,'Proposed Rates'!$B:$J,Q$11,FALSE),0)</f>
        <v>4.5787000000000004</v>
      </c>
      <c r="R40" s="414">
        <f t="shared" ref="R40:R41" si="43">IF($D40="Monthly",1,IF($D40="per KW",$F$10,IF($D40="per kWh",$F$9,0)))</f>
        <v>250</v>
      </c>
      <c r="S40" s="399">
        <f t="shared" ref="S40:S41" si="44">R40*Q40</f>
        <v>1144.6750000000002</v>
      </c>
      <c r="T40" s="132"/>
      <c r="U40" s="400">
        <f t="shared" si="9"/>
        <v>0</v>
      </c>
      <c r="V40" s="401">
        <f t="shared" si="10"/>
        <v>0</v>
      </c>
      <c r="W40" s="52"/>
      <c r="X40" s="413">
        <f>IFERROR(VLOOKUP($C40,'Proposed Rates'!$B:$J,X$11,FALSE),0)</f>
        <v>4.5787000000000004</v>
      </c>
      <c r="Y40" s="414">
        <f t="shared" ref="Y40:Y41" si="45">IF($D40="Monthly",1,IF($D40="per KW",$F$10,IF($D40="per kWh",$F$9,0)))</f>
        <v>250</v>
      </c>
      <c r="Z40" s="399">
        <f t="shared" ref="Z40:Z41" si="46">Y40*X40</f>
        <v>1144.6750000000002</v>
      </c>
      <c r="AA40" s="132"/>
      <c r="AB40" s="400">
        <f t="shared" si="36"/>
        <v>0</v>
      </c>
      <c r="AC40" s="401">
        <f t="shared" si="37"/>
        <v>0</v>
      </c>
      <c r="AD40" s="52"/>
      <c r="AE40" s="413">
        <f>IFERROR(VLOOKUP($C40,'Proposed Rates'!$B:$J,AE$11,FALSE),0)</f>
        <v>4.5787000000000004</v>
      </c>
      <c r="AF40" s="414">
        <f t="shared" ref="AF40:AF41" si="47">IF($D40="Monthly",1,IF($D40="per KW",$F$10,IF($D40="per kWh",$F$9,0)))</f>
        <v>250</v>
      </c>
      <c r="AG40" s="399">
        <f t="shared" ref="AG40:AG41" si="48">AF40*AE40</f>
        <v>1144.6750000000002</v>
      </c>
      <c r="AH40" s="132"/>
      <c r="AI40" s="400">
        <f t="shared" si="17"/>
        <v>0</v>
      </c>
      <c r="AJ40" s="401">
        <f t="shared" si="18"/>
        <v>0</v>
      </c>
      <c r="AK40" s="52"/>
      <c r="AL40" s="413">
        <f>IFERROR(VLOOKUP($C40,'Proposed Rates'!$B:$J,AL$11,FALSE),0)</f>
        <v>4.5787000000000004</v>
      </c>
      <c r="AM40" s="414">
        <f t="shared" ref="AM40:AM41" si="49">IF($D40="Monthly",1,IF($D40="per KW",$F$10,IF($D40="per kWh",$F$9,0)))</f>
        <v>250</v>
      </c>
      <c r="AN40" s="399">
        <f t="shared" ref="AN40:AN41" si="50">AM40*AL40</f>
        <v>1144.6750000000002</v>
      </c>
      <c r="AO40" s="132"/>
      <c r="AP40" s="400">
        <f t="shared" si="21"/>
        <v>0</v>
      </c>
      <c r="AQ40" s="401">
        <f t="shared" si="22"/>
        <v>0</v>
      </c>
      <c r="AR40" s="402"/>
    </row>
    <row r="41" spans="1:44" ht="12" customHeight="1">
      <c r="A41" s="550"/>
      <c r="B41" s="132" t="s">
        <v>261</v>
      </c>
      <c r="C41" s="394" t="str">
        <f t="shared" si="38"/>
        <v>General Service 50 to 1,499 KW.RTSR - Line and Transformation Connection</v>
      </c>
      <c r="D41" s="425" t="s">
        <v>381</v>
      </c>
      <c r="E41" s="132"/>
      <c r="F41" s="413">
        <f>IFERROR(VLOOKUP($C41,'Proposed Rates'!$B:$J,F$11,FALSE),0)</f>
        <v>2.8187000000000002</v>
      </c>
      <c r="G41" s="414">
        <f t="shared" si="39"/>
        <v>250</v>
      </c>
      <c r="H41" s="399">
        <f t="shared" si="40"/>
        <v>704.67500000000007</v>
      </c>
      <c r="I41" s="132"/>
      <c r="J41" s="413">
        <f>IFERROR(VLOOKUP($C41,'Proposed Rates'!$B:$J,J$11,FALSE),0)</f>
        <v>2.5918000000000001</v>
      </c>
      <c r="K41" s="414">
        <f t="shared" si="41"/>
        <v>250</v>
      </c>
      <c r="L41" s="399">
        <f t="shared" si="42"/>
        <v>647.95000000000005</v>
      </c>
      <c r="M41" s="132"/>
      <c r="N41" s="400">
        <f t="shared" si="5"/>
        <v>-56.725000000000023</v>
      </c>
      <c r="O41" s="401">
        <f t="shared" si="6"/>
        <v>-8.0498101961897356E-2</v>
      </c>
      <c r="P41" s="52"/>
      <c r="Q41" s="413">
        <f>IFERROR(VLOOKUP($C41,'Proposed Rates'!$B:$J,Q$11,FALSE),0)</f>
        <v>2.5918000000000001</v>
      </c>
      <c r="R41" s="414">
        <f t="shared" si="43"/>
        <v>250</v>
      </c>
      <c r="S41" s="399">
        <f t="shared" si="44"/>
        <v>647.95000000000005</v>
      </c>
      <c r="T41" s="132"/>
      <c r="U41" s="400">
        <f t="shared" si="9"/>
        <v>0</v>
      </c>
      <c r="V41" s="401">
        <f t="shared" si="10"/>
        <v>0</v>
      </c>
      <c r="W41" s="52"/>
      <c r="X41" s="413">
        <f>IFERROR(VLOOKUP($C41,'Proposed Rates'!$B:$J,X$11,FALSE),0)</f>
        <v>2.5918000000000001</v>
      </c>
      <c r="Y41" s="414">
        <f t="shared" si="45"/>
        <v>250</v>
      </c>
      <c r="Z41" s="399">
        <f t="shared" si="46"/>
        <v>647.95000000000005</v>
      </c>
      <c r="AA41" s="132"/>
      <c r="AB41" s="400">
        <f t="shared" si="36"/>
        <v>0</v>
      </c>
      <c r="AC41" s="401">
        <f t="shared" si="37"/>
        <v>0</v>
      </c>
      <c r="AD41" s="52"/>
      <c r="AE41" s="413">
        <f>IFERROR(VLOOKUP($C41,'Proposed Rates'!$B:$J,AE$11,FALSE),0)</f>
        <v>2.5918000000000001</v>
      </c>
      <c r="AF41" s="414">
        <f t="shared" si="47"/>
        <v>250</v>
      </c>
      <c r="AG41" s="399">
        <f t="shared" si="48"/>
        <v>647.95000000000005</v>
      </c>
      <c r="AH41" s="132"/>
      <c r="AI41" s="400">
        <f t="shared" si="17"/>
        <v>0</v>
      </c>
      <c r="AJ41" s="401">
        <f t="shared" si="18"/>
        <v>0</v>
      </c>
      <c r="AK41" s="52"/>
      <c r="AL41" s="413">
        <f>IFERROR(VLOOKUP($C41,'Proposed Rates'!$B:$J,AL$11,FALSE),0)</f>
        <v>2.5918000000000001</v>
      </c>
      <c r="AM41" s="414">
        <f t="shared" si="49"/>
        <v>250</v>
      </c>
      <c r="AN41" s="399">
        <f t="shared" si="50"/>
        <v>647.95000000000005</v>
      </c>
      <c r="AO41" s="132"/>
      <c r="AP41" s="400">
        <f t="shared" si="21"/>
        <v>0</v>
      </c>
      <c r="AQ41" s="401">
        <f t="shared" si="22"/>
        <v>0</v>
      </c>
      <c r="AR41" s="402"/>
    </row>
    <row r="42" spans="1:44" ht="12" customHeight="1">
      <c r="A42" s="550"/>
      <c r="B42" s="404" t="s">
        <v>318</v>
      </c>
      <c r="C42" s="426"/>
      <c r="D42" s="426"/>
      <c r="E42" s="426"/>
      <c r="F42" s="427"/>
      <c r="G42" s="500"/>
      <c r="H42" s="408">
        <f>SUM(H39:H41)</f>
        <v>4234.5325000000003</v>
      </c>
      <c r="I42" s="409"/>
      <c r="J42" s="427"/>
      <c r="K42" s="500"/>
      <c r="L42" s="408">
        <f>SUM(L39:L41)</f>
        <v>4519.3549999999996</v>
      </c>
      <c r="M42" s="409"/>
      <c r="N42" s="410">
        <f t="shared" si="5"/>
        <v>284.82249999999931</v>
      </c>
      <c r="O42" s="411">
        <f t="shared" si="6"/>
        <v>6.7261852400471431E-2</v>
      </c>
      <c r="P42" s="52"/>
      <c r="Q42" s="427"/>
      <c r="R42" s="500"/>
      <c r="S42" s="408">
        <f>SUM(S39:S41)</f>
        <v>4110.6549999999997</v>
      </c>
      <c r="T42" s="409"/>
      <c r="U42" s="410">
        <f t="shared" si="9"/>
        <v>-408.69999999999982</v>
      </c>
      <c r="V42" s="411">
        <f t="shared" si="10"/>
        <v>-9.0433258728291943E-2</v>
      </c>
      <c r="W42" s="52"/>
      <c r="X42" s="427"/>
      <c r="Y42" s="500"/>
      <c r="Z42" s="408">
        <f>SUM(Z39:Z41)</f>
        <v>4261.1525000000001</v>
      </c>
      <c r="AA42" s="409"/>
      <c r="AB42" s="410">
        <f t="shared" si="36"/>
        <v>150.4975000000004</v>
      </c>
      <c r="AC42" s="411">
        <f t="shared" si="37"/>
        <v>3.6611561904368137E-2</v>
      </c>
      <c r="AD42" s="52"/>
      <c r="AE42" s="427"/>
      <c r="AF42" s="500"/>
      <c r="AG42" s="408">
        <f>SUM(AG39:AG41)</f>
        <v>4345</v>
      </c>
      <c r="AH42" s="409"/>
      <c r="AI42" s="410">
        <f t="shared" si="17"/>
        <v>83.847499999999854</v>
      </c>
      <c r="AJ42" s="411">
        <f t="shared" si="18"/>
        <v>1.967718827242157E-2</v>
      </c>
      <c r="AK42" s="52"/>
      <c r="AL42" s="427"/>
      <c r="AM42" s="500"/>
      <c r="AN42" s="408">
        <f>SUM(AN39:AN41)</f>
        <v>4421.8350000000009</v>
      </c>
      <c r="AO42" s="409"/>
      <c r="AP42" s="410">
        <f t="shared" si="21"/>
        <v>76.835000000000946</v>
      </c>
      <c r="AQ42" s="411">
        <f t="shared" si="22"/>
        <v>1.7683544303797687E-2</v>
      </c>
      <c r="AR42" s="412"/>
    </row>
    <row r="43" spans="1:44" ht="12" customHeight="1">
      <c r="A43" s="550"/>
      <c r="B43" s="321" t="s">
        <v>262</v>
      </c>
      <c r="C43" s="394" t="str">
        <f t="shared" ref="C43:C45" si="51">D$6&amp;"."&amp;B43</f>
        <v>General Service 50 to 1,499 KW.Wholesale Market Service Charge (WMSC)</v>
      </c>
      <c r="D43" s="395" t="s">
        <v>312</v>
      </c>
      <c r="E43" s="321"/>
      <c r="F43" s="413">
        <f>IFERROR(VLOOKUP($C43,'Proposed Rates'!$B:$J,F$11,FALSE),0)</f>
        <v>4.4999999999999997E-3</v>
      </c>
      <c r="G43" s="420">
        <f t="shared" ref="G43:G44" si="52">$F$9+G$37</f>
        <v>132067.95000000001</v>
      </c>
      <c r="H43" s="399">
        <f t="shared" ref="H43:H46" si="53">G43*F43</f>
        <v>594.30577500000004</v>
      </c>
      <c r="I43" s="132"/>
      <c r="J43" s="413">
        <f>IFERROR(VLOOKUP($C43,'Proposed Rates'!$B:$J,J$11,FALSE),0)</f>
        <v>4.7000000000000002E-3</v>
      </c>
      <c r="K43" s="420">
        <f t="shared" ref="K43:K44" si="54">$F$9+K$37</f>
        <v>131991.29999999999</v>
      </c>
      <c r="L43" s="399">
        <f t="shared" ref="L43:L46" si="55">K43*J43</f>
        <v>620.35910999999999</v>
      </c>
      <c r="M43" s="132"/>
      <c r="N43" s="400">
        <f t="shared" si="5"/>
        <v>26.053334999999947</v>
      </c>
      <c r="O43" s="401">
        <f t="shared" si="6"/>
        <v>4.3838266589282165E-2</v>
      </c>
      <c r="P43" s="52"/>
      <c r="Q43" s="413">
        <f>IFERROR(VLOOKUP($C43,'Proposed Rates'!$B:$J,Q$11,FALSE),0)</f>
        <v>4.7000000000000002E-3</v>
      </c>
      <c r="R43" s="420">
        <f t="shared" ref="R43:R44" si="56">$F$9+R$37</f>
        <v>131991.29999999999</v>
      </c>
      <c r="S43" s="399">
        <f t="shared" ref="S43:S46" si="57">R43*Q43</f>
        <v>620.35910999999999</v>
      </c>
      <c r="T43" s="132"/>
      <c r="U43" s="400">
        <f t="shared" si="9"/>
        <v>0</v>
      </c>
      <c r="V43" s="401">
        <f t="shared" si="10"/>
        <v>0</v>
      </c>
      <c r="W43" s="52"/>
      <c r="X43" s="413">
        <f>IFERROR(VLOOKUP($C43,'Proposed Rates'!$B:$J,X$11,FALSE),0)</f>
        <v>4.7000000000000002E-3</v>
      </c>
      <c r="Y43" s="420">
        <f t="shared" ref="Y43:Y44" si="58">$F$9+Y$37</f>
        <v>131991.29999999999</v>
      </c>
      <c r="Z43" s="399">
        <f t="shared" ref="Z43:Z46" si="59">Y43*X43</f>
        <v>620.35910999999999</v>
      </c>
      <c r="AA43" s="132"/>
      <c r="AB43" s="400">
        <f t="shared" si="36"/>
        <v>0</v>
      </c>
      <c r="AC43" s="401">
        <f t="shared" si="37"/>
        <v>0</v>
      </c>
      <c r="AD43" s="52"/>
      <c r="AE43" s="413">
        <f>IFERROR(VLOOKUP($C43,'Proposed Rates'!$B:$J,AE$11,FALSE),0)</f>
        <v>4.7000000000000002E-3</v>
      </c>
      <c r="AF43" s="420">
        <f t="shared" ref="AF43:AF44" si="60">$F$9+AF$37</f>
        <v>131991.29999999999</v>
      </c>
      <c r="AG43" s="399">
        <f t="shared" ref="AG43:AG46" si="61">AF43*AE43</f>
        <v>620.35910999999999</v>
      </c>
      <c r="AH43" s="132"/>
      <c r="AI43" s="400">
        <f t="shared" si="17"/>
        <v>0</v>
      </c>
      <c r="AJ43" s="401">
        <f t="shared" si="18"/>
        <v>0</v>
      </c>
      <c r="AK43" s="52"/>
      <c r="AL43" s="413">
        <f>IFERROR(VLOOKUP($C43,'Proposed Rates'!$B:$J,AL$11,FALSE),0)</f>
        <v>4.7000000000000002E-3</v>
      </c>
      <c r="AM43" s="420">
        <f t="shared" ref="AM43:AM44" si="62">$F$9+AM$37</f>
        <v>131991.29999999999</v>
      </c>
      <c r="AN43" s="399">
        <f t="shared" ref="AN43:AN46" si="63">AM43*AL43</f>
        <v>620.35910999999999</v>
      </c>
      <c r="AO43" s="132"/>
      <c r="AP43" s="400">
        <f t="shared" si="21"/>
        <v>0</v>
      </c>
      <c r="AQ43" s="401">
        <f t="shared" si="22"/>
        <v>0</v>
      </c>
      <c r="AR43" s="402"/>
    </row>
    <row r="44" spans="1:44" ht="12" customHeight="1">
      <c r="A44" s="550"/>
      <c r="B44" s="321" t="s">
        <v>263</v>
      </c>
      <c r="C44" s="394" t="str">
        <f t="shared" si="51"/>
        <v>General Service 50 to 1,499 KW.Rural and Remote Rate Protection (RRRP)</v>
      </c>
      <c r="D44" s="395" t="s">
        <v>312</v>
      </c>
      <c r="E44" s="321"/>
      <c r="F44" s="413">
        <f>IFERROR(VLOOKUP($C44,'Proposed Rates'!$B:$J,F$11,FALSE),0)</f>
        <v>1.5E-3</v>
      </c>
      <c r="G44" s="420">
        <f t="shared" si="52"/>
        <v>132067.95000000001</v>
      </c>
      <c r="H44" s="399">
        <f t="shared" si="53"/>
        <v>198.10192500000002</v>
      </c>
      <c r="I44" s="132"/>
      <c r="J44" s="413">
        <f>IFERROR(VLOOKUP($C44,'Proposed Rates'!$B:$J,J$11,FALSE),0)</f>
        <v>5.9999999999999995E-4</v>
      </c>
      <c r="K44" s="420">
        <f t="shared" si="54"/>
        <v>131991.29999999999</v>
      </c>
      <c r="L44" s="399">
        <f t="shared" si="55"/>
        <v>79.19477999999998</v>
      </c>
      <c r="M44" s="132"/>
      <c r="N44" s="400">
        <f t="shared" si="5"/>
        <v>-118.90714500000004</v>
      </c>
      <c r="O44" s="401">
        <f t="shared" si="6"/>
        <v>-0.60023215322112611</v>
      </c>
      <c r="P44" s="52"/>
      <c r="Q44" s="413">
        <f>IFERROR(VLOOKUP($C44,'Proposed Rates'!$B:$J,Q$11,FALSE),0)</f>
        <v>5.9999999999999995E-4</v>
      </c>
      <c r="R44" s="420">
        <f t="shared" si="56"/>
        <v>131991.29999999999</v>
      </c>
      <c r="S44" s="399">
        <f t="shared" si="57"/>
        <v>79.19477999999998</v>
      </c>
      <c r="T44" s="132"/>
      <c r="U44" s="400">
        <f t="shared" si="9"/>
        <v>0</v>
      </c>
      <c r="V44" s="401">
        <f t="shared" si="10"/>
        <v>0</v>
      </c>
      <c r="W44" s="52"/>
      <c r="X44" s="413">
        <f>IFERROR(VLOOKUP($C44,'Proposed Rates'!$B:$J,X$11,FALSE),0)</f>
        <v>5.9999999999999995E-4</v>
      </c>
      <c r="Y44" s="420">
        <f t="shared" si="58"/>
        <v>131991.29999999999</v>
      </c>
      <c r="Z44" s="399">
        <f t="shared" si="59"/>
        <v>79.19477999999998</v>
      </c>
      <c r="AA44" s="132"/>
      <c r="AB44" s="400">
        <f t="shared" si="36"/>
        <v>0</v>
      </c>
      <c r="AC44" s="401">
        <f t="shared" si="37"/>
        <v>0</v>
      </c>
      <c r="AD44" s="52"/>
      <c r="AE44" s="413">
        <f>IFERROR(VLOOKUP($C44,'Proposed Rates'!$B:$J,AE$11,FALSE),0)</f>
        <v>5.9999999999999995E-4</v>
      </c>
      <c r="AF44" s="420">
        <f t="shared" si="60"/>
        <v>131991.29999999999</v>
      </c>
      <c r="AG44" s="399">
        <f t="shared" si="61"/>
        <v>79.19477999999998</v>
      </c>
      <c r="AH44" s="132"/>
      <c r="AI44" s="400">
        <f t="shared" si="17"/>
        <v>0</v>
      </c>
      <c r="AJ44" s="401">
        <f t="shared" si="18"/>
        <v>0</v>
      </c>
      <c r="AK44" s="52"/>
      <c r="AL44" s="413">
        <f>IFERROR(VLOOKUP($C44,'Proposed Rates'!$B:$J,AL$11,FALSE),0)</f>
        <v>5.9999999999999995E-4</v>
      </c>
      <c r="AM44" s="420">
        <f t="shared" si="62"/>
        <v>131991.29999999999</v>
      </c>
      <c r="AN44" s="399">
        <f t="shared" si="63"/>
        <v>79.19477999999998</v>
      </c>
      <c r="AO44" s="132"/>
      <c r="AP44" s="400">
        <f t="shared" si="21"/>
        <v>0</v>
      </c>
      <c r="AQ44" s="401">
        <f t="shared" si="22"/>
        <v>0</v>
      </c>
      <c r="AR44" s="402"/>
    </row>
    <row r="45" spans="1:44" ht="12" customHeight="1">
      <c r="A45" s="550"/>
      <c r="B45" s="321" t="s">
        <v>264</v>
      </c>
      <c r="C45" s="394" t="str">
        <f t="shared" si="51"/>
        <v>General Service 50 to 1,499 KW.Standard Supply Service Charge</v>
      </c>
      <c r="D45" s="395" t="s">
        <v>310</v>
      </c>
      <c r="E45" s="321"/>
      <c r="F45" s="396">
        <f>IFERROR(VLOOKUP($C45,'Proposed Rates'!$B:$J,F$11,FALSE),0)</f>
        <v>0.25</v>
      </c>
      <c r="G45" s="414">
        <f>IF($D45="Monthly",1,IF($D45="per KW",$F$10,IF($D45="per kWh",$F$9,0)))</f>
        <v>1</v>
      </c>
      <c r="H45" s="399">
        <f t="shared" si="53"/>
        <v>0.25</v>
      </c>
      <c r="I45" s="132"/>
      <c r="J45" s="396">
        <f>IFERROR(VLOOKUP($C45,'Proposed Rates'!$B:$J,J$11,FALSE),0)</f>
        <v>0.25</v>
      </c>
      <c r="K45" s="414">
        <f>IF($D45="Monthly",1,IF($D45="per KW",$F$10,IF($D45="per kWh",$F$9,0)))</f>
        <v>1</v>
      </c>
      <c r="L45" s="399">
        <f t="shared" si="55"/>
        <v>0.25</v>
      </c>
      <c r="M45" s="132"/>
      <c r="N45" s="400">
        <f t="shared" si="5"/>
        <v>0</v>
      </c>
      <c r="O45" s="401">
        <f t="shared" si="6"/>
        <v>0</v>
      </c>
      <c r="P45" s="52"/>
      <c r="Q45" s="396">
        <f>IFERROR(VLOOKUP($C45,'Proposed Rates'!$B:$J,Q$11,FALSE),0)</f>
        <v>0.25</v>
      </c>
      <c r="R45" s="414">
        <f>IF($D45="Monthly",1,IF($D45="per KW",$F$10,IF($D45="per kWh",$F$9,0)))</f>
        <v>1</v>
      </c>
      <c r="S45" s="399">
        <f t="shared" si="57"/>
        <v>0.25</v>
      </c>
      <c r="T45" s="132"/>
      <c r="U45" s="400">
        <f t="shared" si="9"/>
        <v>0</v>
      </c>
      <c r="V45" s="401">
        <f t="shared" si="10"/>
        <v>0</v>
      </c>
      <c r="W45" s="52"/>
      <c r="X45" s="396">
        <f>IFERROR(VLOOKUP($C45,'Proposed Rates'!$B:$J,X$11,FALSE),0)</f>
        <v>0.25</v>
      </c>
      <c r="Y45" s="414">
        <f>IF($D45="Monthly",1,IF($D45="per KW",$F$10,IF($D45="per kWh",$F$9,0)))</f>
        <v>1</v>
      </c>
      <c r="Z45" s="399">
        <f t="shared" si="59"/>
        <v>0.25</v>
      </c>
      <c r="AA45" s="132"/>
      <c r="AB45" s="400">
        <f t="shared" si="36"/>
        <v>0</v>
      </c>
      <c r="AC45" s="401">
        <f t="shared" si="37"/>
        <v>0</v>
      </c>
      <c r="AD45" s="52"/>
      <c r="AE45" s="396">
        <f>IFERROR(VLOOKUP($C45,'Proposed Rates'!$B:$J,AE$11,FALSE),0)</f>
        <v>0.25</v>
      </c>
      <c r="AF45" s="414">
        <f>IF($D45="Monthly",1,IF($D45="per KW",$F$10,IF($D45="per kWh",$F$9,0)))</f>
        <v>1</v>
      </c>
      <c r="AG45" s="399">
        <f t="shared" si="61"/>
        <v>0.25</v>
      </c>
      <c r="AH45" s="132"/>
      <c r="AI45" s="400">
        <f t="shared" si="17"/>
        <v>0</v>
      </c>
      <c r="AJ45" s="401">
        <f t="shared" si="18"/>
        <v>0</v>
      </c>
      <c r="AK45" s="52"/>
      <c r="AL45" s="396">
        <f>IFERROR(VLOOKUP($C45,'Proposed Rates'!$B:$J,AL$11,FALSE),0)</f>
        <v>0.25</v>
      </c>
      <c r="AM45" s="414">
        <f>IF($D45="Monthly",1,IF($D45="per KW",$F$10,IF($D45="per kWh",$F$9,0)))</f>
        <v>1</v>
      </c>
      <c r="AN45" s="399">
        <f t="shared" si="63"/>
        <v>0.25</v>
      </c>
      <c r="AO45" s="132"/>
      <c r="AP45" s="400">
        <f t="shared" si="21"/>
        <v>0</v>
      </c>
      <c r="AQ45" s="401">
        <f t="shared" si="22"/>
        <v>0</v>
      </c>
      <c r="AR45" s="402"/>
    </row>
    <row r="46" spans="1:44" ht="12" customHeight="1">
      <c r="A46" s="550"/>
      <c r="B46" s="321" t="s">
        <v>271</v>
      </c>
      <c r="C46" s="394" t="str">
        <f>B46</f>
        <v>Average IESO Wholesale Market Price</v>
      </c>
      <c r="D46" s="395" t="s">
        <v>312</v>
      </c>
      <c r="E46" s="321"/>
      <c r="F46" s="413">
        <f>IFERROR(VLOOKUP($C46,'Proposed Rates'!$B:$J,F$11,FALSE),0)</f>
        <v>0.10453</v>
      </c>
      <c r="G46" s="420">
        <f>$F$9+G$37</f>
        <v>132067.95000000001</v>
      </c>
      <c r="H46" s="399">
        <f t="shared" si="53"/>
        <v>13805.062813500001</v>
      </c>
      <c r="I46" s="132"/>
      <c r="J46" s="413">
        <f>IFERROR(VLOOKUP($C46,'Proposed Rates'!$B:$J,J$11,FALSE),0)</f>
        <v>0.10453</v>
      </c>
      <c r="K46" s="420">
        <f>$F$9+K$37</f>
        <v>131991.29999999999</v>
      </c>
      <c r="L46" s="399">
        <f t="shared" si="55"/>
        <v>13797.050588999999</v>
      </c>
      <c r="M46" s="132"/>
      <c r="N46" s="400">
        <f t="shared" si="5"/>
        <v>-8.0122245000020484</v>
      </c>
      <c r="O46" s="401">
        <f t="shared" si="6"/>
        <v>-5.8038305281500613E-4</v>
      </c>
      <c r="P46" s="52"/>
      <c r="Q46" s="413">
        <f>IFERROR(VLOOKUP($C46,'Proposed Rates'!$B:$J,Q$11,FALSE),0)</f>
        <v>0.10453</v>
      </c>
      <c r="R46" s="420">
        <f>$F$9+R$37</f>
        <v>131991.29999999999</v>
      </c>
      <c r="S46" s="399">
        <f t="shared" si="57"/>
        <v>13797.050588999999</v>
      </c>
      <c r="T46" s="132"/>
      <c r="U46" s="400">
        <f t="shared" si="9"/>
        <v>0</v>
      </c>
      <c r="V46" s="401">
        <f t="shared" si="10"/>
        <v>0</v>
      </c>
      <c r="W46" s="52"/>
      <c r="X46" s="413">
        <f>IFERROR(VLOOKUP($C46,'Proposed Rates'!$B:$J,X$11,FALSE),0)</f>
        <v>0.10453</v>
      </c>
      <c r="Y46" s="420">
        <f>$F$9+Y$37</f>
        <v>131991.29999999999</v>
      </c>
      <c r="Z46" s="399">
        <f t="shared" si="59"/>
        <v>13797.050588999999</v>
      </c>
      <c r="AA46" s="132"/>
      <c r="AB46" s="400">
        <f t="shared" si="36"/>
        <v>0</v>
      </c>
      <c r="AC46" s="401">
        <f t="shared" si="37"/>
        <v>0</v>
      </c>
      <c r="AD46" s="52"/>
      <c r="AE46" s="413">
        <f>IFERROR(VLOOKUP($C46,'Proposed Rates'!$B:$J,AE$11,FALSE),0)</f>
        <v>0.10453</v>
      </c>
      <c r="AF46" s="420">
        <f>$F$9+AF$37</f>
        <v>131991.29999999999</v>
      </c>
      <c r="AG46" s="399">
        <f t="shared" si="61"/>
        <v>13797.050588999999</v>
      </c>
      <c r="AH46" s="132"/>
      <c r="AI46" s="400">
        <f t="shared" si="17"/>
        <v>0</v>
      </c>
      <c r="AJ46" s="401">
        <f t="shared" si="18"/>
        <v>0</v>
      </c>
      <c r="AK46" s="52"/>
      <c r="AL46" s="413">
        <f>IFERROR(VLOOKUP($C46,'Proposed Rates'!$B:$J,AL$11,FALSE),0)</f>
        <v>0.10453</v>
      </c>
      <c r="AM46" s="420">
        <f>$F$9+AM$37</f>
        <v>131991.29999999999</v>
      </c>
      <c r="AN46" s="399">
        <f t="shared" si="63"/>
        <v>13797.050588999999</v>
      </c>
      <c r="AO46" s="132"/>
      <c r="AP46" s="400">
        <f t="shared" si="21"/>
        <v>0</v>
      </c>
      <c r="AQ46" s="401">
        <f t="shared" si="22"/>
        <v>0</v>
      </c>
      <c r="AR46" s="402"/>
    </row>
    <row r="47" spans="1:44" ht="12" customHeight="1">
      <c r="A47" s="550"/>
      <c r="B47" s="321"/>
      <c r="C47" s="394" t="str">
        <f t="shared" ref="C47:C50" si="64">D$6&amp;"."&amp;B47</f>
        <v>General Service 50 to 1,499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12" customHeight="1">
      <c r="A48" s="550"/>
      <c r="B48" s="52"/>
      <c r="C48" s="394" t="str">
        <f t="shared" si="64"/>
        <v>General Service 50 to 1,499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12" customHeight="1">
      <c r="A49" s="550"/>
      <c r="B49" s="321"/>
      <c r="C49" s="394" t="str">
        <f t="shared" si="64"/>
        <v>General Service 50 to 1,499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12" customHeight="1">
      <c r="A50" s="550"/>
      <c r="B50" s="321"/>
      <c r="C50" s="394" t="str">
        <f t="shared" si="64"/>
        <v>General Service 50 to 1,499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12" customHeight="1">
      <c r="A51" s="550"/>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 customHeight="1">
      <c r="A52" s="550"/>
      <c r="B52" s="443" t="s">
        <v>319</v>
      </c>
      <c r="C52" s="321"/>
      <c r="D52" s="321"/>
      <c r="E52" s="321"/>
      <c r="F52" s="444"/>
      <c r="G52" s="488"/>
      <c r="H52" s="446">
        <f>SUM(H43:H48,H42)</f>
        <v>18832.253013500002</v>
      </c>
      <c r="I52" s="481"/>
      <c r="J52" s="445"/>
      <c r="K52" s="445"/>
      <c r="L52" s="446">
        <f>SUM(L43:L48,L42)</f>
        <v>19016.209478999997</v>
      </c>
      <c r="M52" s="448"/>
      <c r="N52" s="447">
        <f t="shared" ref="N52:N56" si="65">L52-H52</f>
        <v>183.95646549999583</v>
      </c>
      <c r="O52" s="449">
        <f t="shared" ref="O52:O56" si="66">IF((H52)=0,"",(N52/H52))</f>
        <v>9.7681602603855028E-3</v>
      </c>
      <c r="P52" s="52"/>
      <c r="Q52" s="445"/>
      <c r="R52" s="445"/>
      <c r="S52" s="446">
        <f>SUM(S43:S48,S42)</f>
        <v>18607.509478999997</v>
      </c>
      <c r="T52" s="448"/>
      <c r="U52" s="447">
        <f t="shared" ref="U52:U56" si="67">S52-L52</f>
        <v>-408.70000000000073</v>
      </c>
      <c r="V52" s="449">
        <f t="shared" ref="V52:V56" si="68">IF((L52)=0,"",(U52/L52))</f>
        <v>-2.1492190672980162E-2</v>
      </c>
      <c r="W52" s="52"/>
      <c r="X52" s="445"/>
      <c r="Y52" s="445"/>
      <c r="Z52" s="446">
        <f>SUM(Z43:Z48,Z42)</f>
        <v>18758.006978999998</v>
      </c>
      <c r="AA52" s="448"/>
      <c r="AB52" s="447">
        <f t="shared" ref="AB52:AB56" si="69">Z52-S52</f>
        <v>150.49750000000131</v>
      </c>
      <c r="AC52" s="449">
        <f t="shared" ref="AC52:AC56" si="70">IF((S52)=0,"",(AB52/S52))</f>
        <v>8.0879980294971399E-3</v>
      </c>
      <c r="AD52" s="52"/>
      <c r="AE52" s="445"/>
      <c r="AF52" s="445"/>
      <c r="AG52" s="446">
        <f>SUM(AG43:AG48,AG42)</f>
        <v>18841.854478999998</v>
      </c>
      <c r="AH52" s="448"/>
      <c r="AI52" s="447">
        <f t="shared" ref="AI52:AI56" si="71">AG52-Z52</f>
        <v>83.847499999999854</v>
      </c>
      <c r="AJ52" s="449">
        <f t="shared" ref="AJ52:AJ56" si="72">IF((Z52)=0,"",(AI52/Z52))</f>
        <v>4.4699578208851811E-3</v>
      </c>
      <c r="AK52" s="52"/>
      <c r="AL52" s="445"/>
      <c r="AM52" s="445"/>
      <c r="AN52" s="446">
        <f>SUM(AN43:AN48,AN42)</f>
        <v>18918.689479000001</v>
      </c>
      <c r="AO52" s="448"/>
      <c r="AP52" s="447">
        <f t="shared" ref="AP52:AP56" si="73">AN52-AG52</f>
        <v>76.835000000002765</v>
      </c>
      <c r="AQ52" s="449">
        <f t="shared" ref="AQ52:AQ56" si="74">IF((AG52)=0,"",(AP52/AG52))</f>
        <v>4.0778894713170855E-3</v>
      </c>
      <c r="AR52" s="450"/>
    </row>
    <row r="53" spans="1:44" ht="12" customHeight="1">
      <c r="A53" s="550"/>
      <c r="B53" s="451" t="s">
        <v>320</v>
      </c>
      <c r="C53" s="321"/>
      <c r="D53" s="321"/>
      <c r="E53" s="321"/>
      <c r="F53" s="444">
        <v>0.13</v>
      </c>
      <c r="G53" s="132"/>
      <c r="H53" s="489">
        <f>H52*F53</f>
        <v>2448.1928917550003</v>
      </c>
      <c r="I53" s="416"/>
      <c r="J53" s="452">
        <v>0.13</v>
      </c>
      <c r="K53" s="416"/>
      <c r="L53" s="399">
        <f>L52*J53</f>
        <v>2472.1072322699997</v>
      </c>
      <c r="M53" s="132"/>
      <c r="N53" s="400">
        <f t="shared" si="65"/>
        <v>23.914340514999367</v>
      </c>
      <c r="O53" s="401">
        <f t="shared" si="66"/>
        <v>9.7681602603854646E-3</v>
      </c>
      <c r="P53" s="52"/>
      <c r="Q53" s="452">
        <v>0.13</v>
      </c>
      <c r="R53" s="416"/>
      <c r="S53" s="399">
        <f>S52*Q53</f>
        <v>2418.9762322699999</v>
      </c>
      <c r="T53" s="132"/>
      <c r="U53" s="400">
        <f t="shared" si="67"/>
        <v>-53.130999999999858</v>
      </c>
      <c r="V53" s="401">
        <f t="shared" si="68"/>
        <v>-2.1492190672980069E-2</v>
      </c>
      <c r="W53" s="52"/>
      <c r="X53" s="452">
        <v>0.13</v>
      </c>
      <c r="Y53" s="416"/>
      <c r="Z53" s="399">
        <f>Z52*X53</f>
        <v>2438.5409072699999</v>
      </c>
      <c r="AA53" s="132"/>
      <c r="AB53" s="400">
        <f t="shared" si="69"/>
        <v>19.564675000000079</v>
      </c>
      <c r="AC53" s="401">
        <f t="shared" si="70"/>
        <v>8.0879980294971E-3</v>
      </c>
      <c r="AD53" s="52"/>
      <c r="AE53" s="452">
        <v>0.13</v>
      </c>
      <c r="AF53" s="416"/>
      <c r="AG53" s="399">
        <f>AG52*AE53</f>
        <v>2449.4410822699997</v>
      </c>
      <c r="AH53" s="132"/>
      <c r="AI53" s="400">
        <f t="shared" si="71"/>
        <v>10.900174999999763</v>
      </c>
      <c r="AJ53" s="401">
        <f t="shared" si="72"/>
        <v>4.4699578208850918E-3</v>
      </c>
      <c r="AK53" s="52"/>
      <c r="AL53" s="452">
        <v>0.13</v>
      </c>
      <c r="AM53" s="416"/>
      <c r="AN53" s="399">
        <f>AN52*AL53</f>
        <v>2459.4296322700002</v>
      </c>
      <c r="AO53" s="132"/>
      <c r="AP53" s="400">
        <f t="shared" si="73"/>
        <v>9.9885500000004868</v>
      </c>
      <c r="AQ53" s="401">
        <f t="shared" si="74"/>
        <v>4.0778894713171376E-3</v>
      </c>
      <c r="AR53" s="402"/>
    </row>
    <row r="54" spans="1:44" ht="12" customHeight="1">
      <c r="A54" s="550"/>
      <c r="B54" s="453" t="s">
        <v>388</v>
      </c>
      <c r="C54" s="321"/>
      <c r="D54" s="321"/>
      <c r="E54" s="321"/>
      <c r="F54" s="454"/>
      <c r="G54" s="132"/>
      <c r="H54" s="489">
        <f>H52+H53</f>
        <v>21280.445905255001</v>
      </c>
      <c r="I54" s="416"/>
      <c r="J54" s="416"/>
      <c r="K54" s="416"/>
      <c r="L54" s="399">
        <f>L52+L53</f>
        <v>21488.316711269996</v>
      </c>
      <c r="M54" s="132"/>
      <c r="N54" s="400">
        <f t="shared" si="65"/>
        <v>207.87080601499474</v>
      </c>
      <c r="O54" s="401">
        <f t="shared" si="66"/>
        <v>9.7681602603854768E-3</v>
      </c>
      <c r="P54" s="52"/>
      <c r="Q54" s="416"/>
      <c r="R54" s="416"/>
      <c r="S54" s="399">
        <f>S52+S53</f>
        <v>21026.485711269997</v>
      </c>
      <c r="T54" s="132"/>
      <c r="U54" s="400">
        <f t="shared" si="67"/>
        <v>-461.83099999999831</v>
      </c>
      <c r="V54" s="401">
        <f t="shared" si="68"/>
        <v>-2.1492190672980048E-2</v>
      </c>
      <c r="W54" s="52"/>
      <c r="X54" s="416"/>
      <c r="Y54" s="416"/>
      <c r="Z54" s="399">
        <f>Z52+Z53</f>
        <v>21196.547886269997</v>
      </c>
      <c r="AA54" s="132"/>
      <c r="AB54" s="400">
        <f t="shared" si="69"/>
        <v>170.06217499999912</v>
      </c>
      <c r="AC54" s="401">
        <f t="shared" si="70"/>
        <v>8.0879980294970254E-3</v>
      </c>
      <c r="AD54" s="52"/>
      <c r="AE54" s="416"/>
      <c r="AF54" s="416"/>
      <c r="AG54" s="399">
        <f>AG52+AG53</f>
        <v>21291.295561269999</v>
      </c>
      <c r="AH54" s="132"/>
      <c r="AI54" s="400">
        <f t="shared" si="71"/>
        <v>94.747675000002346</v>
      </c>
      <c r="AJ54" s="401">
        <f t="shared" si="72"/>
        <v>4.4699578208852999E-3</v>
      </c>
      <c r="AK54" s="52"/>
      <c r="AL54" s="416"/>
      <c r="AM54" s="416"/>
      <c r="AN54" s="399">
        <f>AN52+AN53</f>
        <v>21378.11911127</v>
      </c>
      <c r="AO54" s="132"/>
      <c r="AP54" s="400">
        <f t="shared" si="73"/>
        <v>86.823550000000978</v>
      </c>
      <c r="AQ54" s="401">
        <f t="shared" si="74"/>
        <v>4.0778894713169849E-3</v>
      </c>
      <c r="AR54" s="402"/>
    </row>
    <row r="55" spans="1:44" ht="12" customHeight="1">
      <c r="A55" s="550"/>
      <c r="B55" s="632" t="s">
        <v>277</v>
      </c>
      <c r="C55" s="623"/>
      <c r="D55" s="623"/>
      <c r="E55" s="321"/>
      <c r="F55" s="454"/>
      <c r="G55" s="132"/>
      <c r="H55" s="491">
        <f>F55*H52</f>
        <v>0</v>
      </c>
      <c r="I55" s="416"/>
      <c r="J55" s="416"/>
      <c r="K55" s="416"/>
      <c r="L55" s="511">
        <f>J55*L52</f>
        <v>0</v>
      </c>
      <c r="M55" s="132"/>
      <c r="N55" s="456">
        <f t="shared" si="65"/>
        <v>0</v>
      </c>
      <c r="O55" s="458" t="str">
        <f t="shared" si="66"/>
        <v/>
      </c>
      <c r="P55" s="52"/>
      <c r="Q55" s="416"/>
      <c r="R55" s="416"/>
      <c r="S55" s="511">
        <f>Q55*S52</f>
        <v>0</v>
      </c>
      <c r="T55" s="132"/>
      <c r="U55" s="456">
        <f t="shared" si="67"/>
        <v>0</v>
      </c>
      <c r="V55" s="458" t="str">
        <f t="shared" si="68"/>
        <v/>
      </c>
      <c r="W55" s="52"/>
      <c r="X55" s="416"/>
      <c r="Y55" s="416"/>
      <c r="Z55" s="511">
        <f>X55*Z52</f>
        <v>0</v>
      </c>
      <c r="AA55" s="132"/>
      <c r="AB55" s="456">
        <f t="shared" si="69"/>
        <v>0</v>
      </c>
      <c r="AC55" s="458" t="str">
        <f t="shared" si="70"/>
        <v/>
      </c>
      <c r="AD55" s="52"/>
      <c r="AE55" s="416"/>
      <c r="AF55" s="416"/>
      <c r="AG55" s="511">
        <f>AE55*AG52</f>
        <v>0</v>
      </c>
      <c r="AH55" s="132"/>
      <c r="AI55" s="456">
        <f t="shared" si="71"/>
        <v>0</v>
      </c>
      <c r="AJ55" s="458" t="str">
        <f t="shared" si="72"/>
        <v/>
      </c>
      <c r="AK55" s="52"/>
      <c r="AL55" s="416"/>
      <c r="AM55" s="416"/>
      <c r="AN55" s="511">
        <f>AL55*AN52</f>
        <v>0</v>
      </c>
      <c r="AO55" s="132"/>
      <c r="AP55" s="456">
        <f t="shared" si="73"/>
        <v>0</v>
      </c>
      <c r="AQ55" s="458" t="str">
        <f t="shared" si="74"/>
        <v/>
      </c>
      <c r="AR55" s="459"/>
    </row>
    <row r="56" spans="1:44" ht="12" customHeight="1">
      <c r="A56" s="550"/>
      <c r="B56" s="634" t="s">
        <v>322</v>
      </c>
      <c r="C56" s="615"/>
      <c r="D56" s="615"/>
      <c r="E56" s="460"/>
      <c r="F56" s="461"/>
      <c r="G56" s="492"/>
      <c r="H56" s="493">
        <f>H54-H55</f>
        <v>21280.445905255001</v>
      </c>
      <c r="I56" s="462"/>
      <c r="J56" s="462"/>
      <c r="K56" s="462"/>
      <c r="L56" s="463">
        <f>L54-L55</f>
        <v>21488.316711269996</v>
      </c>
      <c r="M56" s="464"/>
      <c r="N56" s="465">
        <f t="shared" si="65"/>
        <v>207.87080601499474</v>
      </c>
      <c r="O56" s="466">
        <f t="shared" si="66"/>
        <v>9.7681602603854768E-3</v>
      </c>
      <c r="P56" s="52"/>
      <c r="Q56" s="462"/>
      <c r="R56" s="462"/>
      <c r="S56" s="463">
        <f>S54-S55</f>
        <v>21026.485711269997</v>
      </c>
      <c r="T56" s="464"/>
      <c r="U56" s="465">
        <f t="shared" si="67"/>
        <v>-461.83099999999831</v>
      </c>
      <c r="V56" s="466">
        <f t="shared" si="68"/>
        <v>-2.1492190672980048E-2</v>
      </c>
      <c r="W56" s="52"/>
      <c r="X56" s="462"/>
      <c r="Y56" s="462"/>
      <c r="Z56" s="463">
        <f>Z54-Z55</f>
        <v>21196.547886269997</v>
      </c>
      <c r="AA56" s="464"/>
      <c r="AB56" s="465">
        <f t="shared" si="69"/>
        <v>170.06217499999912</v>
      </c>
      <c r="AC56" s="466">
        <f t="shared" si="70"/>
        <v>8.0879980294970254E-3</v>
      </c>
      <c r="AD56" s="52"/>
      <c r="AE56" s="462"/>
      <c r="AF56" s="462"/>
      <c r="AG56" s="463">
        <f>AG54-AG55</f>
        <v>21291.295561269999</v>
      </c>
      <c r="AH56" s="464"/>
      <c r="AI56" s="465">
        <f t="shared" si="71"/>
        <v>94.747675000002346</v>
      </c>
      <c r="AJ56" s="466">
        <f t="shared" si="72"/>
        <v>4.4699578208852999E-3</v>
      </c>
      <c r="AK56" s="52"/>
      <c r="AL56" s="462"/>
      <c r="AM56" s="462"/>
      <c r="AN56" s="463">
        <f>AN54-AN55</f>
        <v>21378.11911127</v>
      </c>
      <c r="AO56" s="464"/>
      <c r="AP56" s="465">
        <f t="shared" si="73"/>
        <v>86.823550000000978</v>
      </c>
      <c r="AQ56" s="466">
        <f t="shared" si="74"/>
        <v>4.0778894713169849E-3</v>
      </c>
      <c r="AR56" s="467"/>
    </row>
    <row r="57" spans="1:44" ht="12" customHeight="1">
      <c r="A57" s="550"/>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 customHeight="1">
      <c r="A58" s="550"/>
      <c r="B58" s="513" t="s">
        <v>323</v>
      </c>
      <c r="C58" s="514"/>
      <c r="D58" s="514"/>
      <c r="E58" s="514"/>
      <c r="F58" s="515"/>
      <c r="G58" s="516"/>
      <c r="H58" s="517">
        <f>SUM(H49:H50,H42,H43:H45)</f>
        <v>5027.1902</v>
      </c>
      <c r="I58" s="518"/>
      <c r="J58" s="519"/>
      <c r="K58" s="519"/>
      <c r="L58" s="517">
        <f>SUM(L49:L50,L42,L43:L45)</f>
        <v>5219.1588899999997</v>
      </c>
      <c r="M58" s="520"/>
      <c r="N58" s="521">
        <f t="shared" ref="N58:N62" si="75">L58-H58</f>
        <v>191.9686899999997</v>
      </c>
      <c r="O58" s="522">
        <f t="shared" ref="O58:O62" si="76">IF((H58)=0,"",(N58/H58))</f>
        <v>3.8186080566436437E-2</v>
      </c>
      <c r="P58" s="512"/>
      <c r="Q58" s="519"/>
      <c r="R58" s="519"/>
      <c r="S58" s="517">
        <f>SUM(S49:S50,S42,S43:S45)</f>
        <v>4810.4588899999999</v>
      </c>
      <c r="T58" s="520"/>
      <c r="U58" s="521">
        <f t="shared" ref="U58:U62" si="77">S58-L58</f>
        <v>-408.69999999999982</v>
      </c>
      <c r="V58" s="522">
        <f t="shared" ref="V58:V62" si="78">IF((L58)=0,"",(U58/L58))</f>
        <v>-7.8307637037660652E-2</v>
      </c>
      <c r="W58" s="512"/>
      <c r="X58" s="519"/>
      <c r="Y58" s="519"/>
      <c r="Z58" s="517">
        <f>SUM(Z49:Z50,Z42,Z43:Z45)</f>
        <v>4960.9563900000003</v>
      </c>
      <c r="AA58" s="520"/>
      <c r="AB58" s="521">
        <f t="shared" ref="AB58:AB62" si="79">Z58-S58</f>
        <v>150.4975000000004</v>
      </c>
      <c r="AC58" s="522">
        <f t="shared" ref="AC58:AC62" si="80">IF((S58)=0,"",(AB58/S58))</f>
        <v>3.12854767999068E-2</v>
      </c>
      <c r="AD58" s="512"/>
      <c r="AE58" s="519"/>
      <c r="AF58" s="519"/>
      <c r="AG58" s="517">
        <f>SUM(AG49:AG50,AG42,AG43:AG45)</f>
        <v>5044.8038900000001</v>
      </c>
      <c r="AH58" s="520"/>
      <c r="AI58" s="521">
        <f t="shared" ref="AI58:AI62" si="81">AG58-Z58</f>
        <v>83.847499999999854</v>
      </c>
      <c r="AJ58" s="522">
        <f t="shared" ref="AJ58:AJ62" si="82">IF((Z58)=0,"",(AI58/Z58))</f>
        <v>1.6901478950513381E-2</v>
      </c>
      <c r="AK58" s="512"/>
      <c r="AL58" s="519"/>
      <c r="AM58" s="519"/>
      <c r="AN58" s="517">
        <f>SUM(AN49:AN50,AN42,AN43:AN45)</f>
        <v>5121.6388900000011</v>
      </c>
      <c r="AO58" s="520"/>
      <c r="AP58" s="521">
        <f t="shared" ref="AP58:AP62" si="83">AN58-AG58</f>
        <v>76.835000000000946</v>
      </c>
      <c r="AQ58" s="522">
        <f t="shared" ref="AQ58:AQ62" si="84">IF((AG58)=0,"",(AP58/AG58))</f>
        <v>1.5230522667552284E-2</v>
      </c>
      <c r="AR58" s="523"/>
    </row>
    <row r="59" spans="1:44" ht="12" customHeight="1">
      <c r="A59" s="550"/>
      <c r="B59" s="524" t="s">
        <v>320</v>
      </c>
      <c r="C59" s="514"/>
      <c r="D59" s="514"/>
      <c r="E59" s="514"/>
      <c r="F59" s="515">
        <v>0.13</v>
      </c>
      <c r="G59" s="516"/>
      <c r="H59" s="525">
        <f>H58*F59</f>
        <v>653.53472599999998</v>
      </c>
      <c r="I59" s="526"/>
      <c r="J59" s="515">
        <v>0.13</v>
      </c>
      <c r="K59" s="527"/>
      <c r="L59" s="528">
        <f>L58*J59</f>
        <v>678.49065569999993</v>
      </c>
      <c r="M59" s="529"/>
      <c r="N59" s="530">
        <f t="shared" si="75"/>
        <v>24.955929699999956</v>
      </c>
      <c r="O59" s="531">
        <f t="shared" si="76"/>
        <v>3.818608056643643E-2</v>
      </c>
      <c r="P59" s="512"/>
      <c r="Q59" s="515">
        <v>0.13</v>
      </c>
      <c r="R59" s="527"/>
      <c r="S59" s="528">
        <f>S58*Q59</f>
        <v>625.35965569999996</v>
      </c>
      <c r="T59" s="529"/>
      <c r="U59" s="530">
        <f t="shared" si="77"/>
        <v>-53.130999999999972</v>
      </c>
      <c r="V59" s="531">
        <f t="shared" si="78"/>
        <v>-7.8307637037660652E-2</v>
      </c>
      <c r="W59" s="512"/>
      <c r="X59" s="515">
        <v>0.13</v>
      </c>
      <c r="Y59" s="527"/>
      <c r="Z59" s="528">
        <f>Z58*X59</f>
        <v>644.92433070000004</v>
      </c>
      <c r="AA59" s="529"/>
      <c r="AB59" s="530">
        <f t="shared" si="79"/>
        <v>19.564675000000079</v>
      </c>
      <c r="AC59" s="531">
        <f t="shared" si="80"/>
        <v>3.1285476799906842E-2</v>
      </c>
      <c r="AD59" s="512"/>
      <c r="AE59" s="515">
        <v>0.13</v>
      </c>
      <c r="AF59" s="527"/>
      <c r="AG59" s="528">
        <f>AG58*AE59</f>
        <v>655.82450570000003</v>
      </c>
      <c r="AH59" s="529"/>
      <c r="AI59" s="530">
        <f t="shared" si="81"/>
        <v>10.90017499999999</v>
      </c>
      <c r="AJ59" s="531">
        <f t="shared" si="82"/>
        <v>1.6901478950513395E-2</v>
      </c>
      <c r="AK59" s="512"/>
      <c r="AL59" s="515">
        <v>0.13</v>
      </c>
      <c r="AM59" s="527"/>
      <c r="AN59" s="528">
        <f>AN58*AL59</f>
        <v>665.81305570000018</v>
      </c>
      <c r="AO59" s="529"/>
      <c r="AP59" s="530">
        <f t="shared" si="83"/>
        <v>9.9885500000001457</v>
      </c>
      <c r="AQ59" s="531">
        <f t="shared" si="84"/>
        <v>1.5230522667552319E-2</v>
      </c>
      <c r="AR59" s="532"/>
    </row>
    <row r="60" spans="1:44" ht="12" customHeight="1">
      <c r="A60" s="550"/>
      <c r="B60" s="533" t="s">
        <v>389</v>
      </c>
      <c r="C60" s="514"/>
      <c r="D60" s="514"/>
      <c r="E60" s="514"/>
      <c r="F60" s="534"/>
      <c r="G60" s="529"/>
      <c r="H60" s="525">
        <f>H58+H59</f>
        <v>5680.7249259999999</v>
      </c>
      <c r="I60" s="526"/>
      <c r="J60" s="526"/>
      <c r="K60" s="526"/>
      <c r="L60" s="528">
        <f>L58+L59</f>
        <v>5897.6495457000001</v>
      </c>
      <c r="M60" s="529"/>
      <c r="N60" s="530">
        <f t="shared" si="75"/>
        <v>216.92461970000022</v>
      </c>
      <c r="O60" s="531">
        <f t="shared" si="76"/>
        <v>3.8186080566436534E-2</v>
      </c>
      <c r="P60" s="512"/>
      <c r="Q60" s="526"/>
      <c r="R60" s="526"/>
      <c r="S60" s="528">
        <f>S58+S59</f>
        <v>5435.8185457</v>
      </c>
      <c r="T60" s="529"/>
      <c r="U60" s="530">
        <f t="shared" si="77"/>
        <v>-461.83100000000013</v>
      </c>
      <c r="V60" s="531">
        <f t="shared" si="78"/>
        <v>-7.8307637037660707E-2</v>
      </c>
      <c r="W60" s="512"/>
      <c r="X60" s="526"/>
      <c r="Y60" s="526"/>
      <c r="Z60" s="528">
        <f>Z58+Z59</f>
        <v>5605.8807207</v>
      </c>
      <c r="AA60" s="529"/>
      <c r="AB60" s="530">
        <f t="shared" si="79"/>
        <v>170.06217500000002</v>
      </c>
      <c r="AC60" s="531">
        <f t="shared" si="80"/>
        <v>3.1285476799906717E-2</v>
      </c>
      <c r="AD60" s="512"/>
      <c r="AE60" s="526"/>
      <c r="AF60" s="526"/>
      <c r="AG60" s="528">
        <f>AG58+AG59</f>
        <v>5700.6283957000005</v>
      </c>
      <c r="AH60" s="529"/>
      <c r="AI60" s="530">
        <f t="shared" si="81"/>
        <v>94.747675000000527</v>
      </c>
      <c r="AJ60" s="531">
        <f t="shared" si="82"/>
        <v>1.6901478950513506E-2</v>
      </c>
      <c r="AK60" s="512"/>
      <c r="AL60" s="526"/>
      <c r="AM60" s="526"/>
      <c r="AN60" s="528">
        <f>AN58+AN59</f>
        <v>5787.4519457000015</v>
      </c>
      <c r="AO60" s="529"/>
      <c r="AP60" s="530">
        <f t="shared" si="83"/>
        <v>86.823550000000978</v>
      </c>
      <c r="AQ60" s="531">
        <f t="shared" si="84"/>
        <v>1.5230522667552268E-2</v>
      </c>
      <c r="AR60" s="532"/>
    </row>
    <row r="61" spans="1:44" ht="12" customHeight="1">
      <c r="A61" s="550"/>
      <c r="B61" s="644" t="s">
        <v>277</v>
      </c>
      <c r="C61" s="623"/>
      <c r="D61" s="623"/>
      <c r="E61" s="514"/>
      <c r="F61" s="534"/>
      <c r="G61" s="529"/>
      <c r="H61" s="535">
        <f>F61*H58</f>
        <v>0</v>
      </c>
      <c r="I61" s="526"/>
      <c r="J61" s="526"/>
      <c r="K61" s="526"/>
      <c r="L61" s="536">
        <f>J61*L58</f>
        <v>0</v>
      </c>
      <c r="M61" s="529"/>
      <c r="N61" s="537">
        <f t="shared" si="75"/>
        <v>0</v>
      </c>
      <c r="O61" s="538" t="str">
        <f t="shared" si="76"/>
        <v/>
      </c>
      <c r="P61" s="512"/>
      <c r="Q61" s="526"/>
      <c r="R61" s="526"/>
      <c r="S61" s="536">
        <f>Q61*S58</f>
        <v>0</v>
      </c>
      <c r="T61" s="529"/>
      <c r="U61" s="537">
        <f t="shared" si="77"/>
        <v>0</v>
      </c>
      <c r="V61" s="538" t="str">
        <f t="shared" si="78"/>
        <v/>
      </c>
      <c r="W61" s="512"/>
      <c r="X61" s="526"/>
      <c r="Y61" s="526"/>
      <c r="Z61" s="536">
        <f>X61*Z58</f>
        <v>0</v>
      </c>
      <c r="AA61" s="529"/>
      <c r="AB61" s="537">
        <f t="shared" si="79"/>
        <v>0</v>
      </c>
      <c r="AC61" s="538" t="str">
        <f t="shared" si="80"/>
        <v/>
      </c>
      <c r="AD61" s="512"/>
      <c r="AE61" s="526"/>
      <c r="AF61" s="526"/>
      <c r="AG61" s="536">
        <f>AE61*AG58</f>
        <v>0</v>
      </c>
      <c r="AH61" s="529"/>
      <c r="AI61" s="537">
        <f t="shared" si="81"/>
        <v>0</v>
      </c>
      <c r="AJ61" s="538" t="str">
        <f t="shared" si="82"/>
        <v/>
      </c>
      <c r="AK61" s="512"/>
      <c r="AL61" s="526"/>
      <c r="AM61" s="526"/>
      <c r="AN61" s="536">
        <f>AL61*AN58</f>
        <v>0</v>
      </c>
      <c r="AO61" s="529"/>
      <c r="AP61" s="537">
        <f t="shared" si="83"/>
        <v>0</v>
      </c>
      <c r="AQ61" s="538" t="str">
        <f t="shared" si="84"/>
        <v/>
      </c>
      <c r="AR61" s="539"/>
    </row>
    <row r="62" spans="1:44" ht="12" customHeight="1">
      <c r="A62" s="550"/>
      <c r="B62" s="643" t="s">
        <v>325</v>
      </c>
      <c r="C62" s="615"/>
      <c r="D62" s="615"/>
      <c r="E62" s="540"/>
      <c r="F62" s="541"/>
      <c r="G62" s="542"/>
      <c r="H62" s="543">
        <f>H60-H61</f>
        <v>5680.7249259999999</v>
      </c>
      <c r="I62" s="544"/>
      <c r="J62" s="544"/>
      <c r="K62" s="544"/>
      <c r="L62" s="545">
        <f>L60-L61</f>
        <v>5897.6495457000001</v>
      </c>
      <c r="M62" s="546"/>
      <c r="N62" s="547">
        <f t="shared" si="75"/>
        <v>216.92461970000022</v>
      </c>
      <c r="O62" s="548">
        <f t="shared" si="76"/>
        <v>3.8186080566436534E-2</v>
      </c>
      <c r="P62" s="512"/>
      <c r="Q62" s="544"/>
      <c r="R62" s="544"/>
      <c r="S62" s="545">
        <f>S60-S61</f>
        <v>5435.8185457</v>
      </c>
      <c r="T62" s="546"/>
      <c r="U62" s="547">
        <f t="shared" si="77"/>
        <v>-461.83100000000013</v>
      </c>
      <c r="V62" s="548">
        <f t="shared" si="78"/>
        <v>-7.8307637037660707E-2</v>
      </c>
      <c r="W62" s="512"/>
      <c r="X62" s="544"/>
      <c r="Y62" s="544"/>
      <c r="Z62" s="545">
        <f>Z60-Z61</f>
        <v>5605.8807207</v>
      </c>
      <c r="AA62" s="546"/>
      <c r="AB62" s="547">
        <f t="shared" si="79"/>
        <v>170.06217500000002</v>
      </c>
      <c r="AC62" s="548">
        <f t="shared" si="80"/>
        <v>3.1285476799906717E-2</v>
      </c>
      <c r="AD62" s="512"/>
      <c r="AE62" s="544"/>
      <c r="AF62" s="544"/>
      <c r="AG62" s="545">
        <f>AG60-AG61</f>
        <v>5700.6283957000005</v>
      </c>
      <c r="AH62" s="546"/>
      <c r="AI62" s="547">
        <f t="shared" si="81"/>
        <v>94.747675000000527</v>
      </c>
      <c r="AJ62" s="548">
        <f t="shared" si="82"/>
        <v>1.6901478950513506E-2</v>
      </c>
      <c r="AK62" s="512"/>
      <c r="AL62" s="544"/>
      <c r="AM62" s="544"/>
      <c r="AN62" s="545">
        <f>AN60-AN61</f>
        <v>5787.4519457000015</v>
      </c>
      <c r="AO62" s="546"/>
      <c r="AP62" s="547">
        <f t="shared" si="83"/>
        <v>86.823550000000978</v>
      </c>
      <c r="AQ62" s="548">
        <f t="shared" si="84"/>
        <v>1.5230522667552268E-2</v>
      </c>
      <c r="AR62" s="549"/>
    </row>
    <row r="63" spans="1:44" ht="12" customHeight="1">
      <c r="A63" s="550"/>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 customHeight="1">
      <c r="A64" s="550"/>
      <c r="B64" s="52"/>
      <c r="C64" s="52"/>
      <c r="D64" s="52"/>
      <c r="E64" s="52"/>
      <c r="F64" s="52"/>
      <c r="G64" s="52"/>
      <c r="H64" s="52">
        <v>17559.439999999999</v>
      </c>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 customHeight="1">
      <c r="A65" s="550"/>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8" t="s">
        <v>390</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328</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329</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t="s">
        <v>330</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331</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333</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334</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t="s">
        <v>335</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t="s">
        <v>336</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A00-000000000000}">
      <formula1>"TOU,non-TOU"</formula1>
    </dataValidation>
    <dataValidation type="list" allowBlank="1" showErrorMessage="1" sqref="E15:E28 E30:E38 E40:E41 E43:E51 E57 E63" xr:uid="{00000000-0002-0000-1A00-000001000000}">
      <formula1>#REF!</formula1>
    </dataValidation>
    <dataValidation type="list" allowBlank="1" showInputMessage="1" showErrorMessage="1" prompt="Select Charge Unit - monthly, per kWh, per kW" sqref="D15:D28 D30:D38 D40:D41 D43:D51 D57 D63" xr:uid="{00000000-0002-0000-1A00-000002000000}">
      <formula1>"Monthly,per kWh,per kW"</formula1>
    </dataValidation>
  </dataValidations>
  <pageMargins left="0.74803149606299213" right="0.74803149606299213" top="0.98425196850393704" bottom="0.98425196850393704"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X1000"/>
  <sheetViews>
    <sheetView showGridLines="0" workbookViewId="0">
      <selection activeCell="L10" sqref="L10"/>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2"/>
      <c r="B1" s="52"/>
      <c r="C1" s="52"/>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c r="AV1" s="3"/>
      <c r="AW1" s="3"/>
      <c r="AX1" s="3"/>
    </row>
    <row r="2" spans="1:50" ht="12" customHeight="1">
      <c r="A2" s="52"/>
      <c r="B2" s="52"/>
      <c r="C2" s="378"/>
      <c r="D2" s="378"/>
      <c r="E2" s="378"/>
      <c r="F2" s="378" t="s">
        <v>295</v>
      </c>
      <c r="G2" s="378"/>
      <c r="H2" s="378"/>
      <c r="I2" s="378"/>
      <c r="J2" s="378"/>
      <c r="K2" s="378"/>
      <c r="L2" s="378"/>
      <c r="M2" s="378"/>
      <c r="N2" s="378"/>
      <c r="O2" s="378"/>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c r="AV2" s="3"/>
      <c r="AW2" s="3"/>
      <c r="AX2" s="3"/>
    </row>
    <row r="3" spans="1:50" ht="12" customHeight="1">
      <c r="A3" s="52"/>
      <c r="B3" s="52"/>
      <c r="C3" s="378"/>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c r="AW3" s="3"/>
      <c r="AX3" s="3"/>
    </row>
    <row r="4" spans="1:50"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c r="AW4" s="3"/>
      <c r="AX4" s="3"/>
    </row>
    <row r="5" spans="1:50"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c r="AW5" s="3"/>
      <c r="AX5" s="3"/>
    </row>
    <row r="6" spans="1:50" ht="12" customHeight="1">
      <c r="A6" s="52"/>
      <c r="B6" s="320" t="s">
        <v>298</v>
      </c>
      <c r="C6" s="52"/>
      <c r="D6" s="504" t="s">
        <v>224</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row>
    <row r="7" spans="1:50"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c r="AW7" s="3"/>
      <c r="AX7" s="3"/>
    </row>
    <row r="8" spans="1:50" ht="12" customHeight="1">
      <c r="A8" s="52"/>
      <c r="B8" s="320" t="s">
        <v>299</v>
      </c>
      <c r="C8" s="52"/>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c r="AV8" s="3"/>
      <c r="AW8" s="3"/>
      <c r="AX8" s="3"/>
    </row>
    <row r="9" spans="1:50" ht="12" customHeight="1">
      <c r="A9" s="52"/>
      <c r="B9" s="382"/>
      <c r="C9" s="52"/>
      <c r="D9" s="307" t="s">
        <v>301</v>
      </c>
      <c r="E9" s="307"/>
      <c r="F9" s="385">
        <v>51000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c r="AV9" s="3"/>
      <c r="AW9" s="3"/>
      <c r="AX9" s="3"/>
    </row>
    <row r="10" spans="1:50" ht="12" customHeight="1">
      <c r="A10" s="52"/>
      <c r="B10" s="52"/>
      <c r="C10" s="52"/>
      <c r="D10" s="52"/>
      <c r="E10" s="52"/>
      <c r="F10" s="385">
        <v>250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c r="AV10" s="3"/>
      <c r="AW10" s="3"/>
      <c r="AX10" s="3"/>
    </row>
    <row r="11" spans="1:50" ht="12" customHeight="1">
      <c r="A11" s="550"/>
      <c r="B11" s="52"/>
      <c r="C11" s="52"/>
      <c r="D11" s="3"/>
      <c r="E11" s="3"/>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
      <c r="AT11" s="3"/>
      <c r="AU11" s="3"/>
      <c r="AV11" s="3"/>
      <c r="AW11" s="3"/>
      <c r="AX11" s="3"/>
    </row>
    <row r="12" spans="1:50" ht="12" customHeight="1">
      <c r="A12" s="550"/>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
      <c r="AT12" s="3"/>
      <c r="AU12" s="3"/>
      <c r="AV12" s="3"/>
      <c r="AW12" s="3"/>
      <c r="AX12" s="3"/>
    </row>
    <row r="13" spans="1:50" ht="12" customHeight="1">
      <c r="A13" s="550"/>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
      <c r="AT13" s="3"/>
      <c r="AU13" s="3"/>
      <c r="AV13" s="3"/>
      <c r="AW13" s="3"/>
      <c r="AX13" s="3"/>
    </row>
    <row r="14" spans="1:50" ht="12" customHeight="1">
      <c r="A14" s="550"/>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
      <c r="AT14" s="3"/>
      <c r="AU14" s="3"/>
      <c r="AV14" s="3"/>
      <c r="AW14" s="3"/>
      <c r="AX14" s="3"/>
    </row>
    <row r="15" spans="1:50" ht="12" customHeight="1">
      <c r="A15" s="550"/>
      <c r="B15" s="321" t="s">
        <v>221</v>
      </c>
      <c r="C15" s="394" t="str">
        <f t="shared" ref="C15:C28" si="0">D$6&amp;"."&amp;B15</f>
        <v>General Service 50 to 1,499 KW.Monthly Service Charge</v>
      </c>
      <c r="D15" s="395" t="s">
        <v>310</v>
      </c>
      <c r="E15" s="321"/>
      <c r="F15" s="396">
        <f>VLOOKUP($C15,'Proposed Rates'!$B:$J,F$11,FALSE)</f>
        <v>200</v>
      </c>
      <c r="G15" s="414">
        <f t="shared" ref="G15:G28" si="1">IF($D15="Monthly",1,IF($D15="per KW",$F$10,IF($D15="per kWh",$F$9,0)))</f>
        <v>1</v>
      </c>
      <c r="H15" s="399">
        <f t="shared" ref="H15:H28" si="2">G15*F15</f>
        <v>200</v>
      </c>
      <c r="I15" s="132"/>
      <c r="J15" s="396">
        <f>VLOOKUP($C15,'Proposed Rates'!$B:$J,J$11,FALSE)</f>
        <v>200</v>
      </c>
      <c r="K15" s="414">
        <f t="shared" ref="K15:K28" si="3">IF($D15="Monthly",1,IF($D15="per KW",$F$10,IF($D15="per kWh",$F$9,0)))</f>
        <v>1</v>
      </c>
      <c r="L15" s="399">
        <f t="shared" ref="L15:L28" si="4">K15*J15</f>
        <v>200</v>
      </c>
      <c r="M15" s="132"/>
      <c r="N15" s="400">
        <f t="shared" ref="N15:N46" si="5">L15-H15</f>
        <v>0</v>
      </c>
      <c r="O15" s="401">
        <f t="shared" ref="O15:O46" si="6">IF((H15)=0,"",(N15/H15))</f>
        <v>0</v>
      </c>
      <c r="P15" s="52"/>
      <c r="Q15" s="396">
        <f>VLOOKUP($C15,'Proposed Rates'!$B:$J,Q$11,FALSE)</f>
        <v>200</v>
      </c>
      <c r="R15" s="414">
        <f t="shared" ref="R15:R28" si="7">IF($D15="Monthly",1,IF($D15="per KW",$F$10,IF($D15="per kWh",$F$9,0)))</f>
        <v>1</v>
      </c>
      <c r="S15" s="399">
        <f t="shared" ref="S15:S28" si="8">R15*Q15</f>
        <v>200</v>
      </c>
      <c r="T15" s="132"/>
      <c r="U15" s="400">
        <f t="shared" ref="U15:U46" si="9">S15-L15</f>
        <v>0</v>
      </c>
      <c r="V15" s="401">
        <f t="shared" ref="V15:V46" si="10">IF((L15)=0,"",(U15/L15))</f>
        <v>0</v>
      </c>
      <c r="W15" s="52"/>
      <c r="X15" s="396">
        <f>VLOOKUP($C15,'Proposed Rates'!$B:$J,X$11,FALSE)</f>
        <v>200</v>
      </c>
      <c r="Y15" s="414">
        <f t="shared" ref="Y15:Y28" si="11">IF($D15="Monthly",1,IF($D15="per KW",$F$10,IF($D15="per kWh",$F$9,0)))</f>
        <v>1</v>
      </c>
      <c r="Z15" s="399">
        <f t="shared" ref="Z15:Z28" si="12">Y15*X15</f>
        <v>200</v>
      </c>
      <c r="AA15" s="132"/>
      <c r="AB15" s="400">
        <f t="shared" ref="AB15:AB34" si="13">Z15-S15</f>
        <v>0</v>
      </c>
      <c r="AC15" s="401">
        <f t="shared" ref="AC15:AC34" si="14">IF((S15)=0,"",(AB15/S15))</f>
        <v>0</v>
      </c>
      <c r="AD15" s="52"/>
      <c r="AE15" s="396">
        <f>VLOOKUP($C15,'Proposed Rates'!$B:$J,AE$11,FALSE)</f>
        <v>200</v>
      </c>
      <c r="AF15" s="414">
        <f t="shared" ref="AF15:AF28" si="15">IF($D15="Monthly",1,IF($D15="per KW",$F$10,IF($D15="per kWh",$F$9,0)))</f>
        <v>1</v>
      </c>
      <c r="AG15" s="399">
        <f t="shared" ref="AG15:AG28" si="16">AF15*AE15</f>
        <v>200</v>
      </c>
      <c r="AH15" s="132"/>
      <c r="AI15" s="400">
        <f t="shared" ref="AI15:AI46" si="17">AG15-Z15</f>
        <v>0</v>
      </c>
      <c r="AJ15" s="401">
        <f t="shared" ref="AJ15:AJ46" si="18">IF((Z15)=0,"",(AI15/Z15))</f>
        <v>0</v>
      </c>
      <c r="AK15" s="52"/>
      <c r="AL15" s="396">
        <f>VLOOKUP($C15,'Proposed Rates'!$B:$J,AL$11,FALSE)</f>
        <v>200</v>
      </c>
      <c r="AM15" s="414">
        <f t="shared" ref="AM15:AM28" si="19">IF($D15="Monthly",1,IF($D15="per KW",$F$10,IF($D15="per kWh",$F$9,0)))</f>
        <v>1</v>
      </c>
      <c r="AN15" s="399">
        <f t="shared" ref="AN15:AN28" si="20">AM15*AL15</f>
        <v>200</v>
      </c>
      <c r="AO15" s="132"/>
      <c r="AP15" s="400">
        <f t="shared" ref="AP15:AP46" si="21">AN15-AG15</f>
        <v>0</v>
      </c>
      <c r="AQ15" s="401">
        <f t="shared" ref="AQ15:AQ46" si="22">IF((AG15)=0,"",(AP15/AG15))</f>
        <v>0</v>
      </c>
      <c r="AR15" s="402"/>
      <c r="AS15" s="3"/>
      <c r="AT15" s="3"/>
      <c r="AU15" s="3"/>
      <c r="AV15" s="3"/>
      <c r="AW15" s="3"/>
      <c r="AX15" s="3"/>
    </row>
    <row r="16" spans="1:50" ht="12" customHeight="1">
      <c r="A16" s="550"/>
      <c r="B16" s="321" t="s">
        <v>311</v>
      </c>
      <c r="C16" s="394" t="str">
        <f t="shared" si="0"/>
        <v>General Service 50 to 1,499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c r="AS16" s="3"/>
      <c r="AT16" s="3"/>
      <c r="AU16" s="3"/>
      <c r="AV16" s="3"/>
      <c r="AW16" s="3"/>
      <c r="AX16" s="3"/>
    </row>
    <row r="17" spans="1:50" ht="12" customHeight="1">
      <c r="A17" s="550"/>
      <c r="B17" s="403" t="str">
        <f>'Proposed Rates'!C115</f>
        <v>Rate Rider Calculation for PILs</v>
      </c>
      <c r="C17" s="394" t="str">
        <f t="shared" si="0"/>
        <v>General Service 50 to 1,499 KW.Rate Rider Calculation for PILs</v>
      </c>
      <c r="D17" s="395" t="s">
        <v>381</v>
      </c>
      <c r="E17" s="321"/>
      <c r="F17" s="396">
        <f>IFERROR(VLOOKUP($C17,'Proposed Rates'!$B:$J,F$11,FALSE),0)</f>
        <v>0</v>
      </c>
      <c r="G17" s="414">
        <f t="shared" si="1"/>
        <v>250</v>
      </c>
      <c r="H17" s="399">
        <f t="shared" si="2"/>
        <v>0</v>
      </c>
      <c r="I17" s="132"/>
      <c r="J17" s="396">
        <f>IFERROR(VLOOKUP($C17,'Proposed Rates'!$B:$J,J$11,FALSE),0)</f>
        <v>0</v>
      </c>
      <c r="K17" s="414">
        <f t="shared" si="3"/>
        <v>250</v>
      </c>
      <c r="L17" s="399">
        <f t="shared" si="4"/>
        <v>0</v>
      </c>
      <c r="M17" s="132"/>
      <c r="N17" s="400">
        <f t="shared" si="5"/>
        <v>0</v>
      </c>
      <c r="O17" s="401" t="str">
        <f t="shared" si="6"/>
        <v/>
      </c>
      <c r="P17" s="52"/>
      <c r="Q17" s="396">
        <f>IFERROR(VLOOKUP($C17,'Proposed Rates'!$B:$J,Q$11,FALSE),0)</f>
        <v>0</v>
      </c>
      <c r="R17" s="414">
        <f t="shared" si="7"/>
        <v>250</v>
      </c>
      <c r="S17" s="399">
        <f t="shared" si="8"/>
        <v>0</v>
      </c>
      <c r="T17" s="132"/>
      <c r="U17" s="400">
        <f t="shared" si="9"/>
        <v>0</v>
      </c>
      <c r="V17" s="401" t="str">
        <f t="shared" si="10"/>
        <v/>
      </c>
      <c r="W17" s="52"/>
      <c r="X17" s="396">
        <f>IFERROR(VLOOKUP($C17,'Proposed Rates'!$B:$J,X$11,FALSE),0)</f>
        <v>0</v>
      </c>
      <c r="Y17" s="414">
        <f t="shared" si="11"/>
        <v>250</v>
      </c>
      <c r="Z17" s="399">
        <f t="shared" si="12"/>
        <v>0</v>
      </c>
      <c r="AA17" s="132"/>
      <c r="AB17" s="400">
        <f t="shared" si="13"/>
        <v>0</v>
      </c>
      <c r="AC17" s="401" t="str">
        <f t="shared" si="14"/>
        <v/>
      </c>
      <c r="AD17" s="52"/>
      <c r="AE17" s="396">
        <f>IFERROR(VLOOKUP($C17,'Proposed Rates'!$B:$J,AE$11,FALSE),0)</f>
        <v>0</v>
      </c>
      <c r="AF17" s="414">
        <f t="shared" si="15"/>
        <v>250</v>
      </c>
      <c r="AG17" s="399">
        <f t="shared" si="16"/>
        <v>0</v>
      </c>
      <c r="AH17" s="132"/>
      <c r="AI17" s="400">
        <f t="shared" si="17"/>
        <v>0</v>
      </c>
      <c r="AJ17" s="401" t="str">
        <f t="shared" si="18"/>
        <v/>
      </c>
      <c r="AK17" s="52"/>
      <c r="AL17" s="396">
        <f>IFERROR(VLOOKUP($C17,'Proposed Rates'!$B:$J,AL$11,FALSE),0)</f>
        <v>0</v>
      </c>
      <c r="AM17" s="414">
        <f t="shared" si="19"/>
        <v>250</v>
      </c>
      <c r="AN17" s="399">
        <f t="shared" si="20"/>
        <v>0</v>
      </c>
      <c r="AO17" s="132"/>
      <c r="AP17" s="400">
        <f t="shared" si="21"/>
        <v>0</v>
      </c>
      <c r="AQ17" s="401" t="str">
        <f t="shared" si="22"/>
        <v/>
      </c>
      <c r="AR17" s="402"/>
      <c r="AS17" s="3"/>
      <c r="AT17" s="3"/>
      <c r="AU17" s="3"/>
      <c r="AV17" s="3"/>
      <c r="AW17" s="3"/>
      <c r="AX17" s="3"/>
    </row>
    <row r="18" spans="1:50" ht="12" customHeight="1">
      <c r="A18" s="550"/>
      <c r="B18" s="403" t="str">
        <f>'Proposed Rates'!C128</f>
        <v>Rate Rider Calculation for Generic</v>
      </c>
      <c r="C18" s="394" t="str">
        <f t="shared" si="0"/>
        <v>General Service 50 to 1,499 KW.Rate Rider Calculation for Generic</v>
      </c>
      <c r="D18" s="395" t="s">
        <v>381</v>
      </c>
      <c r="E18" s="321"/>
      <c r="F18" s="396">
        <f>IFERROR(VLOOKUP($C18,'Proposed Rates'!$B:$J,F$11,FALSE),0)</f>
        <v>0</v>
      </c>
      <c r="G18" s="414">
        <f t="shared" si="1"/>
        <v>250</v>
      </c>
      <c r="H18" s="399">
        <f t="shared" si="2"/>
        <v>0</v>
      </c>
      <c r="I18" s="132"/>
      <c r="J18" s="396">
        <f>IFERROR(VLOOKUP($C18,'Proposed Rates'!$B:$J,J$11,FALSE),0)</f>
        <v>0</v>
      </c>
      <c r="K18" s="414">
        <f t="shared" si="3"/>
        <v>250</v>
      </c>
      <c r="L18" s="399">
        <f t="shared" si="4"/>
        <v>0</v>
      </c>
      <c r="M18" s="132"/>
      <c r="N18" s="400">
        <f t="shared" si="5"/>
        <v>0</v>
      </c>
      <c r="O18" s="401" t="str">
        <f t="shared" si="6"/>
        <v/>
      </c>
      <c r="P18" s="52"/>
      <c r="Q18" s="396">
        <f>IFERROR(VLOOKUP($C18,'Proposed Rates'!$B:$J,Q$11,FALSE),0)</f>
        <v>0</v>
      </c>
      <c r="R18" s="414">
        <f t="shared" si="7"/>
        <v>250</v>
      </c>
      <c r="S18" s="399">
        <f t="shared" si="8"/>
        <v>0</v>
      </c>
      <c r="T18" s="132"/>
      <c r="U18" s="400">
        <f t="shared" si="9"/>
        <v>0</v>
      </c>
      <c r="V18" s="401" t="str">
        <f t="shared" si="10"/>
        <v/>
      </c>
      <c r="W18" s="52"/>
      <c r="X18" s="396">
        <f>IFERROR(VLOOKUP($C18,'Proposed Rates'!$B:$J,X$11,FALSE),0)</f>
        <v>0</v>
      </c>
      <c r="Y18" s="414">
        <f t="shared" si="11"/>
        <v>250</v>
      </c>
      <c r="Z18" s="399">
        <f t="shared" si="12"/>
        <v>0</v>
      </c>
      <c r="AA18" s="132"/>
      <c r="AB18" s="400">
        <f t="shared" si="13"/>
        <v>0</v>
      </c>
      <c r="AC18" s="401" t="str">
        <f t="shared" si="14"/>
        <v/>
      </c>
      <c r="AD18" s="52"/>
      <c r="AE18" s="396">
        <f>IFERROR(VLOOKUP($C18,'Proposed Rates'!$B:$J,AE$11,FALSE),0)</f>
        <v>0</v>
      </c>
      <c r="AF18" s="414">
        <f t="shared" si="15"/>
        <v>250</v>
      </c>
      <c r="AG18" s="399">
        <f t="shared" si="16"/>
        <v>0</v>
      </c>
      <c r="AH18" s="132"/>
      <c r="AI18" s="400">
        <f t="shared" si="17"/>
        <v>0</v>
      </c>
      <c r="AJ18" s="401" t="str">
        <f t="shared" si="18"/>
        <v/>
      </c>
      <c r="AK18" s="52"/>
      <c r="AL18" s="396">
        <f>IFERROR(VLOOKUP($C18,'Proposed Rates'!$B:$J,AL$11,FALSE),0)</f>
        <v>0</v>
      </c>
      <c r="AM18" s="414">
        <f t="shared" si="19"/>
        <v>250</v>
      </c>
      <c r="AN18" s="399">
        <f t="shared" si="20"/>
        <v>0</v>
      </c>
      <c r="AO18" s="132"/>
      <c r="AP18" s="400">
        <f t="shared" si="21"/>
        <v>0</v>
      </c>
      <c r="AQ18" s="401" t="str">
        <f t="shared" si="22"/>
        <v/>
      </c>
      <c r="AR18" s="402"/>
      <c r="AS18" s="3"/>
      <c r="AT18" s="3"/>
      <c r="AU18" s="3"/>
      <c r="AV18" s="3"/>
      <c r="AW18" s="3"/>
      <c r="AX18" s="3"/>
    </row>
    <row r="19" spans="1:50" ht="12" customHeight="1">
      <c r="A19" s="550"/>
      <c r="B19" s="321" t="s">
        <v>59</v>
      </c>
      <c r="C19" s="394" t="str">
        <f t="shared" si="0"/>
        <v>General Service 50 to 1,499 KW.Distribution Volumetric Rate</v>
      </c>
      <c r="D19" s="395" t="s">
        <v>381</v>
      </c>
      <c r="E19" s="321"/>
      <c r="F19" s="413">
        <f>IFERROR(VLOOKUP($C19,'Proposed Rates'!$B:$J,F$11,FALSE),0)</f>
        <v>6.5552999999999999</v>
      </c>
      <c r="G19" s="414">
        <f t="shared" si="1"/>
        <v>250</v>
      </c>
      <c r="H19" s="399">
        <f t="shared" si="2"/>
        <v>1638.825</v>
      </c>
      <c r="I19" s="132"/>
      <c r="J19" s="413">
        <f>IFERROR(VLOOKUP($C19,'Proposed Rates'!$B:$J,J$11,FALSE),0)</f>
        <v>7.9935999999999998</v>
      </c>
      <c r="K19" s="414">
        <f t="shared" si="3"/>
        <v>250</v>
      </c>
      <c r="L19" s="399">
        <f t="shared" si="4"/>
        <v>1998.3999999999999</v>
      </c>
      <c r="M19" s="132"/>
      <c r="N19" s="400">
        <f t="shared" si="5"/>
        <v>359.57499999999982</v>
      </c>
      <c r="O19" s="401">
        <f t="shared" si="6"/>
        <v>0.21941024819611601</v>
      </c>
      <c r="P19" s="52"/>
      <c r="Q19" s="413">
        <f>IFERROR(VLOOKUP($C19,'Proposed Rates'!$B:$J,Q$11,FALSE),0)</f>
        <v>8.4202999999999992</v>
      </c>
      <c r="R19" s="414">
        <f t="shared" si="7"/>
        <v>250</v>
      </c>
      <c r="S19" s="399">
        <f t="shared" si="8"/>
        <v>2105.0749999999998</v>
      </c>
      <c r="T19" s="132"/>
      <c r="U19" s="400">
        <f t="shared" si="9"/>
        <v>106.67499999999995</v>
      </c>
      <c r="V19" s="401">
        <f t="shared" si="10"/>
        <v>5.3380204163330648E-2</v>
      </c>
      <c r="W19" s="52"/>
      <c r="X19" s="413">
        <f>IFERROR(VLOOKUP($C19,'Proposed Rates'!$B:$J,X$11,FALSE),0)</f>
        <v>9.0498999999999992</v>
      </c>
      <c r="Y19" s="414">
        <f t="shared" si="11"/>
        <v>250</v>
      </c>
      <c r="Z19" s="399">
        <f t="shared" si="12"/>
        <v>2262.4749999999999</v>
      </c>
      <c r="AA19" s="132"/>
      <c r="AB19" s="400">
        <f t="shared" si="13"/>
        <v>157.40000000000009</v>
      </c>
      <c r="AC19" s="401">
        <f t="shared" si="14"/>
        <v>7.4771682719143071E-2</v>
      </c>
      <c r="AD19" s="52"/>
      <c r="AE19" s="413">
        <f>IFERROR(VLOOKUP($C19,'Proposed Rates'!$B:$J,AE$11,FALSE),0)</f>
        <v>9.3849</v>
      </c>
      <c r="AF19" s="414">
        <f t="shared" si="15"/>
        <v>250</v>
      </c>
      <c r="AG19" s="399">
        <f t="shared" si="16"/>
        <v>2346.2249999999999</v>
      </c>
      <c r="AH19" s="132"/>
      <c r="AI19" s="400">
        <f t="shared" si="17"/>
        <v>83.75</v>
      </c>
      <c r="AJ19" s="401">
        <f t="shared" si="18"/>
        <v>3.7016983613078598E-2</v>
      </c>
      <c r="AK19" s="52"/>
      <c r="AL19" s="413">
        <f>IFERROR(VLOOKUP($C19,'Proposed Rates'!$B:$J,AL$11,FALSE),0)</f>
        <v>9.6918000000000006</v>
      </c>
      <c r="AM19" s="414">
        <f t="shared" si="19"/>
        <v>250</v>
      </c>
      <c r="AN19" s="399">
        <f t="shared" si="20"/>
        <v>2422.9500000000003</v>
      </c>
      <c r="AO19" s="132"/>
      <c r="AP19" s="400">
        <f t="shared" si="21"/>
        <v>76.725000000000364</v>
      </c>
      <c r="AQ19" s="401">
        <f t="shared" si="22"/>
        <v>3.2701467250583538E-2</v>
      </c>
      <c r="AR19" s="402"/>
      <c r="AS19" s="3"/>
      <c r="AT19" s="3"/>
      <c r="AU19" s="3"/>
      <c r="AV19" s="3"/>
      <c r="AW19" s="3"/>
      <c r="AX19" s="3"/>
    </row>
    <row r="20" spans="1:50" ht="12" customHeight="1">
      <c r="A20" s="550"/>
      <c r="B20" s="321" t="s">
        <v>313</v>
      </c>
      <c r="C20" s="394" t="str">
        <f t="shared" si="0"/>
        <v>General Service 50 to 1,499 KW.Smart Meter Disposition Rider</v>
      </c>
      <c r="D20" s="395" t="s">
        <v>312</v>
      </c>
      <c r="E20" s="321"/>
      <c r="F20" s="396">
        <f>IFERROR(VLOOKUP($C20,'Proposed Rates'!$B:$J,F$11,FALSE),0)</f>
        <v>0</v>
      </c>
      <c r="G20" s="414">
        <f t="shared" si="1"/>
        <v>51000</v>
      </c>
      <c r="H20" s="399">
        <f t="shared" si="2"/>
        <v>0</v>
      </c>
      <c r="I20" s="132"/>
      <c r="J20" s="396">
        <f>IFERROR(VLOOKUP($C20,'Proposed Rates'!$B:$J,J$11,FALSE),0)</f>
        <v>0</v>
      </c>
      <c r="K20" s="414">
        <f t="shared" si="3"/>
        <v>51000</v>
      </c>
      <c r="L20" s="399">
        <f t="shared" si="4"/>
        <v>0</v>
      </c>
      <c r="M20" s="132"/>
      <c r="N20" s="400">
        <f t="shared" si="5"/>
        <v>0</v>
      </c>
      <c r="O20" s="401" t="str">
        <f t="shared" si="6"/>
        <v/>
      </c>
      <c r="P20" s="52"/>
      <c r="Q20" s="396">
        <f>IFERROR(VLOOKUP($C20,'Proposed Rates'!$B:$J,Q$11,FALSE),0)</f>
        <v>0</v>
      </c>
      <c r="R20" s="414">
        <f t="shared" si="7"/>
        <v>51000</v>
      </c>
      <c r="S20" s="399">
        <f t="shared" si="8"/>
        <v>0</v>
      </c>
      <c r="T20" s="132"/>
      <c r="U20" s="400">
        <f t="shared" si="9"/>
        <v>0</v>
      </c>
      <c r="V20" s="401" t="str">
        <f t="shared" si="10"/>
        <v/>
      </c>
      <c r="W20" s="52"/>
      <c r="X20" s="396">
        <f>IFERROR(VLOOKUP($C20,'Proposed Rates'!$B:$J,X$11,FALSE),0)</f>
        <v>0</v>
      </c>
      <c r="Y20" s="414">
        <f t="shared" si="11"/>
        <v>51000</v>
      </c>
      <c r="Z20" s="399">
        <f t="shared" si="12"/>
        <v>0</v>
      </c>
      <c r="AA20" s="132"/>
      <c r="AB20" s="400">
        <f t="shared" si="13"/>
        <v>0</v>
      </c>
      <c r="AC20" s="401" t="str">
        <f t="shared" si="14"/>
        <v/>
      </c>
      <c r="AD20" s="52"/>
      <c r="AE20" s="396">
        <f>IFERROR(VLOOKUP($C20,'Proposed Rates'!$B:$J,AE$11,FALSE),0)</f>
        <v>0</v>
      </c>
      <c r="AF20" s="414">
        <f t="shared" si="15"/>
        <v>51000</v>
      </c>
      <c r="AG20" s="399">
        <f t="shared" si="16"/>
        <v>0</v>
      </c>
      <c r="AH20" s="132"/>
      <c r="AI20" s="400">
        <f t="shared" si="17"/>
        <v>0</v>
      </c>
      <c r="AJ20" s="401" t="str">
        <f t="shared" si="18"/>
        <v/>
      </c>
      <c r="AK20" s="52"/>
      <c r="AL20" s="396">
        <f>IFERROR(VLOOKUP($C20,'Proposed Rates'!$B:$J,AL$11,FALSE),0)</f>
        <v>0</v>
      </c>
      <c r="AM20" s="414">
        <f t="shared" si="19"/>
        <v>51000</v>
      </c>
      <c r="AN20" s="399">
        <f t="shared" si="20"/>
        <v>0</v>
      </c>
      <c r="AO20" s="132"/>
      <c r="AP20" s="400">
        <f t="shared" si="21"/>
        <v>0</v>
      </c>
      <c r="AQ20" s="401" t="str">
        <f t="shared" si="22"/>
        <v/>
      </c>
      <c r="AR20" s="402"/>
      <c r="AS20" s="3"/>
      <c r="AT20" s="3"/>
      <c r="AU20" s="3"/>
      <c r="AV20" s="3"/>
      <c r="AW20" s="3"/>
      <c r="AX20" s="3"/>
    </row>
    <row r="21" spans="1:50" ht="12" customHeight="1">
      <c r="A21" s="550"/>
      <c r="B21" s="321" t="s">
        <v>244</v>
      </c>
      <c r="C21" s="394" t="str">
        <f t="shared" si="0"/>
        <v>General Service 50 to 1,499 KW.LRAM Rate Rider</v>
      </c>
      <c r="D21" s="395" t="s">
        <v>381</v>
      </c>
      <c r="E21" s="321"/>
      <c r="F21" s="413">
        <f>'Proposed Rates'!E79+'Proposed Rates'!E92</f>
        <v>-0.2477</v>
      </c>
      <c r="G21" s="414">
        <f t="shared" si="1"/>
        <v>250</v>
      </c>
      <c r="H21" s="399">
        <f t="shared" si="2"/>
        <v>-61.925000000000004</v>
      </c>
      <c r="I21" s="132"/>
      <c r="J21" s="413">
        <f>'Proposed Rates'!F79+'Proposed Rates'!F92</f>
        <v>0</v>
      </c>
      <c r="K21" s="414">
        <f t="shared" si="3"/>
        <v>250</v>
      </c>
      <c r="L21" s="399">
        <f t="shared" si="4"/>
        <v>0</v>
      </c>
      <c r="M21" s="132"/>
      <c r="N21" s="400">
        <f t="shared" si="5"/>
        <v>61.925000000000004</v>
      </c>
      <c r="O21" s="401">
        <f t="shared" si="6"/>
        <v>-1</v>
      </c>
      <c r="P21" s="52"/>
      <c r="Q21" s="413">
        <f>'Proposed Rates'!G79+'Proposed Rates'!G92</f>
        <v>2.7900000000000001E-2</v>
      </c>
      <c r="R21" s="414">
        <f t="shared" si="7"/>
        <v>250</v>
      </c>
      <c r="S21" s="399">
        <f t="shared" si="8"/>
        <v>6.9750000000000005</v>
      </c>
      <c r="T21" s="132"/>
      <c r="U21" s="400">
        <f t="shared" si="9"/>
        <v>6.9750000000000005</v>
      </c>
      <c r="V21" s="401" t="str">
        <f t="shared" si="10"/>
        <v/>
      </c>
      <c r="W21" s="52"/>
      <c r="X21" s="413">
        <f>IFERROR(VLOOKUP($C21,'Proposed Rates'!$B:$J,X$11,FALSE),0)</f>
        <v>0</v>
      </c>
      <c r="Y21" s="414">
        <f t="shared" si="11"/>
        <v>250</v>
      </c>
      <c r="Z21" s="399">
        <f t="shared" si="12"/>
        <v>0</v>
      </c>
      <c r="AA21" s="132"/>
      <c r="AB21" s="400">
        <f t="shared" si="13"/>
        <v>-6.9750000000000005</v>
      </c>
      <c r="AC21" s="401">
        <f t="shared" si="14"/>
        <v>-1</v>
      </c>
      <c r="AD21" s="52"/>
      <c r="AE21" s="413">
        <f>IFERROR(VLOOKUP($C21,'Proposed Rates'!$B:$J,AE$11,FALSE),0)</f>
        <v>0</v>
      </c>
      <c r="AF21" s="414">
        <f t="shared" si="15"/>
        <v>250</v>
      </c>
      <c r="AG21" s="399">
        <f t="shared" si="16"/>
        <v>0</v>
      </c>
      <c r="AH21" s="132"/>
      <c r="AI21" s="400">
        <f t="shared" si="17"/>
        <v>0</v>
      </c>
      <c r="AJ21" s="401" t="str">
        <f t="shared" si="18"/>
        <v/>
      </c>
      <c r="AK21" s="52"/>
      <c r="AL21" s="413">
        <f>IFERROR(VLOOKUP($C21,'Proposed Rates'!$B:$J,AL$11,FALSE),0)</f>
        <v>0</v>
      </c>
      <c r="AM21" s="414">
        <f t="shared" si="19"/>
        <v>250</v>
      </c>
      <c r="AN21" s="399">
        <f t="shared" si="20"/>
        <v>0</v>
      </c>
      <c r="AO21" s="132"/>
      <c r="AP21" s="400">
        <f t="shared" si="21"/>
        <v>0</v>
      </c>
      <c r="AQ21" s="401" t="str">
        <f t="shared" si="22"/>
        <v/>
      </c>
      <c r="AR21" s="402"/>
      <c r="AS21" s="3"/>
      <c r="AT21" s="3"/>
      <c r="AU21" s="3"/>
      <c r="AV21" s="3"/>
      <c r="AW21" s="3"/>
      <c r="AX21" s="3"/>
    </row>
    <row r="22" spans="1:50" ht="12" customHeight="1">
      <c r="A22" s="550"/>
      <c r="B22" s="403" t="s">
        <v>240</v>
      </c>
      <c r="C22" s="394" t="str">
        <f t="shared" si="0"/>
        <v>General Service 50 to 1,499 KW.Deferral/Variance Account Disposition Rate Rider Group 2</v>
      </c>
      <c r="D22" s="395" t="s">
        <v>381</v>
      </c>
      <c r="E22" s="321"/>
      <c r="F22" s="396">
        <f>IFERROR(VLOOKUP($C22,'Proposed Rates'!$B:$J,F$11,FALSE),0)</f>
        <v>0</v>
      </c>
      <c r="G22" s="414">
        <f t="shared" si="1"/>
        <v>250</v>
      </c>
      <c r="H22" s="399">
        <f t="shared" si="2"/>
        <v>0</v>
      </c>
      <c r="I22" s="132"/>
      <c r="J22" s="396">
        <f>IFERROR(VLOOKUP($C22,'Proposed Rates'!$B:$J,J$11,FALSE),0)</f>
        <v>-0.15229999999999999</v>
      </c>
      <c r="K22" s="414">
        <f t="shared" si="3"/>
        <v>250</v>
      </c>
      <c r="L22" s="399">
        <f t="shared" si="4"/>
        <v>-38.074999999999996</v>
      </c>
      <c r="M22" s="132"/>
      <c r="N22" s="400">
        <f t="shared" si="5"/>
        <v>-38.074999999999996</v>
      </c>
      <c r="O22" s="401" t="str">
        <f t="shared" si="6"/>
        <v/>
      </c>
      <c r="P22" s="52"/>
      <c r="Q22" s="396">
        <f>IFERROR(VLOOKUP($C22,'Proposed Rates'!$B:$J,Q$11,FALSE),0)</f>
        <v>0</v>
      </c>
      <c r="R22" s="414">
        <f t="shared" si="7"/>
        <v>250</v>
      </c>
      <c r="S22" s="399">
        <f t="shared" si="8"/>
        <v>0</v>
      </c>
      <c r="T22" s="132"/>
      <c r="U22" s="400">
        <f t="shared" si="9"/>
        <v>38.074999999999996</v>
      </c>
      <c r="V22" s="401">
        <f t="shared" si="10"/>
        <v>-1</v>
      </c>
      <c r="W22" s="52"/>
      <c r="X22" s="396">
        <f>IFERROR(VLOOKUP($C22,'Proposed Rates'!$B:$J,X$11,FALSE),0)</f>
        <v>0</v>
      </c>
      <c r="Y22" s="414">
        <f t="shared" si="11"/>
        <v>250</v>
      </c>
      <c r="Z22" s="399">
        <f t="shared" si="12"/>
        <v>0</v>
      </c>
      <c r="AA22" s="132"/>
      <c r="AB22" s="400">
        <f t="shared" si="13"/>
        <v>0</v>
      </c>
      <c r="AC22" s="401" t="str">
        <f t="shared" si="14"/>
        <v/>
      </c>
      <c r="AD22" s="52"/>
      <c r="AE22" s="396">
        <f>IFERROR(VLOOKUP($C22,'Proposed Rates'!$B:$J,AE$11,FALSE),0)</f>
        <v>0</v>
      </c>
      <c r="AF22" s="414">
        <f t="shared" si="15"/>
        <v>250</v>
      </c>
      <c r="AG22" s="399">
        <f t="shared" si="16"/>
        <v>0</v>
      </c>
      <c r="AH22" s="132"/>
      <c r="AI22" s="400">
        <f t="shared" si="17"/>
        <v>0</v>
      </c>
      <c r="AJ22" s="401" t="str">
        <f t="shared" si="18"/>
        <v/>
      </c>
      <c r="AK22" s="52"/>
      <c r="AL22" s="396">
        <f>IFERROR(VLOOKUP($C22,'Proposed Rates'!$B:$J,AL$11,FALSE),0)</f>
        <v>0</v>
      </c>
      <c r="AM22" s="414">
        <f t="shared" si="19"/>
        <v>250</v>
      </c>
      <c r="AN22" s="399">
        <f t="shared" si="20"/>
        <v>0</v>
      </c>
      <c r="AO22" s="132"/>
      <c r="AP22" s="400">
        <f t="shared" si="21"/>
        <v>0</v>
      </c>
      <c r="AQ22" s="401" t="str">
        <f t="shared" si="22"/>
        <v/>
      </c>
      <c r="AR22" s="402"/>
      <c r="AS22" s="3"/>
      <c r="AT22" s="3"/>
      <c r="AU22" s="3"/>
      <c r="AV22" s="3"/>
      <c r="AW22" s="3"/>
      <c r="AX22" s="3"/>
    </row>
    <row r="23" spans="1:50" ht="12" customHeight="1">
      <c r="A23" s="550"/>
      <c r="B23" s="403"/>
      <c r="C23" s="394" t="str">
        <f t="shared" si="0"/>
        <v>General Service 50 to 1,499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c r="AS23" s="3"/>
      <c r="AT23" s="3"/>
      <c r="AU23" s="3"/>
      <c r="AV23" s="3"/>
      <c r="AW23" s="3"/>
      <c r="AX23" s="3"/>
    </row>
    <row r="24" spans="1:50" ht="12" customHeight="1">
      <c r="A24" s="550"/>
      <c r="B24" s="403"/>
      <c r="C24" s="394" t="str">
        <f t="shared" si="0"/>
        <v>General Service 50 to 1,499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c r="AS24" s="3"/>
      <c r="AT24" s="3"/>
      <c r="AU24" s="3"/>
      <c r="AV24" s="3"/>
      <c r="AW24" s="3"/>
      <c r="AX24" s="3"/>
    </row>
    <row r="25" spans="1:50" ht="12" customHeight="1">
      <c r="A25" s="550"/>
      <c r="B25" s="403"/>
      <c r="C25" s="394" t="str">
        <f t="shared" si="0"/>
        <v>General Service 50 to 1,499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c r="AS25" s="3"/>
      <c r="AT25" s="3"/>
      <c r="AU25" s="3"/>
      <c r="AV25" s="3"/>
      <c r="AW25" s="3"/>
      <c r="AX25" s="3"/>
    </row>
    <row r="26" spans="1:50" ht="12" customHeight="1">
      <c r="A26" s="550"/>
      <c r="B26" s="403"/>
      <c r="C26" s="394" t="str">
        <f t="shared" si="0"/>
        <v>General Service 50 to 1,499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c r="AS26" s="3"/>
      <c r="AT26" s="3"/>
      <c r="AU26" s="3"/>
      <c r="AV26" s="3"/>
      <c r="AW26" s="3"/>
      <c r="AX26" s="3"/>
    </row>
    <row r="27" spans="1:50" ht="12" customHeight="1">
      <c r="A27" s="550"/>
      <c r="B27" s="403"/>
      <c r="C27" s="394" t="str">
        <f t="shared" si="0"/>
        <v>General Service 50 to 1,499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c r="AS27" s="3"/>
      <c r="AT27" s="3"/>
      <c r="AU27" s="3"/>
      <c r="AV27" s="3"/>
      <c r="AW27" s="3"/>
      <c r="AX27" s="3"/>
    </row>
    <row r="28" spans="1:50" ht="12" customHeight="1">
      <c r="A28" s="550"/>
      <c r="B28" s="403"/>
      <c r="C28" s="394" t="str">
        <f t="shared" si="0"/>
        <v>General Service 50 to 1,499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c r="AS28" s="3"/>
      <c r="AT28" s="3"/>
      <c r="AU28" s="3"/>
      <c r="AV28" s="3"/>
      <c r="AW28" s="3"/>
      <c r="AX28" s="3"/>
    </row>
    <row r="29" spans="1:50" ht="12" customHeight="1">
      <c r="A29" s="550"/>
      <c r="B29" s="404" t="s">
        <v>314</v>
      </c>
      <c r="C29" s="405"/>
      <c r="D29" s="405"/>
      <c r="E29" s="405"/>
      <c r="F29" s="406"/>
      <c r="G29" s="499"/>
      <c r="H29" s="408">
        <f>SUM(H15:H28)</f>
        <v>1776.9</v>
      </c>
      <c r="I29" s="409"/>
      <c r="J29" s="406"/>
      <c r="K29" s="499"/>
      <c r="L29" s="408">
        <f>SUM(L15:L28)</f>
        <v>2160.3249999999998</v>
      </c>
      <c r="M29" s="409"/>
      <c r="N29" s="410">
        <f t="shared" si="5"/>
        <v>383.42499999999973</v>
      </c>
      <c r="O29" s="411">
        <f t="shared" si="6"/>
        <v>0.21578310540829518</v>
      </c>
      <c r="P29" s="307"/>
      <c r="Q29" s="406"/>
      <c r="R29" s="499"/>
      <c r="S29" s="408">
        <f>SUM(S15:S28)</f>
        <v>2312.0499999999997</v>
      </c>
      <c r="T29" s="409"/>
      <c r="U29" s="410">
        <f t="shared" si="9"/>
        <v>151.72499999999991</v>
      </c>
      <c r="V29" s="411">
        <f t="shared" si="10"/>
        <v>7.0232488167289608E-2</v>
      </c>
      <c r="W29" s="307"/>
      <c r="X29" s="406"/>
      <c r="Y29" s="499"/>
      <c r="Z29" s="408">
        <f>SUM(Z15:Z28)</f>
        <v>2462.4749999999999</v>
      </c>
      <c r="AA29" s="409"/>
      <c r="AB29" s="410">
        <f t="shared" si="13"/>
        <v>150.42500000000018</v>
      </c>
      <c r="AC29" s="411">
        <f t="shared" si="14"/>
        <v>6.5061309227741698E-2</v>
      </c>
      <c r="AD29" s="307"/>
      <c r="AE29" s="406"/>
      <c r="AF29" s="499"/>
      <c r="AG29" s="408">
        <f>SUM(AG15:AG28)</f>
        <v>2546.2249999999999</v>
      </c>
      <c r="AH29" s="409"/>
      <c r="AI29" s="410">
        <f t="shared" si="17"/>
        <v>83.75</v>
      </c>
      <c r="AJ29" s="411">
        <f t="shared" si="18"/>
        <v>3.4010497568503238E-2</v>
      </c>
      <c r="AK29" s="307"/>
      <c r="AL29" s="406"/>
      <c r="AM29" s="499"/>
      <c r="AN29" s="408">
        <f>SUM(AN15:AN28)</f>
        <v>2622.9500000000003</v>
      </c>
      <c r="AO29" s="409"/>
      <c r="AP29" s="410">
        <f t="shared" si="21"/>
        <v>76.725000000000364</v>
      </c>
      <c r="AQ29" s="411">
        <f t="shared" si="22"/>
        <v>3.0132843719624294E-2</v>
      </c>
      <c r="AR29" s="412"/>
      <c r="AS29" s="3"/>
      <c r="AT29" s="3"/>
      <c r="AU29" s="3"/>
      <c r="AV29" s="3"/>
      <c r="AW29" s="3"/>
      <c r="AX29" s="3"/>
    </row>
    <row r="30" spans="1:50" ht="12" customHeight="1">
      <c r="A30" s="550"/>
      <c r="B30" s="403" t="s">
        <v>237</v>
      </c>
      <c r="C30" s="394" t="str">
        <f t="shared" ref="C30:C38" si="23">D$6&amp;"."&amp;B30</f>
        <v>General Service 50 to 1,499 KW.DVA Disposition Rate Rider Group 1 -2025</v>
      </c>
      <c r="D30" s="395" t="s">
        <v>381</v>
      </c>
      <c r="E30" s="321"/>
      <c r="F30" s="413">
        <f>IFERROR(VLOOKUP($C30,'Proposed Rates'!$B:$J,F$11,FALSE),0)</f>
        <v>0.35310000000000002</v>
      </c>
      <c r="G30" s="414">
        <f t="shared" ref="G30:G36" si="24">IF($D30="Monthly",1,IF($D30="per KW",$F$10,IF($D30="per kWh",$F$9,0)))</f>
        <v>250</v>
      </c>
      <c r="H30" s="399">
        <f t="shared" ref="H30:H38" si="25">G30*F30</f>
        <v>88.275000000000006</v>
      </c>
      <c r="I30" s="132"/>
      <c r="J30" s="413">
        <f>IFERROR(VLOOKUP($C30,'Proposed Rates'!$B:$J,J$11,FALSE),0)</f>
        <v>7.3000000000000001E-3</v>
      </c>
      <c r="K30" s="414">
        <f t="shared" ref="K30:K36" si="26">IF($D30="Monthly",1,IF($D30="per KW",$F$10,IF($D30="per kWh",$F$9,0)))</f>
        <v>250</v>
      </c>
      <c r="L30" s="399">
        <f t="shared" ref="L30:L38" si="27">K30*J30</f>
        <v>1.825</v>
      </c>
      <c r="M30" s="132"/>
      <c r="N30" s="400">
        <f t="shared" si="5"/>
        <v>-86.45</v>
      </c>
      <c r="O30" s="401">
        <f t="shared" si="6"/>
        <v>-0.97932596998017551</v>
      </c>
      <c r="P30" s="52"/>
      <c r="Q30" s="413">
        <f>IFERROR(VLOOKUP($C30,'Proposed Rates'!$B:$J,Q$11,FALSE),0)</f>
        <v>0</v>
      </c>
      <c r="R30" s="414">
        <f t="shared" ref="R30:R36" si="28">IF($D30="Monthly",1,IF($D30="per KW",$F$10,IF($D30="per kWh",$F$9,0)))</f>
        <v>250</v>
      </c>
      <c r="S30" s="399">
        <f t="shared" ref="S30:S38" si="29">R30*Q30</f>
        <v>0</v>
      </c>
      <c r="T30" s="132"/>
      <c r="U30" s="400">
        <f t="shared" si="9"/>
        <v>-1.825</v>
      </c>
      <c r="V30" s="401">
        <f t="shared" si="10"/>
        <v>-1</v>
      </c>
      <c r="W30" s="52"/>
      <c r="X30" s="413">
        <f>IFERROR(VLOOKUP($C30,'Proposed Rates'!$B:$J,X$11,FALSE),0)</f>
        <v>0</v>
      </c>
      <c r="Y30" s="414">
        <f t="shared" ref="Y30:Y36" si="30">IF($D30="Monthly",1,IF($D30="per KW",$F$10,IF($D30="per kWh",$F$9,0)))</f>
        <v>250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250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250</v>
      </c>
      <c r="AN30" s="399">
        <f t="shared" ref="AN30:AN38" si="35">AM30*AL30</f>
        <v>0</v>
      </c>
      <c r="AO30" s="132"/>
      <c r="AP30" s="400">
        <f t="shared" si="21"/>
        <v>0</v>
      </c>
      <c r="AQ30" s="401" t="str">
        <f t="shared" si="22"/>
        <v/>
      </c>
      <c r="AR30" s="402"/>
      <c r="AS30" s="3"/>
      <c r="AT30" s="3"/>
      <c r="AU30" s="3"/>
      <c r="AV30" s="3"/>
      <c r="AW30" s="3"/>
      <c r="AX30" s="3"/>
    </row>
    <row r="31" spans="1:50" ht="12" customHeight="1">
      <c r="A31" s="550"/>
      <c r="B31" s="403" t="s">
        <v>239</v>
      </c>
      <c r="C31" s="394" t="str">
        <f t="shared" si="23"/>
        <v>General Service 50 to 1,499 KW.DVA Disposition Rate Rider Group 1 - 2024</v>
      </c>
      <c r="D31" s="395" t="s">
        <v>381</v>
      </c>
      <c r="E31" s="321"/>
      <c r="F31" s="413">
        <f>IFERROR(VLOOKUP($C31,'Proposed Rates'!$B:$J,F$11,FALSE),0)</f>
        <v>0</v>
      </c>
      <c r="G31" s="414">
        <f t="shared" si="24"/>
        <v>250</v>
      </c>
      <c r="H31" s="399">
        <f t="shared" si="25"/>
        <v>0</v>
      </c>
      <c r="I31" s="132"/>
      <c r="J31" s="413">
        <f>IFERROR(VLOOKUP($C31,'Proposed Rates'!$B:$J,J$11,FALSE),0)</f>
        <v>0</v>
      </c>
      <c r="K31" s="414">
        <f t="shared" si="26"/>
        <v>250</v>
      </c>
      <c r="L31" s="399">
        <f t="shared" si="27"/>
        <v>0</v>
      </c>
      <c r="M31" s="132"/>
      <c r="N31" s="400">
        <f t="shared" si="5"/>
        <v>0</v>
      </c>
      <c r="O31" s="401" t="str">
        <f t="shared" si="6"/>
        <v/>
      </c>
      <c r="P31" s="52"/>
      <c r="Q31" s="413">
        <f>IFERROR(VLOOKUP($C31,'Proposed Rates'!$B:$J,Q$11,FALSE),0)</f>
        <v>0</v>
      </c>
      <c r="R31" s="414">
        <f t="shared" si="28"/>
        <v>250</v>
      </c>
      <c r="S31" s="399">
        <f t="shared" si="29"/>
        <v>0</v>
      </c>
      <c r="T31" s="132"/>
      <c r="U31" s="400">
        <f t="shared" si="9"/>
        <v>0</v>
      </c>
      <c r="V31" s="401" t="str">
        <f t="shared" si="10"/>
        <v/>
      </c>
      <c r="W31" s="52"/>
      <c r="X31" s="413">
        <f>IFERROR(VLOOKUP($C31,'Proposed Rates'!$B:$J,X$11,FALSE),0)</f>
        <v>0</v>
      </c>
      <c r="Y31" s="414">
        <f t="shared" si="30"/>
        <v>250</v>
      </c>
      <c r="Z31" s="399">
        <f t="shared" si="31"/>
        <v>0</v>
      </c>
      <c r="AA31" s="132"/>
      <c r="AB31" s="400">
        <f t="shared" si="13"/>
        <v>0</v>
      </c>
      <c r="AC31" s="401" t="str">
        <f t="shared" si="14"/>
        <v/>
      </c>
      <c r="AD31" s="52"/>
      <c r="AE31" s="413">
        <f>IFERROR(VLOOKUP($C31,'Proposed Rates'!$B:$J,AE$11,FALSE),0)</f>
        <v>0</v>
      </c>
      <c r="AF31" s="414">
        <f t="shared" si="32"/>
        <v>250</v>
      </c>
      <c r="AG31" s="399">
        <f t="shared" si="33"/>
        <v>0</v>
      </c>
      <c r="AH31" s="132"/>
      <c r="AI31" s="400">
        <f t="shared" si="17"/>
        <v>0</v>
      </c>
      <c r="AJ31" s="401" t="str">
        <f t="shared" si="18"/>
        <v/>
      </c>
      <c r="AK31" s="52"/>
      <c r="AL31" s="413">
        <f>IFERROR(VLOOKUP($C31,'Proposed Rates'!$B:$J,AL$11,FALSE),0)</f>
        <v>0</v>
      </c>
      <c r="AM31" s="414">
        <f t="shared" si="34"/>
        <v>250</v>
      </c>
      <c r="AN31" s="399">
        <f t="shared" si="35"/>
        <v>0</v>
      </c>
      <c r="AO31" s="132"/>
      <c r="AP31" s="400">
        <f t="shared" si="21"/>
        <v>0</v>
      </c>
      <c r="AQ31" s="401" t="str">
        <f t="shared" si="22"/>
        <v/>
      </c>
      <c r="AR31" s="402"/>
      <c r="AS31" s="3"/>
      <c r="AT31" s="3"/>
      <c r="AU31" s="3"/>
      <c r="AV31" s="3"/>
      <c r="AW31" s="3"/>
      <c r="AX31" s="3"/>
    </row>
    <row r="32" spans="1:50" ht="12" customHeight="1">
      <c r="A32" s="550"/>
      <c r="B32" s="403" t="s">
        <v>247</v>
      </c>
      <c r="C32" s="394" t="str">
        <f t="shared" si="23"/>
        <v>General Service 50 to 1,499 KW.CBR Class B Rate Riders</v>
      </c>
      <c r="D32" s="395" t="s">
        <v>312</v>
      </c>
      <c r="E32" s="321"/>
      <c r="F32" s="413">
        <f>IFERROR(VLOOKUP($C32,'Proposed Rates'!$B:$J,F$11,FALSE),0)</f>
        <v>2.0000000000000001E-4</v>
      </c>
      <c r="G32" s="414">
        <f t="shared" si="24"/>
        <v>51000</v>
      </c>
      <c r="H32" s="399">
        <f t="shared" si="25"/>
        <v>10.200000000000001</v>
      </c>
      <c r="I32" s="484"/>
      <c r="J32" s="413">
        <f>IFERROR(VLOOKUP($C32,'Proposed Rates'!$B:$J,J$11,FALSE),0)</f>
        <v>4.0000000000000002E-4</v>
      </c>
      <c r="K32" s="414">
        <f t="shared" si="26"/>
        <v>51000</v>
      </c>
      <c r="L32" s="399">
        <f t="shared" si="27"/>
        <v>20.400000000000002</v>
      </c>
      <c r="M32" s="416"/>
      <c r="N32" s="400">
        <f t="shared" si="5"/>
        <v>10.200000000000001</v>
      </c>
      <c r="O32" s="401">
        <f t="shared" si="6"/>
        <v>1</v>
      </c>
      <c r="P32" s="52"/>
      <c r="Q32" s="413">
        <f>IFERROR(VLOOKUP($C32,'Proposed Rates'!$B:$J,Q$11,FALSE),0)</f>
        <v>0</v>
      </c>
      <c r="R32" s="414">
        <f t="shared" si="28"/>
        <v>51000</v>
      </c>
      <c r="S32" s="399">
        <f t="shared" si="29"/>
        <v>0</v>
      </c>
      <c r="T32" s="416"/>
      <c r="U32" s="400">
        <f t="shared" si="9"/>
        <v>-20.400000000000002</v>
      </c>
      <c r="V32" s="401">
        <f t="shared" si="10"/>
        <v>-1</v>
      </c>
      <c r="W32" s="52"/>
      <c r="X32" s="413">
        <f>IFERROR(VLOOKUP($C32,'Proposed Rates'!$B:$J,X$11,FALSE),0)</f>
        <v>0</v>
      </c>
      <c r="Y32" s="414">
        <f t="shared" si="30"/>
        <v>51000</v>
      </c>
      <c r="Z32" s="399">
        <f t="shared" si="31"/>
        <v>0</v>
      </c>
      <c r="AA32" s="132"/>
      <c r="AB32" s="400">
        <f t="shared" si="13"/>
        <v>0</v>
      </c>
      <c r="AC32" s="401" t="str">
        <f t="shared" si="14"/>
        <v/>
      </c>
      <c r="AD32" s="52"/>
      <c r="AE32" s="413">
        <f>IFERROR(VLOOKUP($C32,'Proposed Rates'!$B:$J,AE$11,FALSE),0)</f>
        <v>0</v>
      </c>
      <c r="AF32" s="414">
        <f t="shared" si="32"/>
        <v>51000</v>
      </c>
      <c r="AG32" s="399">
        <f t="shared" si="33"/>
        <v>0</v>
      </c>
      <c r="AH32" s="132"/>
      <c r="AI32" s="400">
        <f t="shared" si="17"/>
        <v>0</v>
      </c>
      <c r="AJ32" s="401" t="str">
        <f t="shared" si="18"/>
        <v/>
      </c>
      <c r="AK32" s="52"/>
      <c r="AL32" s="413">
        <f>IFERROR(VLOOKUP($C32,'Proposed Rates'!$B:$J,AL$11,FALSE),0)</f>
        <v>0</v>
      </c>
      <c r="AM32" s="414">
        <f t="shared" si="34"/>
        <v>51000</v>
      </c>
      <c r="AN32" s="399">
        <f t="shared" si="35"/>
        <v>0</v>
      </c>
      <c r="AO32" s="416"/>
      <c r="AP32" s="400">
        <f t="shared" si="21"/>
        <v>0</v>
      </c>
      <c r="AQ32" s="401" t="str">
        <f t="shared" si="22"/>
        <v/>
      </c>
      <c r="AR32" s="402"/>
      <c r="AS32" s="3"/>
      <c r="AT32" s="3"/>
      <c r="AU32" s="3"/>
      <c r="AV32" s="3"/>
      <c r="AW32" s="3"/>
      <c r="AX32" s="3"/>
    </row>
    <row r="33" spans="1:50" ht="12" customHeight="1">
      <c r="A33" s="550"/>
      <c r="B33" s="403" t="s">
        <v>252</v>
      </c>
      <c r="C33" s="394" t="str">
        <f t="shared" si="23"/>
        <v>General Service 50 to 1,499 KW.GA Rate Riders</v>
      </c>
      <c r="D33" s="395" t="s">
        <v>312</v>
      </c>
      <c r="E33" s="321"/>
      <c r="F33" s="413">
        <f>IFERROR(VLOOKUP($C33,'Proposed Rates'!$B:$J,F$11,FALSE),0)</f>
        <v>3.8999999999999998E-3</v>
      </c>
      <c r="G33" s="414">
        <f t="shared" si="24"/>
        <v>51000</v>
      </c>
      <c r="H33" s="399">
        <f t="shared" si="25"/>
        <v>198.89999999999998</v>
      </c>
      <c r="I33" s="484"/>
      <c r="J33" s="413">
        <f>IFERROR(VLOOKUP($C33,'Proposed Rates'!$B:$J,J$11,FALSE),0)</f>
        <v>4.4000000000000003E-3</v>
      </c>
      <c r="K33" s="414">
        <f t="shared" si="26"/>
        <v>51000</v>
      </c>
      <c r="L33" s="399">
        <f t="shared" si="27"/>
        <v>224.4</v>
      </c>
      <c r="M33" s="416"/>
      <c r="N33" s="400">
        <f t="shared" si="5"/>
        <v>25.500000000000028</v>
      </c>
      <c r="O33" s="401">
        <f t="shared" si="6"/>
        <v>0.12820512820512836</v>
      </c>
      <c r="P33" s="52"/>
      <c r="Q33" s="413">
        <f>IFERROR(VLOOKUP($C33,'Proposed Rates'!$B:$J,Q$11,FALSE),0)</f>
        <v>0</v>
      </c>
      <c r="R33" s="414">
        <f t="shared" si="28"/>
        <v>51000</v>
      </c>
      <c r="S33" s="399">
        <f t="shared" si="29"/>
        <v>0</v>
      </c>
      <c r="T33" s="416"/>
      <c r="U33" s="400">
        <f t="shared" si="9"/>
        <v>-224.4</v>
      </c>
      <c r="V33" s="401">
        <f t="shared" si="10"/>
        <v>-1</v>
      </c>
      <c r="W33" s="52"/>
      <c r="X33" s="413">
        <f>IFERROR(VLOOKUP($C33,'Proposed Rates'!$B:$J,X$11,FALSE),0)</f>
        <v>0</v>
      </c>
      <c r="Y33" s="414">
        <f t="shared" si="30"/>
        <v>51000</v>
      </c>
      <c r="Z33" s="399">
        <f t="shared" si="31"/>
        <v>0</v>
      </c>
      <c r="AA33" s="416"/>
      <c r="AB33" s="400">
        <f t="shared" si="13"/>
        <v>0</v>
      </c>
      <c r="AC33" s="401" t="str">
        <f t="shared" si="14"/>
        <v/>
      </c>
      <c r="AD33" s="52"/>
      <c r="AE33" s="413">
        <f>IFERROR(VLOOKUP($C33,'Proposed Rates'!$B:$J,AE$11,FALSE),0)</f>
        <v>0</v>
      </c>
      <c r="AF33" s="414">
        <f t="shared" si="32"/>
        <v>51000</v>
      </c>
      <c r="AG33" s="399">
        <f t="shared" si="33"/>
        <v>0</v>
      </c>
      <c r="AH33" s="416"/>
      <c r="AI33" s="400">
        <f t="shared" si="17"/>
        <v>0</v>
      </c>
      <c r="AJ33" s="401" t="str">
        <f t="shared" si="18"/>
        <v/>
      </c>
      <c r="AK33" s="52"/>
      <c r="AL33" s="413">
        <f>IFERROR(VLOOKUP($C33,'Proposed Rates'!$B:$J,AL$11,FALSE),0)</f>
        <v>0</v>
      </c>
      <c r="AM33" s="414">
        <f t="shared" si="34"/>
        <v>51000</v>
      </c>
      <c r="AN33" s="399">
        <f t="shared" si="35"/>
        <v>0</v>
      </c>
      <c r="AO33" s="416"/>
      <c r="AP33" s="400">
        <f t="shared" si="21"/>
        <v>0</v>
      </c>
      <c r="AQ33" s="401" t="str">
        <f t="shared" si="22"/>
        <v/>
      </c>
      <c r="AR33" s="402"/>
      <c r="AS33" s="3"/>
      <c r="AT33" s="3"/>
      <c r="AU33" s="3"/>
      <c r="AV33" s="3"/>
      <c r="AW33" s="3"/>
      <c r="AX33" s="3"/>
    </row>
    <row r="34" spans="1:50" ht="12" customHeight="1">
      <c r="A34" s="550"/>
      <c r="B34" s="403" t="s">
        <v>255</v>
      </c>
      <c r="C34" s="394" t="str">
        <f t="shared" si="23"/>
        <v>General Service 50 to 1,499 KW.Total Deferral/Variance Account Rate RidersYr2</v>
      </c>
      <c r="D34" s="395" t="s">
        <v>381</v>
      </c>
      <c r="E34" s="321"/>
      <c r="F34" s="413">
        <f>IFERROR(VLOOKUP($C34,'Proposed Rates'!$B:$J,F$11,FALSE),0)</f>
        <v>-0.30499999999999999</v>
      </c>
      <c r="G34" s="414">
        <f t="shared" si="24"/>
        <v>250</v>
      </c>
      <c r="H34" s="399">
        <f t="shared" si="25"/>
        <v>-76.25</v>
      </c>
      <c r="I34" s="484"/>
      <c r="J34" s="413">
        <f>IFERROR(VLOOKUP($C34,'Proposed Rates'!$B:$J,J$11,FALSE),0)</f>
        <v>-0.21779999999999999</v>
      </c>
      <c r="K34" s="414">
        <f t="shared" si="26"/>
        <v>250</v>
      </c>
      <c r="L34" s="399">
        <f t="shared" si="27"/>
        <v>-54.449999999999996</v>
      </c>
      <c r="M34" s="416"/>
      <c r="N34" s="400">
        <f t="shared" si="5"/>
        <v>21.800000000000004</v>
      </c>
      <c r="O34" s="401">
        <f t="shared" si="6"/>
        <v>-0.28590163934426233</v>
      </c>
      <c r="P34" s="52"/>
      <c r="Q34" s="413">
        <f>IFERROR(VLOOKUP($C34,'Proposed Rates'!$B:$J,Q$11,FALSE),0)</f>
        <v>0</v>
      </c>
      <c r="R34" s="414">
        <f t="shared" si="28"/>
        <v>250</v>
      </c>
      <c r="S34" s="399">
        <f t="shared" si="29"/>
        <v>0</v>
      </c>
      <c r="T34" s="416"/>
      <c r="U34" s="400">
        <f t="shared" si="9"/>
        <v>54.449999999999996</v>
      </c>
      <c r="V34" s="401">
        <f t="shared" si="10"/>
        <v>-1</v>
      </c>
      <c r="W34" s="52"/>
      <c r="X34" s="413">
        <f>IFERROR(VLOOKUP($C34,'Proposed Rates'!$B:$J,X$11,FALSE),0)</f>
        <v>0</v>
      </c>
      <c r="Y34" s="414">
        <f t="shared" si="30"/>
        <v>250</v>
      </c>
      <c r="Z34" s="399">
        <f t="shared" si="31"/>
        <v>0</v>
      </c>
      <c r="AA34" s="416"/>
      <c r="AB34" s="400">
        <f t="shared" si="13"/>
        <v>0</v>
      </c>
      <c r="AC34" s="401" t="str">
        <f t="shared" si="14"/>
        <v/>
      </c>
      <c r="AD34" s="52"/>
      <c r="AE34" s="413">
        <f>IFERROR(VLOOKUP($C34,'Proposed Rates'!$B:$J,AE$11,FALSE),0)</f>
        <v>0</v>
      </c>
      <c r="AF34" s="414">
        <f t="shared" si="32"/>
        <v>250</v>
      </c>
      <c r="AG34" s="399">
        <f t="shared" si="33"/>
        <v>0</v>
      </c>
      <c r="AH34" s="416"/>
      <c r="AI34" s="400">
        <f t="shared" si="17"/>
        <v>0</v>
      </c>
      <c r="AJ34" s="401" t="str">
        <f t="shared" si="18"/>
        <v/>
      </c>
      <c r="AK34" s="52"/>
      <c r="AL34" s="413">
        <f>IFERROR(VLOOKUP($C34,'Proposed Rates'!$B:$J,AL$11,FALSE),0)</f>
        <v>0</v>
      </c>
      <c r="AM34" s="414">
        <f t="shared" si="34"/>
        <v>250</v>
      </c>
      <c r="AN34" s="399">
        <f t="shared" si="35"/>
        <v>0</v>
      </c>
      <c r="AO34" s="416"/>
      <c r="AP34" s="400">
        <f t="shared" si="21"/>
        <v>0</v>
      </c>
      <c r="AQ34" s="401" t="str">
        <f t="shared" si="22"/>
        <v/>
      </c>
      <c r="AR34" s="402"/>
      <c r="AS34" s="3"/>
      <c r="AT34" s="3"/>
      <c r="AU34" s="3"/>
      <c r="AV34" s="3"/>
      <c r="AW34" s="3"/>
      <c r="AX34" s="3"/>
    </row>
    <row r="35" spans="1:50" ht="12" customHeight="1">
      <c r="A35" s="550"/>
      <c r="B35" s="403" t="s">
        <v>257</v>
      </c>
      <c r="C35" s="394" t="str">
        <f t="shared" si="23"/>
        <v>General Service 50 to 1,499 KW.Total Deferral/Variance Account Rate Riders</v>
      </c>
      <c r="D35" s="395" t="s">
        <v>381</v>
      </c>
      <c r="E35" s="321"/>
      <c r="F35" s="413">
        <f>IFERROR(VLOOKUP($C35,'Proposed Rates'!$B:$J,F$11,FALSE),0)</f>
        <v>0</v>
      </c>
      <c r="G35" s="414">
        <f t="shared" si="24"/>
        <v>250</v>
      </c>
      <c r="H35" s="399">
        <f t="shared" si="25"/>
        <v>0</v>
      </c>
      <c r="I35" s="132"/>
      <c r="J35" s="413">
        <f>IFERROR(VLOOKUP($C35,'Proposed Rates'!$B:$J,J$11,FALSE),0)</f>
        <v>0</v>
      </c>
      <c r="K35" s="414">
        <f t="shared" si="26"/>
        <v>250</v>
      </c>
      <c r="L35" s="399">
        <f t="shared" si="27"/>
        <v>0</v>
      </c>
      <c r="M35" s="132"/>
      <c r="N35" s="400">
        <f t="shared" si="5"/>
        <v>0</v>
      </c>
      <c r="O35" s="401" t="str">
        <f t="shared" si="6"/>
        <v/>
      </c>
      <c r="P35" s="52"/>
      <c r="Q35" s="413">
        <f>IFERROR(VLOOKUP($C35,'Proposed Rates'!$B:$J,Q$11,FALSE),0)</f>
        <v>0</v>
      </c>
      <c r="R35" s="414">
        <f t="shared" si="28"/>
        <v>250</v>
      </c>
      <c r="S35" s="399">
        <f t="shared" si="29"/>
        <v>0</v>
      </c>
      <c r="T35" s="132"/>
      <c r="U35" s="400">
        <f t="shared" si="9"/>
        <v>0</v>
      </c>
      <c r="V35" s="401" t="str">
        <f t="shared" si="10"/>
        <v/>
      </c>
      <c r="W35" s="52"/>
      <c r="X35" s="413">
        <f>IFERROR(VLOOKUP($C35,'Proposed Rates'!$B:$J,X$11,FALSE),0)</f>
        <v>0</v>
      </c>
      <c r="Y35" s="414">
        <f t="shared" si="30"/>
        <v>250</v>
      </c>
      <c r="Z35" s="399">
        <f t="shared" si="31"/>
        <v>0</v>
      </c>
      <c r="AA35" s="132"/>
      <c r="AB35" s="400"/>
      <c r="AC35" s="401"/>
      <c r="AD35" s="52"/>
      <c r="AE35" s="413">
        <f>IFERROR(VLOOKUP($C35,'Proposed Rates'!$B:$J,AE$11,FALSE),0)</f>
        <v>0</v>
      </c>
      <c r="AF35" s="414">
        <f t="shared" si="32"/>
        <v>250</v>
      </c>
      <c r="AG35" s="399">
        <f t="shared" si="33"/>
        <v>0</v>
      </c>
      <c r="AH35" s="132"/>
      <c r="AI35" s="400">
        <f t="shared" si="17"/>
        <v>0</v>
      </c>
      <c r="AJ35" s="401" t="str">
        <f t="shared" si="18"/>
        <v/>
      </c>
      <c r="AK35" s="52"/>
      <c r="AL35" s="413">
        <f>IFERROR(VLOOKUP($C35,'Proposed Rates'!$B:$J,AL$11,FALSE),0)</f>
        <v>0</v>
      </c>
      <c r="AM35" s="414">
        <f t="shared" si="34"/>
        <v>250</v>
      </c>
      <c r="AN35" s="399">
        <f t="shared" si="35"/>
        <v>0</v>
      </c>
      <c r="AO35" s="132"/>
      <c r="AP35" s="400">
        <f t="shared" si="21"/>
        <v>0</v>
      </c>
      <c r="AQ35" s="401" t="str">
        <f t="shared" si="22"/>
        <v/>
      </c>
      <c r="AR35" s="402"/>
      <c r="AS35" s="3"/>
      <c r="AT35" s="3"/>
      <c r="AU35" s="3"/>
      <c r="AV35" s="3"/>
      <c r="AW35" s="3"/>
      <c r="AX35" s="3"/>
    </row>
    <row r="36" spans="1:50" ht="12" customHeight="1">
      <c r="A36" s="550"/>
      <c r="B36" s="321" t="s">
        <v>273</v>
      </c>
      <c r="C36" s="394" t="str">
        <f t="shared" si="23"/>
        <v>General Service 50 to 1,499 KW.Low Voltage Service Charge</v>
      </c>
      <c r="D36" s="395" t="s">
        <v>381</v>
      </c>
      <c r="E36" s="321"/>
      <c r="F36" s="413">
        <f>IFERROR(VLOOKUP($C36,'Proposed Rates'!$B:$J,F$11,FALSE),0)</f>
        <v>2.0629999999999999E-2</v>
      </c>
      <c r="G36" s="414">
        <f t="shared" si="24"/>
        <v>250</v>
      </c>
      <c r="H36" s="399">
        <f t="shared" si="25"/>
        <v>5.1574999999999998</v>
      </c>
      <c r="I36" s="132"/>
      <c r="J36" s="413">
        <f>IFERROR(VLOOKUP($C36,'Proposed Rates'!$B:$J,J$11,FALSE),0)</f>
        <v>2.332E-2</v>
      </c>
      <c r="K36" s="414">
        <f t="shared" si="26"/>
        <v>250</v>
      </c>
      <c r="L36" s="399">
        <f t="shared" si="27"/>
        <v>5.83</v>
      </c>
      <c r="M36" s="132"/>
      <c r="N36" s="400">
        <f t="shared" si="5"/>
        <v>0.67250000000000032</v>
      </c>
      <c r="O36" s="401">
        <f t="shared" si="6"/>
        <v>0.13039263208919058</v>
      </c>
      <c r="P36" s="52"/>
      <c r="Q36" s="413">
        <f>IFERROR(VLOOKUP($C36,'Proposed Rates'!$B:$J,Q$11,FALSE),0)</f>
        <v>2.392E-2</v>
      </c>
      <c r="R36" s="414">
        <f t="shared" si="28"/>
        <v>250</v>
      </c>
      <c r="S36" s="399">
        <f t="shared" si="29"/>
        <v>5.98</v>
      </c>
      <c r="T36" s="132"/>
      <c r="U36" s="400">
        <f t="shared" si="9"/>
        <v>0.15000000000000036</v>
      </c>
      <c r="V36" s="401">
        <f t="shared" si="10"/>
        <v>2.5728987993138996E-2</v>
      </c>
      <c r="W36" s="52"/>
      <c r="X36" s="413">
        <f>IFERROR(VLOOKUP($C36,'Proposed Rates'!$B:$J,X$11,FALSE),0)</f>
        <v>2.4209999999999999E-2</v>
      </c>
      <c r="Y36" s="414">
        <f t="shared" si="30"/>
        <v>250</v>
      </c>
      <c r="Z36" s="399">
        <f t="shared" si="31"/>
        <v>6.0524999999999993</v>
      </c>
      <c r="AA36" s="132"/>
      <c r="AB36" s="400">
        <f t="shared" ref="AB36:AB46" si="36">Z36-S36</f>
        <v>7.2499999999998899E-2</v>
      </c>
      <c r="AC36" s="401">
        <f t="shared" ref="AC36:AC46" si="37">IF((S36)=0,"",(AB36/S36))</f>
        <v>1.2123745819397808E-2</v>
      </c>
      <c r="AD36" s="52"/>
      <c r="AE36" s="413">
        <f>IFERROR(VLOOKUP($C36,'Proposed Rates'!$B:$J,AE$11,FALSE),0)</f>
        <v>2.46E-2</v>
      </c>
      <c r="AF36" s="414">
        <f t="shared" si="32"/>
        <v>250</v>
      </c>
      <c r="AG36" s="399">
        <f t="shared" si="33"/>
        <v>6.15</v>
      </c>
      <c r="AH36" s="132"/>
      <c r="AI36" s="400">
        <f t="shared" si="17"/>
        <v>9.750000000000103E-2</v>
      </c>
      <c r="AJ36" s="401">
        <f t="shared" si="18"/>
        <v>1.6109045848822973E-2</v>
      </c>
      <c r="AK36" s="52"/>
      <c r="AL36" s="413">
        <f>IFERROR(VLOOKUP($C36,'Proposed Rates'!$B:$J,AL$11,FALSE),0)</f>
        <v>2.504E-2</v>
      </c>
      <c r="AM36" s="414">
        <f t="shared" si="34"/>
        <v>250</v>
      </c>
      <c r="AN36" s="399">
        <f t="shared" si="35"/>
        <v>6.26</v>
      </c>
      <c r="AO36" s="132"/>
      <c r="AP36" s="400">
        <f t="shared" si="21"/>
        <v>0.10999999999999943</v>
      </c>
      <c r="AQ36" s="401">
        <f t="shared" si="22"/>
        <v>1.7886178861788525E-2</v>
      </c>
      <c r="AR36" s="402"/>
      <c r="AS36" s="3"/>
      <c r="AT36" s="3"/>
      <c r="AU36" s="3"/>
      <c r="AV36" s="3"/>
      <c r="AW36" s="3"/>
      <c r="AX36" s="3"/>
    </row>
    <row r="37" spans="1:50" ht="12" customHeight="1">
      <c r="A37" s="550"/>
      <c r="B37" s="321" t="s">
        <v>316</v>
      </c>
      <c r="C37" s="394" t="str">
        <f t="shared" si="23"/>
        <v>General Service 50 to 1,499 KW.Line Losses on Cost of Power</v>
      </c>
      <c r="D37" s="395" t="s">
        <v>312</v>
      </c>
      <c r="E37" s="321"/>
      <c r="F37" s="429"/>
      <c r="G37" s="420">
        <f>$F$9*(1+F$65)-$F$9</f>
        <v>1723.8000000000029</v>
      </c>
      <c r="H37" s="399">
        <f t="shared" si="25"/>
        <v>0</v>
      </c>
      <c r="I37" s="132"/>
      <c r="J37" s="429"/>
      <c r="K37" s="420">
        <f>$F$9*(1+J$65)-$F$9</f>
        <v>1693.1999999999971</v>
      </c>
      <c r="L37" s="399">
        <f t="shared" si="27"/>
        <v>0</v>
      </c>
      <c r="M37" s="132"/>
      <c r="N37" s="400">
        <f t="shared" si="5"/>
        <v>0</v>
      </c>
      <c r="O37" s="401" t="str">
        <f t="shared" si="6"/>
        <v/>
      </c>
      <c r="P37" s="52"/>
      <c r="Q37" s="429"/>
      <c r="R37" s="420">
        <f>$F$9*(1+Q$65)-$F$9</f>
        <v>1693.1999999999971</v>
      </c>
      <c r="S37" s="399">
        <f t="shared" si="29"/>
        <v>0</v>
      </c>
      <c r="T37" s="132"/>
      <c r="U37" s="400">
        <f t="shared" si="9"/>
        <v>0</v>
      </c>
      <c r="V37" s="401" t="str">
        <f t="shared" si="10"/>
        <v/>
      </c>
      <c r="W37" s="52"/>
      <c r="X37" s="429"/>
      <c r="Y37" s="420">
        <f>$F$9*(1+X$65)-$F$9</f>
        <v>1693.1999999999971</v>
      </c>
      <c r="Z37" s="399">
        <f t="shared" si="31"/>
        <v>0</v>
      </c>
      <c r="AA37" s="132"/>
      <c r="AB37" s="400">
        <f t="shared" si="36"/>
        <v>0</v>
      </c>
      <c r="AC37" s="401" t="str">
        <f t="shared" si="37"/>
        <v/>
      </c>
      <c r="AD37" s="52"/>
      <c r="AE37" s="429"/>
      <c r="AF37" s="420">
        <f>$F$9*(1+AE$65)-$F$9</f>
        <v>1693.1999999999971</v>
      </c>
      <c r="AG37" s="399">
        <f t="shared" si="33"/>
        <v>0</v>
      </c>
      <c r="AH37" s="132"/>
      <c r="AI37" s="400">
        <f t="shared" si="17"/>
        <v>0</v>
      </c>
      <c r="AJ37" s="401" t="str">
        <f t="shared" si="18"/>
        <v/>
      </c>
      <c r="AK37" s="52"/>
      <c r="AL37" s="429"/>
      <c r="AM37" s="420">
        <f>$F$9*(1+AL$65)-$F$9</f>
        <v>1693.1999999999971</v>
      </c>
      <c r="AN37" s="399">
        <f t="shared" si="35"/>
        <v>0</v>
      </c>
      <c r="AO37" s="132"/>
      <c r="AP37" s="400">
        <f t="shared" si="21"/>
        <v>0</v>
      </c>
      <c r="AQ37" s="401" t="str">
        <f t="shared" si="22"/>
        <v/>
      </c>
      <c r="AR37" s="402"/>
      <c r="AS37" s="3"/>
      <c r="AT37" s="3"/>
      <c r="AU37" s="3"/>
      <c r="AV37" s="3"/>
      <c r="AW37" s="3"/>
      <c r="AX37" s="3"/>
    </row>
    <row r="38" spans="1:50" ht="12" customHeight="1">
      <c r="A38" s="550"/>
      <c r="B38" s="321" t="s">
        <v>275</v>
      </c>
      <c r="C38" s="394" t="str">
        <f t="shared" si="23"/>
        <v>General Service 50 to 1,499 KW.Smart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36"/>
        <v>0</v>
      </c>
      <c r="AC38" s="401" t="str">
        <f t="shared" si="37"/>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c r="AS38" s="3"/>
      <c r="AT38" s="3"/>
      <c r="AU38" s="3"/>
      <c r="AV38" s="3"/>
      <c r="AW38" s="3"/>
      <c r="AX38" s="3"/>
    </row>
    <row r="39" spans="1:50" ht="12" customHeight="1">
      <c r="A39" s="550"/>
      <c r="B39" s="404" t="s">
        <v>317</v>
      </c>
      <c r="C39" s="421"/>
      <c r="D39" s="421"/>
      <c r="E39" s="421"/>
      <c r="F39" s="422"/>
      <c r="G39" s="500"/>
      <c r="H39" s="408">
        <f>SUM(H30:H38)+H29</f>
        <v>2003.1825000000001</v>
      </c>
      <c r="I39" s="424"/>
      <c r="J39" s="422"/>
      <c r="K39" s="500"/>
      <c r="L39" s="408">
        <f>SUM(L30:L38)+L29</f>
        <v>2358.33</v>
      </c>
      <c r="M39" s="424"/>
      <c r="N39" s="410">
        <f t="shared" si="5"/>
        <v>355.14749999999981</v>
      </c>
      <c r="O39" s="411">
        <f t="shared" si="6"/>
        <v>0.17729163468630532</v>
      </c>
      <c r="P39" s="52"/>
      <c r="Q39" s="422"/>
      <c r="R39" s="500"/>
      <c r="S39" s="408">
        <f>SUM(S30:S38)+S29</f>
        <v>2318.0299999999997</v>
      </c>
      <c r="T39" s="424"/>
      <c r="U39" s="410">
        <f t="shared" si="9"/>
        <v>-40.300000000000182</v>
      </c>
      <c r="V39" s="411">
        <f t="shared" si="10"/>
        <v>-1.7088363375778702E-2</v>
      </c>
      <c r="W39" s="52"/>
      <c r="X39" s="422"/>
      <c r="Y39" s="500"/>
      <c r="Z39" s="408">
        <f>SUM(Z30:Z38)+Z29</f>
        <v>2468.5274999999997</v>
      </c>
      <c r="AA39" s="424"/>
      <c r="AB39" s="410">
        <f t="shared" si="36"/>
        <v>150.49749999999995</v>
      </c>
      <c r="AC39" s="411">
        <f t="shared" si="37"/>
        <v>6.4924742130170868E-2</v>
      </c>
      <c r="AD39" s="52"/>
      <c r="AE39" s="422"/>
      <c r="AF39" s="500"/>
      <c r="AG39" s="408">
        <f>SUM(AG30:AG38)+AG29</f>
        <v>2552.375</v>
      </c>
      <c r="AH39" s="424"/>
      <c r="AI39" s="410">
        <f t="shared" si="17"/>
        <v>83.847500000000309</v>
      </c>
      <c r="AJ39" s="411">
        <f t="shared" si="18"/>
        <v>3.3966605597871735E-2</v>
      </c>
      <c r="AK39" s="52"/>
      <c r="AL39" s="422"/>
      <c r="AM39" s="500"/>
      <c r="AN39" s="408">
        <f>SUM(AN30:AN38)+AN29</f>
        <v>2629.2100000000005</v>
      </c>
      <c r="AO39" s="424"/>
      <c r="AP39" s="410">
        <f t="shared" si="21"/>
        <v>76.835000000000491</v>
      </c>
      <c r="AQ39" s="411">
        <f t="shared" si="22"/>
        <v>3.0103335129046668E-2</v>
      </c>
      <c r="AR39" s="412"/>
      <c r="AS39" s="3"/>
      <c r="AT39" s="3"/>
      <c r="AU39" s="3"/>
      <c r="AV39" s="3"/>
      <c r="AW39" s="3"/>
      <c r="AX39" s="3"/>
    </row>
    <row r="40" spans="1:50" ht="12" customHeight="1">
      <c r="A40" s="550"/>
      <c r="B40" s="132" t="s">
        <v>258</v>
      </c>
      <c r="C40" s="394" t="str">
        <f t="shared" ref="C40:C41" si="38">D$6&amp;"."&amp;B40</f>
        <v>General Service 50 to 1,499 KW.RTSR - Network</v>
      </c>
      <c r="D40" s="425" t="s">
        <v>381</v>
      </c>
      <c r="E40" s="132"/>
      <c r="F40" s="413">
        <f>IFERROR(VLOOKUP($C40,'Proposed Rates'!$B:$J,F$11,FALSE),0)</f>
        <v>4.8479999999999999</v>
      </c>
      <c r="G40" s="414">
        <f t="shared" ref="G40:G41" si="39">IF($D40="Monthly",1,IF($D40="per KW",$F$10,IF($D40="per kWh",$F$9,0)))</f>
        <v>250</v>
      </c>
      <c r="H40" s="399">
        <f t="shared" ref="H40:H41" si="40">G40*F40</f>
        <v>1212</v>
      </c>
      <c r="I40" s="132"/>
      <c r="J40" s="413">
        <f>IFERROR(VLOOKUP($C40,'Proposed Rates'!$B:$J,J$11,FALSE),0)</f>
        <v>4.5787000000000004</v>
      </c>
      <c r="K40" s="414">
        <f t="shared" ref="K40:K41" si="41">IF($D40="Monthly",1,IF($D40="per KW",$F$10,IF($D40="per kWh",$F$9,0)))</f>
        <v>250</v>
      </c>
      <c r="L40" s="399">
        <f t="shared" ref="L40:L41" si="42">K40*J40</f>
        <v>1144.6750000000002</v>
      </c>
      <c r="M40" s="132"/>
      <c r="N40" s="400">
        <f t="shared" si="5"/>
        <v>-67.324999999999818</v>
      </c>
      <c r="O40" s="401">
        <f t="shared" si="6"/>
        <v>-5.5548679867986651E-2</v>
      </c>
      <c r="P40" s="52"/>
      <c r="Q40" s="413">
        <f>IFERROR(VLOOKUP($C40,'Proposed Rates'!$B:$J,Q$11,FALSE),0)</f>
        <v>4.5787000000000004</v>
      </c>
      <c r="R40" s="414">
        <f t="shared" ref="R40:R41" si="43">IF($D40="Monthly",1,IF($D40="per KW",$F$10,IF($D40="per kWh",$F$9,0)))</f>
        <v>250</v>
      </c>
      <c r="S40" s="399">
        <f t="shared" ref="S40:S41" si="44">R40*Q40</f>
        <v>1144.6750000000002</v>
      </c>
      <c r="T40" s="132"/>
      <c r="U40" s="400">
        <f t="shared" si="9"/>
        <v>0</v>
      </c>
      <c r="V40" s="401">
        <f t="shared" si="10"/>
        <v>0</v>
      </c>
      <c r="W40" s="52"/>
      <c r="X40" s="413">
        <f>IFERROR(VLOOKUP($C40,'Proposed Rates'!$B:$J,X$11,FALSE),0)</f>
        <v>4.5787000000000004</v>
      </c>
      <c r="Y40" s="414">
        <f t="shared" ref="Y40:Y41" si="45">IF($D40="Monthly",1,IF($D40="per KW",$F$10,IF($D40="per kWh",$F$9,0)))</f>
        <v>250</v>
      </c>
      <c r="Z40" s="399">
        <f t="shared" ref="Z40:Z41" si="46">Y40*X40</f>
        <v>1144.6750000000002</v>
      </c>
      <c r="AA40" s="132"/>
      <c r="AB40" s="400">
        <f t="shared" si="36"/>
        <v>0</v>
      </c>
      <c r="AC40" s="401">
        <f t="shared" si="37"/>
        <v>0</v>
      </c>
      <c r="AD40" s="52"/>
      <c r="AE40" s="413">
        <f>IFERROR(VLOOKUP($C40,'Proposed Rates'!$B:$J,AE$11,FALSE),0)</f>
        <v>4.5787000000000004</v>
      </c>
      <c r="AF40" s="414">
        <f t="shared" ref="AF40:AF41" si="47">IF($D40="Monthly",1,IF($D40="per KW",$F$10,IF($D40="per kWh",$F$9,0)))</f>
        <v>250</v>
      </c>
      <c r="AG40" s="399">
        <f t="shared" ref="AG40:AG41" si="48">AF40*AE40</f>
        <v>1144.6750000000002</v>
      </c>
      <c r="AH40" s="132"/>
      <c r="AI40" s="400">
        <f t="shared" si="17"/>
        <v>0</v>
      </c>
      <c r="AJ40" s="401">
        <f t="shared" si="18"/>
        <v>0</v>
      </c>
      <c r="AK40" s="52"/>
      <c r="AL40" s="413">
        <f>IFERROR(VLOOKUP($C40,'Proposed Rates'!$B:$J,AL$11,FALSE),0)</f>
        <v>4.5787000000000004</v>
      </c>
      <c r="AM40" s="414">
        <f t="shared" ref="AM40:AM41" si="49">IF($D40="Monthly",1,IF($D40="per KW",$F$10,IF($D40="per kWh",$F$9,0)))</f>
        <v>250</v>
      </c>
      <c r="AN40" s="399">
        <f t="shared" ref="AN40:AN41" si="50">AM40*AL40</f>
        <v>1144.6750000000002</v>
      </c>
      <c r="AO40" s="132"/>
      <c r="AP40" s="400">
        <f t="shared" si="21"/>
        <v>0</v>
      </c>
      <c r="AQ40" s="401">
        <f t="shared" si="22"/>
        <v>0</v>
      </c>
      <c r="AR40" s="402"/>
      <c r="AS40" s="3"/>
      <c r="AT40" s="3"/>
      <c r="AU40" s="3"/>
      <c r="AV40" s="3"/>
      <c r="AW40" s="3"/>
      <c r="AX40" s="3"/>
    </row>
    <row r="41" spans="1:50" ht="12" customHeight="1">
      <c r="A41" s="550"/>
      <c r="B41" s="132" t="s">
        <v>261</v>
      </c>
      <c r="C41" s="394" t="str">
        <f t="shared" si="38"/>
        <v>General Service 50 to 1,499 KW.RTSR - Line and Transformation Connection</v>
      </c>
      <c r="D41" s="425" t="s">
        <v>381</v>
      </c>
      <c r="E41" s="132"/>
      <c r="F41" s="413">
        <f>IFERROR(VLOOKUP($C41,'Proposed Rates'!$B:$J,F$11,FALSE),0)</f>
        <v>2.8187000000000002</v>
      </c>
      <c r="G41" s="414">
        <f t="shared" si="39"/>
        <v>250</v>
      </c>
      <c r="H41" s="399">
        <f t="shared" si="40"/>
        <v>704.67500000000007</v>
      </c>
      <c r="I41" s="132"/>
      <c r="J41" s="413">
        <f>IFERROR(VLOOKUP($C41,'Proposed Rates'!$B:$J,J$11,FALSE),0)</f>
        <v>2.5918000000000001</v>
      </c>
      <c r="K41" s="414">
        <f t="shared" si="41"/>
        <v>250</v>
      </c>
      <c r="L41" s="399">
        <f t="shared" si="42"/>
        <v>647.95000000000005</v>
      </c>
      <c r="M41" s="132"/>
      <c r="N41" s="400">
        <f t="shared" si="5"/>
        <v>-56.725000000000023</v>
      </c>
      <c r="O41" s="401">
        <f t="shared" si="6"/>
        <v>-8.0498101961897356E-2</v>
      </c>
      <c r="P41" s="52"/>
      <c r="Q41" s="413">
        <f>IFERROR(VLOOKUP($C41,'Proposed Rates'!$B:$J,Q$11,FALSE),0)</f>
        <v>2.5918000000000001</v>
      </c>
      <c r="R41" s="414">
        <f t="shared" si="43"/>
        <v>250</v>
      </c>
      <c r="S41" s="399">
        <f t="shared" si="44"/>
        <v>647.95000000000005</v>
      </c>
      <c r="T41" s="132"/>
      <c r="U41" s="400">
        <f t="shared" si="9"/>
        <v>0</v>
      </c>
      <c r="V41" s="401">
        <f t="shared" si="10"/>
        <v>0</v>
      </c>
      <c r="W41" s="52"/>
      <c r="X41" s="413">
        <f>IFERROR(VLOOKUP($C41,'Proposed Rates'!$B:$J,X$11,FALSE),0)</f>
        <v>2.5918000000000001</v>
      </c>
      <c r="Y41" s="414">
        <f t="shared" si="45"/>
        <v>250</v>
      </c>
      <c r="Z41" s="399">
        <f t="shared" si="46"/>
        <v>647.95000000000005</v>
      </c>
      <c r="AA41" s="132"/>
      <c r="AB41" s="400">
        <f t="shared" si="36"/>
        <v>0</v>
      </c>
      <c r="AC41" s="401">
        <f t="shared" si="37"/>
        <v>0</v>
      </c>
      <c r="AD41" s="52"/>
      <c r="AE41" s="413">
        <f>IFERROR(VLOOKUP($C41,'Proposed Rates'!$B:$J,AE$11,FALSE),0)</f>
        <v>2.5918000000000001</v>
      </c>
      <c r="AF41" s="414">
        <f t="shared" si="47"/>
        <v>250</v>
      </c>
      <c r="AG41" s="399">
        <f t="shared" si="48"/>
        <v>647.95000000000005</v>
      </c>
      <c r="AH41" s="132"/>
      <c r="AI41" s="400">
        <f t="shared" si="17"/>
        <v>0</v>
      </c>
      <c r="AJ41" s="401">
        <f t="shared" si="18"/>
        <v>0</v>
      </c>
      <c r="AK41" s="52"/>
      <c r="AL41" s="413">
        <f>IFERROR(VLOOKUP($C41,'Proposed Rates'!$B:$J,AL$11,FALSE),0)</f>
        <v>2.5918000000000001</v>
      </c>
      <c r="AM41" s="414">
        <f t="shared" si="49"/>
        <v>250</v>
      </c>
      <c r="AN41" s="399">
        <f t="shared" si="50"/>
        <v>647.95000000000005</v>
      </c>
      <c r="AO41" s="132"/>
      <c r="AP41" s="400">
        <f t="shared" si="21"/>
        <v>0</v>
      </c>
      <c r="AQ41" s="401">
        <f t="shared" si="22"/>
        <v>0</v>
      </c>
      <c r="AR41" s="402"/>
      <c r="AS41" s="3"/>
      <c r="AT41" s="3"/>
      <c r="AU41" s="3"/>
      <c r="AV41" s="3"/>
      <c r="AW41" s="3"/>
      <c r="AX41" s="3"/>
    </row>
    <row r="42" spans="1:50" ht="12" customHeight="1">
      <c r="A42" s="550"/>
      <c r="B42" s="404" t="s">
        <v>318</v>
      </c>
      <c r="C42" s="426"/>
      <c r="D42" s="426"/>
      <c r="E42" s="426"/>
      <c r="F42" s="427"/>
      <c r="G42" s="500"/>
      <c r="H42" s="408">
        <f>SUM(H39:H41)</f>
        <v>3919.8575000000001</v>
      </c>
      <c r="I42" s="409"/>
      <c r="J42" s="427"/>
      <c r="K42" s="500"/>
      <c r="L42" s="408">
        <f>SUM(L39:L41)</f>
        <v>4150.9549999999999</v>
      </c>
      <c r="M42" s="409"/>
      <c r="N42" s="410">
        <f t="shared" si="5"/>
        <v>231.09749999999985</v>
      </c>
      <c r="O42" s="411">
        <f t="shared" si="6"/>
        <v>5.8955587033457171E-2</v>
      </c>
      <c r="P42" s="52"/>
      <c r="Q42" s="427"/>
      <c r="R42" s="500"/>
      <c r="S42" s="408">
        <f>SUM(S39:S41)</f>
        <v>4110.6549999999997</v>
      </c>
      <c r="T42" s="409"/>
      <c r="U42" s="410">
        <f t="shared" si="9"/>
        <v>-40.300000000000182</v>
      </c>
      <c r="V42" s="411">
        <f t="shared" si="10"/>
        <v>-9.708609223660623E-3</v>
      </c>
      <c r="W42" s="52"/>
      <c r="X42" s="427"/>
      <c r="Y42" s="500"/>
      <c r="Z42" s="408">
        <f>SUM(Z39:Z41)</f>
        <v>4261.1525000000001</v>
      </c>
      <c r="AA42" s="409"/>
      <c r="AB42" s="410">
        <f t="shared" si="36"/>
        <v>150.4975000000004</v>
      </c>
      <c r="AC42" s="411">
        <f t="shared" si="37"/>
        <v>3.6611561904368137E-2</v>
      </c>
      <c r="AD42" s="52"/>
      <c r="AE42" s="427"/>
      <c r="AF42" s="500"/>
      <c r="AG42" s="408">
        <f>SUM(AG39:AG41)</f>
        <v>4345</v>
      </c>
      <c r="AH42" s="409"/>
      <c r="AI42" s="410">
        <f t="shared" si="17"/>
        <v>83.847499999999854</v>
      </c>
      <c r="AJ42" s="411">
        <f t="shared" si="18"/>
        <v>1.967718827242157E-2</v>
      </c>
      <c r="AK42" s="52"/>
      <c r="AL42" s="427"/>
      <c r="AM42" s="500"/>
      <c r="AN42" s="408">
        <f>SUM(AN39:AN41)</f>
        <v>4421.8350000000009</v>
      </c>
      <c r="AO42" s="409"/>
      <c r="AP42" s="410">
        <f t="shared" si="21"/>
        <v>76.835000000000946</v>
      </c>
      <c r="AQ42" s="411">
        <f t="shared" si="22"/>
        <v>1.7683544303797687E-2</v>
      </c>
      <c r="AR42" s="412"/>
      <c r="AS42" s="3"/>
      <c r="AT42" s="3"/>
      <c r="AU42" s="3"/>
      <c r="AV42" s="3"/>
      <c r="AW42" s="3"/>
      <c r="AX42" s="3"/>
    </row>
    <row r="43" spans="1:50" ht="12" customHeight="1">
      <c r="A43" s="550"/>
      <c r="B43" s="321" t="s">
        <v>262</v>
      </c>
      <c r="C43" s="394" t="str">
        <f t="shared" ref="C43:C45" si="51">D$6&amp;"."&amp;B43</f>
        <v>General Service 50 to 1,499 KW.Wholesale Market Service Charge (WMSC)</v>
      </c>
      <c r="D43" s="395" t="s">
        <v>312</v>
      </c>
      <c r="E43" s="321"/>
      <c r="F43" s="413">
        <f>IFERROR(VLOOKUP($C43,'Proposed Rates'!$B:$J,F$11,FALSE),0)</f>
        <v>4.4999999999999997E-3</v>
      </c>
      <c r="G43" s="420">
        <f t="shared" ref="G43:G44" si="52">$F$9+G$37</f>
        <v>52723.8</v>
      </c>
      <c r="H43" s="399">
        <f t="shared" ref="H43:H46" si="53">G43*F43</f>
        <v>237.25710000000001</v>
      </c>
      <c r="I43" s="132"/>
      <c r="J43" s="413">
        <f>IFERROR(VLOOKUP($C43,'Proposed Rates'!$B:$J,J$11,FALSE),0)</f>
        <v>4.7000000000000002E-3</v>
      </c>
      <c r="K43" s="420">
        <f t="shared" ref="K43:K44" si="54">$F$9+K$37</f>
        <v>52693.2</v>
      </c>
      <c r="L43" s="399">
        <f t="shared" ref="L43:L46" si="55">K43*J43</f>
        <v>247.65804</v>
      </c>
      <c r="M43" s="132"/>
      <c r="N43" s="400">
        <f t="shared" si="5"/>
        <v>10.400939999999991</v>
      </c>
      <c r="O43" s="401">
        <f t="shared" si="6"/>
        <v>4.3838266589282221E-2</v>
      </c>
      <c r="P43" s="52"/>
      <c r="Q43" s="413">
        <f>IFERROR(VLOOKUP($C43,'Proposed Rates'!$B:$J,Q$11,FALSE),0)</f>
        <v>4.7000000000000002E-3</v>
      </c>
      <c r="R43" s="420">
        <f t="shared" ref="R43:R44" si="56">$F$9+R$37</f>
        <v>52693.2</v>
      </c>
      <c r="S43" s="399">
        <f t="shared" ref="S43:S46" si="57">R43*Q43</f>
        <v>247.65804</v>
      </c>
      <c r="T43" s="132"/>
      <c r="U43" s="400">
        <f t="shared" si="9"/>
        <v>0</v>
      </c>
      <c r="V43" s="401">
        <f t="shared" si="10"/>
        <v>0</v>
      </c>
      <c r="W43" s="52"/>
      <c r="X43" s="413">
        <f>IFERROR(VLOOKUP($C43,'Proposed Rates'!$B:$J,X$11,FALSE),0)</f>
        <v>4.7000000000000002E-3</v>
      </c>
      <c r="Y43" s="420">
        <f t="shared" ref="Y43:Y44" si="58">$F$9+Y$37</f>
        <v>52693.2</v>
      </c>
      <c r="Z43" s="399">
        <f t="shared" ref="Z43:Z46" si="59">Y43*X43</f>
        <v>247.65804</v>
      </c>
      <c r="AA43" s="132"/>
      <c r="AB43" s="400">
        <f t="shared" si="36"/>
        <v>0</v>
      </c>
      <c r="AC43" s="401">
        <f t="shared" si="37"/>
        <v>0</v>
      </c>
      <c r="AD43" s="52"/>
      <c r="AE43" s="413">
        <f>IFERROR(VLOOKUP($C43,'Proposed Rates'!$B:$J,AE$11,FALSE),0)</f>
        <v>4.7000000000000002E-3</v>
      </c>
      <c r="AF43" s="420">
        <f t="shared" ref="AF43:AF44" si="60">$F$9+AF$37</f>
        <v>52693.2</v>
      </c>
      <c r="AG43" s="399">
        <f t="shared" ref="AG43:AG46" si="61">AF43*AE43</f>
        <v>247.65804</v>
      </c>
      <c r="AH43" s="132"/>
      <c r="AI43" s="400">
        <f t="shared" si="17"/>
        <v>0</v>
      </c>
      <c r="AJ43" s="401">
        <f t="shared" si="18"/>
        <v>0</v>
      </c>
      <c r="AK43" s="52"/>
      <c r="AL43" s="413">
        <f>IFERROR(VLOOKUP($C43,'Proposed Rates'!$B:$J,AL$11,FALSE),0)</f>
        <v>4.7000000000000002E-3</v>
      </c>
      <c r="AM43" s="420">
        <f t="shared" ref="AM43:AM44" si="62">$F$9+AM$37</f>
        <v>52693.2</v>
      </c>
      <c r="AN43" s="399">
        <f t="shared" ref="AN43:AN46" si="63">AM43*AL43</f>
        <v>247.65804</v>
      </c>
      <c r="AO43" s="132"/>
      <c r="AP43" s="400">
        <f t="shared" si="21"/>
        <v>0</v>
      </c>
      <c r="AQ43" s="401">
        <f t="shared" si="22"/>
        <v>0</v>
      </c>
      <c r="AR43" s="402"/>
      <c r="AS43" s="3"/>
      <c r="AT43" s="3"/>
      <c r="AU43" s="3"/>
      <c r="AV43" s="3"/>
      <c r="AW43" s="3"/>
      <c r="AX43" s="3"/>
    </row>
    <row r="44" spans="1:50" ht="12" customHeight="1">
      <c r="A44" s="550"/>
      <c r="B44" s="321" t="s">
        <v>263</v>
      </c>
      <c r="C44" s="394" t="str">
        <f t="shared" si="51"/>
        <v>General Service 50 to 1,499 KW.Rural and Remote Rate Protection (RRRP)</v>
      </c>
      <c r="D44" s="395" t="s">
        <v>312</v>
      </c>
      <c r="E44" s="321"/>
      <c r="F44" s="413">
        <f>IFERROR(VLOOKUP($C44,'Proposed Rates'!$B:$J,F$11,FALSE),0)</f>
        <v>1.5E-3</v>
      </c>
      <c r="G44" s="420">
        <f t="shared" si="52"/>
        <v>52723.8</v>
      </c>
      <c r="H44" s="399">
        <f t="shared" si="53"/>
        <v>79.085700000000003</v>
      </c>
      <c r="I44" s="132"/>
      <c r="J44" s="413">
        <f>IFERROR(VLOOKUP($C44,'Proposed Rates'!$B:$J,J$11,FALSE),0)</f>
        <v>5.9999999999999995E-4</v>
      </c>
      <c r="K44" s="420">
        <f t="shared" si="54"/>
        <v>52693.2</v>
      </c>
      <c r="L44" s="399">
        <f t="shared" si="55"/>
        <v>31.615919999999996</v>
      </c>
      <c r="M44" s="132"/>
      <c r="N44" s="400">
        <f t="shared" si="5"/>
        <v>-47.469780000000007</v>
      </c>
      <c r="O44" s="401">
        <f t="shared" si="6"/>
        <v>-0.600232153221126</v>
      </c>
      <c r="P44" s="52"/>
      <c r="Q44" s="413">
        <f>IFERROR(VLOOKUP($C44,'Proposed Rates'!$B:$J,Q$11,FALSE),0)</f>
        <v>5.9999999999999995E-4</v>
      </c>
      <c r="R44" s="420">
        <f t="shared" si="56"/>
        <v>52693.2</v>
      </c>
      <c r="S44" s="399">
        <f t="shared" si="57"/>
        <v>31.615919999999996</v>
      </c>
      <c r="T44" s="132"/>
      <c r="U44" s="400">
        <f t="shared" si="9"/>
        <v>0</v>
      </c>
      <c r="V44" s="401">
        <f t="shared" si="10"/>
        <v>0</v>
      </c>
      <c r="W44" s="52"/>
      <c r="X44" s="413">
        <f>IFERROR(VLOOKUP($C44,'Proposed Rates'!$B:$J,X$11,FALSE),0)</f>
        <v>5.9999999999999995E-4</v>
      </c>
      <c r="Y44" s="420">
        <f t="shared" si="58"/>
        <v>52693.2</v>
      </c>
      <c r="Z44" s="399">
        <f t="shared" si="59"/>
        <v>31.615919999999996</v>
      </c>
      <c r="AA44" s="132"/>
      <c r="AB44" s="400">
        <f t="shared" si="36"/>
        <v>0</v>
      </c>
      <c r="AC44" s="401">
        <f t="shared" si="37"/>
        <v>0</v>
      </c>
      <c r="AD44" s="52"/>
      <c r="AE44" s="413">
        <f>IFERROR(VLOOKUP($C44,'Proposed Rates'!$B:$J,AE$11,FALSE),0)</f>
        <v>5.9999999999999995E-4</v>
      </c>
      <c r="AF44" s="420">
        <f t="shared" si="60"/>
        <v>52693.2</v>
      </c>
      <c r="AG44" s="399">
        <f t="shared" si="61"/>
        <v>31.615919999999996</v>
      </c>
      <c r="AH44" s="132"/>
      <c r="AI44" s="400">
        <f t="shared" si="17"/>
        <v>0</v>
      </c>
      <c r="AJ44" s="401">
        <f t="shared" si="18"/>
        <v>0</v>
      </c>
      <c r="AK44" s="52"/>
      <c r="AL44" s="413">
        <f>IFERROR(VLOOKUP($C44,'Proposed Rates'!$B:$J,AL$11,FALSE),0)</f>
        <v>5.9999999999999995E-4</v>
      </c>
      <c r="AM44" s="420">
        <f t="shared" si="62"/>
        <v>52693.2</v>
      </c>
      <c r="AN44" s="399">
        <f t="shared" si="63"/>
        <v>31.615919999999996</v>
      </c>
      <c r="AO44" s="132"/>
      <c r="AP44" s="400">
        <f t="shared" si="21"/>
        <v>0</v>
      </c>
      <c r="AQ44" s="401">
        <f t="shared" si="22"/>
        <v>0</v>
      </c>
      <c r="AR44" s="402"/>
      <c r="AS44" s="3"/>
      <c r="AT44" s="3"/>
      <c r="AU44" s="3"/>
      <c r="AV44" s="3"/>
      <c r="AW44" s="3"/>
      <c r="AX44" s="3"/>
    </row>
    <row r="45" spans="1:50" ht="12" customHeight="1">
      <c r="A45" s="550"/>
      <c r="B45" s="321" t="s">
        <v>264</v>
      </c>
      <c r="C45" s="394" t="str">
        <f t="shared" si="51"/>
        <v>General Service 50 to 1,499 KW.Standard Supply Service Charge</v>
      </c>
      <c r="D45" s="395" t="s">
        <v>310</v>
      </c>
      <c r="E45" s="321"/>
      <c r="F45" s="396">
        <f>IFERROR(VLOOKUP($C45,'Proposed Rates'!$B:$J,F$11,FALSE),0)</f>
        <v>0.25</v>
      </c>
      <c r="G45" s="414">
        <f>IF($D45="Monthly",1,IF($D45="per KW",$F$10,IF($D45="per kWh",$F$9,0)))</f>
        <v>1</v>
      </c>
      <c r="H45" s="399">
        <f t="shared" si="53"/>
        <v>0.25</v>
      </c>
      <c r="I45" s="132"/>
      <c r="J45" s="396">
        <f>IFERROR(VLOOKUP($C45,'Proposed Rates'!$B:$J,J$11,FALSE),0)</f>
        <v>0.25</v>
      </c>
      <c r="K45" s="414">
        <f>IF($D45="Monthly",1,IF($D45="per KW",$F$10,IF($D45="per kWh",$F$9,0)))</f>
        <v>1</v>
      </c>
      <c r="L45" s="399">
        <f t="shared" si="55"/>
        <v>0.25</v>
      </c>
      <c r="M45" s="132"/>
      <c r="N45" s="400">
        <f t="shared" si="5"/>
        <v>0</v>
      </c>
      <c r="O45" s="401">
        <f t="shared" si="6"/>
        <v>0</v>
      </c>
      <c r="P45" s="52"/>
      <c r="Q45" s="396">
        <f>IFERROR(VLOOKUP($C45,'Proposed Rates'!$B:$J,Q$11,FALSE),0)</f>
        <v>0.25</v>
      </c>
      <c r="R45" s="414">
        <f>IF($D45="Monthly",1,IF($D45="per KW",$F$10,IF($D45="per kWh",$F$9,0)))</f>
        <v>1</v>
      </c>
      <c r="S45" s="399">
        <f t="shared" si="57"/>
        <v>0.25</v>
      </c>
      <c r="T45" s="132"/>
      <c r="U45" s="400">
        <f t="shared" si="9"/>
        <v>0</v>
      </c>
      <c r="V45" s="401">
        <f t="shared" si="10"/>
        <v>0</v>
      </c>
      <c r="W45" s="52"/>
      <c r="X45" s="396">
        <f>IFERROR(VLOOKUP($C45,'Proposed Rates'!$B:$J,X$11,FALSE),0)</f>
        <v>0.25</v>
      </c>
      <c r="Y45" s="414">
        <f>IF($D45="Monthly",1,IF($D45="per KW",$F$10,IF($D45="per kWh",$F$9,0)))</f>
        <v>1</v>
      </c>
      <c r="Z45" s="399">
        <f t="shared" si="59"/>
        <v>0.25</v>
      </c>
      <c r="AA45" s="132"/>
      <c r="AB45" s="400">
        <f t="shared" si="36"/>
        <v>0</v>
      </c>
      <c r="AC45" s="401">
        <f t="shared" si="37"/>
        <v>0</v>
      </c>
      <c r="AD45" s="52"/>
      <c r="AE45" s="396">
        <f>IFERROR(VLOOKUP($C45,'Proposed Rates'!$B:$J,AE$11,FALSE),0)</f>
        <v>0.25</v>
      </c>
      <c r="AF45" s="414">
        <f>IF($D45="Monthly",1,IF($D45="per KW",$F$10,IF($D45="per kWh",$F$9,0)))</f>
        <v>1</v>
      </c>
      <c r="AG45" s="399">
        <f t="shared" si="61"/>
        <v>0.25</v>
      </c>
      <c r="AH45" s="132"/>
      <c r="AI45" s="400">
        <f t="shared" si="17"/>
        <v>0</v>
      </c>
      <c r="AJ45" s="401">
        <f t="shared" si="18"/>
        <v>0</v>
      </c>
      <c r="AK45" s="52"/>
      <c r="AL45" s="396">
        <f>IFERROR(VLOOKUP($C45,'Proposed Rates'!$B:$J,AL$11,FALSE),0)</f>
        <v>0.25</v>
      </c>
      <c r="AM45" s="414">
        <f>IF($D45="Monthly",1,IF($D45="per KW",$F$10,IF($D45="per kWh",$F$9,0)))</f>
        <v>1</v>
      </c>
      <c r="AN45" s="399">
        <f t="shared" si="63"/>
        <v>0.25</v>
      </c>
      <c r="AO45" s="132"/>
      <c r="AP45" s="400">
        <f t="shared" si="21"/>
        <v>0</v>
      </c>
      <c r="AQ45" s="401">
        <f t="shared" si="22"/>
        <v>0</v>
      </c>
      <c r="AR45" s="402"/>
      <c r="AS45" s="3"/>
      <c r="AT45" s="3"/>
      <c r="AU45" s="3"/>
      <c r="AV45" s="3"/>
      <c r="AW45" s="3"/>
      <c r="AX45" s="3"/>
    </row>
    <row r="46" spans="1:50" ht="12" customHeight="1">
      <c r="A46" s="550"/>
      <c r="B46" s="321" t="s">
        <v>271</v>
      </c>
      <c r="C46" s="394" t="str">
        <f>B46</f>
        <v>Average IESO Wholesale Market Price</v>
      </c>
      <c r="D46" s="395" t="s">
        <v>312</v>
      </c>
      <c r="E46" s="321"/>
      <c r="F46" s="413">
        <f>IFERROR(VLOOKUP($C46,'Proposed Rates'!$B:$J,F$11,FALSE),0)</f>
        <v>0.10453</v>
      </c>
      <c r="G46" s="420">
        <f>$F$9+G$37</f>
        <v>52723.8</v>
      </c>
      <c r="H46" s="399">
        <f t="shared" si="53"/>
        <v>5511.2188139999998</v>
      </c>
      <c r="I46" s="132"/>
      <c r="J46" s="413">
        <f>IFERROR(VLOOKUP($C46,'Proposed Rates'!$B:$J,J$11,FALSE),0)</f>
        <v>0.10453</v>
      </c>
      <c r="K46" s="420">
        <f>$F$9+K$37</f>
        <v>52693.2</v>
      </c>
      <c r="L46" s="399">
        <f t="shared" si="55"/>
        <v>5508.0201959999995</v>
      </c>
      <c r="M46" s="132"/>
      <c r="N46" s="400">
        <f t="shared" si="5"/>
        <v>-3.1986180000003515</v>
      </c>
      <c r="O46" s="401">
        <f t="shared" si="6"/>
        <v>-5.8038305281492156E-4</v>
      </c>
      <c r="P46" s="52"/>
      <c r="Q46" s="413">
        <f>IFERROR(VLOOKUP($C46,'Proposed Rates'!$B:$J,Q$11,FALSE),0)</f>
        <v>0.10453</v>
      </c>
      <c r="R46" s="420">
        <f>$F$9+R$37</f>
        <v>52693.2</v>
      </c>
      <c r="S46" s="399">
        <f t="shared" si="57"/>
        <v>5508.0201959999995</v>
      </c>
      <c r="T46" s="132"/>
      <c r="U46" s="400">
        <f t="shared" si="9"/>
        <v>0</v>
      </c>
      <c r="V46" s="401">
        <f t="shared" si="10"/>
        <v>0</v>
      </c>
      <c r="W46" s="52"/>
      <c r="X46" s="413">
        <f>IFERROR(VLOOKUP($C46,'Proposed Rates'!$B:$J,X$11,FALSE),0)</f>
        <v>0.10453</v>
      </c>
      <c r="Y46" s="420">
        <f>$F$9+Y$37</f>
        <v>52693.2</v>
      </c>
      <c r="Z46" s="399">
        <f t="shared" si="59"/>
        <v>5508.0201959999995</v>
      </c>
      <c r="AA46" s="132"/>
      <c r="AB46" s="400">
        <f t="shared" si="36"/>
        <v>0</v>
      </c>
      <c r="AC46" s="401">
        <f t="shared" si="37"/>
        <v>0</v>
      </c>
      <c r="AD46" s="52"/>
      <c r="AE46" s="413">
        <f>IFERROR(VLOOKUP($C46,'Proposed Rates'!$B:$J,AE$11,FALSE),0)</f>
        <v>0.10453</v>
      </c>
      <c r="AF46" s="420">
        <f>$F$9+AF$37</f>
        <v>52693.2</v>
      </c>
      <c r="AG46" s="399">
        <f t="shared" si="61"/>
        <v>5508.0201959999995</v>
      </c>
      <c r="AH46" s="132"/>
      <c r="AI46" s="400">
        <f t="shared" si="17"/>
        <v>0</v>
      </c>
      <c r="AJ46" s="401">
        <f t="shared" si="18"/>
        <v>0</v>
      </c>
      <c r="AK46" s="52"/>
      <c r="AL46" s="413">
        <f>IFERROR(VLOOKUP($C46,'Proposed Rates'!$B:$J,AL$11,FALSE),0)</f>
        <v>0.10453</v>
      </c>
      <c r="AM46" s="420">
        <f>$F$9+AM$37</f>
        <v>52693.2</v>
      </c>
      <c r="AN46" s="399">
        <f t="shared" si="63"/>
        <v>5508.0201959999995</v>
      </c>
      <c r="AO46" s="132"/>
      <c r="AP46" s="400">
        <f t="shared" si="21"/>
        <v>0</v>
      </c>
      <c r="AQ46" s="401">
        <f t="shared" si="22"/>
        <v>0</v>
      </c>
      <c r="AR46" s="402"/>
      <c r="AS46" s="3"/>
      <c r="AT46" s="3"/>
      <c r="AU46" s="3"/>
      <c r="AV46" s="3"/>
      <c r="AW46" s="3"/>
      <c r="AX46" s="3"/>
    </row>
    <row r="47" spans="1:50" ht="12" customHeight="1">
      <c r="A47" s="550"/>
      <c r="B47" s="321"/>
      <c r="C47" s="394" t="str">
        <f t="shared" ref="C47:C50" si="64">D$6&amp;"."&amp;B47</f>
        <v>General Service 50 to 1,499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c r="AS47" s="3"/>
      <c r="AT47" s="3"/>
      <c r="AU47" s="3"/>
      <c r="AV47" s="3"/>
      <c r="AW47" s="3"/>
      <c r="AX47" s="3"/>
    </row>
    <row r="48" spans="1:50" ht="12" customHeight="1">
      <c r="A48" s="550"/>
      <c r="B48" s="52"/>
      <c r="C48" s="394" t="str">
        <f t="shared" si="64"/>
        <v>General Service 50 to 1,499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c r="AS48" s="3"/>
      <c r="AT48" s="3"/>
      <c r="AU48" s="3"/>
      <c r="AV48" s="3"/>
      <c r="AW48" s="3"/>
      <c r="AX48" s="3"/>
    </row>
    <row r="49" spans="1:50" ht="12" customHeight="1">
      <c r="A49" s="550"/>
      <c r="B49" s="321"/>
      <c r="C49" s="394" t="str">
        <f t="shared" si="64"/>
        <v>General Service 50 to 1,499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c r="AS49" s="3"/>
      <c r="AT49" s="3"/>
      <c r="AU49" s="3"/>
      <c r="AV49" s="3"/>
      <c r="AW49" s="3"/>
      <c r="AX49" s="3"/>
    </row>
    <row r="50" spans="1:50" ht="12" customHeight="1">
      <c r="A50" s="550"/>
      <c r="B50" s="321"/>
      <c r="C50" s="394" t="str">
        <f t="shared" si="64"/>
        <v>General Service 50 to 1,499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c r="AS50" s="3"/>
      <c r="AT50" s="3"/>
      <c r="AU50" s="3"/>
      <c r="AV50" s="3"/>
      <c r="AW50" s="3"/>
      <c r="AX50" s="3"/>
    </row>
    <row r="51" spans="1:50" ht="12" customHeight="1">
      <c r="A51" s="550"/>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3"/>
      <c r="AT51" s="3"/>
      <c r="AU51" s="3"/>
      <c r="AV51" s="3"/>
      <c r="AW51" s="3"/>
      <c r="AX51" s="3"/>
    </row>
    <row r="52" spans="1:50" ht="12" customHeight="1">
      <c r="A52" s="550"/>
      <c r="B52" s="443" t="s">
        <v>319</v>
      </c>
      <c r="C52" s="321"/>
      <c r="D52" s="321"/>
      <c r="E52" s="321"/>
      <c r="F52" s="444"/>
      <c r="G52" s="488"/>
      <c r="H52" s="446">
        <f>SUM(H43:H48,H42)</f>
        <v>9747.6691140000003</v>
      </c>
      <c r="I52" s="481"/>
      <c r="J52" s="445"/>
      <c r="K52" s="445"/>
      <c r="L52" s="446">
        <f>SUM(L43:L48,L42)</f>
        <v>9938.4991559999999</v>
      </c>
      <c r="M52" s="448"/>
      <c r="N52" s="447">
        <f t="shared" ref="N52:N56" si="65">L52-H52</f>
        <v>190.83004199999959</v>
      </c>
      <c r="O52" s="449">
        <f t="shared" ref="O52:O56" si="66">IF((H52)=0,"",(N52/H52))</f>
        <v>1.9576992178152796E-2</v>
      </c>
      <c r="P52" s="52"/>
      <c r="Q52" s="445"/>
      <c r="R52" s="445"/>
      <c r="S52" s="446">
        <f>SUM(S43:S48,S42)</f>
        <v>9898.1991559999988</v>
      </c>
      <c r="T52" s="448"/>
      <c r="U52" s="447">
        <f t="shared" ref="U52:U56" si="67">S52-L52</f>
        <v>-40.300000000001091</v>
      </c>
      <c r="V52" s="449">
        <f t="shared" ref="V52:V56" si="68">IF((L52)=0,"",(U52/L52))</f>
        <v>-4.054938212242184E-3</v>
      </c>
      <c r="W52" s="52"/>
      <c r="X52" s="445"/>
      <c r="Y52" s="445"/>
      <c r="Z52" s="446">
        <f>SUM(Z43:Z48,Z42)</f>
        <v>10048.696656</v>
      </c>
      <c r="AA52" s="448"/>
      <c r="AB52" s="447">
        <f t="shared" ref="AB52:AB56" si="69">Z52-S52</f>
        <v>150.49750000000131</v>
      </c>
      <c r="AC52" s="449">
        <f t="shared" ref="AC52:AC56" si="70">IF((S52)=0,"",(AB52/S52))</f>
        <v>1.5204533433616975E-2</v>
      </c>
      <c r="AD52" s="52"/>
      <c r="AE52" s="445"/>
      <c r="AF52" s="445"/>
      <c r="AG52" s="446">
        <f>SUM(AG43:AG48,AG42)</f>
        <v>10132.544156</v>
      </c>
      <c r="AH52" s="448"/>
      <c r="AI52" s="447">
        <f t="shared" ref="AI52:AI56" si="71">AG52-Z52</f>
        <v>83.847499999999854</v>
      </c>
      <c r="AJ52" s="449">
        <f t="shared" ref="AJ52:AJ56" si="72">IF((Z52)=0,"",(AI52/Z52))</f>
        <v>8.344116940771135E-3</v>
      </c>
      <c r="AK52" s="52"/>
      <c r="AL52" s="445"/>
      <c r="AM52" s="445"/>
      <c r="AN52" s="446">
        <f>SUM(AN43:AN48,AN42)</f>
        <v>10209.379156000001</v>
      </c>
      <c r="AO52" s="448"/>
      <c r="AP52" s="447">
        <f t="shared" ref="AP52:AP56" si="73">AN52-AG52</f>
        <v>76.835000000000946</v>
      </c>
      <c r="AQ52" s="449">
        <f t="shared" ref="AQ52:AQ56" si="74">IF((AG52)=0,"",(AP52/AG52))</f>
        <v>7.5829918742079203E-3</v>
      </c>
      <c r="AR52" s="450"/>
      <c r="AS52" s="3"/>
      <c r="AT52" s="3"/>
      <c r="AU52" s="3"/>
      <c r="AV52" s="3"/>
      <c r="AW52" s="3"/>
      <c r="AX52" s="3"/>
    </row>
    <row r="53" spans="1:50" ht="12" customHeight="1">
      <c r="A53" s="550"/>
      <c r="B53" s="451" t="s">
        <v>320</v>
      </c>
      <c r="C53" s="321"/>
      <c r="D53" s="321"/>
      <c r="E53" s="321"/>
      <c r="F53" s="444">
        <v>0.13</v>
      </c>
      <c r="G53" s="132"/>
      <c r="H53" s="489">
        <f>H52*F53</f>
        <v>1267.1969848200001</v>
      </c>
      <c r="I53" s="416"/>
      <c r="J53" s="452">
        <v>0.13</v>
      </c>
      <c r="K53" s="416"/>
      <c r="L53" s="399">
        <f>L52*J53</f>
        <v>1292.0048902799999</v>
      </c>
      <c r="M53" s="132"/>
      <c r="N53" s="400">
        <f t="shared" si="65"/>
        <v>24.807905459999802</v>
      </c>
      <c r="O53" s="401">
        <f t="shared" si="66"/>
        <v>1.9576992178152678E-2</v>
      </c>
      <c r="P53" s="52"/>
      <c r="Q53" s="452">
        <v>0.13</v>
      </c>
      <c r="R53" s="416"/>
      <c r="S53" s="399">
        <f>S52*Q53</f>
        <v>1286.7658902799999</v>
      </c>
      <c r="T53" s="132"/>
      <c r="U53" s="400">
        <f t="shared" si="67"/>
        <v>-5.2390000000000327</v>
      </c>
      <c r="V53" s="401">
        <f t="shared" si="68"/>
        <v>-4.054938212242099E-3</v>
      </c>
      <c r="W53" s="52"/>
      <c r="X53" s="452">
        <v>0.13</v>
      </c>
      <c r="Y53" s="416"/>
      <c r="Z53" s="399">
        <f>Z52*X53</f>
        <v>1306.33056528</v>
      </c>
      <c r="AA53" s="132"/>
      <c r="AB53" s="400">
        <f t="shared" si="69"/>
        <v>19.564675000000079</v>
      </c>
      <c r="AC53" s="401">
        <f t="shared" si="70"/>
        <v>1.5204533433616904E-2</v>
      </c>
      <c r="AD53" s="52"/>
      <c r="AE53" s="452">
        <v>0.13</v>
      </c>
      <c r="AF53" s="416"/>
      <c r="AG53" s="399">
        <f>AG52*AE53</f>
        <v>1317.23074028</v>
      </c>
      <c r="AH53" s="132"/>
      <c r="AI53" s="400">
        <f t="shared" si="71"/>
        <v>10.90017499999999</v>
      </c>
      <c r="AJ53" s="401">
        <f t="shared" si="72"/>
        <v>8.3441169407711419E-3</v>
      </c>
      <c r="AK53" s="52"/>
      <c r="AL53" s="452">
        <v>0.13</v>
      </c>
      <c r="AM53" s="416"/>
      <c r="AN53" s="399">
        <f>AN52*AL53</f>
        <v>1327.2192902800002</v>
      </c>
      <c r="AO53" s="132"/>
      <c r="AP53" s="400">
        <f t="shared" si="73"/>
        <v>9.9885500000002594</v>
      </c>
      <c r="AQ53" s="401">
        <f t="shared" si="74"/>
        <v>7.5829918742080235E-3</v>
      </c>
      <c r="AR53" s="402"/>
      <c r="AS53" s="3"/>
      <c r="AT53" s="3"/>
      <c r="AU53" s="3"/>
      <c r="AV53" s="3"/>
      <c r="AW53" s="3"/>
      <c r="AX53" s="3"/>
    </row>
    <row r="54" spans="1:50" ht="12" customHeight="1">
      <c r="A54" s="550"/>
      <c r="B54" s="453" t="s">
        <v>391</v>
      </c>
      <c r="C54" s="321"/>
      <c r="D54" s="321"/>
      <c r="E54" s="321"/>
      <c r="F54" s="454"/>
      <c r="G54" s="132"/>
      <c r="H54" s="489">
        <f>H52+H53</f>
        <v>11014.866098820001</v>
      </c>
      <c r="I54" s="416"/>
      <c r="J54" s="416"/>
      <c r="K54" s="416"/>
      <c r="L54" s="399">
        <f>L52+L53</f>
        <v>11230.504046279999</v>
      </c>
      <c r="M54" s="132"/>
      <c r="N54" s="400">
        <f t="shared" si="65"/>
        <v>215.63794745999803</v>
      </c>
      <c r="O54" s="401">
        <f t="shared" si="66"/>
        <v>1.9576992178152657E-2</v>
      </c>
      <c r="P54" s="52"/>
      <c r="Q54" s="416"/>
      <c r="R54" s="416"/>
      <c r="S54" s="399">
        <f>S52+S53</f>
        <v>11184.965046279998</v>
      </c>
      <c r="T54" s="132"/>
      <c r="U54" s="400">
        <f t="shared" si="67"/>
        <v>-45.539000000000669</v>
      </c>
      <c r="V54" s="401">
        <f t="shared" si="68"/>
        <v>-4.0549382122421337E-3</v>
      </c>
      <c r="W54" s="52"/>
      <c r="X54" s="416"/>
      <c r="Y54" s="416"/>
      <c r="Z54" s="399">
        <f>Z52+Z53</f>
        <v>11355.027221280001</v>
      </c>
      <c r="AA54" s="132"/>
      <c r="AB54" s="400">
        <f t="shared" si="69"/>
        <v>170.06217500000275</v>
      </c>
      <c r="AC54" s="401">
        <f t="shared" si="70"/>
        <v>1.5204533433617089E-2</v>
      </c>
      <c r="AD54" s="52"/>
      <c r="AE54" s="416"/>
      <c r="AF54" s="416"/>
      <c r="AG54" s="399">
        <f>AG52+AG53</f>
        <v>11449.77489628</v>
      </c>
      <c r="AH54" s="132"/>
      <c r="AI54" s="400">
        <f t="shared" si="71"/>
        <v>94.747674999998708</v>
      </c>
      <c r="AJ54" s="401">
        <f t="shared" si="72"/>
        <v>8.3441169407710344E-3</v>
      </c>
      <c r="AK54" s="52"/>
      <c r="AL54" s="416"/>
      <c r="AM54" s="416"/>
      <c r="AN54" s="399">
        <f>AN52+AN53</f>
        <v>11536.598446280001</v>
      </c>
      <c r="AO54" s="132"/>
      <c r="AP54" s="400">
        <f t="shared" si="73"/>
        <v>86.823550000000978</v>
      </c>
      <c r="AQ54" s="401">
        <f t="shared" si="74"/>
        <v>7.5829918742079125E-3</v>
      </c>
      <c r="AR54" s="402"/>
      <c r="AS54" s="3"/>
      <c r="AT54" s="3"/>
      <c r="AU54" s="3"/>
      <c r="AV54" s="3"/>
      <c r="AW54" s="3"/>
      <c r="AX54" s="3"/>
    </row>
    <row r="55" spans="1:50" ht="12" customHeight="1">
      <c r="A55" s="550"/>
      <c r="B55" s="632" t="s">
        <v>277</v>
      </c>
      <c r="C55" s="623"/>
      <c r="D55" s="623"/>
      <c r="E55" s="321"/>
      <c r="F55" s="454"/>
      <c r="G55" s="132"/>
      <c r="H55" s="491">
        <f>F55*H52</f>
        <v>0</v>
      </c>
      <c r="I55" s="416"/>
      <c r="J55" s="416"/>
      <c r="K55" s="416"/>
      <c r="L55" s="511">
        <f>J55*L52</f>
        <v>0</v>
      </c>
      <c r="M55" s="132"/>
      <c r="N55" s="456">
        <f t="shared" si="65"/>
        <v>0</v>
      </c>
      <c r="O55" s="458" t="str">
        <f t="shared" si="66"/>
        <v/>
      </c>
      <c r="P55" s="52"/>
      <c r="Q55" s="416"/>
      <c r="R55" s="416"/>
      <c r="S55" s="511">
        <f>Q55*S52</f>
        <v>0</v>
      </c>
      <c r="T55" s="132"/>
      <c r="U55" s="456">
        <f t="shared" si="67"/>
        <v>0</v>
      </c>
      <c r="V55" s="458" t="str">
        <f t="shared" si="68"/>
        <v/>
      </c>
      <c r="W55" s="52"/>
      <c r="X55" s="416"/>
      <c r="Y55" s="416"/>
      <c r="Z55" s="511">
        <f>X55*Z52</f>
        <v>0</v>
      </c>
      <c r="AA55" s="132"/>
      <c r="AB55" s="456">
        <f t="shared" si="69"/>
        <v>0</v>
      </c>
      <c r="AC55" s="458" t="str">
        <f t="shared" si="70"/>
        <v/>
      </c>
      <c r="AD55" s="52"/>
      <c r="AE55" s="416"/>
      <c r="AF55" s="416"/>
      <c r="AG55" s="511">
        <f>AE55*AG52</f>
        <v>0</v>
      </c>
      <c r="AH55" s="132"/>
      <c r="AI55" s="456">
        <f t="shared" si="71"/>
        <v>0</v>
      </c>
      <c r="AJ55" s="458" t="str">
        <f t="shared" si="72"/>
        <v/>
      </c>
      <c r="AK55" s="52"/>
      <c r="AL55" s="416"/>
      <c r="AM55" s="416"/>
      <c r="AN55" s="511">
        <f>AL55*AN52</f>
        <v>0</v>
      </c>
      <c r="AO55" s="132"/>
      <c r="AP55" s="456">
        <f t="shared" si="73"/>
        <v>0</v>
      </c>
      <c r="AQ55" s="458" t="str">
        <f t="shared" si="74"/>
        <v/>
      </c>
      <c r="AR55" s="459"/>
      <c r="AS55" s="3"/>
      <c r="AT55" s="3"/>
      <c r="AU55" s="3"/>
      <c r="AV55" s="3"/>
      <c r="AW55" s="3"/>
      <c r="AX55" s="3"/>
    </row>
    <row r="56" spans="1:50" ht="12" customHeight="1">
      <c r="A56" s="550"/>
      <c r="B56" s="634" t="s">
        <v>322</v>
      </c>
      <c r="C56" s="615"/>
      <c r="D56" s="615"/>
      <c r="E56" s="460"/>
      <c r="F56" s="461"/>
      <c r="G56" s="492"/>
      <c r="H56" s="493">
        <f>H54-H55</f>
        <v>11014.866098820001</v>
      </c>
      <c r="I56" s="462"/>
      <c r="J56" s="462"/>
      <c r="K56" s="462"/>
      <c r="L56" s="463">
        <f>L54-L55</f>
        <v>11230.504046279999</v>
      </c>
      <c r="M56" s="464"/>
      <c r="N56" s="465">
        <f t="shared" si="65"/>
        <v>215.63794745999803</v>
      </c>
      <c r="O56" s="466">
        <f t="shared" si="66"/>
        <v>1.9576992178152657E-2</v>
      </c>
      <c r="P56" s="52"/>
      <c r="Q56" s="462"/>
      <c r="R56" s="462"/>
      <c r="S56" s="463">
        <f>S54-S55</f>
        <v>11184.965046279998</v>
      </c>
      <c r="T56" s="464"/>
      <c r="U56" s="465">
        <f t="shared" si="67"/>
        <v>-45.539000000000669</v>
      </c>
      <c r="V56" s="466">
        <f t="shared" si="68"/>
        <v>-4.0549382122421337E-3</v>
      </c>
      <c r="W56" s="52"/>
      <c r="X56" s="462"/>
      <c r="Y56" s="462"/>
      <c r="Z56" s="463">
        <f>Z54-Z55</f>
        <v>11355.027221280001</v>
      </c>
      <c r="AA56" s="464"/>
      <c r="AB56" s="465">
        <f t="shared" si="69"/>
        <v>170.06217500000275</v>
      </c>
      <c r="AC56" s="466">
        <f t="shared" si="70"/>
        <v>1.5204533433617089E-2</v>
      </c>
      <c r="AD56" s="52"/>
      <c r="AE56" s="462"/>
      <c r="AF56" s="462"/>
      <c r="AG56" s="463">
        <f>AG54-AG55</f>
        <v>11449.77489628</v>
      </c>
      <c r="AH56" s="464"/>
      <c r="AI56" s="465">
        <f t="shared" si="71"/>
        <v>94.747674999998708</v>
      </c>
      <c r="AJ56" s="466">
        <f t="shared" si="72"/>
        <v>8.3441169407710344E-3</v>
      </c>
      <c r="AK56" s="52"/>
      <c r="AL56" s="462"/>
      <c r="AM56" s="462"/>
      <c r="AN56" s="463">
        <f>AN54-AN55</f>
        <v>11536.598446280001</v>
      </c>
      <c r="AO56" s="464"/>
      <c r="AP56" s="465">
        <f t="shared" si="73"/>
        <v>86.823550000000978</v>
      </c>
      <c r="AQ56" s="466">
        <f t="shared" si="74"/>
        <v>7.5829918742079125E-3</v>
      </c>
      <c r="AR56" s="467"/>
      <c r="AS56" s="3"/>
      <c r="AT56" s="3"/>
      <c r="AU56" s="3"/>
      <c r="AV56" s="3"/>
      <c r="AW56" s="3"/>
      <c r="AX56" s="3"/>
    </row>
    <row r="57" spans="1:50" ht="12" customHeight="1">
      <c r="A57" s="550"/>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3"/>
      <c r="AT57" s="3"/>
      <c r="AU57" s="3"/>
      <c r="AV57" s="3"/>
      <c r="AW57" s="3"/>
      <c r="AX57" s="3"/>
    </row>
    <row r="58" spans="1:50" ht="12" customHeight="1">
      <c r="A58" s="550"/>
      <c r="B58" s="513" t="s">
        <v>323</v>
      </c>
      <c r="C58" s="514"/>
      <c r="D58" s="514"/>
      <c r="E58" s="514"/>
      <c r="F58" s="515"/>
      <c r="G58" s="516"/>
      <c r="H58" s="517">
        <f>SUM(H49:H50,H42,H43:H45)</f>
        <v>4236.4502999999995</v>
      </c>
      <c r="I58" s="518"/>
      <c r="J58" s="519"/>
      <c r="K58" s="519"/>
      <c r="L58" s="517">
        <f>SUM(L49:L50,L42,L43:L45)</f>
        <v>4430.4789600000004</v>
      </c>
      <c r="M58" s="520"/>
      <c r="N58" s="521">
        <f t="shared" ref="N58:N62" si="75">L58-H58</f>
        <v>194.02866000000085</v>
      </c>
      <c r="O58" s="522">
        <f t="shared" ref="O58:O62" si="76">IF((H58)=0,"",(N58/H58))</f>
        <v>4.5799819721713923E-2</v>
      </c>
      <c r="P58" s="512"/>
      <c r="Q58" s="519"/>
      <c r="R58" s="519"/>
      <c r="S58" s="517">
        <f>SUM(S49:S50,S42,S43:S45)</f>
        <v>4390.1789600000002</v>
      </c>
      <c r="T58" s="520"/>
      <c r="U58" s="521">
        <f t="shared" ref="U58:U62" si="77">S58-L58</f>
        <v>-40.300000000000182</v>
      </c>
      <c r="V58" s="522">
        <f t="shared" ref="V58:V62" si="78">IF((L58)=0,"",(U58/L58))</f>
        <v>-9.0960820181843673E-3</v>
      </c>
      <c r="W58" s="512"/>
      <c r="X58" s="519"/>
      <c r="Y58" s="519"/>
      <c r="Z58" s="517">
        <f>SUM(Z49:Z50,Z42,Z43:Z45)</f>
        <v>4540.6764600000006</v>
      </c>
      <c r="AA58" s="520"/>
      <c r="AB58" s="521">
        <f t="shared" ref="AB58:AB62" si="79">Z58-S58</f>
        <v>150.4975000000004</v>
      </c>
      <c r="AC58" s="522">
        <f t="shared" ref="AC58:AC62" si="80">IF((S58)=0,"",(AB58/S58))</f>
        <v>3.4280493203402443E-2</v>
      </c>
      <c r="AD58" s="512"/>
      <c r="AE58" s="519"/>
      <c r="AF58" s="519"/>
      <c r="AG58" s="517">
        <f>SUM(AG49:AG50,AG42,AG43:AG45)</f>
        <v>4624.5239600000004</v>
      </c>
      <c r="AH58" s="520"/>
      <c r="AI58" s="521">
        <f t="shared" ref="AI58:AI62" si="81">AG58-Z58</f>
        <v>83.847499999999854</v>
      </c>
      <c r="AJ58" s="522">
        <f t="shared" ref="AJ58:AJ62" si="82">IF((Z58)=0,"",(AI58/Z58))</f>
        <v>1.846586092152442E-2</v>
      </c>
      <c r="AK58" s="512"/>
      <c r="AL58" s="519"/>
      <c r="AM58" s="519"/>
      <c r="AN58" s="517">
        <f>SUM(AN49:AN50,AN42,AN43:AN45)</f>
        <v>4701.3589600000014</v>
      </c>
      <c r="AO58" s="520"/>
      <c r="AP58" s="521">
        <f t="shared" ref="AP58:AP62" si="83">AN58-AG58</f>
        <v>76.835000000000946</v>
      </c>
      <c r="AQ58" s="522">
        <f t="shared" ref="AQ58:AQ62" si="84">IF((AG58)=0,"",(AP58/AG58))</f>
        <v>1.6614683081888702E-2</v>
      </c>
      <c r="AR58" s="523"/>
      <c r="AS58" s="3"/>
      <c r="AT58" s="3"/>
      <c r="AU58" s="3"/>
      <c r="AV58" s="3"/>
      <c r="AW58" s="3"/>
      <c r="AX58" s="3"/>
    </row>
    <row r="59" spans="1:50" ht="12" customHeight="1">
      <c r="A59" s="550"/>
      <c r="B59" s="524" t="s">
        <v>320</v>
      </c>
      <c r="C59" s="514"/>
      <c r="D59" s="514"/>
      <c r="E59" s="514"/>
      <c r="F59" s="515">
        <v>0.13</v>
      </c>
      <c r="G59" s="516"/>
      <c r="H59" s="525">
        <f>H58*F59</f>
        <v>550.73853899999995</v>
      </c>
      <c r="I59" s="526"/>
      <c r="J59" s="515">
        <v>0.13</v>
      </c>
      <c r="K59" s="527"/>
      <c r="L59" s="528">
        <f>L58*J59</f>
        <v>575.96226480000007</v>
      </c>
      <c r="M59" s="529"/>
      <c r="N59" s="530">
        <f t="shared" si="75"/>
        <v>25.223725800000125</v>
      </c>
      <c r="O59" s="531">
        <f t="shared" si="76"/>
        <v>4.5799819721713951E-2</v>
      </c>
      <c r="P59" s="512"/>
      <c r="Q59" s="515">
        <v>0.13</v>
      </c>
      <c r="R59" s="527"/>
      <c r="S59" s="528">
        <f>S58*Q59</f>
        <v>570.72326480000004</v>
      </c>
      <c r="T59" s="529"/>
      <c r="U59" s="530">
        <f t="shared" si="77"/>
        <v>-5.2390000000000327</v>
      </c>
      <c r="V59" s="531">
        <f t="shared" si="78"/>
        <v>-9.0960820181843829E-3</v>
      </c>
      <c r="W59" s="512"/>
      <c r="X59" s="515">
        <v>0.13</v>
      </c>
      <c r="Y59" s="527"/>
      <c r="Z59" s="528">
        <f>Z58*X59</f>
        <v>590.28793980000012</v>
      </c>
      <c r="AA59" s="529"/>
      <c r="AB59" s="530">
        <f t="shared" si="79"/>
        <v>19.564675000000079</v>
      </c>
      <c r="AC59" s="531">
        <f t="shared" si="80"/>
        <v>3.4280493203402485E-2</v>
      </c>
      <c r="AD59" s="512"/>
      <c r="AE59" s="515">
        <v>0.13</v>
      </c>
      <c r="AF59" s="527"/>
      <c r="AG59" s="528">
        <f>AG58*AE59</f>
        <v>601.18811480000011</v>
      </c>
      <c r="AH59" s="529"/>
      <c r="AI59" s="530">
        <f t="shared" si="81"/>
        <v>10.90017499999999</v>
      </c>
      <c r="AJ59" s="531">
        <f t="shared" si="82"/>
        <v>1.8465860921524434E-2</v>
      </c>
      <c r="AK59" s="512"/>
      <c r="AL59" s="515">
        <v>0.13</v>
      </c>
      <c r="AM59" s="527"/>
      <c r="AN59" s="528">
        <f>AN58*AL59</f>
        <v>611.17666480000025</v>
      </c>
      <c r="AO59" s="529"/>
      <c r="AP59" s="530">
        <f t="shared" si="83"/>
        <v>9.9885500000001457</v>
      </c>
      <c r="AQ59" s="531">
        <f t="shared" si="84"/>
        <v>1.6614683081888737E-2</v>
      </c>
      <c r="AR59" s="532"/>
      <c r="AS59" s="3"/>
      <c r="AT59" s="3"/>
      <c r="AU59" s="3"/>
      <c r="AV59" s="3"/>
      <c r="AW59" s="3"/>
      <c r="AX59" s="3"/>
    </row>
    <row r="60" spans="1:50" ht="12" customHeight="1">
      <c r="A60" s="550"/>
      <c r="B60" s="533" t="s">
        <v>392</v>
      </c>
      <c r="C60" s="514"/>
      <c r="D60" s="514"/>
      <c r="E60" s="514"/>
      <c r="F60" s="534"/>
      <c r="G60" s="529"/>
      <c r="H60" s="525">
        <f>H58+H59</f>
        <v>4787.1888389999995</v>
      </c>
      <c r="I60" s="526"/>
      <c r="J60" s="526"/>
      <c r="K60" s="526"/>
      <c r="L60" s="528">
        <f>L58+L59</f>
        <v>5006.4412248000008</v>
      </c>
      <c r="M60" s="529"/>
      <c r="N60" s="530">
        <f t="shared" si="75"/>
        <v>219.25238580000132</v>
      </c>
      <c r="O60" s="531">
        <f t="shared" si="76"/>
        <v>4.5799819721714E-2</v>
      </c>
      <c r="P60" s="512"/>
      <c r="Q60" s="526"/>
      <c r="R60" s="526"/>
      <c r="S60" s="528">
        <f>S58+S59</f>
        <v>4960.9022248000001</v>
      </c>
      <c r="T60" s="529"/>
      <c r="U60" s="530">
        <f t="shared" si="77"/>
        <v>-45.539000000000669</v>
      </c>
      <c r="V60" s="531">
        <f t="shared" si="78"/>
        <v>-9.0960820181844593E-3</v>
      </c>
      <c r="W60" s="512"/>
      <c r="X60" s="526"/>
      <c r="Y60" s="526"/>
      <c r="Z60" s="528">
        <f>Z58+Z59</f>
        <v>5130.964399800001</v>
      </c>
      <c r="AA60" s="529"/>
      <c r="AB60" s="530">
        <f t="shared" si="79"/>
        <v>170.06217500000093</v>
      </c>
      <c r="AC60" s="531">
        <f t="shared" si="80"/>
        <v>3.428049320340254E-2</v>
      </c>
      <c r="AD60" s="512"/>
      <c r="AE60" s="526"/>
      <c r="AF60" s="526"/>
      <c r="AG60" s="528">
        <f>AG58+AG59</f>
        <v>5225.7120748000007</v>
      </c>
      <c r="AH60" s="529"/>
      <c r="AI60" s="530">
        <f t="shared" si="81"/>
        <v>94.747674999999617</v>
      </c>
      <c r="AJ60" s="531">
        <f t="shared" si="82"/>
        <v>1.8465860921524378E-2</v>
      </c>
      <c r="AK60" s="512"/>
      <c r="AL60" s="526"/>
      <c r="AM60" s="526"/>
      <c r="AN60" s="528">
        <f>AN58+AN59</f>
        <v>5312.5356248000016</v>
      </c>
      <c r="AO60" s="529"/>
      <c r="AP60" s="530">
        <f t="shared" si="83"/>
        <v>86.823550000000978</v>
      </c>
      <c r="AQ60" s="531">
        <f t="shared" si="84"/>
        <v>1.6614683081888681E-2</v>
      </c>
      <c r="AR60" s="532"/>
      <c r="AS60" s="3"/>
      <c r="AT60" s="3"/>
      <c r="AU60" s="3"/>
      <c r="AV60" s="3"/>
      <c r="AW60" s="3"/>
      <c r="AX60" s="3"/>
    </row>
    <row r="61" spans="1:50" ht="12" customHeight="1">
      <c r="A61" s="550"/>
      <c r="B61" s="644" t="s">
        <v>277</v>
      </c>
      <c r="C61" s="623"/>
      <c r="D61" s="623"/>
      <c r="E61" s="514"/>
      <c r="F61" s="534"/>
      <c r="G61" s="529"/>
      <c r="H61" s="535">
        <f>F61*H58</f>
        <v>0</v>
      </c>
      <c r="I61" s="526"/>
      <c r="J61" s="526"/>
      <c r="K61" s="526"/>
      <c r="L61" s="536">
        <f>J61*L58</f>
        <v>0</v>
      </c>
      <c r="M61" s="529"/>
      <c r="N61" s="537">
        <f t="shared" si="75"/>
        <v>0</v>
      </c>
      <c r="O61" s="538" t="str">
        <f t="shared" si="76"/>
        <v/>
      </c>
      <c r="P61" s="512"/>
      <c r="Q61" s="526"/>
      <c r="R61" s="526"/>
      <c r="S61" s="536">
        <f>Q61*S58</f>
        <v>0</v>
      </c>
      <c r="T61" s="529"/>
      <c r="U61" s="537">
        <f t="shared" si="77"/>
        <v>0</v>
      </c>
      <c r="V61" s="538" t="str">
        <f t="shared" si="78"/>
        <v/>
      </c>
      <c r="W61" s="512"/>
      <c r="X61" s="526"/>
      <c r="Y61" s="526"/>
      <c r="Z61" s="536">
        <f>X61*Z58</f>
        <v>0</v>
      </c>
      <c r="AA61" s="529"/>
      <c r="AB61" s="537">
        <f t="shared" si="79"/>
        <v>0</v>
      </c>
      <c r="AC61" s="538" t="str">
        <f t="shared" si="80"/>
        <v/>
      </c>
      <c r="AD61" s="512"/>
      <c r="AE61" s="526"/>
      <c r="AF61" s="526"/>
      <c r="AG61" s="536">
        <f>AE61*AG58</f>
        <v>0</v>
      </c>
      <c r="AH61" s="529"/>
      <c r="AI61" s="537">
        <f t="shared" si="81"/>
        <v>0</v>
      </c>
      <c r="AJ61" s="538" t="str">
        <f t="shared" si="82"/>
        <v/>
      </c>
      <c r="AK61" s="512"/>
      <c r="AL61" s="526"/>
      <c r="AM61" s="526"/>
      <c r="AN61" s="536">
        <f>AL61*AN58</f>
        <v>0</v>
      </c>
      <c r="AO61" s="529"/>
      <c r="AP61" s="537">
        <f t="shared" si="83"/>
        <v>0</v>
      </c>
      <c r="AQ61" s="538" t="str">
        <f t="shared" si="84"/>
        <v/>
      </c>
      <c r="AR61" s="539"/>
      <c r="AS61" s="3"/>
      <c r="AT61" s="3"/>
      <c r="AU61" s="3"/>
      <c r="AV61" s="3"/>
      <c r="AW61" s="3"/>
      <c r="AX61" s="3"/>
    </row>
    <row r="62" spans="1:50" ht="12" customHeight="1">
      <c r="A62" s="550"/>
      <c r="B62" s="643" t="s">
        <v>325</v>
      </c>
      <c r="C62" s="615"/>
      <c r="D62" s="615"/>
      <c r="E62" s="540"/>
      <c r="F62" s="541"/>
      <c r="G62" s="542"/>
      <c r="H62" s="543">
        <f>H60-H61</f>
        <v>4787.1888389999995</v>
      </c>
      <c r="I62" s="544"/>
      <c r="J62" s="544"/>
      <c r="K62" s="544"/>
      <c r="L62" s="545">
        <f>L60-L61</f>
        <v>5006.4412248000008</v>
      </c>
      <c r="M62" s="546"/>
      <c r="N62" s="547">
        <f t="shared" si="75"/>
        <v>219.25238580000132</v>
      </c>
      <c r="O62" s="548">
        <f t="shared" si="76"/>
        <v>4.5799819721714E-2</v>
      </c>
      <c r="P62" s="512"/>
      <c r="Q62" s="544"/>
      <c r="R62" s="544"/>
      <c r="S62" s="545">
        <f>S60-S61</f>
        <v>4960.9022248000001</v>
      </c>
      <c r="T62" s="546"/>
      <c r="U62" s="547">
        <f t="shared" si="77"/>
        <v>-45.539000000000669</v>
      </c>
      <c r="V62" s="548">
        <f t="shared" si="78"/>
        <v>-9.0960820181844593E-3</v>
      </c>
      <c r="W62" s="512"/>
      <c r="X62" s="544"/>
      <c r="Y62" s="544"/>
      <c r="Z62" s="545">
        <f>Z60-Z61</f>
        <v>5130.964399800001</v>
      </c>
      <c r="AA62" s="546"/>
      <c r="AB62" s="547">
        <f t="shared" si="79"/>
        <v>170.06217500000093</v>
      </c>
      <c r="AC62" s="548">
        <f t="shared" si="80"/>
        <v>3.428049320340254E-2</v>
      </c>
      <c r="AD62" s="512"/>
      <c r="AE62" s="544"/>
      <c r="AF62" s="544"/>
      <c r="AG62" s="545">
        <f>AG60-AG61</f>
        <v>5225.7120748000007</v>
      </c>
      <c r="AH62" s="546"/>
      <c r="AI62" s="547">
        <f t="shared" si="81"/>
        <v>94.747674999999617</v>
      </c>
      <c r="AJ62" s="548">
        <f t="shared" si="82"/>
        <v>1.8465860921524378E-2</v>
      </c>
      <c r="AK62" s="512"/>
      <c r="AL62" s="544"/>
      <c r="AM62" s="544"/>
      <c r="AN62" s="545">
        <f>AN60-AN61</f>
        <v>5312.5356248000016</v>
      </c>
      <c r="AO62" s="546"/>
      <c r="AP62" s="547">
        <f t="shared" si="83"/>
        <v>86.823550000000978</v>
      </c>
      <c r="AQ62" s="548">
        <f t="shared" si="84"/>
        <v>1.6614683081888681E-2</v>
      </c>
      <c r="AR62" s="549"/>
      <c r="AS62" s="3"/>
      <c r="AT62" s="3"/>
      <c r="AU62" s="3"/>
      <c r="AV62" s="3"/>
      <c r="AW62" s="3"/>
      <c r="AX62" s="3"/>
    </row>
    <row r="63" spans="1:50" ht="12" customHeight="1">
      <c r="A63" s="550"/>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3"/>
      <c r="AT63" s="3"/>
      <c r="AU63" s="3"/>
      <c r="AV63" s="3"/>
      <c r="AW63" s="3"/>
      <c r="AX63" s="3"/>
    </row>
    <row r="64" spans="1:50" ht="12" customHeight="1">
      <c r="A64" s="550"/>
      <c r="B64" s="52"/>
      <c r="C64" s="52"/>
      <c r="D64" s="52"/>
      <c r="E64" s="52"/>
      <c r="F64" s="52"/>
      <c r="G64" s="52"/>
      <c r="H64" s="52">
        <v>17559.439999999999</v>
      </c>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3"/>
      <c r="AT64" s="3"/>
      <c r="AU64" s="3"/>
      <c r="AV64" s="3"/>
      <c r="AW64" s="3"/>
      <c r="AX64" s="3"/>
    </row>
    <row r="65" spans="1:50" ht="12" customHeight="1">
      <c r="A65" s="550"/>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3"/>
      <c r="AT65" s="3"/>
      <c r="AU65" s="3"/>
      <c r="AV65" s="3"/>
      <c r="AW65" s="3"/>
      <c r="AX65" s="3"/>
    </row>
    <row r="66" spans="1:50"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c r="AV66" s="3"/>
      <c r="AW66" s="3"/>
      <c r="AX66" s="3"/>
    </row>
    <row r="67" spans="1:50" ht="12" customHeight="1">
      <c r="A67" s="478" t="s">
        <v>393</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c r="AV67" s="3"/>
      <c r="AW67" s="3"/>
      <c r="AX67" s="3"/>
    </row>
    <row r="68" spans="1:50"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c r="AV68" s="3"/>
      <c r="AW68" s="3"/>
      <c r="AX68" s="3"/>
    </row>
    <row r="69" spans="1:50" ht="12" customHeight="1">
      <c r="A69" s="52" t="s">
        <v>328</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c r="AV69" s="3"/>
      <c r="AW69" s="3"/>
      <c r="AX69" s="3"/>
    </row>
    <row r="70" spans="1:50" ht="12" customHeight="1">
      <c r="A70" s="52" t="s">
        <v>329</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c r="AV70" s="3"/>
      <c r="AW70" s="3"/>
      <c r="AX70" s="3"/>
    </row>
    <row r="71" spans="1:50"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c r="AV71" s="3"/>
      <c r="AW71" s="3"/>
      <c r="AX71" s="3"/>
    </row>
    <row r="72" spans="1:50" ht="12" customHeight="1">
      <c r="A72" s="52" t="s">
        <v>330</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c r="AV72" s="3"/>
      <c r="AW72" s="3"/>
      <c r="AX72" s="3"/>
    </row>
    <row r="73" spans="1:50" ht="12" customHeight="1">
      <c r="A73" s="52" t="s">
        <v>331</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c r="AV73" s="3"/>
      <c r="AW73" s="3"/>
      <c r="AX73" s="3"/>
    </row>
    <row r="74" spans="1:50"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c r="AV74" s="3"/>
      <c r="AW74" s="3"/>
      <c r="AX74" s="3"/>
    </row>
    <row r="75" spans="1:50" ht="12" customHeight="1">
      <c r="A75" s="52" t="s">
        <v>332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c r="AV75" s="3"/>
      <c r="AW75" s="3"/>
      <c r="AX75" s="3"/>
    </row>
    <row r="76" spans="1:50" ht="12" customHeight="1">
      <c r="A76" s="52" t="s">
        <v>333</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c r="AV76" s="3"/>
      <c r="AW76" s="3"/>
      <c r="AX76" s="3"/>
    </row>
    <row r="77" spans="1:50" ht="12" customHeight="1">
      <c r="A77" s="52" t="s">
        <v>334</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c r="AV77" s="3"/>
      <c r="AW77" s="3"/>
      <c r="AX77" s="3"/>
    </row>
    <row r="78" spans="1:50" ht="12" customHeight="1">
      <c r="A78" s="52" t="s">
        <v>335</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c r="AV78" s="3"/>
      <c r="AW78" s="3"/>
      <c r="AX78" s="3"/>
    </row>
    <row r="79" spans="1:50" ht="12" customHeight="1">
      <c r="A79" s="52" t="s">
        <v>336</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c r="AV79" s="3"/>
      <c r="AW79" s="3"/>
      <c r="AX79" s="3"/>
    </row>
    <row r="80" spans="1:50"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c r="AV80" s="3"/>
      <c r="AW80" s="3"/>
      <c r="AX80" s="3"/>
    </row>
    <row r="81" spans="1:50"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c r="AV81" s="3"/>
      <c r="AW81" s="3"/>
      <c r="AX81" s="3"/>
    </row>
    <row r="82" spans="1:50"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c r="AV82" s="3"/>
      <c r="AW82" s="3"/>
      <c r="AX82" s="3"/>
    </row>
    <row r="83" spans="1:50"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c r="AV83" s="3"/>
      <c r="AW83" s="3"/>
      <c r="AX83" s="3"/>
    </row>
    <row r="84" spans="1:50"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c r="AV84" s="3"/>
      <c r="AW84" s="3"/>
      <c r="AX84" s="3"/>
    </row>
    <row r="85" spans="1:50"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c r="AV85" s="3"/>
      <c r="AW85" s="3"/>
      <c r="AX85" s="3"/>
    </row>
    <row r="86" spans="1:50"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c r="AV86" s="3"/>
      <c r="AW86" s="3"/>
      <c r="AX86" s="3"/>
    </row>
    <row r="87" spans="1:50"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c r="AV87" s="3"/>
      <c r="AW87" s="3"/>
      <c r="AX87" s="3"/>
    </row>
    <row r="88" spans="1:50"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c r="AV88" s="3"/>
      <c r="AW88" s="3"/>
      <c r="AX88" s="3"/>
    </row>
    <row r="89" spans="1:50"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c r="AV89" s="3"/>
      <c r="AW89" s="3"/>
      <c r="AX89" s="3"/>
    </row>
    <row r="90" spans="1:50"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c r="AV90" s="3"/>
      <c r="AW90" s="3"/>
      <c r="AX90" s="3"/>
    </row>
    <row r="91" spans="1:50"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c r="AV91" s="3"/>
      <c r="AW91" s="3"/>
      <c r="AX91" s="3"/>
    </row>
    <row r="92" spans="1:50"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c r="AV92" s="3"/>
      <c r="AW92" s="3"/>
      <c r="AX92" s="3"/>
    </row>
    <row r="93" spans="1:50"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c r="AV93" s="3"/>
      <c r="AW93" s="3"/>
      <c r="AX93" s="3"/>
    </row>
    <row r="94" spans="1:50"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c r="AV94" s="3"/>
      <c r="AW94" s="3"/>
      <c r="AX94" s="3"/>
    </row>
    <row r="95" spans="1:50"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c r="AV95" s="3"/>
      <c r="AW95" s="3"/>
      <c r="AX95" s="3"/>
    </row>
    <row r="96" spans="1:50"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c r="AV96" s="3"/>
      <c r="AW96" s="3"/>
      <c r="AX96" s="3"/>
    </row>
    <row r="97" spans="1:50"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c r="AV97" s="3"/>
      <c r="AW97" s="3"/>
      <c r="AX97" s="3"/>
    </row>
    <row r="98" spans="1:50"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c r="AV98" s="3"/>
      <c r="AW98" s="3"/>
      <c r="AX98" s="3"/>
    </row>
    <row r="99" spans="1:50"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c r="AV99" s="3"/>
      <c r="AW99" s="3"/>
      <c r="AX99" s="3"/>
    </row>
    <row r="100" spans="1:50"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c r="AV100" s="3"/>
      <c r="AW100" s="3"/>
      <c r="AX100" s="3"/>
    </row>
    <row r="101" spans="1:50"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c r="AV101" s="3"/>
      <c r="AW101" s="3"/>
      <c r="AX101" s="3"/>
    </row>
    <row r="102" spans="1:50"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c r="AV102" s="3"/>
      <c r="AW102" s="3"/>
      <c r="AX102" s="3"/>
    </row>
    <row r="103" spans="1:50"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c r="AV103" s="3"/>
      <c r="AW103" s="3"/>
      <c r="AX103" s="3"/>
    </row>
    <row r="104" spans="1:50"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c r="AV104" s="3"/>
      <c r="AW104" s="3"/>
      <c r="AX104" s="3"/>
    </row>
    <row r="105" spans="1:50"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c r="AV105" s="3"/>
      <c r="AW105" s="3"/>
      <c r="AX105" s="3"/>
    </row>
    <row r="106" spans="1:50"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c r="AV106" s="3"/>
      <c r="AW106" s="3"/>
      <c r="AX106" s="3"/>
    </row>
    <row r="107" spans="1:50"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c r="AV107" s="3"/>
      <c r="AW107" s="3"/>
      <c r="AX107" s="3"/>
    </row>
    <row r="108" spans="1:50"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c r="AV108" s="3"/>
      <c r="AW108" s="3"/>
      <c r="AX108" s="3"/>
    </row>
    <row r="109" spans="1:50"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c r="AV109" s="3"/>
      <c r="AW109" s="3"/>
      <c r="AX109" s="3"/>
    </row>
    <row r="110" spans="1:50"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c r="AV110" s="3"/>
      <c r="AW110" s="3"/>
      <c r="AX110" s="3"/>
    </row>
    <row r="111" spans="1:50"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c r="AV111" s="3"/>
      <c r="AW111" s="3"/>
      <c r="AX111" s="3"/>
    </row>
    <row r="112" spans="1:50"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c r="AV112" s="3"/>
      <c r="AW112" s="3"/>
      <c r="AX112" s="3"/>
    </row>
    <row r="113" spans="1:50"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c r="AV113" s="3"/>
      <c r="AW113" s="3"/>
      <c r="AX113" s="3"/>
    </row>
    <row r="114" spans="1:50"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c r="AV114" s="3"/>
      <c r="AW114" s="3"/>
      <c r="AX114" s="3"/>
    </row>
    <row r="115" spans="1:50"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c r="AV115" s="3"/>
      <c r="AW115" s="3"/>
      <c r="AX115" s="3"/>
    </row>
    <row r="116" spans="1:50"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c r="AV116" s="3"/>
      <c r="AW116" s="3"/>
      <c r="AX116" s="3"/>
    </row>
    <row r="117" spans="1:50"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c r="AV117" s="3"/>
      <c r="AW117" s="3"/>
      <c r="AX117" s="3"/>
    </row>
    <row r="118" spans="1:50"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c r="AV118" s="3"/>
      <c r="AW118" s="3"/>
      <c r="AX118" s="3"/>
    </row>
    <row r="119" spans="1:50"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c r="AV119" s="3"/>
      <c r="AW119" s="3"/>
      <c r="AX119" s="3"/>
    </row>
    <row r="120" spans="1:50"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c r="AV120" s="3"/>
      <c r="AW120" s="3"/>
      <c r="AX120" s="3"/>
    </row>
    <row r="121" spans="1:50"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c r="AV121" s="3"/>
      <c r="AW121" s="3"/>
      <c r="AX121" s="3"/>
    </row>
    <row r="122" spans="1:50"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c r="AV122" s="3"/>
      <c r="AW122" s="3"/>
      <c r="AX122" s="3"/>
    </row>
    <row r="123" spans="1:50"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c r="AV123" s="3"/>
      <c r="AW123" s="3"/>
      <c r="AX123" s="3"/>
    </row>
    <row r="124" spans="1:50"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c r="AV124" s="3"/>
      <c r="AW124" s="3"/>
      <c r="AX124" s="3"/>
    </row>
    <row r="125" spans="1:50"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c r="AV125" s="3"/>
      <c r="AW125" s="3"/>
      <c r="AX125" s="3"/>
    </row>
    <row r="126" spans="1:50"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c r="AV126" s="3"/>
      <c r="AW126" s="3"/>
      <c r="AX126" s="3"/>
    </row>
    <row r="127" spans="1:50"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c r="AV127" s="3"/>
      <c r="AW127" s="3"/>
      <c r="AX127" s="3"/>
    </row>
    <row r="128" spans="1:50"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c r="AV128" s="3"/>
      <c r="AW128" s="3"/>
      <c r="AX128" s="3"/>
    </row>
    <row r="129" spans="1:50"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c r="AV129" s="3"/>
      <c r="AW129" s="3"/>
      <c r="AX129" s="3"/>
    </row>
    <row r="130" spans="1:50"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c r="AV130" s="3"/>
      <c r="AW130" s="3"/>
      <c r="AX130" s="3"/>
    </row>
    <row r="131" spans="1:50"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c r="AV131" s="3"/>
      <c r="AW131" s="3"/>
      <c r="AX131" s="3"/>
    </row>
    <row r="132" spans="1:50"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c r="AV132" s="3"/>
      <c r="AW132" s="3"/>
      <c r="AX132" s="3"/>
    </row>
    <row r="133" spans="1:50"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c r="AV133" s="3"/>
      <c r="AW133" s="3"/>
      <c r="AX133" s="3"/>
    </row>
    <row r="134" spans="1:50"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c r="AV134" s="3"/>
      <c r="AW134" s="3"/>
      <c r="AX134" s="3"/>
    </row>
    <row r="135" spans="1:50"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c r="AV135" s="3"/>
      <c r="AW135" s="3"/>
      <c r="AX135" s="3"/>
    </row>
    <row r="136" spans="1:50"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c r="AV136" s="3"/>
      <c r="AW136" s="3"/>
      <c r="AX136" s="3"/>
    </row>
    <row r="137" spans="1:50"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c r="AV137" s="3"/>
      <c r="AW137" s="3"/>
      <c r="AX137" s="3"/>
    </row>
    <row r="138" spans="1:50"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c r="AV138" s="3"/>
      <c r="AW138" s="3"/>
      <c r="AX138" s="3"/>
    </row>
    <row r="139" spans="1:50"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c r="AV139" s="3"/>
      <c r="AW139" s="3"/>
      <c r="AX139" s="3"/>
    </row>
    <row r="140" spans="1:50"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c r="AV140" s="3"/>
      <c r="AW140" s="3"/>
      <c r="AX140" s="3"/>
    </row>
    <row r="141" spans="1:50"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c r="AV141" s="3"/>
      <c r="AW141" s="3"/>
      <c r="AX141" s="3"/>
    </row>
    <row r="142" spans="1:50"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c r="AV142" s="3"/>
      <c r="AW142" s="3"/>
      <c r="AX142" s="3"/>
    </row>
    <row r="143" spans="1:50"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c r="AV143" s="3"/>
      <c r="AW143" s="3"/>
      <c r="AX143" s="3"/>
    </row>
    <row r="144" spans="1:50"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c r="AV144" s="3"/>
      <c r="AW144" s="3"/>
      <c r="AX144" s="3"/>
    </row>
    <row r="145" spans="1:50"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c r="AV145" s="3"/>
      <c r="AW145" s="3"/>
      <c r="AX145" s="3"/>
    </row>
    <row r="146" spans="1:50"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c r="AV146" s="3"/>
      <c r="AW146" s="3"/>
      <c r="AX146" s="3"/>
    </row>
    <row r="147" spans="1:50"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c r="AV147" s="3"/>
      <c r="AW147" s="3"/>
      <c r="AX147" s="3"/>
    </row>
    <row r="148" spans="1:50"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c r="AV148" s="3"/>
      <c r="AW148" s="3"/>
      <c r="AX148" s="3"/>
    </row>
    <row r="149" spans="1:50"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c r="AV149" s="3"/>
      <c r="AW149" s="3"/>
      <c r="AX149" s="3"/>
    </row>
    <row r="150" spans="1:50"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c r="AV150" s="3"/>
      <c r="AW150" s="3"/>
      <c r="AX150" s="3"/>
    </row>
    <row r="151" spans="1:50"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c r="AV151" s="3"/>
      <c r="AW151" s="3"/>
      <c r="AX151" s="3"/>
    </row>
    <row r="152" spans="1:50"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c r="AV152" s="3"/>
      <c r="AW152" s="3"/>
      <c r="AX152" s="3"/>
    </row>
    <row r="153" spans="1:50"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c r="AV153" s="3"/>
      <c r="AW153" s="3"/>
      <c r="AX153" s="3"/>
    </row>
    <row r="154" spans="1:50"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c r="AV154" s="3"/>
      <c r="AW154" s="3"/>
      <c r="AX154" s="3"/>
    </row>
    <row r="155" spans="1:50"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c r="AV155" s="3"/>
      <c r="AW155" s="3"/>
      <c r="AX155" s="3"/>
    </row>
    <row r="156" spans="1:50"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c r="AV156" s="3"/>
      <c r="AW156" s="3"/>
      <c r="AX156" s="3"/>
    </row>
    <row r="157" spans="1:50"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c r="AV157" s="3"/>
      <c r="AW157" s="3"/>
      <c r="AX157" s="3"/>
    </row>
    <row r="158" spans="1:50"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c r="AV158" s="3"/>
      <c r="AW158" s="3"/>
      <c r="AX158" s="3"/>
    </row>
    <row r="159" spans="1:50"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c r="AV159" s="3"/>
      <c r="AW159" s="3"/>
      <c r="AX159" s="3"/>
    </row>
    <row r="160" spans="1:50"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c r="AV160" s="3"/>
      <c r="AW160" s="3"/>
      <c r="AX160" s="3"/>
    </row>
    <row r="161" spans="1:50"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c r="AV161" s="3"/>
      <c r="AW161" s="3"/>
      <c r="AX161" s="3"/>
    </row>
    <row r="162" spans="1:50"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c r="AV162" s="3"/>
      <c r="AW162" s="3"/>
      <c r="AX162" s="3"/>
    </row>
    <row r="163" spans="1:50"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c r="AV163" s="3"/>
      <c r="AW163" s="3"/>
      <c r="AX163" s="3"/>
    </row>
    <row r="164" spans="1:50"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c r="AV164" s="3"/>
      <c r="AW164" s="3"/>
      <c r="AX164" s="3"/>
    </row>
    <row r="165" spans="1:50"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c r="AV165" s="3"/>
      <c r="AW165" s="3"/>
      <c r="AX165" s="3"/>
    </row>
    <row r="166" spans="1:50"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c r="AV166" s="3"/>
      <c r="AW166" s="3"/>
      <c r="AX166" s="3"/>
    </row>
    <row r="167" spans="1:50"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c r="AV167" s="3"/>
      <c r="AW167" s="3"/>
      <c r="AX167" s="3"/>
    </row>
    <row r="168" spans="1:50"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c r="AV168" s="3"/>
      <c r="AW168" s="3"/>
      <c r="AX168" s="3"/>
    </row>
    <row r="169" spans="1:50"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c r="AV169" s="3"/>
      <c r="AW169" s="3"/>
      <c r="AX169" s="3"/>
    </row>
    <row r="170" spans="1:50"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c r="AV170" s="3"/>
      <c r="AW170" s="3"/>
      <c r="AX170" s="3"/>
    </row>
    <row r="171" spans="1:50"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c r="AV171" s="3"/>
      <c r="AW171" s="3"/>
      <c r="AX171" s="3"/>
    </row>
    <row r="172" spans="1:50"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c r="AV172" s="3"/>
      <c r="AW172" s="3"/>
      <c r="AX172" s="3"/>
    </row>
    <row r="173" spans="1:50"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c r="AV173" s="3"/>
      <c r="AW173" s="3"/>
      <c r="AX173" s="3"/>
    </row>
    <row r="174" spans="1:50"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c r="AV174" s="3"/>
      <c r="AW174" s="3"/>
      <c r="AX174" s="3"/>
    </row>
    <row r="175" spans="1:50"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c r="AV175" s="3"/>
      <c r="AW175" s="3"/>
      <c r="AX175" s="3"/>
    </row>
    <row r="176" spans="1:50"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c r="AV176" s="3"/>
      <c r="AW176" s="3"/>
      <c r="AX176" s="3"/>
    </row>
    <row r="177" spans="1:50"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c r="AV177" s="3"/>
      <c r="AW177" s="3"/>
      <c r="AX177" s="3"/>
    </row>
    <row r="178" spans="1:50"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c r="AV178" s="3"/>
      <c r="AW178" s="3"/>
      <c r="AX178" s="3"/>
    </row>
    <row r="179" spans="1:50"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c r="AV179" s="3"/>
      <c r="AW179" s="3"/>
      <c r="AX179" s="3"/>
    </row>
    <row r="180" spans="1:50"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c r="AV180" s="3"/>
      <c r="AW180" s="3"/>
      <c r="AX180" s="3"/>
    </row>
    <row r="181" spans="1:50"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c r="AV181" s="3"/>
      <c r="AW181" s="3"/>
      <c r="AX181" s="3"/>
    </row>
    <row r="182" spans="1:50"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c r="AV182" s="3"/>
      <c r="AW182" s="3"/>
      <c r="AX182" s="3"/>
    </row>
    <row r="183" spans="1:50"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c r="AV183" s="3"/>
      <c r="AW183" s="3"/>
      <c r="AX183" s="3"/>
    </row>
    <row r="184" spans="1:50"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c r="AV184" s="3"/>
      <c r="AW184" s="3"/>
      <c r="AX184" s="3"/>
    </row>
    <row r="185" spans="1:50"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c r="AV185" s="3"/>
      <c r="AW185" s="3"/>
      <c r="AX185" s="3"/>
    </row>
    <row r="186" spans="1:50"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c r="AV186" s="3"/>
      <c r="AW186" s="3"/>
      <c r="AX186" s="3"/>
    </row>
    <row r="187" spans="1:50"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c r="AV187" s="3"/>
      <c r="AW187" s="3"/>
      <c r="AX187" s="3"/>
    </row>
    <row r="188" spans="1:50"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c r="AV188" s="3"/>
      <c r="AW188" s="3"/>
      <c r="AX188" s="3"/>
    </row>
    <row r="189" spans="1:50"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c r="AV189" s="3"/>
      <c r="AW189" s="3"/>
      <c r="AX189" s="3"/>
    </row>
    <row r="190" spans="1:50"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c r="AV190" s="3"/>
      <c r="AW190" s="3"/>
      <c r="AX190" s="3"/>
    </row>
    <row r="191" spans="1:50"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c r="AV191" s="3"/>
      <c r="AW191" s="3"/>
      <c r="AX191" s="3"/>
    </row>
    <row r="192" spans="1:50"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c r="AV192" s="3"/>
      <c r="AW192" s="3"/>
      <c r="AX192" s="3"/>
    </row>
    <row r="193" spans="1:50"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c r="AV193" s="3"/>
      <c r="AW193" s="3"/>
      <c r="AX193" s="3"/>
    </row>
    <row r="194" spans="1:50"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c r="AV194" s="3"/>
      <c r="AW194" s="3"/>
      <c r="AX194" s="3"/>
    </row>
    <row r="195" spans="1:50"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c r="AV195" s="3"/>
      <c r="AW195" s="3"/>
      <c r="AX195" s="3"/>
    </row>
    <row r="196" spans="1:50"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c r="AV196" s="3"/>
      <c r="AW196" s="3"/>
      <c r="AX196" s="3"/>
    </row>
    <row r="197" spans="1:50"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c r="AV197" s="3"/>
      <c r="AW197" s="3"/>
      <c r="AX197" s="3"/>
    </row>
    <row r="198" spans="1:50"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c r="AV198" s="3"/>
      <c r="AW198" s="3"/>
      <c r="AX198" s="3"/>
    </row>
    <row r="199" spans="1:50"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c r="AV199" s="3"/>
      <c r="AW199" s="3"/>
      <c r="AX199" s="3"/>
    </row>
    <row r="200" spans="1:50"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c r="AV200" s="3"/>
      <c r="AW200" s="3"/>
      <c r="AX200" s="3"/>
    </row>
    <row r="201" spans="1:50"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c r="AV201" s="3"/>
      <c r="AW201" s="3"/>
      <c r="AX201" s="3"/>
    </row>
    <row r="202" spans="1:50"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c r="AV202" s="3"/>
      <c r="AW202" s="3"/>
      <c r="AX202" s="3"/>
    </row>
    <row r="203" spans="1:50"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c r="AV203" s="3"/>
      <c r="AW203" s="3"/>
      <c r="AX203" s="3"/>
    </row>
    <row r="204" spans="1:50"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c r="AV204" s="3"/>
      <c r="AW204" s="3"/>
      <c r="AX204" s="3"/>
    </row>
    <row r="205" spans="1:50"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c r="AV205" s="3"/>
      <c r="AW205" s="3"/>
      <c r="AX205" s="3"/>
    </row>
    <row r="206" spans="1:50"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c r="AV206" s="3"/>
      <c r="AW206" s="3"/>
      <c r="AX206" s="3"/>
    </row>
    <row r="207" spans="1:50"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c r="AV207" s="3"/>
      <c r="AW207" s="3"/>
      <c r="AX207" s="3"/>
    </row>
    <row r="208" spans="1:50"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c r="AV208" s="3"/>
      <c r="AW208" s="3"/>
      <c r="AX208" s="3"/>
    </row>
    <row r="209" spans="1:50"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c r="AV209" s="3"/>
      <c r="AW209" s="3"/>
      <c r="AX209" s="3"/>
    </row>
    <row r="210" spans="1:50"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c r="AV210" s="3"/>
      <c r="AW210" s="3"/>
      <c r="AX210" s="3"/>
    </row>
    <row r="211" spans="1:50"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c r="AV211" s="3"/>
      <c r="AW211" s="3"/>
      <c r="AX211" s="3"/>
    </row>
    <row r="212" spans="1:50"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c r="AV212" s="3"/>
      <c r="AW212" s="3"/>
      <c r="AX212" s="3"/>
    </row>
    <row r="213" spans="1:50"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c r="AV213" s="3"/>
      <c r="AW213" s="3"/>
      <c r="AX213" s="3"/>
    </row>
    <row r="214" spans="1:50"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c r="AV214" s="3"/>
      <c r="AW214" s="3"/>
      <c r="AX214" s="3"/>
    </row>
    <row r="215" spans="1:50"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c r="AV215" s="3"/>
      <c r="AW215" s="3"/>
      <c r="AX215" s="3"/>
    </row>
    <row r="216" spans="1:50"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c r="AV216" s="3"/>
      <c r="AW216" s="3"/>
      <c r="AX216" s="3"/>
    </row>
    <row r="217" spans="1:50"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c r="AV217" s="3"/>
      <c r="AW217" s="3"/>
      <c r="AX217" s="3"/>
    </row>
    <row r="218" spans="1:50"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c r="AV218" s="3"/>
      <c r="AW218" s="3"/>
      <c r="AX218" s="3"/>
    </row>
    <row r="219" spans="1:50"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c r="AV219" s="3"/>
      <c r="AW219" s="3"/>
      <c r="AX219" s="3"/>
    </row>
    <row r="220" spans="1:50"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c r="AV220" s="3"/>
      <c r="AW220" s="3"/>
      <c r="AX220" s="3"/>
    </row>
    <row r="221" spans="1:50"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c r="AV221" s="3"/>
      <c r="AW221" s="3"/>
      <c r="AX221" s="3"/>
    </row>
    <row r="222" spans="1:50"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c r="AV222" s="3"/>
      <c r="AW222" s="3"/>
      <c r="AX222" s="3"/>
    </row>
    <row r="223" spans="1:50"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c r="AV223" s="3"/>
      <c r="AW223" s="3"/>
      <c r="AX223" s="3"/>
    </row>
    <row r="224" spans="1:50"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c r="AV224" s="3"/>
      <c r="AW224" s="3"/>
      <c r="AX224" s="3"/>
    </row>
    <row r="225" spans="1:50"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c r="AV225" s="3"/>
      <c r="AW225" s="3"/>
      <c r="AX225" s="3"/>
    </row>
    <row r="226" spans="1:50"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c r="AV226" s="3"/>
      <c r="AW226" s="3"/>
      <c r="AX226" s="3"/>
    </row>
    <row r="227" spans="1:50"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c r="AV227" s="3"/>
      <c r="AW227" s="3"/>
      <c r="AX227" s="3"/>
    </row>
    <row r="228" spans="1:50"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c r="AV228" s="3"/>
      <c r="AW228" s="3"/>
      <c r="AX228" s="3"/>
    </row>
    <row r="229" spans="1:50"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c r="AV229" s="3"/>
      <c r="AW229" s="3"/>
      <c r="AX229" s="3"/>
    </row>
    <row r="230" spans="1:50"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c r="AV230" s="3"/>
      <c r="AW230" s="3"/>
      <c r="AX230" s="3"/>
    </row>
    <row r="231" spans="1:50"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c r="AV231" s="3"/>
      <c r="AW231" s="3"/>
      <c r="AX231" s="3"/>
    </row>
    <row r="232" spans="1:50"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c r="AV232" s="3"/>
      <c r="AW232" s="3"/>
      <c r="AX232" s="3"/>
    </row>
    <row r="233" spans="1:50"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c r="AV233" s="3"/>
      <c r="AW233" s="3"/>
      <c r="AX233" s="3"/>
    </row>
    <row r="234" spans="1:50"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c r="AV234" s="3"/>
      <c r="AW234" s="3"/>
      <c r="AX234" s="3"/>
    </row>
    <row r="235" spans="1:50"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c r="AV235" s="3"/>
      <c r="AW235" s="3"/>
      <c r="AX235" s="3"/>
    </row>
    <row r="236" spans="1:50"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c r="AV236" s="3"/>
      <c r="AW236" s="3"/>
      <c r="AX236" s="3"/>
    </row>
    <row r="237" spans="1:50"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c r="AV237" s="3"/>
      <c r="AW237" s="3"/>
      <c r="AX237" s="3"/>
    </row>
    <row r="238" spans="1:50"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c r="AV238" s="3"/>
      <c r="AW238" s="3"/>
      <c r="AX238" s="3"/>
    </row>
    <row r="239" spans="1:50"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c r="AV239" s="3"/>
      <c r="AW239" s="3"/>
      <c r="AX239" s="3"/>
    </row>
    <row r="240" spans="1:50"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c r="AV240" s="3"/>
      <c r="AW240" s="3"/>
      <c r="AX240" s="3"/>
    </row>
    <row r="241" spans="1:50"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c r="AV241" s="3"/>
      <c r="AW241" s="3"/>
      <c r="AX241" s="3"/>
    </row>
    <row r="242" spans="1:50"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c r="AV242" s="3"/>
      <c r="AW242" s="3"/>
      <c r="AX242" s="3"/>
    </row>
    <row r="243" spans="1:50"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c r="AV243" s="3"/>
      <c r="AW243" s="3"/>
      <c r="AX243" s="3"/>
    </row>
    <row r="244" spans="1:50"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c r="AV244" s="3"/>
      <c r="AW244" s="3"/>
      <c r="AX244" s="3"/>
    </row>
    <row r="245" spans="1:50"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c r="AV245" s="3"/>
      <c r="AW245" s="3"/>
      <c r="AX245" s="3"/>
    </row>
    <row r="246" spans="1:50"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c r="AV246" s="3"/>
      <c r="AW246" s="3"/>
      <c r="AX246" s="3"/>
    </row>
    <row r="247" spans="1:50"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c r="AV247" s="3"/>
      <c r="AW247" s="3"/>
      <c r="AX247" s="3"/>
    </row>
    <row r="248" spans="1:50"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c r="AV248" s="3"/>
      <c r="AW248" s="3"/>
      <c r="AX248" s="3"/>
    </row>
    <row r="249" spans="1:50"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c r="AV249" s="3"/>
      <c r="AW249" s="3"/>
      <c r="AX249" s="3"/>
    </row>
    <row r="250" spans="1:50"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c r="AV250" s="3"/>
      <c r="AW250" s="3"/>
      <c r="AX250" s="3"/>
    </row>
    <row r="251" spans="1:50"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c r="AV251" s="3"/>
      <c r="AW251" s="3"/>
      <c r="AX251" s="3"/>
    </row>
    <row r="252" spans="1:50"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c r="AV252" s="3"/>
      <c r="AW252" s="3"/>
      <c r="AX252" s="3"/>
    </row>
    <row r="253" spans="1:50"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c r="AV253" s="3"/>
      <c r="AW253" s="3"/>
      <c r="AX253" s="3"/>
    </row>
    <row r="254" spans="1:50"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c r="AV254" s="3"/>
      <c r="AW254" s="3"/>
      <c r="AX254" s="3"/>
    </row>
    <row r="255" spans="1:50"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c r="AV255" s="3"/>
      <c r="AW255" s="3"/>
      <c r="AX255" s="3"/>
    </row>
    <row r="256" spans="1:50"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c r="AV256" s="3"/>
      <c r="AW256" s="3"/>
      <c r="AX256" s="3"/>
    </row>
    <row r="257" spans="1:50"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c r="AV257" s="3"/>
      <c r="AW257" s="3"/>
      <c r="AX257" s="3"/>
    </row>
    <row r="258" spans="1:50"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c r="AV258" s="3"/>
      <c r="AW258" s="3"/>
      <c r="AX258" s="3"/>
    </row>
    <row r="259" spans="1:50"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c r="AV259" s="3"/>
      <c r="AW259" s="3"/>
      <c r="AX259" s="3"/>
    </row>
    <row r="260" spans="1:50"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c r="AV260" s="3"/>
      <c r="AW260" s="3"/>
      <c r="AX260" s="3"/>
    </row>
    <row r="261" spans="1:50"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c r="AV261" s="3"/>
      <c r="AW261" s="3"/>
      <c r="AX261" s="3"/>
    </row>
    <row r="262" spans="1:50"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c r="AV262" s="3"/>
      <c r="AW262" s="3"/>
      <c r="AX262" s="3"/>
    </row>
    <row r="263" spans="1:50"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c r="AV263" s="3"/>
      <c r="AW263" s="3"/>
      <c r="AX263" s="3"/>
    </row>
    <row r="264" spans="1:50"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c r="AV264" s="3"/>
      <c r="AW264" s="3"/>
      <c r="AX264" s="3"/>
    </row>
    <row r="265" spans="1:50"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c r="AV265" s="3"/>
      <c r="AW265" s="3"/>
      <c r="AX265" s="3"/>
    </row>
    <row r="266" spans="1:50"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c r="AV266" s="3"/>
      <c r="AW266" s="3"/>
      <c r="AX266" s="3"/>
    </row>
    <row r="267" spans="1:50"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c r="AV267" s="3"/>
      <c r="AW267" s="3"/>
      <c r="AX267" s="3"/>
    </row>
    <row r="268" spans="1:50"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c r="AV268" s="3"/>
      <c r="AW268" s="3"/>
      <c r="AX268" s="3"/>
    </row>
    <row r="269" spans="1:50"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c r="AV269" s="3"/>
      <c r="AW269" s="3"/>
      <c r="AX269" s="3"/>
    </row>
    <row r="270" spans="1:50"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c r="AV270" s="3"/>
      <c r="AW270" s="3"/>
      <c r="AX270" s="3"/>
    </row>
    <row r="271" spans="1:50"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c r="AV271" s="3"/>
      <c r="AW271" s="3"/>
      <c r="AX271" s="3"/>
    </row>
    <row r="272" spans="1:50"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c r="AV272" s="3"/>
      <c r="AW272" s="3"/>
      <c r="AX272" s="3"/>
    </row>
    <row r="273" spans="1:50"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c r="AV273" s="3"/>
      <c r="AW273" s="3"/>
      <c r="AX273" s="3"/>
    </row>
    <row r="274" spans="1:50"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c r="AV274" s="3"/>
      <c r="AW274" s="3"/>
      <c r="AX274" s="3"/>
    </row>
    <row r="275" spans="1:50"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c r="AV275" s="3"/>
      <c r="AW275" s="3"/>
      <c r="AX275" s="3"/>
    </row>
    <row r="276" spans="1:50"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c r="AV276" s="3"/>
      <c r="AW276" s="3"/>
      <c r="AX276" s="3"/>
    </row>
    <row r="277" spans="1:50"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c r="AV277" s="3"/>
      <c r="AW277" s="3"/>
      <c r="AX277" s="3"/>
    </row>
    <row r="278" spans="1:50"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c r="AV278" s="3"/>
      <c r="AW278" s="3"/>
      <c r="AX278" s="3"/>
    </row>
    <row r="279" spans="1:50"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c r="AV279" s="3"/>
      <c r="AW279" s="3"/>
      <c r="AX279" s="3"/>
    </row>
    <row r="280" spans="1:50"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c r="AV280" s="3"/>
      <c r="AW280" s="3"/>
      <c r="AX280" s="3"/>
    </row>
    <row r="281" spans="1:50"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c r="AV281" s="3"/>
      <c r="AW281" s="3"/>
      <c r="AX281" s="3"/>
    </row>
    <row r="282" spans="1:50"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c r="AV282" s="3"/>
      <c r="AW282" s="3"/>
      <c r="AX282" s="3"/>
    </row>
    <row r="283" spans="1:50"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B00-000000000000}">
      <formula1>"TOU,non-TOU"</formula1>
    </dataValidation>
    <dataValidation type="list" allowBlank="1" showErrorMessage="1" sqref="E15:E28 E30:E38 E40:E41 E43:E51 E57 E63" xr:uid="{00000000-0002-0000-1B00-000001000000}">
      <formula1>#REF!</formula1>
    </dataValidation>
    <dataValidation type="list" allowBlank="1" showInputMessage="1" showErrorMessage="1" prompt="Select Charge Unit - monthly, per kWh, per kW" sqref="D15:D28 D30:D38 D40:D41 D43:D51 D57 D63" xr:uid="{00000000-0002-0000-1B00-000002000000}">
      <formula1>"Monthly,per kWh,per kW"</formula1>
    </dataValidation>
  </dataValidations>
  <pageMargins left="0.74803149606299213" right="0.74803149606299213" top="0.98425196850393704" bottom="0.98425196850393704"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9.42578125"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2.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3.28515625" customWidth="1"/>
    <col min="45" max="46" width="12.42578125" customWidth="1"/>
  </cols>
  <sheetData>
    <row r="1" spans="1:46" ht="7.5" customHeight="1">
      <c r="A1" s="52"/>
      <c r="B1" s="52"/>
      <c r="C1" s="52"/>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6" ht="18.75" customHeight="1">
      <c r="A2" s="52"/>
      <c r="B2" s="52"/>
      <c r="C2" s="378"/>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6" ht="18.75"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7.5"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6" ht="7.5"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6" ht="12.75" customHeight="1">
      <c r="A6" s="52"/>
      <c r="B6" s="320" t="s">
        <v>298</v>
      </c>
      <c r="C6" s="52"/>
      <c r="D6" s="504" t="s">
        <v>224</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7.5"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2.75" customHeight="1">
      <c r="A8" s="52"/>
      <c r="B8" s="320" t="s">
        <v>299</v>
      </c>
      <c r="C8" s="52"/>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75" customHeight="1">
      <c r="A9" s="52"/>
      <c r="B9" s="382"/>
      <c r="C9" s="52"/>
      <c r="D9" s="307" t="s">
        <v>301</v>
      </c>
      <c r="E9" s="307"/>
      <c r="F9" s="385">
        <v>255500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75" customHeight="1">
      <c r="A10" s="52"/>
      <c r="B10" s="52"/>
      <c r="C10" s="52"/>
      <c r="D10" s="52"/>
      <c r="E10" s="52"/>
      <c r="F10" s="385">
        <v>500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75" customHeight="1">
      <c r="A11" s="52"/>
      <c r="B11" s="52"/>
      <c r="C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6" ht="12.75"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6" ht="12.75" customHeight="1">
      <c r="A13" s="52"/>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6" ht="12.75"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6" ht="12.75" customHeight="1">
      <c r="A15" s="52"/>
      <c r="B15" s="321" t="s">
        <v>221</v>
      </c>
      <c r="C15" s="394" t="str">
        <f t="shared" ref="C15:C28" si="0">D$6&amp;"."&amp;B15</f>
        <v>General Service 50 to 1,499 KW.Monthly Service Charge</v>
      </c>
      <c r="D15" s="395" t="s">
        <v>310</v>
      </c>
      <c r="E15" s="321"/>
      <c r="F15" s="396">
        <f>VLOOKUP($C15,'Proposed Rates'!$B:$J,F$11,FALSE)</f>
        <v>200</v>
      </c>
      <c r="G15" s="414">
        <f t="shared" ref="G15:G28" si="1">IF($D15="Monthly",1,IF($D15="per KW",$F$10,IF($D15="per kWh",$F$9,0)))</f>
        <v>1</v>
      </c>
      <c r="H15" s="399">
        <f t="shared" ref="H15:H28" si="2">G15*F15</f>
        <v>200</v>
      </c>
      <c r="I15" s="132"/>
      <c r="J15" s="396">
        <f>VLOOKUP($C15,'Proposed Rates'!$B:$J,J$11,FALSE)</f>
        <v>200</v>
      </c>
      <c r="K15" s="414">
        <f t="shared" ref="K15:K28" si="3">IF($D15="Monthly",1,IF($D15="per KW",$F$10,IF($D15="per kWh",$F$9,0)))</f>
        <v>1</v>
      </c>
      <c r="L15" s="399">
        <f t="shared" ref="L15:L28" si="4">K15*J15</f>
        <v>200</v>
      </c>
      <c r="M15" s="132"/>
      <c r="N15" s="400">
        <f t="shared" ref="N15:N46" si="5">L15-H15</f>
        <v>0</v>
      </c>
      <c r="O15" s="401">
        <f t="shared" ref="O15:O46" si="6">IF((H15)=0,"",(N15/H15))</f>
        <v>0</v>
      </c>
      <c r="P15" s="52"/>
      <c r="Q15" s="396">
        <f>VLOOKUP($C15,'Proposed Rates'!$B:$J,Q$11,FALSE)</f>
        <v>200</v>
      </c>
      <c r="R15" s="414">
        <f t="shared" ref="R15:R28" si="7">IF($D15="Monthly",1,IF($D15="per KW",$F$10,IF($D15="per kWh",$F$9,0)))</f>
        <v>1</v>
      </c>
      <c r="S15" s="399">
        <f t="shared" ref="S15:S28" si="8">R15*Q15</f>
        <v>200</v>
      </c>
      <c r="T15" s="132"/>
      <c r="U15" s="400">
        <f t="shared" ref="U15:U46" si="9">S15-L15</f>
        <v>0</v>
      </c>
      <c r="V15" s="401">
        <f t="shared" ref="V15:V46" si="10">IF((L15)=0,"",(U15/L15))</f>
        <v>0</v>
      </c>
      <c r="W15" s="52"/>
      <c r="X15" s="396">
        <f>VLOOKUP($C15,'Proposed Rates'!$B:$J,X$11,FALSE)</f>
        <v>200</v>
      </c>
      <c r="Y15" s="414">
        <f t="shared" ref="Y15:Y28" si="11">IF($D15="Monthly",1,IF($D15="per KW",$F$10,IF($D15="per kWh",$F$9,0)))</f>
        <v>1</v>
      </c>
      <c r="Z15" s="399">
        <f t="shared" ref="Z15:Z28" si="12">Y15*X15</f>
        <v>200</v>
      </c>
      <c r="AA15" s="132"/>
      <c r="AB15" s="400">
        <f t="shared" ref="AB15:AB46" si="13">Z15-S15</f>
        <v>0</v>
      </c>
      <c r="AC15" s="401">
        <f t="shared" ref="AC15:AC46" si="14">IF((S15)=0,"",(AB15/S15))</f>
        <v>0</v>
      </c>
      <c r="AD15" s="52"/>
      <c r="AE15" s="396">
        <f>VLOOKUP($C15,'Proposed Rates'!$B:$J,AE$11,FALSE)</f>
        <v>200</v>
      </c>
      <c r="AF15" s="414">
        <f t="shared" ref="AF15:AF28" si="15">IF($D15="Monthly",1,IF($D15="per KW",$F$10,IF($D15="per kWh",$F$9,0)))</f>
        <v>1</v>
      </c>
      <c r="AG15" s="399">
        <f t="shared" ref="AG15:AG28" si="16">AF15*AE15</f>
        <v>200</v>
      </c>
      <c r="AH15" s="132"/>
      <c r="AI15" s="400">
        <f t="shared" ref="AI15:AI46" si="17">AG15-Z15</f>
        <v>0</v>
      </c>
      <c r="AJ15" s="401">
        <f t="shared" ref="AJ15:AJ46" si="18">IF((Z15)=0,"",(AI15/Z15))</f>
        <v>0</v>
      </c>
      <c r="AK15" s="52"/>
      <c r="AL15" s="396">
        <f>VLOOKUP($C15,'Proposed Rates'!$B:$J,AL$11,FALSE)</f>
        <v>200</v>
      </c>
      <c r="AM15" s="414">
        <f t="shared" ref="AM15:AM28" si="19">IF($D15="Monthly",1,IF($D15="per KW",$F$10,IF($D15="per kWh",$F$9,0)))</f>
        <v>1</v>
      </c>
      <c r="AN15" s="399">
        <f t="shared" ref="AN15:AN28" si="20">AM15*AL15</f>
        <v>200</v>
      </c>
      <c r="AO15" s="132"/>
      <c r="AP15" s="400">
        <f t="shared" ref="AP15:AP46" si="21">AN15-AG15</f>
        <v>0</v>
      </c>
      <c r="AQ15" s="401">
        <f t="shared" ref="AQ15:AQ46" si="22">IF((AG15)=0,"",(AP15/AG15))</f>
        <v>0</v>
      </c>
      <c r="AR15" s="402"/>
    </row>
    <row r="16" spans="1:46" ht="12.75" customHeight="1">
      <c r="A16" s="52"/>
      <c r="B16" s="321" t="s">
        <v>311</v>
      </c>
      <c r="C16" s="394" t="str">
        <f t="shared" si="0"/>
        <v>General Service 50 to 1,499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General Service 50 to 1,499 KW.Rate Rider Calculation for PILs</v>
      </c>
      <c r="D17" s="395" t="s">
        <v>381</v>
      </c>
      <c r="E17" s="321"/>
      <c r="F17" s="396">
        <f>IFERROR(VLOOKUP($C17,'Proposed Rates'!$B:$J,F$11,FALSE),0)</f>
        <v>0</v>
      </c>
      <c r="G17" s="414">
        <f t="shared" si="1"/>
        <v>500</v>
      </c>
      <c r="H17" s="399">
        <f t="shared" si="2"/>
        <v>0</v>
      </c>
      <c r="I17" s="132"/>
      <c r="J17" s="396">
        <f>IFERROR(VLOOKUP($C17,'Proposed Rates'!$B:$J,J$11,FALSE),0)</f>
        <v>0</v>
      </c>
      <c r="K17" s="414">
        <f t="shared" si="3"/>
        <v>500</v>
      </c>
      <c r="L17" s="399">
        <f t="shared" si="4"/>
        <v>0</v>
      </c>
      <c r="M17" s="132"/>
      <c r="N17" s="400">
        <f t="shared" si="5"/>
        <v>0</v>
      </c>
      <c r="O17" s="401" t="str">
        <f t="shared" si="6"/>
        <v/>
      </c>
      <c r="P17" s="52"/>
      <c r="Q17" s="396">
        <f>IFERROR(VLOOKUP($C17,'Proposed Rates'!$B:$J,Q$11,FALSE),0)</f>
        <v>0</v>
      </c>
      <c r="R17" s="414">
        <f t="shared" si="7"/>
        <v>500</v>
      </c>
      <c r="S17" s="399">
        <f t="shared" si="8"/>
        <v>0</v>
      </c>
      <c r="T17" s="132"/>
      <c r="U17" s="400">
        <f t="shared" si="9"/>
        <v>0</v>
      </c>
      <c r="V17" s="401" t="str">
        <f t="shared" si="10"/>
        <v/>
      </c>
      <c r="W17" s="52"/>
      <c r="X17" s="396">
        <f>IFERROR(VLOOKUP($C17,'Proposed Rates'!$B:$J,X$11,FALSE),0)</f>
        <v>0</v>
      </c>
      <c r="Y17" s="414">
        <f t="shared" si="11"/>
        <v>500</v>
      </c>
      <c r="Z17" s="399">
        <f t="shared" si="12"/>
        <v>0</v>
      </c>
      <c r="AA17" s="132"/>
      <c r="AB17" s="400">
        <f t="shared" si="13"/>
        <v>0</v>
      </c>
      <c r="AC17" s="401" t="str">
        <f t="shared" si="14"/>
        <v/>
      </c>
      <c r="AD17" s="52"/>
      <c r="AE17" s="396">
        <f>IFERROR(VLOOKUP($C17,'Proposed Rates'!$B:$J,AE$11,FALSE),0)</f>
        <v>0</v>
      </c>
      <c r="AF17" s="414">
        <f t="shared" si="15"/>
        <v>500</v>
      </c>
      <c r="AG17" s="399">
        <f t="shared" si="16"/>
        <v>0</v>
      </c>
      <c r="AH17" s="132"/>
      <c r="AI17" s="400">
        <f t="shared" si="17"/>
        <v>0</v>
      </c>
      <c r="AJ17" s="401" t="str">
        <f t="shared" si="18"/>
        <v/>
      </c>
      <c r="AK17" s="52"/>
      <c r="AL17" s="396">
        <f>IFERROR(VLOOKUP($C17,'Proposed Rates'!$B:$J,AL$11,FALSE),0)</f>
        <v>0</v>
      </c>
      <c r="AM17" s="414">
        <f t="shared" si="19"/>
        <v>500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General Service 50 to 1,499 KW.Rate Rider Calculation for Generic</v>
      </c>
      <c r="D18" s="395" t="s">
        <v>381</v>
      </c>
      <c r="E18" s="321"/>
      <c r="F18" s="396">
        <f>IFERROR(VLOOKUP($C18,'Proposed Rates'!$B:$J,F$11,FALSE),0)</f>
        <v>0</v>
      </c>
      <c r="G18" s="414">
        <f t="shared" si="1"/>
        <v>500</v>
      </c>
      <c r="H18" s="399">
        <f t="shared" si="2"/>
        <v>0</v>
      </c>
      <c r="I18" s="132"/>
      <c r="J18" s="396">
        <f>IFERROR(VLOOKUP($C18,'Proposed Rates'!$B:$J,J$11,FALSE),0)</f>
        <v>0</v>
      </c>
      <c r="K18" s="414">
        <f t="shared" si="3"/>
        <v>500</v>
      </c>
      <c r="L18" s="399">
        <f t="shared" si="4"/>
        <v>0</v>
      </c>
      <c r="M18" s="132"/>
      <c r="N18" s="400">
        <f t="shared" si="5"/>
        <v>0</v>
      </c>
      <c r="O18" s="401" t="str">
        <f t="shared" si="6"/>
        <v/>
      </c>
      <c r="P18" s="52"/>
      <c r="Q18" s="396">
        <f>IFERROR(VLOOKUP($C18,'Proposed Rates'!$B:$J,Q$11,FALSE),0)</f>
        <v>0</v>
      </c>
      <c r="R18" s="414">
        <f t="shared" si="7"/>
        <v>500</v>
      </c>
      <c r="S18" s="399">
        <f t="shared" si="8"/>
        <v>0</v>
      </c>
      <c r="T18" s="132"/>
      <c r="U18" s="400">
        <f t="shared" si="9"/>
        <v>0</v>
      </c>
      <c r="V18" s="401" t="str">
        <f t="shared" si="10"/>
        <v/>
      </c>
      <c r="W18" s="52"/>
      <c r="X18" s="396">
        <f>IFERROR(VLOOKUP($C18,'Proposed Rates'!$B:$J,X$11,FALSE),0)</f>
        <v>0</v>
      </c>
      <c r="Y18" s="414">
        <f t="shared" si="11"/>
        <v>500</v>
      </c>
      <c r="Z18" s="399">
        <f t="shared" si="12"/>
        <v>0</v>
      </c>
      <c r="AA18" s="132"/>
      <c r="AB18" s="400">
        <f t="shared" si="13"/>
        <v>0</v>
      </c>
      <c r="AC18" s="401" t="str">
        <f t="shared" si="14"/>
        <v/>
      </c>
      <c r="AD18" s="52"/>
      <c r="AE18" s="396">
        <f>IFERROR(VLOOKUP($C18,'Proposed Rates'!$B:$J,AE$11,FALSE),0)</f>
        <v>0</v>
      </c>
      <c r="AF18" s="414">
        <f t="shared" si="15"/>
        <v>500</v>
      </c>
      <c r="AG18" s="399">
        <f t="shared" si="16"/>
        <v>0</v>
      </c>
      <c r="AH18" s="132"/>
      <c r="AI18" s="400">
        <f t="shared" si="17"/>
        <v>0</v>
      </c>
      <c r="AJ18" s="401" t="str">
        <f t="shared" si="18"/>
        <v/>
      </c>
      <c r="AK18" s="52"/>
      <c r="AL18" s="396">
        <f>IFERROR(VLOOKUP($C18,'Proposed Rates'!$B:$J,AL$11,FALSE),0)</f>
        <v>0</v>
      </c>
      <c r="AM18" s="414">
        <f t="shared" si="19"/>
        <v>500</v>
      </c>
      <c r="AN18" s="399">
        <f t="shared" si="20"/>
        <v>0</v>
      </c>
      <c r="AO18" s="132"/>
      <c r="AP18" s="400">
        <f t="shared" si="21"/>
        <v>0</v>
      </c>
      <c r="AQ18" s="401" t="str">
        <f t="shared" si="22"/>
        <v/>
      </c>
      <c r="AR18" s="402"/>
    </row>
    <row r="19" spans="1:44" ht="12.75" customHeight="1">
      <c r="A19" s="52"/>
      <c r="B19" s="321" t="s">
        <v>59</v>
      </c>
      <c r="C19" s="394" t="str">
        <f t="shared" si="0"/>
        <v>General Service 50 to 1,499 KW.Distribution Volumetric Rate</v>
      </c>
      <c r="D19" s="395" t="s">
        <v>381</v>
      </c>
      <c r="E19" s="321"/>
      <c r="F19" s="413">
        <f>IFERROR(VLOOKUP($C19,'Proposed Rates'!$B:$J,F$11,FALSE),0)</f>
        <v>6.5552999999999999</v>
      </c>
      <c r="G19" s="414">
        <f t="shared" si="1"/>
        <v>500</v>
      </c>
      <c r="H19" s="399">
        <f t="shared" si="2"/>
        <v>3277.65</v>
      </c>
      <c r="I19" s="132"/>
      <c r="J19" s="413">
        <f>IFERROR(VLOOKUP($C19,'Proposed Rates'!$B:$J,J$11,FALSE),0)</f>
        <v>7.9935999999999998</v>
      </c>
      <c r="K19" s="414">
        <f t="shared" si="3"/>
        <v>500</v>
      </c>
      <c r="L19" s="399">
        <f t="shared" si="4"/>
        <v>3996.7999999999997</v>
      </c>
      <c r="M19" s="132"/>
      <c r="N19" s="400">
        <f t="shared" si="5"/>
        <v>719.14999999999964</v>
      </c>
      <c r="O19" s="401">
        <f t="shared" si="6"/>
        <v>0.21941024819611601</v>
      </c>
      <c r="P19" s="52"/>
      <c r="Q19" s="413">
        <f>IFERROR(VLOOKUP($C19,'Proposed Rates'!$B:$J,Q$11,FALSE),0)</f>
        <v>8.4202999999999992</v>
      </c>
      <c r="R19" s="414">
        <f t="shared" si="7"/>
        <v>500</v>
      </c>
      <c r="S19" s="399">
        <f t="shared" si="8"/>
        <v>4210.1499999999996</v>
      </c>
      <c r="T19" s="132"/>
      <c r="U19" s="400">
        <f t="shared" si="9"/>
        <v>213.34999999999991</v>
      </c>
      <c r="V19" s="401">
        <f t="shared" si="10"/>
        <v>5.3380204163330648E-2</v>
      </c>
      <c r="W19" s="52"/>
      <c r="X19" s="413">
        <f>IFERROR(VLOOKUP($C19,'Proposed Rates'!$B:$J,X$11,FALSE),0)</f>
        <v>9.0498999999999992</v>
      </c>
      <c r="Y19" s="414">
        <f t="shared" si="11"/>
        <v>500</v>
      </c>
      <c r="Z19" s="399">
        <f t="shared" si="12"/>
        <v>4524.95</v>
      </c>
      <c r="AA19" s="132"/>
      <c r="AB19" s="400">
        <f t="shared" si="13"/>
        <v>314.80000000000018</v>
      </c>
      <c r="AC19" s="401">
        <f t="shared" si="14"/>
        <v>7.4771682719143071E-2</v>
      </c>
      <c r="AD19" s="52"/>
      <c r="AE19" s="413">
        <f>IFERROR(VLOOKUP($C19,'Proposed Rates'!$B:$J,AE$11,FALSE),0)</f>
        <v>9.3849</v>
      </c>
      <c r="AF19" s="414">
        <f t="shared" si="15"/>
        <v>500</v>
      </c>
      <c r="AG19" s="399">
        <f t="shared" si="16"/>
        <v>4692.45</v>
      </c>
      <c r="AH19" s="132"/>
      <c r="AI19" s="400">
        <f t="shared" si="17"/>
        <v>167.5</v>
      </c>
      <c r="AJ19" s="401">
        <f t="shared" si="18"/>
        <v>3.7016983613078598E-2</v>
      </c>
      <c r="AK19" s="52"/>
      <c r="AL19" s="413">
        <f>IFERROR(VLOOKUP($C19,'Proposed Rates'!$B:$J,AL$11,FALSE),0)</f>
        <v>9.6918000000000006</v>
      </c>
      <c r="AM19" s="414">
        <f t="shared" si="19"/>
        <v>500</v>
      </c>
      <c r="AN19" s="399">
        <f t="shared" si="20"/>
        <v>4845.9000000000005</v>
      </c>
      <c r="AO19" s="132"/>
      <c r="AP19" s="400">
        <f t="shared" si="21"/>
        <v>153.45000000000073</v>
      </c>
      <c r="AQ19" s="401">
        <f t="shared" si="22"/>
        <v>3.2701467250583538E-2</v>
      </c>
      <c r="AR19" s="402"/>
    </row>
    <row r="20" spans="1:44" ht="12.75" customHeight="1">
      <c r="A20" s="52"/>
      <c r="B20" s="321" t="s">
        <v>313</v>
      </c>
      <c r="C20" s="394" t="str">
        <f t="shared" si="0"/>
        <v>General Service 50 to 1,499 KW.Smart Meter Disposition Rider</v>
      </c>
      <c r="D20" s="395" t="s">
        <v>312</v>
      </c>
      <c r="E20" s="321"/>
      <c r="F20" s="396">
        <f>IFERROR(VLOOKUP($C20,'Proposed Rates'!$B:$J,F$11,FALSE),0)</f>
        <v>0</v>
      </c>
      <c r="G20" s="414">
        <f t="shared" si="1"/>
        <v>255500</v>
      </c>
      <c r="H20" s="399">
        <f t="shared" si="2"/>
        <v>0</v>
      </c>
      <c r="I20" s="132"/>
      <c r="J20" s="396">
        <f>IFERROR(VLOOKUP($C20,'Proposed Rates'!$B:$J,J$11,FALSE),0)</f>
        <v>0</v>
      </c>
      <c r="K20" s="414">
        <f t="shared" si="3"/>
        <v>255500</v>
      </c>
      <c r="L20" s="399">
        <f t="shared" si="4"/>
        <v>0</v>
      </c>
      <c r="M20" s="132"/>
      <c r="N20" s="400">
        <f t="shared" si="5"/>
        <v>0</v>
      </c>
      <c r="O20" s="401" t="str">
        <f t="shared" si="6"/>
        <v/>
      </c>
      <c r="P20" s="52"/>
      <c r="Q20" s="396">
        <f>IFERROR(VLOOKUP($C20,'Proposed Rates'!$B:$J,Q$11,FALSE),0)</f>
        <v>0</v>
      </c>
      <c r="R20" s="414">
        <f t="shared" si="7"/>
        <v>255500</v>
      </c>
      <c r="S20" s="399">
        <f t="shared" si="8"/>
        <v>0</v>
      </c>
      <c r="T20" s="132"/>
      <c r="U20" s="400">
        <f t="shared" si="9"/>
        <v>0</v>
      </c>
      <c r="V20" s="401" t="str">
        <f t="shared" si="10"/>
        <v/>
      </c>
      <c r="W20" s="52"/>
      <c r="X20" s="396">
        <f>IFERROR(VLOOKUP($C20,'Proposed Rates'!$B:$J,X$11,FALSE),0)</f>
        <v>0</v>
      </c>
      <c r="Y20" s="414">
        <f t="shared" si="11"/>
        <v>255500</v>
      </c>
      <c r="Z20" s="399">
        <f t="shared" si="12"/>
        <v>0</v>
      </c>
      <c r="AA20" s="132"/>
      <c r="AB20" s="400">
        <f t="shared" si="13"/>
        <v>0</v>
      </c>
      <c r="AC20" s="401" t="str">
        <f t="shared" si="14"/>
        <v/>
      </c>
      <c r="AD20" s="52"/>
      <c r="AE20" s="396">
        <f>IFERROR(VLOOKUP($C20,'Proposed Rates'!$B:$J,AE$11,FALSE),0)</f>
        <v>0</v>
      </c>
      <c r="AF20" s="414">
        <f t="shared" si="15"/>
        <v>255500</v>
      </c>
      <c r="AG20" s="399">
        <f t="shared" si="16"/>
        <v>0</v>
      </c>
      <c r="AH20" s="132"/>
      <c r="AI20" s="400">
        <f t="shared" si="17"/>
        <v>0</v>
      </c>
      <c r="AJ20" s="401" t="str">
        <f t="shared" si="18"/>
        <v/>
      </c>
      <c r="AK20" s="52"/>
      <c r="AL20" s="396">
        <f>IFERROR(VLOOKUP($C20,'Proposed Rates'!$B:$J,AL$11,FALSE),0)</f>
        <v>0</v>
      </c>
      <c r="AM20" s="414">
        <f t="shared" si="19"/>
        <v>255500</v>
      </c>
      <c r="AN20" s="399">
        <f t="shared" si="20"/>
        <v>0</v>
      </c>
      <c r="AO20" s="132"/>
      <c r="AP20" s="400">
        <f t="shared" si="21"/>
        <v>0</v>
      </c>
      <c r="AQ20" s="401" t="str">
        <f t="shared" si="22"/>
        <v/>
      </c>
      <c r="AR20" s="402"/>
    </row>
    <row r="21" spans="1:44" ht="12.75" customHeight="1">
      <c r="A21" s="52"/>
      <c r="B21" s="321" t="s">
        <v>244</v>
      </c>
      <c r="C21" s="394" t="str">
        <f t="shared" si="0"/>
        <v>General Service 50 to 1,499 KW.LRAM Rate Rider</v>
      </c>
      <c r="D21" s="395" t="s">
        <v>381</v>
      </c>
      <c r="E21" s="321"/>
      <c r="F21" s="413">
        <f>'Proposed Rates'!E79+'Proposed Rates'!E92</f>
        <v>-0.2477</v>
      </c>
      <c r="G21" s="414">
        <f t="shared" si="1"/>
        <v>500</v>
      </c>
      <c r="H21" s="399">
        <f t="shared" si="2"/>
        <v>-123.85000000000001</v>
      </c>
      <c r="I21" s="132"/>
      <c r="J21" s="413">
        <f>'Proposed Rates'!F79+'Proposed Rates'!F92</f>
        <v>0</v>
      </c>
      <c r="K21" s="414">
        <f t="shared" si="3"/>
        <v>500</v>
      </c>
      <c r="L21" s="399">
        <f t="shared" si="4"/>
        <v>0</v>
      </c>
      <c r="M21" s="132"/>
      <c r="N21" s="400">
        <f t="shared" si="5"/>
        <v>123.85000000000001</v>
      </c>
      <c r="O21" s="401">
        <f t="shared" si="6"/>
        <v>-1</v>
      </c>
      <c r="P21" s="52"/>
      <c r="Q21" s="413">
        <f>'Proposed Rates'!G79+'Proposed Rates'!G92</f>
        <v>2.7900000000000001E-2</v>
      </c>
      <c r="R21" s="414">
        <f t="shared" si="7"/>
        <v>500</v>
      </c>
      <c r="S21" s="399">
        <f t="shared" si="8"/>
        <v>13.950000000000001</v>
      </c>
      <c r="T21" s="132"/>
      <c r="U21" s="400">
        <f t="shared" si="9"/>
        <v>13.950000000000001</v>
      </c>
      <c r="V21" s="401" t="str">
        <f t="shared" si="10"/>
        <v/>
      </c>
      <c r="W21" s="52"/>
      <c r="X21" s="413">
        <f>IFERROR(VLOOKUP($C21,'Proposed Rates'!$B:$J,X$11,FALSE),0)</f>
        <v>0</v>
      </c>
      <c r="Y21" s="414">
        <f t="shared" si="11"/>
        <v>500</v>
      </c>
      <c r="Z21" s="399">
        <f t="shared" si="12"/>
        <v>0</v>
      </c>
      <c r="AA21" s="132"/>
      <c r="AB21" s="400">
        <f t="shared" si="13"/>
        <v>-13.950000000000001</v>
      </c>
      <c r="AC21" s="401">
        <f t="shared" si="14"/>
        <v>-1</v>
      </c>
      <c r="AD21" s="52"/>
      <c r="AE21" s="413">
        <f>IFERROR(VLOOKUP($C21,'Proposed Rates'!$B:$J,AE$11,FALSE),0)</f>
        <v>0</v>
      </c>
      <c r="AF21" s="414">
        <f t="shared" si="15"/>
        <v>500</v>
      </c>
      <c r="AG21" s="399">
        <f t="shared" si="16"/>
        <v>0</v>
      </c>
      <c r="AH21" s="132"/>
      <c r="AI21" s="400">
        <f t="shared" si="17"/>
        <v>0</v>
      </c>
      <c r="AJ21" s="401" t="str">
        <f t="shared" si="18"/>
        <v/>
      </c>
      <c r="AK21" s="52"/>
      <c r="AL21" s="413">
        <f>IFERROR(VLOOKUP($C21,'Proposed Rates'!$B:$J,AL$11,FALSE),0)</f>
        <v>0</v>
      </c>
      <c r="AM21" s="414">
        <f t="shared" si="19"/>
        <v>500</v>
      </c>
      <c r="AN21" s="399">
        <f t="shared" si="20"/>
        <v>0</v>
      </c>
      <c r="AO21" s="132"/>
      <c r="AP21" s="400">
        <f t="shared" si="21"/>
        <v>0</v>
      </c>
      <c r="AQ21" s="401" t="str">
        <f t="shared" si="22"/>
        <v/>
      </c>
      <c r="AR21" s="402"/>
    </row>
    <row r="22" spans="1:44" ht="12.75" customHeight="1">
      <c r="A22" s="52"/>
      <c r="B22" s="483" t="s">
        <v>240</v>
      </c>
      <c r="C22" s="394" t="str">
        <f t="shared" si="0"/>
        <v>General Service 50 to 1,499 KW.Deferral/Variance Account Disposition Rate Rider Group 2</v>
      </c>
      <c r="D22" s="395" t="s">
        <v>381</v>
      </c>
      <c r="E22" s="321"/>
      <c r="F22" s="396">
        <f>IFERROR(VLOOKUP($C22,'Proposed Rates'!$B:$J,F$11,FALSE),0)</f>
        <v>0</v>
      </c>
      <c r="G22" s="414">
        <f t="shared" si="1"/>
        <v>500</v>
      </c>
      <c r="H22" s="399">
        <f t="shared" si="2"/>
        <v>0</v>
      </c>
      <c r="I22" s="132"/>
      <c r="J22" s="396">
        <f>IFERROR(VLOOKUP($C22,'Proposed Rates'!$B:$J,J$11,FALSE),0)</f>
        <v>-0.15229999999999999</v>
      </c>
      <c r="K22" s="414">
        <f t="shared" si="3"/>
        <v>500</v>
      </c>
      <c r="L22" s="399">
        <f t="shared" si="4"/>
        <v>-76.149999999999991</v>
      </c>
      <c r="M22" s="132"/>
      <c r="N22" s="400">
        <f t="shared" si="5"/>
        <v>-76.149999999999991</v>
      </c>
      <c r="O22" s="401" t="str">
        <f t="shared" si="6"/>
        <v/>
      </c>
      <c r="P22" s="52"/>
      <c r="Q22" s="396">
        <f>IFERROR(VLOOKUP($C22,'Proposed Rates'!$B:$J,Q$11,FALSE),0)</f>
        <v>0</v>
      </c>
      <c r="R22" s="414">
        <f t="shared" si="7"/>
        <v>500</v>
      </c>
      <c r="S22" s="399">
        <f t="shared" si="8"/>
        <v>0</v>
      </c>
      <c r="T22" s="132"/>
      <c r="U22" s="400">
        <f t="shared" si="9"/>
        <v>76.149999999999991</v>
      </c>
      <c r="V22" s="401">
        <f t="shared" si="10"/>
        <v>-1</v>
      </c>
      <c r="W22" s="52"/>
      <c r="X22" s="396">
        <f>IFERROR(VLOOKUP($C22,'Proposed Rates'!$B:$J,X$11,FALSE),0)</f>
        <v>0</v>
      </c>
      <c r="Y22" s="414">
        <f t="shared" si="11"/>
        <v>500</v>
      </c>
      <c r="Z22" s="399">
        <f t="shared" si="12"/>
        <v>0</v>
      </c>
      <c r="AA22" s="132"/>
      <c r="AB22" s="400">
        <f t="shared" si="13"/>
        <v>0</v>
      </c>
      <c r="AC22" s="401" t="str">
        <f t="shared" si="14"/>
        <v/>
      </c>
      <c r="AD22" s="52"/>
      <c r="AE22" s="396">
        <f>IFERROR(VLOOKUP($C22,'Proposed Rates'!$B:$J,AE$11,FALSE),0)</f>
        <v>0</v>
      </c>
      <c r="AF22" s="414">
        <f t="shared" si="15"/>
        <v>500</v>
      </c>
      <c r="AG22" s="399">
        <f t="shared" si="16"/>
        <v>0</v>
      </c>
      <c r="AH22" s="132"/>
      <c r="AI22" s="400">
        <f t="shared" si="17"/>
        <v>0</v>
      </c>
      <c r="AJ22" s="401" t="str">
        <f t="shared" si="18"/>
        <v/>
      </c>
      <c r="AK22" s="52"/>
      <c r="AL22" s="396">
        <f>IFERROR(VLOOKUP($C22,'Proposed Rates'!$B:$J,AL$11,FALSE),0)</f>
        <v>0</v>
      </c>
      <c r="AM22" s="414">
        <f t="shared" si="19"/>
        <v>500</v>
      </c>
      <c r="AN22" s="399">
        <f t="shared" si="20"/>
        <v>0</v>
      </c>
      <c r="AO22" s="132"/>
      <c r="AP22" s="400">
        <f t="shared" si="21"/>
        <v>0</v>
      </c>
      <c r="AQ22" s="401" t="str">
        <f t="shared" si="22"/>
        <v/>
      </c>
      <c r="AR22" s="402"/>
    </row>
    <row r="23" spans="1:44" ht="12.75" customHeight="1">
      <c r="A23" s="52"/>
      <c r="B23" s="403"/>
      <c r="C23" s="394" t="str">
        <f t="shared" si="0"/>
        <v>General Service 50 to 1,499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75" customHeight="1">
      <c r="A24" s="52"/>
      <c r="B24" s="403"/>
      <c r="C24" s="394" t="str">
        <f t="shared" si="0"/>
        <v>General Service 50 to 1,499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75" customHeight="1">
      <c r="A25" s="52"/>
      <c r="B25" s="403"/>
      <c r="C25" s="394" t="str">
        <f t="shared" si="0"/>
        <v>General Service 50 to 1,499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75" customHeight="1">
      <c r="A26" s="52"/>
      <c r="B26" s="483"/>
      <c r="C26" s="394" t="str">
        <f t="shared" si="0"/>
        <v>General Service 50 to 1,499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75" customHeight="1">
      <c r="A27" s="52"/>
      <c r="B27" s="403"/>
      <c r="C27" s="394" t="str">
        <f t="shared" si="0"/>
        <v>General Service 50 to 1,499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75" customHeight="1">
      <c r="A28" s="52"/>
      <c r="B28" s="403"/>
      <c r="C28" s="394" t="str">
        <f t="shared" si="0"/>
        <v>General Service 50 to 1,499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75" customHeight="1">
      <c r="A29" s="307"/>
      <c r="B29" s="404" t="s">
        <v>314</v>
      </c>
      <c r="C29" s="405"/>
      <c r="D29" s="405"/>
      <c r="E29" s="405"/>
      <c r="F29" s="406"/>
      <c r="G29" s="499"/>
      <c r="H29" s="408">
        <f>SUM(H15:H28)</f>
        <v>3353.8</v>
      </c>
      <c r="I29" s="409"/>
      <c r="J29" s="406"/>
      <c r="K29" s="499"/>
      <c r="L29" s="408">
        <f>SUM(L15:L28)</f>
        <v>4120.6499999999996</v>
      </c>
      <c r="M29" s="409"/>
      <c r="N29" s="410">
        <f t="shared" si="5"/>
        <v>766.84999999999945</v>
      </c>
      <c r="O29" s="411">
        <f t="shared" si="6"/>
        <v>0.22865108235434414</v>
      </c>
      <c r="P29" s="307"/>
      <c r="Q29" s="406"/>
      <c r="R29" s="499"/>
      <c r="S29" s="408">
        <f>SUM(S15:S28)</f>
        <v>4424.0999999999995</v>
      </c>
      <c r="T29" s="409"/>
      <c r="U29" s="410">
        <f t="shared" si="9"/>
        <v>303.44999999999982</v>
      </c>
      <c r="V29" s="411">
        <f t="shared" si="10"/>
        <v>7.3641294455971715E-2</v>
      </c>
      <c r="W29" s="307"/>
      <c r="X29" s="406"/>
      <c r="Y29" s="499"/>
      <c r="Z29" s="408">
        <f>SUM(Z15:Z28)</f>
        <v>4724.95</v>
      </c>
      <c r="AA29" s="409"/>
      <c r="AB29" s="410">
        <f t="shared" si="13"/>
        <v>300.85000000000036</v>
      </c>
      <c r="AC29" s="411">
        <f t="shared" si="14"/>
        <v>6.8002531588345738E-2</v>
      </c>
      <c r="AD29" s="307"/>
      <c r="AE29" s="406"/>
      <c r="AF29" s="499"/>
      <c r="AG29" s="408">
        <f>SUM(AG15:AG28)</f>
        <v>4892.45</v>
      </c>
      <c r="AH29" s="409"/>
      <c r="AI29" s="410">
        <f t="shared" si="17"/>
        <v>167.5</v>
      </c>
      <c r="AJ29" s="411">
        <f t="shared" si="18"/>
        <v>3.5450110583180774E-2</v>
      </c>
      <c r="AK29" s="307"/>
      <c r="AL29" s="406"/>
      <c r="AM29" s="499"/>
      <c r="AN29" s="408">
        <f>SUM(AN15:AN28)</f>
        <v>5045.9000000000005</v>
      </c>
      <c r="AO29" s="409"/>
      <c r="AP29" s="410">
        <f t="shared" si="21"/>
        <v>153.45000000000073</v>
      </c>
      <c r="AQ29" s="411">
        <f t="shared" si="22"/>
        <v>3.1364653701111044E-2</v>
      </c>
      <c r="AR29" s="412"/>
    </row>
    <row r="30" spans="1:44" ht="12.75" customHeight="1">
      <c r="A30" s="52"/>
      <c r="B30" s="403" t="s">
        <v>237</v>
      </c>
      <c r="C30" s="394" t="str">
        <f t="shared" ref="C30:C38" si="23">D$6&amp;"."&amp;B30</f>
        <v>General Service 50 to 1,499 KW.DVA Disposition Rate Rider Group 1 -2025</v>
      </c>
      <c r="D30" s="395" t="s">
        <v>381</v>
      </c>
      <c r="E30" s="321"/>
      <c r="F30" s="413">
        <f>IFERROR(VLOOKUP($C30,'Proposed Rates'!$B:$J,F$11,FALSE),0)</f>
        <v>0.35310000000000002</v>
      </c>
      <c r="G30" s="414">
        <f t="shared" ref="G30:G36" si="24">IF($D30="Monthly",1,IF($D30="per KW",$F$10,IF($D30="per kWh",$F$9,0)))</f>
        <v>500</v>
      </c>
      <c r="H30" s="399">
        <f t="shared" ref="H30:H38" si="25">G30*F30</f>
        <v>176.55</v>
      </c>
      <c r="I30" s="132"/>
      <c r="J30" s="413">
        <f>IFERROR(VLOOKUP($C30,'Proposed Rates'!$B:$J,J$11,FALSE),0)</f>
        <v>7.3000000000000001E-3</v>
      </c>
      <c r="K30" s="414">
        <f t="shared" ref="K30:K36" si="26">IF($D30="Monthly",1,IF($D30="per KW",$F$10,IF($D30="per kWh",$F$9,0)))</f>
        <v>500</v>
      </c>
      <c r="L30" s="399">
        <f t="shared" ref="L30:L38" si="27">K30*J30</f>
        <v>3.65</v>
      </c>
      <c r="M30" s="132"/>
      <c r="N30" s="400">
        <f t="shared" si="5"/>
        <v>-172.9</v>
      </c>
      <c r="O30" s="401">
        <f t="shared" si="6"/>
        <v>-0.97932596998017551</v>
      </c>
      <c r="P30" s="52"/>
      <c r="Q30" s="413">
        <f>IFERROR(VLOOKUP($C30,'Proposed Rates'!$B:$J,Q$11,FALSE),0)</f>
        <v>0</v>
      </c>
      <c r="R30" s="414">
        <f t="shared" ref="R30:R36" si="28">IF($D30="Monthly",1,IF($D30="per KW",$F$10,IF($D30="per kWh",$F$9,0)))</f>
        <v>500</v>
      </c>
      <c r="S30" s="399">
        <f t="shared" ref="S30:S38" si="29">R30*Q30</f>
        <v>0</v>
      </c>
      <c r="T30" s="132"/>
      <c r="U30" s="400">
        <f t="shared" si="9"/>
        <v>-3.65</v>
      </c>
      <c r="V30" s="401">
        <f t="shared" si="10"/>
        <v>-1</v>
      </c>
      <c r="W30" s="52"/>
      <c r="X30" s="413">
        <f>IFERROR(VLOOKUP($C30,'Proposed Rates'!$B:$J,X$11,FALSE),0)</f>
        <v>0</v>
      </c>
      <c r="Y30" s="414">
        <f t="shared" ref="Y30:Y36" si="30">IF($D30="Monthly",1,IF($D30="per KW",$F$10,IF($D30="per kWh",$F$9,0)))</f>
        <v>500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500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500</v>
      </c>
      <c r="AN30" s="399">
        <f t="shared" ref="AN30:AN38" si="35">AM30*AL30</f>
        <v>0</v>
      </c>
      <c r="AO30" s="132"/>
      <c r="AP30" s="400">
        <f t="shared" si="21"/>
        <v>0</v>
      </c>
      <c r="AQ30" s="401" t="str">
        <f t="shared" si="22"/>
        <v/>
      </c>
      <c r="AR30" s="402"/>
    </row>
    <row r="31" spans="1:44" ht="12.75" customHeight="1">
      <c r="A31" s="52"/>
      <c r="B31" s="483" t="s">
        <v>239</v>
      </c>
      <c r="C31" s="394" t="str">
        <f t="shared" si="23"/>
        <v>General Service 50 to 1,499 KW.DVA Disposition Rate Rider Group 1 - 2024</v>
      </c>
      <c r="D31" s="395" t="s">
        <v>381</v>
      </c>
      <c r="E31" s="321"/>
      <c r="F31" s="413">
        <f>IFERROR(VLOOKUP($C31,'Proposed Rates'!$B:$J,F$11,FALSE),0)</f>
        <v>0</v>
      </c>
      <c r="G31" s="414">
        <f t="shared" si="24"/>
        <v>500</v>
      </c>
      <c r="H31" s="399">
        <f t="shared" si="25"/>
        <v>0</v>
      </c>
      <c r="I31" s="132"/>
      <c r="J31" s="413">
        <f>IFERROR(VLOOKUP($C31,'Proposed Rates'!$B:$J,J$11,FALSE),0)</f>
        <v>0</v>
      </c>
      <c r="K31" s="414">
        <f t="shared" si="26"/>
        <v>500</v>
      </c>
      <c r="L31" s="399">
        <f t="shared" si="27"/>
        <v>0</v>
      </c>
      <c r="M31" s="132"/>
      <c r="N31" s="400">
        <f t="shared" si="5"/>
        <v>0</v>
      </c>
      <c r="O31" s="401" t="str">
        <f t="shared" si="6"/>
        <v/>
      </c>
      <c r="P31" s="52"/>
      <c r="Q31" s="413">
        <f>IFERROR(VLOOKUP($C31,'Proposed Rates'!$B:$J,Q$11,FALSE),0)</f>
        <v>0</v>
      </c>
      <c r="R31" s="414">
        <f t="shared" si="28"/>
        <v>500</v>
      </c>
      <c r="S31" s="399">
        <f t="shared" si="29"/>
        <v>0</v>
      </c>
      <c r="T31" s="132"/>
      <c r="U31" s="400">
        <f t="shared" si="9"/>
        <v>0</v>
      </c>
      <c r="V31" s="401" t="str">
        <f t="shared" si="10"/>
        <v/>
      </c>
      <c r="W31" s="52"/>
      <c r="X31" s="413">
        <f>IFERROR(VLOOKUP($C31,'Proposed Rates'!$B:$J,X$11,FALSE),0)</f>
        <v>0</v>
      </c>
      <c r="Y31" s="414">
        <f t="shared" si="30"/>
        <v>500</v>
      </c>
      <c r="Z31" s="399">
        <f t="shared" si="31"/>
        <v>0</v>
      </c>
      <c r="AA31" s="132"/>
      <c r="AB31" s="400">
        <f t="shared" si="13"/>
        <v>0</v>
      </c>
      <c r="AC31" s="401" t="str">
        <f t="shared" si="14"/>
        <v/>
      </c>
      <c r="AD31" s="52"/>
      <c r="AE31" s="413">
        <f>IFERROR(VLOOKUP($C31,'Proposed Rates'!$B:$J,AE$11,FALSE),0)</f>
        <v>0</v>
      </c>
      <c r="AF31" s="414">
        <f t="shared" si="32"/>
        <v>500</v>
      </c>
      <c r="AG31" s="399">
        <f t="shared" si="33"/>
        <v>0</v>
      </c>
      <c r="AH31" s="132"/>
      <c r="AI31" s="400">
        <f t="shared" si="17"/>
        <v>0</v>
      </c>
      <c r="AJ31" s="401" t="str">
        <f t="shared" si="18"/>
        <v/>
      </c>
      <c r="AK31" s="52"/>
      <c r="AL31" s="413">
        <f>IFERROR(VLOOKUP($C31,'Proposed Rates'!$B:$J,AL$11,FALSE),0)</f>
        <v>0</v>
      </c>
      <c r="AM31" s="414">
        <f t="shared" si="34"/>
        <v>500</v>
      </c>
      <c r="AN31" s="399">
        <f t="shared" si="35"/>
        <v>0</v>
      </c>
      <c r="AO31" s="132"/>
      <c r="AP31" s="400">
        <f t="shared" si="21"/>
        <v>0</v>
      </c>
      <c r="AQ31" s="401" t="str">
        <f t="shared" si="22"/>
        <v/>
      </c>
      <c r="AR31" s="402"/>
    </row>
    <row r="32" spans="1:44" ht="12.75" customHeight="1">
      <c r="A32" s="52"/>
      <c r="B32" s="483" t="s">
        <v>247</v>
      </c>
      <c r="C32" s="394" t="str">
        <f t="shared" si="23"/>
        <v>General Service 50 to 1,499 KW.CBR Class B Rate Riders</v>
      </c>
      <c r="D32" s="395" t="s">
        <v>312</v>
      </c>
      <c r="E32" s="321"/>
      <c r="F32" s="413">
        <f>IFERROR(VLOOKUP($C32,'Proposed Rates'!$B:$J,F$11,FALSE),0)</f>
        <v>2.0000000000000001E-4</v>
      </c>
      <c r="G32" s="414">
        <f t="shared" si="24"/>
        <v>255500</v>
      </c>
      <c r="H32" s="399">
        <f t="shared" si="25"/>
        <v>51.1</v>
      </c>
      <c r="I32" s="484"/>
      <c r="J32" s="413">
        <f>IFERROR(VLOOKUP($C32,'Proposed Rates'!$B:$J,J$11,FALSE),0)</f>
        <v>4.0000000000000002E-4</v>
      </c>
      <c r="K32" s="414">
        <f t="shared" si="26"/>
        <v>255500</v>
      </c>
      <c r="L32" s="399">
        <f t="shared" si="27"/>
        <v>102.2</v>
      </c>
      <c r="M32" s="416"/>
      <c r="N32" s="400">
        <f t="shared" si="5"/>
        <v>51.1</v>
      </c>
      <c r="O32" s="401">
        <f t="shared" si="6"/>
        <v>1</v>
      </c>
      <c r="P32" s="52"/>
      <c r="Q32" s="413">
        <f>IFERROR(VLOOKUP($C32,'Proposed Rates'!$B:$J,Q$11,FALSE),0)</f>
        <v>0</v>
      </c>
      <c r="R32" s="414">
        <f t="shared" si="28"/>
        <v>255500</v>
      </c>
      <c r="S32" s="399">
        <f t="shared" si="29"/>
        <v>0</v>
      </c>
      <c r="T32" s="416"/>
      <c r="U32" s="400">
        <f t="shared" si="9"/>
        <v>-102.2</v>
      </c>
      <c r="V32" s="401">
        <f t="shared" si="10"/>
        <v>-1</v>
      </c>
      <c r="W32" s="52"/>
      <c r="X32" s="413">
        <f>IFERROR(VLOOKUP($C32,'Proposed Rates'!$B:$J,X$11,FALSE),0)</f>
        <v>0</v>
      </c>
      <c r="Y32" s="414">
        <f t="shared" si="30"/>
        <v>255500</v>
      </c>
      <c r="Z32" s="399">
        <f t="shared" si="31"/>
        <v>0</v>
      </c>
      <c r="AA32" s="132"/>
      <c r="AB32" s="400">
        <f t="shared" si="13"/>
        <v>0</v>
      </c>
      <c r="AC32" s="401" t="str">
        <f t="shared" si="14"/>
        <v/>
      </c>
      <c r="AD32" s="52"/>
      <c r="AE32" s="413">
        <f>IFERROR(VLOOKUP($C32,'Proposed Rates'!$B:$J,AE$11,FALSE),0)</f>
        <v>0</v>
      </c>
      <c r="AF32" s="414">
        <f t="shared" si="32"/>
        <v>255500</v>
      </c>
      <c r="AG32" s="399">
        <f t="shared" si="33"/>
        <v>0</v>
      </c>
      <c r="AH32" s="132"/>
      <c r="AI32" s="400">
        <f t="shared" si="17"/>
        <v>0</v>
      </c>
      <c r="AJ32" s="401" t="str">
        <f t="shared" si="18"/>
        <v/>
      </c>
      <c r="AK32" s="52"/>
      <c r="AL32" s="413">
        <f>IFERROR(VLOOKUP($C32,'Proposed Rates'!$B:$J,AL$11,FALSE),0)</f>
        <v>0</v>
      </c>
      <c r="AM32" s="414">
        <f t="shared" si="34"/>
        <v>255500</v>
      </c>
      <c r="AN32" s="399">
        <f t="shared" si="35"/>
        <v>0</v>
      </c>
      <c r="AO32" s="416"/>
      <c r="AP32" s="400">
        <f t="shared" si="21"/>
        <v>0</v>
      </c>
      <c r="AQ32" s="401" t="str">
        <f t="shared" si="22"/>
        <v/>
      </c>
      <c r="AR32" s="402"/>
    </row>
    <row r="33" spans="1:44" ht="12.75" customHeight="1">
      <c r="A33" s="52"/>
      <c r="B33" s="483" t="s">
        <v>252</v>
      </c>
      <c r="C33" s="394" t="str">
        <f t="shared" si="23"/>
        <v>General Service 50 to 1,499 KW.GA Rate Riders</v>
      </c>
      <c r="D33" s="395" t="s">
        <v>312</v>
      </c>
      <c r="E33" s="321"/>
      <c r="F33" s="413">
        <f>IFERROR(VLOOKUP($C33,'Proposed Rates'!$B:$J,F$11,FALSE),0)</f>
        <v>3.8999999999999998E-3</v>
      </c>
      <c r="G33" s="414">
        <f t="shared" si="24"/>
        <v>255500</v>
      </c>
      <c r="H33" s="399">
        <f t="shared" si="25"/>
        <v>996.44999999999993</v>
      </c>
      <c r="I33" s="484"/>
      <c r="J33" s="413">
        <f>IFERROR(VLOOKUP($C33,'Proposed Rates'!$B:$J,J$11,FALSE),0)</f>
        <v>4.4000000000000003E-3</v>
      </c>
      <c r="K33" s="414">
        <f t="shared" si="26"/>
        <v>255500</v>
      </c>
      <c r="L33" s="399">
        <f t="shared" si="27"/>
        <v>1124.2</v>
      </c>
      <c r="M33" s="416"/>
      <c r="N33" s="400">
        <f t="shared" si="5"/>
        <v>127.75000000000011</v>
      </c>
      <c r="O33" s="401">
        <f t="shared" si="6"/>
        <v>0.12820512820512833</v>
      </c>
      <c r="P33" s="52"/>
      <c r="Q33" s="413">
        <f>IFERROR(VLOOKUP($C33,'Proposed Rates'!$B:$J,Q$11,FALSE),0)</f>
        <v>0</v>
      </c>
      <c r="R33" s="414">
        <f t="shared" si="28"/>
        <v>255500</v>
      </c>
      <c r="S33" s="399">
        <f t="shared" si="29"/>
        <v>0</v>
      </c>
      <c r="T33" s="416"/>
      <c r="U33" s="400">
        <f t="shared" si="9"/>
        <v>-1124.2</v>
      </c>
      <c r="V33" s="401">
        <f t="shared" si="10"/>
        <v>-1</v>
      </c>
      <c r="W33" s="52"/>
      <c r="X33" s="413">
        <f>IFERROR(VLOOKUP($C33,'Proposed Rates'!$B:$J,X$11,FALSE),0)</f>
        <v>0</v>
      </c>
      <c r="Y33" s="414">
        <f t="shared" si="30"/>
        <v>255500</v>
      </c>
      <c r="Z33" s="399">
        <f t="shared" si="31"/>
        <v>0</v>
      </c>
      <c r="AA33" s="416"/>
      <c r="AB33" s="400">
        <f t="shared" si="13"/>
        <v>0</v>
      </c>
      <c r="AC33" s="401" t="str">
        <f t="shared" si="14"/>
        <v/>
      </c>
      <c r="AD33" s="52"/>
      <c r="AE33" s="413">
        <f>IFERROR(VLOOKUP($C33,'Proposed Rates'!$B:$J,AE$11,FALSE),0)</f>
        <v>0</v>
      </c>
      <c r="AF33" s="414">
        <f t="shared" si="32"/>
        <v>255500</v>
      </c>
      <c r="AG33" s="399">
        <f t="shared" si="33"/>
        <v>0</v>
      </c>
      <c r="AH33" s="416"/>
      <c r="AI33" s="400">
        <f t="shared" si="17"/>
        <v>0</v>
      </c>
      <c r="AJ33" s="401" t="str">
        <f t="shared" si="18"/>
        <v/>
      </c>
      <c r="AK33" s="52"/>
      <c r="AL33" s="413">
        <f>IFERROR(VLOOKUP($C33,'Proposed Rates'!$B:$J,AL$11,FALSE),0)</f>
        <v>0</v>
      </c>
      <c r="AM33" s="414">
        <f t="shared" si="34"/>
        <v>255500</v>
      </c>
      <c r="AN33" s="399">
        <f t="shared" si="35"/>
        <v>0</v>
      </c>
      <c r="AO33" s="416"/>
      <c r="AP33" s="400">
        <f t="shared" si="21"/>
        <v>0</v>
      </c>
      <c r="AQ33" s="401" t="str">
        <f t="shared" si="22"/>
        <v/>
      </c>
      <c r="AR33" s="402"/>
    </row>
    <row r="34" spans="1:44" ht="12.75" customHeight="1">
      <c r="A34" s="52"/>
      <c r="B34" s="483" t="s">
        <v>255</v>
      </c>
      <c r="C34" s="394" t="str">
        <f t="shared" si="23"/>
        <v>General Service 50 to 1,499 KW.Total Deferral/Variance Account Rate RidersYr2</v>
      </c>
      <c r="D34" s="395" t="s">
        <v>381</v>
      </c>
      <c r="E34" s="321"/>
      <c r="F34" s="413">
        <f>IFERROR(VLOOKUP($C34,'Proposed Rates'!$B:$J,F$11,FALSE),0)</f>
        <v>-0.30499999999999999</v>
      </c>
      <c r="G34" s="414">
        <f t="shared" si="24"/>
        <v>500</v>
      </c>
      <c r="H34" s="399">
        <f t="shared" si="25"/>
        <v>-152.5</v>
      </c>
      <c r="I34" s="484"/>
      <c r="J34" s="413">
        <f>IFERROR(VLOOKUP($C34,'Proposed Rates'!$B:$J,J$11,FALSE),0)</f>
        <v>-0.21779999999999999</v>
      </c>
      <c r="K34" s="414">
        <f t="shared" si="26"/>
        <v>500</v>
      </c>
      <c r="L34" s="399">
        <f t="shared" si="27"/>
        <v>-108.89999999999999</v>
      </c>
      <c r="M34" s="416"/>
      <c r="N34" s="400">
        <f t="shared" si="5"/>
        <v>43.600000000000009</v>
      </c>
      <c r="O34" s="401">
        <f t="shared" si="6"/>
        <v>-0.28590163934426233</v>
      </c>
      <c r="P34" s="52"/>
      <c r="Q34" s="413">
        <f>IFERROR(VLOOKUP($C34,'Proposed Rates'!$B:$J,Q$11,FALSE),0)</f>
        <v>0</v>
      </c>
      <c r="R34" s="414">
        <f t="shared" si="28"/>
        <v>500</v>
      </c>
      <c r="S34" s="399">
        <f t="shared" si="29"/>
        <v>0</v>
      </c>
      <c r="T34" s="416"/>
      <c r="U34" s="400">
        <f t="shared" si="9"/>
        <v>108.89999999999999</v>
      </c>
      <c r="V34" s="401">
        <f t="shared" si="10"/>
        <v>-1</v>
      </c>
      <c r="W34" s="52"/>
      <c r="X34" s="413">
        <f>IFERROR(VLOOKUP($C34,'Proposed Rates'!$B:$J,X$11,FALSE),0)</f>
        <v>0</v>
      </c>
      <c r="Y34" s="414">
        <f t="shared" si="30"/>
        <v>500</v>
      </c>
      <c r="Z34" s="399">
        <f t="shared" si="31"/>
        <v>0</v>
      </c>
      <c r="AA34" s="416"/>
      <c r="AB34" s="400">
        <f t="shared" si="13"/>
        <v>0</v>
      </c>
      <c r="AC34" s="401" t="str">
        <f t="shared" si="14"/>
        <v/>
      </c>
      <c r="AD34" s="52"/>
      <c r="AE34" s="413">
        <f>IFERROR(VLOOKUP($C34,'Proposed Rates'!$B:$J,AE$11,FALSE),0)</f>
        <v>0</v>
      </c>
      <c r="AF34" s="414">
        <f t="shared" si="32"/>
        <v>500</v>
      </c>
      <c r="AG34" s="399">
        <f t="shared" si="33"/>
        <v>0</v>
      </c>
      <c r="AH34" s="416"/>
      <c r="AI34" s="400">
        <f t="shared" si="17"/>
        <v>0</v>
      </c>
      <c r="AJ34" s="401" t="str">
        <f t="shared" si="18"/>
        <v/>
      </c>
      <c r="AK34" s="52"/>
      <c r="AL34" s="413">
        <f>IFERROR(VLOOKUP($C34,'Proposed Rates'!$B:$J,AL$11,FALSE),0)</f>
        <v>0</v>
      </c>
      <c r="AM34" s="414">
        <f t="shared" si="34"/>
        <v>500</v>
      </c>
      <c r="AN34" s="399">
        <f t="shared" si="35"/>
        <v>0</v>
      </c>
      <c r="AO34" s="416"/>
      <c r="AP34" s="400">
        <f t="shared" si="21"/>
        <v>0</v>
      </c>
      <c r="AQ34" s="401" t="str">
        <f t="shared" si="22"/>
        <v/>
      </c>
      <c r="AR34" s="402"/>
    </row>
    <row r="35" spans="1:44" ht="12.75" customHeight="1">
      <c r="A35" s="52"/>
      <c r="B35" s="483" t="s">
        <v>257</v>
      </c>
      <c r="C35" s="394" t="str">
        <f t="shared" si="23"/>
        <v>General Service 50 to 1,499 KW.Total Deferral/Variance Account Rate Riders</v>
      </c>
      <c r="D35" s="395" t="s">
        <v>381</v>
      </c>
      <c r="E35" s="321"/>
      <c r="F35" s="413">
        <f>IFERROR(VLOOKUP($C35,'Proposed Rates'!$B:$J,F$11,FALSE),0)</f>
        <v>0</v>
      </c>
      <c r="G35" s="414">
        <f t="shared" si="24"/>
        <v>500</v>
      </c>
      <c r="H35" s="399">
        <f t="shared" si="25"/>
        <v>0</v>
      </c>
      <c r="I35" s="132"/>
      <c r="J35" s="413">
        <f>IFERROR(VLOOKUP($C35,'Proposed Rates'!$B:$J,J$11,FALSE),0)</f>
        <v>0</v>
      </c>
      <c r="K35" s="414">
        <f t="shared" si="26"/>
        <v>500</v>
      </c>
      <c r="L35" s="399">
        <f t="shared" si="27"/>
        <v>0</v>
      </c>
      <c r="M35" s="132"/>
      <c r="N35" s="400">
        <f t="shared" si="5"/>
        <v>0</v>
      </c>
      <c r="O35" s="401" t="str">
        <f t="shared" si="6"/>
        <v/>
      </c>
      <c r="P35" s="52"/>
      <c r="Q35" s="413">
        <f>IFERROR(VLOOKUP($C35,'Proposed Rates'!$B:$J,Q$11,FALSE),0)</f>
        <v>0</v>
      </c>
      <c r="R35" s="414">
        <f t="shared" si="28"/>
        <v>500</v>
      </c>
      <c r="S35" s="399">
        <f t="shared" si="29"/>
        <v>0</v>
      </c>
      <c r="T35" s="132"/>
      <c r="U35" s="400">
        <f t="shared" si="9"/>
        <v>0</v>
      </c>
      <c r="V35" s="401" t="str">
        <f t="shared" si="10"/>
        <v/>
      </c>
      <c r="W35" s="52"/>
      <c r="X35" s="413">
        <f>IFERROR(VLOOKUP($C35,'Proposed Rates'!$B:$J,X$11,FALSE),0)</f>
        <v>0</v>
      </c>
      <c r="Y35" s="414">
        <f t="shared" si="30"/>
        <v>500</v>
      </c>
      <c r="Z35" s="399">
        <f t="shared" si="31"/>
        <v>0</v>
      </c>
      <c r="AA35" s="132"/>
      <c r="AB35" s="400">
        <f t="shared" si="13"/>
        <v>0</v>
      </c>
      <c r="AC35" s="401" t="str">
        <f t="shared" si="14"/>
        <v/>
      </c>
      <c r="AD35" s="52"/>
      <c r="AE35" s="413">
        <f>IFERROR(VLOOKUP($C35,'Proposed Rates'!$B:$J,AE$11,FALSE),0)</f>
        <v>0</v>
      </c>
      <c r="AF35" s="414">
        <f t="shared" si="32"/>
        <v>500</v>
      </c>
      <c r="AG35" s="399">
        <f t="shared" si="33"/>
        <v>0</v>
      </c>
      <c r="AH35" s="132"/>
      <c r="AI35" s="400">
        <f t="shared" si="17"/>
        <v>0</v>
      </c>
      <c r="AJ35" s="401" t="str">
        <f t="shared" si="18"/>
        <v/>
      </c>
      <c r="AK35" s="52"/>
      <c r="AL35" s="413">
        <f>IFERROR(VLOOKUP($C35,'Proposed Rates'!$B:$J,AL$11,FALSE),0)</f>
        <v>0</v>
      </c>
      <c r="AM35" s="414">
        <f t="shared" si="34"/>
        <v>500</v>
      </c>
      <c r="AN35" s="399">
        <f t="shared" si="35"/>
        <v>0</v>
      </c>
      <c r="AO35" s="132"/>
      <c r="AP35" s="400">
        <f t="shared" si="21"/>
        <v>0</v>
      </c>
      <c r="AQ35" s="401" t="str">
        <f t="shared" si="22"/>
        <v/>
      </c>
      <c r="AR35" s="402"/>
    </row>
    <row r="36" spans="1:44" ht="12.75" customHeight="1">
      <c r="A36" s="52"/>
      <c r="B36" s="321" t="s">
        <v>273</v>
      </c>
      <c r="C36" s="394" t="str">
        <f t="shared" si="23"/>
        <v>General Service 50 to 1,499 KW.Low Voltage Service Charge</v>
      </c>
      <c r="D36" s="395" t="s">
        <v>381</v>
      </c>
      <c r="E36" s="321"/>
      <c r="F36" s="413">
        <f>IFERROR(VLOOKUP($C36,'Proposed Rates'!$B:$J,F$11,FALSE),0)</f>
        <v>2.0629999999999999E-2</v>
      </c>
      <c r="G36" s="414">
        <f t="shared" si="24"/>
        <v>500</v>
      </c>
      <c r="H36" s="399">
        <f t="shared" si="25"/>
        <v>10.315</v>
      </c>
      <c r="I36" s="132"/>
      <c r="J36" s="413">
        <f>IFERROR(VLOOKUP($C36,'Proposed Rates'!$B:$J,J$11,FALSE),0)</f>
        <v>2.332E-2</v>
      </c>
      <c r="K36" s="414">
        <f t="shared" si="26"/>
        <v>500</v>
      </c>
      <c r="L36" s="399">
        <f t="shared" si="27"/>
        <v>11.66</v>
      </c>
      <c r="M36" s="132"/>
      <c r="N36" s="400">
        <f t="shared" si="5"/>
        <v>1.3450000000000006</v>
      </c>
      <c r="O36" s="401">
        <f t="shared" si="6"/>
        <v>0.13039263208919058</v>
      </c>
      <c r="P36" s="52"/>
      <c r="Q36" s="413">
        <f>IFERROR(VLOOKUP($C36,'Proposed Rates'!$B:$J,Q$11,FALSE),0)</f>
        <v>2.392E-2</v>
      </c>
      <c r="R36" s="414">
        <f t="shared" si="28"/>
        <v>500</v>
      </c>
      <c r="S36" s="399">
        <f t="shared" si="29"/>
        <v>11.96</v>
      </c>
      <c r="T36" s="132"/>
      <c r="U36" s="400">
        <f t="shared" si="9"/>
        <v>0.30000000000000071</v>
      </c>
      <c r="V36" s="401">
        <f t="shared" si="10"/>
        <v>2.5728987993138996E-2</v>
      </c>
      <c r="W36" s="52"/>
      <c r="X36" s="413">
        <f>IFERROR(VLOOKUP($C36,'Proposed Rates'!$B:$J,X$11,FALSE),0)</f>
        <v>2.4209999999999999E-2</v>
      </c>
      <c r="Y36" s="414">
        <f t="shared" si="30"/>
        <v>500</v>
      </c>
      <c r="Z36" s="399">
        <f t="shared" si="31"/>
        <v>12.104999999999999</v>
      </c>
      <c r="AA36" s="132"/>
      <c r="AB36" s="400">
        <f t="shared" si="13"/>
        <v>0.1449999999999978</v>
      </c>
      <c r="AC36" s="401">
        <f t="shared" si="14"/>
        <v>1.2123745819397808E-2</v>
      </c>
      <c r="AD36" s="52"/>
      <c r="AE36" s="413">
        <f>IFERROR(VLOOKUP($C36,'Proposed Rates'!$B:$J,AE$11,FALSE),0)</f>
        <v>2.46E-2</v>
      </c>
      <c r="AF36" s="414">
        <f t="shared" si="32"/>
        <v>500</v>
      </c>
      <c r="AG36" s="399">
        <f t="shared" si="33"/>
        <v>12.3</v>
      </c>
      <c r="AH36" s="132"/>
      <c r="AI36" s="400">
        <f t="shared" si="17"/>
        <v>0.19500000000000206</v>
      </c>
      <c r="AJ36" s="401">
        <f t="shared" si="18"/>
        <v>1.6109045848822973E-2</v>
      </c>
      <c r="AK36" s="52"/>
      <c r="AL36" s="413">
        <f>IFERROR(VLOOKUP($C36,'Proposed Rates'!$B:$J,AL$11,FALSE),0)</f>
        <v>2.504E-2</v>
      </c>
      <c r="AM36" s="414">
        <f t="shared" si="34"/>
        <v>500</v>
      </c>
      <c r="AN36" s="399">
        <f t="shared" si="35"/>
        <v>12.52</v>
      </c>
      <c r="AO36" s="132"/>
      <c r="AP36" s="400">
        <f t="shared" si="21"/>
        <v>0.21999999999999886</v>
      </c>
      <c r="AQ36" s="401">
        <f t="shared" si="22"/>
        <v>1.7886178861788525E-2</v>
      </c>
      <c r="AR36" s="402"/>
    </row>
    <row r="37" spans="1:44" ht="12.75" customHeight="1">
      <c r="A37" s="52"/>
      <c r="B37" s="321" t="s">
        <v>316</v>
      </c>
      <c r="C37" s="394" t="str">
        <f t="shared" si="23"/>
        <v>General Service 50 to 1,499 KW.Line Losses on Cost of Power</v>
      </c>
      <c r="D37" s="395" t="s">
        <v>312</v>
      </c>
      <c r="E37" s="321"/>
      <c r="F37" s="429"/>
      <c r="G37" s="420">
        <f>$F$9*(1+F$65)-$F$9</f>
        <v>8635.9000000000233</v>
      </c>
      <c r="H37" s="399">
        <f t="shared" si="25"/>
        <v>0</v>
      </c>
      <c r="I37" s="132"/>
      <c r="J37" s="429"/>
      <c r="K37" s="420">
        <f>$F$9*(1+J$65)-$F$9</f>
        <v>8482.5999999999767</v>
      </c>
      <c r="L37" s="399">
        <f t="shared" si="27"/>
        <v>0</v>
      </c>
      <c r="M37" s="132"/>
      <c r="N37" s="400">
        <f t="shared" si="5"/>
        <v>0</v>
      </c>
      <c r="O37" s="401" t="str">
        <f t="shared" si="6"/>
        <v/>
      </c>
      <c r="P37" s="52"/>
      <c r="Q37" s="429"/>
      <c r="R37" s="420">
        <f>$F$9*(1+Q$65)-$F$9</f>
        <v>8482.5999999999767</v>
      </c>
      <c r="S37" s="399">
        <f t="shared" si="29"/>
        <v>0</v>
      </c>
      <c r="T37" s="132"/>
      <c r="U37" s="400">
        <f t="shared" si="9"/>
        <v>0</v>
      </c>
      <c r="V37" s="401" t="str">
        <f t="shared" si="10"/>
        <v/>
      </c>
      <c r="W37" s="52"/>
      <c r="X37" s="429"/>
      <c r="Y37" s="420">
        <f>$F$9*(1+X$65)-$F$9</f>
        <v>8482.5999999999767</v>
      </c>
      <c r="Z37" s="399">
        <f t="shared" si="31"/>
        <v>0</v>
      </c>
      <c r="AA37" s="132"/>
      <c r="AB37" s="400">
        <f t="shared" si="13"/>
        <v>0</v>
      </c>
      <c r="AC37" s="401" t="str">
        <f t="shared" si="14"/>
        <v/>
      </c>
      <c r="AD37" s="52"/>
      <c r="AE37" s="429"/>
      <c r="AF37" s="420">
        <f>$F$9*(1+AE$65)-$F$9</f>
        <v>8482.5999999999767</v>
      </c>
      <c r="AG37" s="399">
        <f t="shared" si="33"/>
        <v>0</v>
      </c>
      <c r="AH37" s="132"/>
      <c r="AI37" s="400">
        <f t="shared" si="17"/>
        <v>0</v>
      </c>
      <c r="AJ37" s="401" t="str">
        <f t="shared" si="18"/>
        <v/>
      </c>
      <c r="AK37" s="52"/>
      <c r="AL37" s="429"/>
      <c r="AM37" s="420">
        <f>$F$9*(1+AL$65)-$F$9</f>
        <v>8482.5999999999767</v>
      </c>
      <c r="AN37" s="399">
        <f t="shared" si="35"/>
        <v>0</v>
      </c>
      <c r="AO37" s="132"/>
      <c r="AP37" s="400">
        <f t="shared" si="21"/>
        <v>0</v>
      </c>
      <c r="AQ37" s="401" t="str">
        <f t="shared" si="22"/>
        <v/>
      </c>
      <c r="AR37" s="402"/>
    </row>
    <row r="38" spans="1:44" ht="12.75" customHeight="1">
      <c r="A38" s="52"/>
      <c r="B38" s="321" t="s">
        <v>275</v>
      </c>
      <c r="C38" s="394" t="str">
        <f t="shared" si="23"/>
        <v>General Service 50 to 1,499 KW.Smart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13"/>
        <v>0</v>
      </c>
      <c r="AC38" s="401" t="str">
        <f t="shared" si="14"/>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row>
    <row r="39" spans="1:44" ht="12.75" customHeight="1">
      <c r="A39" s="52"/>
      <c r="B39" s="485" t="s">
        <v>317</v>
      </c>
      <c r="C39" s="421"/>
      <c r="D39" s="421"/>
      <c r="E39" s="421"/>
      <c r="F39" s="422"/>
      <c r="G39" s="500"/>
      <c r="H39" s="408">
        <f>SUM(H30:H38)+H29</f>
        <v>4435.7150000000001</v>
      </c>
      <c r="I39" s="424"/>
      <c r="J39" s="422"/>
      <c r="K39" s="500"/>
      <c r="L39" s="408">
        <f>SUM(L30:L38)+L29</f>
        <v>5253.4599999999991</v>
      </c>
      <c r="M39" s="424"/>
      <c r="N39" s="410">
        <f t="shared" si="5"/>
        <v>817.74499999999898</v>
      </c>
      <c r="O39" s="411">
        <f t="shared" si="6"/>
        <v>0.18435472071582573</v>
      </c>
      <c r="P39" s="52"/>
      <c r="Q39" s="422"/>
      <c r="R39" s="500"/>
      <c r="S39" s="408">
        <f>SUM(S30:S38)+S29</f>
        <v>4436.0599999999995</v>
      </c>
      <c r="T39" s="424"/>
      <c r="U39" s="410">
        <f t="shared" si="9"/>
        <v>-817.39999999999964</v>
      </c>
      <c r="V39" s="411">
        <f t="shared" si="10"/>
        <v>-0.15559269509999121</v>
      </c>
      <c r="W39" s="52"/>
      <c r="X39" s="422"/>
      <c r="Y39" s="500"/>
      <c r="Z39" s="408">
        <f>SUM(Z30:Z38)+Z29</f>
        <v>4737.0549999999994</v>
      </c>
      <c r="AA39" s="424"/>
      <c r="AB39" s="410">
        <f t="shared" si="13"/>
        <v>300.99499999999989</v>
      </c>
      <c r="AC39" s="411">
        <f t="shared" si="14"/>
        <v>6.7851877567030192E-2</v>
      </c>
      <c r="AD39" s="52"/>
      <c r="AE39" s="422"/>
      <c r="AF39" s="500"/>
      <c r="AG39" s="408">
        <f>SUM(AG30:AG38)+AG29</f>
        <v>4904.75</v>
      </c>
      <c r="AH39" s="424"/>
      <c r="AI39" s="410">
        <f t="shared" si="17"/>
        <v>167.69500000000062</v>
      </c>
      <c r="AJ39" s="411">
        <f t="shared" si="18"/>
        <v>3.5400686713580619E-2</v>
      </c>
      <c r="AK39" s="52"/>
      <c r="AL39" s="422"/>
      <c r="AM39" s="500"/>
      <c r="AN39" s="408">
        <f>SUM(AN30:AN38)+AN29</f>
        <v>5058.420000000001</v>
      </c>
      <c r="AO39" s="424"/>
      <c r="AP39" s="410">
        <f t="shared" si="21"/>
        <v>153.67000000000098</v>
      </c>
      <c r="AQ39" s="411">
        <f t="shared" si="22"/>
        <v>3.1330852744788418E-2</v>
      </c>
      <c r="AR39" s="412"/>
    </row>
    <row r="40" spans="1:44" ht="12.75" customHeight="1">
      <c r="A40" s="52"/>
      <c r="B40" s="132" t="s">
        <v>258</v>
      </c>
      <c r="C40" s="394" t="str">
        <f t="shared" ref="C40:C41" si="36">D$6&amp;"."&amp;B40</f>
        <v>General Service 50 to 1,499 KW.RTSR - Network</v>
      </c>
      <c r="D40" s="425" t="s">
        <v>381</v>
      </c>
      <c r="E40" s="132"/>
      <c r="F40" s="413">
        <f>IFERROR(VLOOKUP($C40,'Proposed Rates'!$B:$J,F$11,FALSE),0)</f>
        <v>4.8479999999999999</v>
      </c>
      <c r="G40" s="414">
        <f t="shared" ref="G40:G41" si="37">IF($D40="Monthly",1,IF($D40="per KW",$F$10,IF($D40="per kWh",$F$9,0)))</f>
        <v>500</v>
      </c>
      <c r="H40" s="399">
        <f t="shared" ref="H40:H41" si="38">G40*F40</f>
        <v>2424</v>
      </c>
      <c r="I40" s="132"/>
      <c r="J40" s="413">
        <f>IFERROR(VLOOKUP($C40,'Proposed Rates'!$B:$J,J$11,FALSE),0)</f>
        <v>4.5787000000000004</v>
      </c>
      <c r="K40" s="414">
        <f t="shared" ref="K40:K41" si="39">IF($D40="Monthly",1,IF($D40="per KW",$F$10,IF($D40="per kWh",$F$9,0)))</f>
        <v>500</v>
      </c>
      <c r="L40" s="399">
        <f t="shared" ref="L40:L41" si="40">K40*J40</f>
        <v>2289.3500000000004</v>
      </c>
      <c r="M40" s="132"/>
      <c r="N40" s="400">
        <f t="shared" si="5"/>
        <v>-134.64999999999964</v>
      </c>
      <c r="O40" s="401">
        <f t="shared" si="6"/>
        <v>-5.5548679867986651E-2</v>
      </c>
      <c r="P40" s="52"/>
      <c r="Q40" s="413">
        <f>IFERROR(VLOOKUP($C40,'Proposed Rates'!$B:$J,Q$11,FALSE),0)</f>
        <v>4.5787000000000004</v>
      </c>
      <c r="R40" s="414">
        <f t="shared" ref="R40:R41" si="41">IF($D40="Monthly",1,IF($D40="per KW",$F$10,IF($D40="per kWh",$F$9,0)))</f>
        <v>500</v>
      </c>
      <c r="S40" s="399">
        <f t="shared" ref="S40:S41" si="42">R40*Q40</f>
        <v>2289.3500000000004</v>
      </c>
      <c r="T40" s="132"/>
      <c r="U40" s="400">
        <f t="shared" si="9"/>
        <v>0</v>
      </c>
      <c r="V40" s="401">
        <f t="shared" si="10"/>
        <v>0</v>
      </c>
      <c r="W40" s="52"/>
      <c r="X40" s="413">
        <f>IFERROR(VLOOKUP($C40,'Proposed Rates'!$B:$J,X$11,FALSE),0)</f>
        <v>4.5787000000000004</v>
      </c>
      <c r="Y40" s="414">
        <f t="shared" ref="Y40:Y41" si="43">IF($D40="Monthly",1,IF($D40="per KW",$F$10,IF($D40="per kWh",$F$9,0)))</f>
        <v>500</v>
      </c>
      <c r="Z40" s="399">
        <f t="shared" ref="Z40:Z41" si="44">Y40*X40</f>
        <v>2289.3500000000004</v>
      </c>
      <c r="AA40" s="132"/>
      <c r="AB40" s="400">
        <f t="shared" si="13"/>
        <v>0</v>
      </c>
      <c r="AC40" s="401">
        <f t="shared" si="14"/>
        <v>0</v>
      </c>
      <c r="AD40" s="52"/>
      <c r="AE40" s="413">
        <f>IFERROR(VLOOKUP($C40,'Proposed Rates'!$B:$J,AE$11,FALSE),0)</f>
        <v>4.5787000000000004</v>
      </c>
      <c r="AF40" s="414">
        <f t="shared" ref="AF40:AF41" si="45">IF($D40="Monthly",1,IF($D40="per KW",$F$10,IF($D40="per kWh",$F$9,0)))</f>
        <v>500</v>
      </c>
      <c r="AG40" s="399">
        <f t="shared" ref="AG40:AG41" si="46">AF40*AE40</f>
        <v>2289.3500000000004</v>
      </c>
      <c r="AH40" s="132"/>
      <c r="AI40" s="400">
        <f t="shared" si="17"/>
        <v>0</v>
      </c>
      <c r="AJ40" s="401">
        <f t="shared" si="18"/>
        <v>0</v>
      </c>
      <c r="AK40" s="52"/>
      <c r="AL40" s="413">
        <f>IFERROR(VLOOKUP($C40,'Proposed Rates'!$B:$J,AL$11,FALSE),0)</f>
        <v>4.5787000000000004</v>
      </c>
      <c r="AM40" s="414">
        <f t="shared" ref="AM40:AM41" si="47">IF($D40="Monthly",1,IF($D40="per KW",$F$10,IF($D40="per kWh",$F$9,0)))</f>
        <v>500</v>
      </c>
      <c r="AN40" s="399">
        <f t="shared" ref="AN40:AN41" si="48">AM40*AL40</f>
        <v>2289.3500000000004</v>
      </c>
      <c r="AO40" s="132"/>
      <c r="AP40" s="400">
        <f t="shared" si="21"/>
        <v>0</v>
      </c>
      <c r="AQ40" s="401">
        <f t="shared" si="22"/>
        <v>0</v>
      </c>
      <c r="AR40" s="402"/>
    </row>
    <row r="41" spans="1:44" ht="12.75" customHeight="1">
      <c r="A41" s="52"/>
      <c r="B41" s="486" t="s">
        <v>261</v>
      </c>
      <c r="C41" s="394" t="str">
        <f t="shared" si="36"/>
        <v>General Service 50 to 1,499 KW.RTSR - Line and Transformation Connection</v>
      </c>
      <c r="D41" s="425" t="s">
        <v>381</v>
      </c>
      <c r="E41" s="132"/>
      <c r="F41" s="413">
        <f>IFERROR(VLOOKUP($C41,'Proposed Rates'!$B:$J,F$11,FALSE),0)</f>
        <v>2.8187000000000002</v>
      </c>
      <c r="G41" s="414">
        <f t="shared" si="37"/>
        <v>500</v>
      </c>
      <c r="H41" s="399">
        <f t="shared" si="38"/>
        <v>1409.3500000000001</v>
      </c>
      <c r="I41" s="132"/>
      <c r="J41" s="413">
        <f>IFERROR(VLOOKUP($C41,'Proposed Rates'!$B:$J,J$11,FALSE),0)</f>
        <v>2.5918000000000001</v>
      </c>
      <c r="K41" s="414">
        <f t="shared" si="39"/>
        <v>500</v>
      </c>
      <c r="L41" s="399">
        <f t="shared" si="40"/>
        <v>1295.9000000000001</v>
      </c>
      <c r="M41" s="132"/>
      <c r="N41" s="400">
        <f t="shared" si="5"/>
        <v>-113.45000000000005</v>
      </c>
      <c r="O41" s="401">
        <f t="shared" si="6"/>
        <v>-8.0498101961897356E-2</v>
      </c>
      <c r="P41" s="52"/>
      <c r="Q41" s="413">
        <f>IFERROR(VLOOKUP($C41,'Proposed Rates'!$B:$J,Q$11,FALSE),0)</f>
        <v>2.5918000000000001</v>
      </c>
      <c r="R41" s="414">
        <f t="shared" si="41"/>
        <v>500</v>
      </c>
      <c r="S41" s="399">
        <f t="shared" si="42"/>
        <v>1295.9000000000001</v>
      </c>
      <c r="T41" s="132"/>
      <c r="U41" s="400">
        <f t="shared" si="9"/>
        <v>0</v>
      </c>
      <c r="V41" s="401">
        <f t="shared" si="10"/>
        <v>0</v>
      </c>
      <c r="W41" s="52"/>
      <c r="X41" s="413">
        <f>IFERROR(VLOOKUP($C41,'Proposed Rates'!$B:$J,X$11,FALSE),0)</f>
        <v>2.5918000000000001</v>
      </c>
      <c r="Y41" s="414">
        <f t="shared" si="43"/>
        <v>500</v>
      </c>
      <c r="Z41" s="399">
        <f t="shared" si="44"/>
        <v>1295.9000000000001</v>
      </c>
      <c r="AA41" s="132"/>
      <c r="AB41" s="400">
        <f t="shared" si="13"/>
        <v>0</v>
      </c>
      <c r="AC41" s="401">
        <f t="shared" si="14"/>
        <v>0</v>
      </c>
      <c r="AD41" s="52"/>
      <c r="AE41" s="413">
        <f>IFERROR(VLOOKUP($C41,'Proposed Rates'!$B:$J,AE$11,FALSE),0)</f>
        <v>2.5918000000000001</v>
      </c>
      <c r="AF41" s="414">
        <f t="shared" si="45"/>
        <v>500</v>
      </c>
      <c r="AG41" s="399">
        <f t="shared" si="46"/>
        <v>1295.9000000000001</v>
      </c>
      <c r="AH41" s="132"/>
      <c r="AI41" s="400">
        <f t="shared" si="17"/>
        <v>0</v>
      </c>
      <c r="AJ41" s="401">
        <f t="shared" si="18"/>
        <v>0</v>
      </c>
      <c r="AK41" s="52"/>
      <c r="AL41" s="413">
        <f>IFERROR(VLOOKUP($C41,'Proposed Rates'!$B:$J,AL$11,FALSE),0)</f>
        <v>2.5918000000000001</v>
      </c>
      <c r="AM41" s="414">
        <f t="shared" si="47"/>
        <v>500</v>
      </c>
      <c r="AN41" s="399">
        <f t="shared" si="48"/>
        <v>1295.9000000000001</v>
      </c>
      <c r="AO41" s="132"/>
      <c r="AP41" s="400">
        <f t="shared" si="21"/>
        <v>0</v>
      </c>
      <c r="AQ41" s="401">
        <f t="shared" si="22"/>
        <v>0</v>
      </c>
      <c r="AR41" s="402"/>
    </row>
    <row r="42" spans="1:44" ht="12.75" customHeight="1">
      <c r="A42" s="52"/>
      <c r="B42" s="485" t="s">
        <v>318</v>
      </c>
      <c r="C42" s="426"/>
      <c r="D42" s="426"/>
      <c r="E42" s="426"/>
      <c r="F42" s="427"/>
      <c r="G42" s="500"/>
      <c r="H42" s="408">
        <f>SUM(H39:H41)</f>
        <v>8269.0650000000005</v>
      </c>
      <c r="I42" s="409"/>
      <c r="J42" s="427"/>
      <c r="K42" s="500"/>
      <c r="L42" s="408">
        <f>SUM(L39:L41)</f>
        <v>8838.7099999999991</v>
      </c>
      <c r="M42" s="409"/>
      <c r="N42" s="410">
        <f t="shared" si="5"/>
        <v>569.64499999999862</v>
      </c>
      <c r="O42" s="411">
        <f t="shared" si="6"/>
        <v>6.8888683303372097E-2</v>
      </c>
      <c r="P42" s="52"/>
      <c r="Q42" s="427"/>
      <c r="R42" s="500"/>
      <c r="S42" s="408">
        <f>SUM(S39:S41)</f>
        <v>8021.3099999999995</v>
      </c>
      <c r="T42" s="409"/>
      <c r="U42" s="410">
        <f t="shared" si="9"/>
        <v>-817.39999999999964</v>
      </c>
      <c r="V42" s="411">
        <f t="shared" si="10"/>
        <v>-9.2479558668629211E-2</v>
      </c>
      <c r="W42" s="52"/>
      <c r="X42" s="427"/>
      <c r="Y42" s="500"/>
      <c r="Z42" s="408">
        <f>SUM(Z39:Z41)</f>
        <v>8322.3050000000003</v>
      </c>
      <c r="AA42" s="409"/>
      <c r="AB42" s="410">
        <f t="shared" si="13"/>
        <v>300.9950000000008</v>
      </c>
      <c r="AC42" s="411">
        <f t="shared" si="14"/>
        <v>3.7524419328015104E-2</v>
      </c>
      <c r="AD42" s="52"/>
      <c r="AE42" s="427"/>
      <c r="AF42" s="500"/>
      <c r="AG42" s="408">
        <f>SUM(AG39:AG41)</f>
        <v>8490</v>
      </c>
      <c r="AH42" s="409"/>
      <c r="AI42" s="410">
        <f t="shared" si="17"/>
        <v>167.69499999999971</v>
      </c>
      <c r="AJ42" s="411">
        <f t="shared" si="18"/>
        <v>2.0150066598135938E-2</v>
      </c>
      <c r="AK42" s="52"/>
      <c r="AL42" s="427"/>
      <c r="AM42" s="500"/>
      <c r="AN42" s="408">
        <f>SUM(AN39:AN41)</f>
        <v>8643.6700000000019</v>
      </c>
      <c r="AO42" s="409"/>
      <c r="AP42" s="410">
        <f t="shared" si="21"/>
        <v>153.67000000000189</v>
      </c>
      <c r="AQ42" s="411">
        <f t="shared" si="22"/>
        <v>1.8100117785630376E-2</v>
      </c>
      <c r="AR42" s="412"/>
    </row>
    <row r="43" spans="1:44" ht="12.75" customHeight="1">
      <c r="A43" s="52"/>
      <c r="B43" s="487" t="s">
        <v>262</v>
      </c>
      <c r="C43" s="394" t="str">
        <f t="shared" ref="C43:C45" si="49">D$6&amp;"."&amp;B43</f>
        <v>General Service 50 to 1,499 KW.Wholesale Market Service Charge (WMSC)</v>
      </c>
      <c r="D43" s="395" t="s">
        <v>312</v>
      </c>
      <c r="E43" s="321"/>
      <c r="F43" s="413">
        <f>IFERROR(VLOOKUP($C43,'Proposed Rates'!$B:$J,F$11,FALSE),0)</f>
        <v>4.4999999999999997E-3</v>
      </c>
      <c r="G43" s="420">
        <f t="shared" ref="G43:G44" si="50">$F$9+G$37</f>
        <v>264135.90000000002</v>
      </c>
      <c r="H43" s="399">
        <f t="shared" ref="H43:H46" si="51">G43*F43</f>
        <v>1188.6115500000001</v>
      </c>
      <c r="I43" s="132"/>
      <c r="J43" s="413">
        <f>IFERROR(VLOOKUP($C43,'Proposed Rates'!$B:$J,J$11,FALSE),0)</f>
        <v>4.7000000000000002E-3</v>
      </c>
      <c r="K43" s="420">
        <f t="shared" ref="K43:K44" si="52">$F$9+K$37</f>
        <v>263982.59999999998</v>
      </c>
      <c r="L43" s="399">
        <f t="shared" ref="L43:L46" si="53">K43*J43</f>
        <v>1240.71822</v>
      </c>
      <c r="M43" s="132"/>
      <c r="N43" s="400">
        <f t="shared" si="5"/>
        <v>52.106669999999895</v>
      </c>
      <c r="O43" s="401">
        <f t="shared" si="6"/>
        <v>4.3838266589282165E-2</v>
      </c>
      <c r="P43" s="52"/>
      <c r="Q43" s="413">
        <f>IFERROR(VLOOKUP($C43,'Proposed Rates'!$B:$J,Q$11,FALSE),0)</f>
        <v>4.7000000000000002E-3</v>
      </c>
      <c r="R43" s="420">
        <f t="shared" ref="R43:R44" si="54">$F$9+R$37</f>
        <v>263982.59999999998</v>
      </c>
      <c r="S43" s="399">
        <f t="shared" ref="S43:S46" si="55">R43*Q43</f>
        <v>1240.71822</v>
      </c>
      <c r="T43" s="132"/>
      <c r="U43" s="400">
        <f t="shared" si="9"/>
        <v>0</v>
      </c>
      <c r="V43" s="401">
        <f t="shared" si="10"/>
        <v>0</v>
      </c>
      <c r="W43" s="52"/>
      <c r="X43" s="413">
        <f>IFERROR(VLOOKUP($C43,'Proposed Rates'!$B:$J,X$11,FALSE),0)</f>
        <v>4.7000000000000002E-3</v>
      </c>
      <c r="Y43" s="420">
        <f t="shared" ref="Y43:Y44" si="56">$F$9+Y$37</f>
        <v>263982.59999999998</v>
      </c>
      <c r="Z43" s="399">
        <f t="shared" ref="Z43:Z46" si="57">Y43*X43</f>
        <v>1240.71822</v>
      </c>
      <c r="AA43" s="132"/>
      <c r="AB43" s="400">
        <f t="shared" si="13"/>
        <v>0</v>
      </c>
      <c r="AC43" s="401">
        <f t="shared" si="14"/>
        <v>0</v>
      </c>
      <c r="AD43" s="52"/>
      <c r="AE43" s="413">
        <f>IFERROR(VLOOKUP($C43,'Proposed Rates'!$B:$J,AE$11,FALSE),0)</f>
        <v>4.7000000000000002E-3</v>
      </c>
      <c r="AF43" s="420">
        <f t="shared" ref="AF43:AF44" si="58">$F$9+AF$37</f>
        <v>263982.59999999998</v>
      </c>
      <c r="AG43" s="399">
        <f t="shared" ref="AG43:AG46" si="59">AF43*AE43</f>
        <v>1240.71822</v>
      </c>
      <c r="AH43" s="132"/>
      <c r="AI43" s="400">
        <f t="shared" si="17"/>
        <v>0</v>
      </c>
      <c r="AJ43" s="401">
        <f t="shared" si="18"/>
        <v>0</v>
      </c>
      <c r="AK43" s="52"/>
      <c r="AL43" s="413">
        <f>IFERROR(VLOOKUP($C43,'Proposed Rates'!$B:$J,AL$11,FALSE),0)</f>
        <v>4.7000000000000002E-3</v>
      </c>
      <c r="AM43" s="420">
        <f t="shared" ref="AM43:AM44" si="60">$F$9+AM$37</f>
        <v>263982.59999999998</v>
      </c>
      <c r="AN43" s="399">
        <f t="shared" ref="AN43:AN46" si="61">AM43*AL43</f>
        <v>1240.71822</v>
      </c>
      <c r="AO43" s="132"/>
      <c r="AP43" s="400">
        <f t="shared" si="21"/>
        <v>0</v>
      </c>
      <c r="AQ43" s="401">
        <f t="shared" si="22"/>
        <v>0</v>
      </c>
      <c r="AR43" s="402"/>
    </row>
    <row r="44" spans="1:44" ht="12.75" customHeight="1">
      <c r="A44" s="52"/>
      <c r="B44" s="487" t="s">
        <v>263</v>
      </c>
      <c r="C44" s="394" t="str">
        <f t="shared" si="49"/>
        <v>General Service 50 to 1,499 KW.Rural and Remote Rate Protection (RRRP)</v>
      </c>
      <c r="D44" s="395" t="s">
        <v>312</v>
      </c>
      <c r="E44" s="321"/>
      <c r="F44" s="413">
        <f>IFERROR(VLOOKUP($C44,'Proposed Rates'!$B:$J,F$11,FALSE),0)</f>
        <v>1.5E-3</v>
      </c>
      <c r="G44" s="420">
        <f t="shared" si="50"/>
        <v>264135.90000000002</v>
      </c>
      <c r="H44" s="399">
        <f t="shared" si="51"/>
        <v>396.20385000000005</v>
      </c>
      <c r="I44" s="132"/>
      <c r="J44" s="413">
        <f>IFERROR(VLOOKUP($C44,'Proposed Rates'!$B:$J,J$11,FALSE),0)</f>
        <v>5.9999999999999995E-4</v>
      </c>
      <c r="K44" s="420">
        <f t="shared" si="52"/>
        <v>263982.59999999998</v>
      </c>
      <c r="L44" s="399">
        <f t="shared" si="53"/>
        <v>158.38955999999996</v>
      </c>
      <c r="M44" s="132"/>
      <c r="N44" s="400">
        <f t="shared" si="5"/>
        <v>-237.81429000000009</v>
      </c>
      <c r="O44" s="401">
        <f t="shared" si="6"/>
        <v>-0.60023215322112611</v>
      </c>
      <c r="P44" s="52"/>
      <c r="Q44" s="413">
        <f>IFERROR(VLOOKUP($C44,'Proposed Rates'!$B:$J,Q$11,FALSE),0)</f>
        <v>5.9999999999999995E-4</v>
      </c>
      <c r="R44" s="420">
        <f t="shared" si="54"/>
        <v>263982.59999999998</v>
      </c>
      <c r="S44" s="399">
        <f t="shared" si="55"/>
        <v>158.38955999999996</v>
      </c>
      <c r="T44" s="132"/>
      <c r="U44" s="400">
        <f t="shared" si="9"/>
        <v>0</v>
      </c>
      <c r="V44" s="401">
        <f t="shared" si="10"/>
        <v>0</v>
      </c>
      <c r="W44" s="52"/>
      <c r="X44" s="413">
        <f>IFERROR(VLOOKUP($C44,'Proposed Rates'!$B:$J,X$11,FALSE),0)</f>
        <v>5.9999999999999995E-4</v>
      </c>
      <c r="Y44" s="420">
        <f t="shared" si="56"/>
        <v>263982.59999999998</v>
      </c>
      <c r="Z44" s="399">
        <f t="shared" si="57"/>
        <v>158.38955999999996</v>
      </c>
      <c r="AA44" s="132"/>
      <c r="AB44" s="400">
        <f t="shared" si="13"/>
        <v>0</v>
      </c>
      <c r="AC44" s="401">
        <f t="shared" si="14"/>
        <v>0</v>
      </c>
      <c r="AD44" s="52"/>
      <c r="AE44" s="413">
        <f>IFERROR(VLOOKUP($C44,'Proposed Rates'!$B:$J,AE$11,FALSE),0)</f>
        <v>5.9999999999999995E-4</v>
      </c>
      <c r="AF44" s="420">
        <f t="shared" si="58"/>
        <v>263982.59999999998</v>
      </c>
      <c r="AG44" s="399">
        <f t="shared" si="59"/>
        <v>158.38955999999996</v>
      </c>
      <c r="AH44" s="132"/>
      <c r="AI44" s="400">
        <f t="shared" si="17"/>
        <v>0</v>
      </c>
      <c r="AJ44" s="401">
        <f t="shared" si="18"/>
        <v>0</v>
      </c>
      <c r="AK44" s="52"/>
      <c r="AL44" s="413">
        <f>IFERROR(VLOOKUP($C44,'Proposed Rates'!$B:$J,AL$11,FALSE),0)</f>
        <v>5.9999999999999995E-4</v>
      </c>
      <c r="AM44" s="420">
        <f t="shared" si="60"/>
        <v>263982.59999999998</v>
      </c>
      <c r="AN44" s="399">
        <f t="shared" si="61"/>
        <v>158.38955999999996</v>
      </c>
      <c r="AO44" s="132"/>
      <c r="AP44" s="400">
        <f t="shared" si="21"/>
        <v>0</v>
      </c>
      <c r="AQ44" s="401">
        <f t="shared" si="22"/>
        <v>0</v>
      </c>
      <c r="AR44" s="402"/>
    </row>
    <row r="45" spans="1:44" ht="12.75" customHeight="1">
      <c r="A45" s="52"/>
      <c r="B45" s="321" t="s">
        <v>264</v>
      </c>
      <c r="C45" s="394" t="str">
        <f t="shared" si="49"/>
        <v>General Service 50 to 1,499 KW.Standard Supply Service Charge</v>
      </c>
      <c r="D45" s="395" t="s">
        <v>310</v>
      </c>
      <c r="E45" s="321"/>
      <c r="F45" s="396">
        <f>IFERROR(VLOOKUP($C45,'Proposed Rates'!$B:$J,F$11,FALSE),0)</f>
        <v>0.25</v>
      </c>
      <c r="G45" s="414">
        <f>IF($D45="Monthly",1,IF($D45="per KW",$F$10,IF($D45="per kWh",$F$9,0)))</f>
        <v>1</v>
      </c>
      <c r="H45" s="399">
        <f t="shared" si="51"/>
        <v>0.25</v>
      </c>
      <c r="I45" s="132"/>
      <c r="J45" s="396">
        <f>IFERROR(VLOOKUP($C45,'Proposed Rates'!$B:$J,J$11,FALSE),0)</f>
        <v>0.25</v>
      </c>
      <c r="K45" s="414">
        <f>IF($D45="Monthly",1,IF($D45="per KW",$F$10,IF($D45="per kWh",$F$9,0)))</f>
        <v>1</v>
      </c>
      <c r="L45" s="399">
        <f t="shared" si="53"/>
        <v>0.25</v>
      </c>
      <c r="M45" s="132"/>
      <c r="N45" s="400">
        <f t="shared" si="5"/>
        <v>0</v>
      </c>
      <c r="O45" s="401">
        <f t="shared" si="6"/>
        <v>0</v>
      </c>
      <c r="P45" s="52"/>
      <c r="Q45" s="396">
        <f>IFERROR(VLOOKUP($C45,'Proposed Rates'!$B:$J,Q$11,FALSE),0)</f>
        <v>0.25</v>
      </c>
      <c r="R45" s="414">
        <f>IF($D45="Monthly",1,IF($D45="per KW",$F$10,IF($D45="per kWh",$F$9,0)))</f>
        <v>1</v>
      </c>
      <c r="S45" s="399">
        <f t="shared" si="55"/>
        <v>0.25</v>
      </c>
      <c r="T45" s="132"/>
      <c r="U45" s="400">
        <f t="shared" si="9"/>
        <v>0</v>
      </c>
      <c r="V45" s="401">
        <f t="shared" si="10"/>
        <v>0</v>
      </c>
      <c r="W45" s="52"/>
      <c r="X45" s="396">
        <f>IFERROR(VLOOKUP($C45,'Proposed Rates'!$B:$J,X$11,FALSE),0)</f>
        <v>0.25</v>
      </c>
      <c r="Y45" s="414">
        <f>IF($D45="Monthly",1,IF($D45="per KW",$F$10,IF($D45="per kWh",$F$9,0)))</f>
        <v>1</v>
      </c>
      <c r="Z45" s="399">
        <f t="shared" si="57"/>
        <v>0.25</v>
      </c>
      <c r="AA45" s="132"/>
      <c r="AB45" s="400">
        <f t="shared" si="13"/>
        <v>0</v>
      </c>
      <c r="AC45" s="401">
        <f t="shared" si="14"/>
        <v>0</v>
      </c>
      <c r="AD45" s="52"/>
      <c r="AE45" s="396">
        <f>IFERROR(VLOOKUP($C45,'Proposed Rates'!$B:$J,AE$11,FALSE),0)</f>
        <v>0.25</v>
      </c>
      <c r="AF45" s="414">
        <f>IF($D45="Monthly",1,IF($D45="per KW",$F$10,IF($D45="per kWh",$F$9,0)))</f>
        <v>1</v>
      </c>
      <c r="AG45" s="399">
        <f t="shared" si="59"/>
        <v>0.25</v>
      </c>
      <c r="AH45" s="132"/>
      <c r="AI45" s="400">
        <f t="shared" si="17"/>
        <v>0</v>
      </c>
      <c r="AJ45" s="401">
        <f t="shared" si="18"/>
        <v>0</v>
      </c>
      <c r="AK45" s="52"/>
      <c r="AL45" s="396">
        <f>IFERROR(VLOOKUP($C45,'Proposed Rates'!$B:$J,AL$11,FALSE),0)</f>
        <v>0.25</v>
      </c>
      <c r="AM45" s="414">
        <f>IF($D45="Monthly",1,IF($D45="per KW",$F$10,IF($D45="per kWh",$F$9,0)))</f>
        <v>1</v>
      </c>
      <c r="AN45" s="399">
        <f t="shared" si="61"/>
        <v>0.25</v>
      </c>
      <c r="AO45" s="132"/>
      <c r="AP45" s="400">
        <f t="shared" si="21"/>
        <v>0</v>
      </c>
      <c r="AQ45" s="401">
        <f t="shared" si="22"/>
        <v>0</v>
      </c>
      <c r="AR45" s="402"/>
    </row>
    <row r="46" spans="1:44" ht="12.75" customHeight="1">
      <c r="A46" s="52"/>
      <c r="B46" s="321" t="s">
        <v>271</v>
      </c>
      <c r="C46" s="394" t="str">
        <f>B46</f>
        <v>Average IESO Wholesale Market Price</v>
      </c>
      <c r="D46" s="395" t="s">
        <v>312</v>
      </c>
      <c r="E46" s="321"/>
      <c r="F46" s="413">
        <f>IFERROR(VLOOKUP($C46,'Proposed Rates'!$B:$J,F$11,FALSE),0)</f>
        <v>0.10453</v>
      </c>
      <c r="G46" s="420">
        <f>$F$9+G$37</f>
        <v>264135.90000000002</v>
      </c>
      <c r="H46" s="399">
        <f t="shared" si="51"/>
        <v>27610.125627000001</v>
      </c>
      <c r="I46" s="132"/>
      <c r="J46" s="413">
        <f>IFERROR(VLOOKUP($C46,'Proposed Rates'!$B:$J,J$11,FALSE),0)</f>
        <v>0.10453</v>
      </c>
      <c r="K46" s="420">
        <f>$F$9+K$37</f>
        <v>263982.59999999998</v>
      </c>
      <c r="L46" s="399">
        <f t="shared" si="53"/>
        <v>27594.101177999997</v>
      </c>
      <c r="M46" s="132"/>
      <c r="N46" s="400">
        <f t="shared" si="5"/>
        <v>-16.024449000004097</v>
      </c>
      <c r="O46" s="401">
        <f t="shared" si="6"/>
        <v>-5.8038305281500613E-4</v>
      </c>
      <c r="P46" s="52"/>
      <c r="Q46" s="413">
        <f>IFERROR(VLOOKUP($C46,'Proposed Rates'!$B:$J,Q$11,FALSE),0)</f>
        <v>0.10453</v>
      </c>
      <c r="R46" s="420">
        <f>$F$9+R$37</f>
        <v>263982.59999999998</v>
      </c>
      <c r="S46" s="399">
        <f t="shared" si="55"/>
        <v>27594.101177999997</v>
      </c>
      <c r="T46" s="132"/>
      <c r="U46" s="400">
        <f t="shared" si="9"/>
        <v>0</v>
      </c>
      <c r="V46" s="401">
        <f t="shared" si="10"/>
        <v>0</v>
      </c>
      <c r="W46" s="52"/>
      <c r="X46" s="413">
        <f>IFERROR(VLOOKUP($C46,'Proposed Rates'!$B:$J,X$11,FALSE),0)</f>
        <v>0.10453</v>
      </c>
      <c r="Y46" s="420">
        <f>$F$9+Y$37</f>
        <v>263982.59999999998</v>
      </c>
      <c r="Z46" s="399">
        <f t="shared" si="57"/>
        <v>27594.101177999997</v>
      </c>
      <c r="AA46" s="132"/>
      <c r="AB46" s="400">
        <f t="shared" si="13"/>
        <v>0</v>
      </c>
      <c r="AC46" s="401">
        <f t="shared" si="14"/>
        <v>0</v>
      </c>
      <c r="AD46" s="52"/>
      <c r="AE46" s="413">
        <f>IFERROR(VLOOKUP($C46,'Proposed Rates'!$B:$J,AE$11,FALSE),0)</f>
        <v>0.10453</v>
      </c>
      <c r="AF46" s="420">
        <f>$F$9+AF$37</f>
        <v>263982.59999999998</v>
      </c>
      <c r="AG46" s="399">
        <f t="shared" si="59"/>
        <v>27594.101177999997</v>
      </c>
      <c r="AH46" s="132"/>
      <c r="AI46" s="400">
        <f t="shared" si="17"/>
        <v>0</v>
      </c>
      <c r="AJ46" s="401">
        <f t="shared" si="18"/>
        <v>0</v>
      </c>
      <c r="AK46" s="52"/>
      <c r="AL46" s="413">
        <f>IFERROR(VLOOKUP($C46,'Proposed Rates'!$B:$J,AL$11,FALSE),0)</f>
        <v>0.10453</v>
      </c>
      <c r="AM46" s="420">
        <f>$F$9+AM$37</f>
        <v>263982.59999999998</v>
      </c>
      <c r="AN46" s="399">
        <f t="shared" si="61"/>
        <v>27594.101177999997</v>
      </c>
      <c r="AO46" s="132"/>
      <c r="AP46" s="400">
        <f t="shared" si="21"/>
        <v>0</v>
      </c>
      <c r="AQ46" s="401">
        <f t="shared" si="22"/>
        <v>0</v>
      </c>
      <c r="AR46" s="402"/>
    </row>
    <row r="47" spans="1:44" ht="7.5" customHeight="1">
      <c r="A47" s="52"/>
      <c r="B47" s="321"/>
      <c r="C47" s="394" t="str">
        <f t="shared" ref="C47:C50" si="62">D$6&amp;"."&amp;B47</f>
        <v>General Service 50 to 1,499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7.5" customHeight="1">
      <c r="A48" s="52"/>
      <c r="B48" s="52"/>
      <c r="C48" s="394" t="str">
        <f t="shared" si="62"/>
        <v>General Service 50 to 1,499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7.5" customHeight="1">
      <c r="A49" s="52"/>
      <c r="B49" s="321"/>
      <c r="C49" s="394" t="str">
        <f t="shared" si="62"/>
        <v>General Service 50 to 1,499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7.5" customHeight="1">
      <c r="A50" s="52"/>
      <c r="B50" s="321"/>
      <c r="C50" s="394" t="str">
        <f t="shared" si="62"/>
        <v>General Service 50 to 1,499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8.25" customHeight="1">
      <c r="A51" s="52"/>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75" customHeight="1">
      <c r="A52" s="52"/>
      <c r="B52" s="443" t="s">
        <v>319</v>
      </c>
      <c r="C52" s="321"/>
      <c r="D52" s="321"/>
      <c r="E52" s="321"/>
      <c r="F52" s="444"/>
      <c r="G52" s="488"/>
      <c r="H52" s="446">
        <f>SUM(H43:H48,H42)</f>
        <v>37464.256027000003</v>
      </c>
      <c r="I52" s="481"/>
      <c r="J52" s="445"/>
      <c r="K52" s="445"/>
      <c r="L52" s="446">
        <f>SUM(L43:L48,L42)</f>
        <v>37832.168957999995</v>
      </c>
      <c r="M52" s="448"/>
      <c r="N52" s="447">
        <f t="shared" ref="N52:N56" si="63">L52-H52</f>
        <v>367.91293099999166</v>
      </c>
      <c r="O52" s="449">
        <f t="shared" ref="O52:O56" si="64">IF((H52)=0,"",(N52/H52))</f>
        <v>9.8203720029790952E-3</v>
      </c>
      <c r="P52" s="52"/>
      <c r="Q52" s="445"/>
      <c r="R52" s="445"/>
      <c r="S52" s="446">
        <f>SUM(S43:S48,S42)</f>
        <v>37014.768957999993</v>
      </c>
      <c r="T52" s="448"/>
      <c r="U52" s="447">
        <f t="shared" ref="U52:U56" si="65">S52-L52</f>
        <v>-817.40000000000146</v>
      </c>
      <c r="V52" s="449">
        <f t="shared" ref="V52:V56" si="66">IF((L52)=0,"",(U52/L52))</f>
        <v>-2.160595129788756E-2</v>
      </c>
      <c r="W52" s="52"/>
      <c r="X52" s="445"/>
      <c r="Y52" s="445"/>
      <c r="Z52" s="446">
        <f>SUM(Z43:Z48,Z42)</f>
        <v>37315.763957999996</v>
      </c>
      <c r="AA52" s="448"/>
      <c r="AB52" s="447">
        <f t="shared" ref="AB52:AB56" si="67">Z52-S52</f>
        <v>300.99500000000262</v>
      </c>
      <c r="AC52" s="449">
        <f t="shared" ref="AC52:AC56" si="68">IF((S52)=0,"",(AB52/S52))</f>
        <v>8.1317541206737329E-3</v>
      </c>
      <c r="AD52" s="52"/>
      <c r="AE52" s="445"/>
      <c r="AF52" s="445"/>
      <c r="AG52" s="446">
        <f>SUM(AG43:AG48,AG42)</f>
        <v>37483.458957999996</v>
      </c>
      <c r="AH52" s="448"/>
      <c r="AI52" s="447">
        <f t="shared" ref="AI52:AI56" si="69">AG52-Z52</f>
        <v>167.69499999999971</v>
      </c>
      <c r="AJ52" s="449">
        <f t="shared" ref="AJ52:AJ56" si="70">IF((Z52)=0,"",(AI52/Z52))</f>
        <v>4.4939452449304111E-3</v>
      </c>
      <c r="AK52" s="52"/>
      <c r="AL52" s="445"/>
      <c r="AM52" s="445"/>
      <c r="AN52" s="446">
        <f>SUM(AN43:AN48,AN42)</f>
        <v>37637.128958000001</v>
      </c>
      <c r="AO52" s="448"/>
      <c r="AP52" s="447">
        <f t="shared" ref="AP52:AP56" si="71">AN52-AG52</f>
        <v>153.67000000000553</v>
      </c>
      <c r="AQ52" s="449">
        <f t="shared" ref="AQ52:AQ56" si="72">IF((AG52)=0,"",(AP52/AG52))</f>
        <v>4.0996750105744481E-3</v>
      </c>
      <c r="AR52" s="450"/>
    </row>
    <row r="53" spans="1:44" ht="12.75" customHeight="1">
      <c r="A53" s="52"/>
      <c r="B53" s="451" t="s">
        <v>320</v>
      </c>
      <c r="C53" s="321"/>
      <c r="D53" s="321"/>
      <c r="E53" s="321"/>
      <c r="F53" s="444">
        <v>0.13</v>
      </c>
      <c r="G53" s="132"/>
      <c r="H53" s="489">
        <f>H52*F53</f>
        <v>4870.3532835100004</v>
      </c>
      <c r="I53" s="416"/>
      <c r="J53" s="452">
        <v>0.13</v>
      </c>
      <c r="K53" s="416"/>
      <c r="L53" s="399">
        <f>L52*J53</f>
        <v>4918.1819645399992</v>
      </c>
      <c r="M53" s="132"/>
      <c r="N53" s="400">
        <f t="shared" si="63"/>
        <v>47.828681029998734</v>
      </c>
      <c r="O53" s="401">
        <f t="shared" si="64"/>
        <v>9.8203720029790571E-3</v>
      </c>
      <c r="P53" s="52"/>
      <c r="Q53" s="452">
        <v>0.13</v>
      </c>
      <c r="R53" s="416"/>
      <c r="S53" s="399">
        <f>S52*Q53</f>
        <v>4811.9199645399995</v>
      </c>
      <c r="T53" s="132"/>
      <c r="U53" s="400">
        <f t="shared" si="65"/>
        <v>-106.26199999999972</v>
      </c>
      <c r="V53" s="401">
        <f t="shared" si="66"/>
        <v>-2.1605951297887466E-2</v>
      </c>
      <c r="W53" s="52"/>
      <c r="X53" s="452">
        <v>0.13</v>
      </c>
      <c r="Y53" s="416"/>
      <c r="Z53" s="399">
        <f>Z52*X53</f>
        <v>4851.0493145399996</v>
      </c>
      <c r="AA53" s="132"/>
      <c r="AB53" s="400">
        <f t="shared" si="67"/>
        <v>39.129350000000159</v>
      </c>
      <c r="AC53" s="401">
        <f t="shared" si="68"/>
        <v>8.1317541206736947E-3</v>
      </c>
      <c r="AD53" s="52"/>
      <c r="AE53" s="452">
        <v>0.13</v>
      </c>
      <c r="AF53" s="416"/>
      <c r="AG53" s="399">
        <f>AG52*AE53</f>
        <v>4872.84966454</v>
      </c>
      <c r="AH53" s="132"/>
      <c r="AI53" s="400">
        <f t="shared" si="69"/>
        <v>21.800350000000435</v>
      </c>
      <c r="AJ53" s="401">
        <f t="shared" si="70"/>
        <v>4.4939452449305091E-3</v>
      </c>
      <c r="AK53" s="52"/>
      <c r="AL53" s="452">
        <v>0.13</v>
      </c>
      <c r="AM53" s="416"/>
      <c r="AN53" s="399">
        <f>AN52*AL53</f>
        <v>4892.8267645400001</v>
      </c>
      <c r="AO53" s="132"/>
      <c r="AP53" s="400">
        <f t="shared" si="71"/>
        <v>19.977100000000064</v>
      </c>
      <c r="AQ53" s="401">
        <f t="shared" si="72"/>
        <v>4.0996750105743137E-3</v>
      </c>
      <c r="AR53" s="402"/>
    </row>
    <row r="54" spans="1:44" ht="12.75" customHeight="1">
      <c r="A54" s="52"/>
      <c r="B54" s="490" t="s">
        <v>394</v>
      </c>
      <c r="C54" s="321"/>
      <c r="D54" s="321"/>
      <c r="E54" s="321"/>
      <c r="F54" s="454"/>
      <c r="G54" s="132"/>
      <c r="H54" s="489">
        <f>H52+H53</f>
        <v>42334.609310510001</v>
      </c>
      <c r="I54" s="416"/>
      <c r="J54" s="416"/>
      <c r="K54" s="416"/>
      <c r="L54" s="399">
        <f>L52+L53</f>
        <v>42750.35092253999</v>
      </c>
      <c r="M54" s="132"/>
      <c r="N54" s="400">
        <f t="shared" si="63"/>
        <v>415.74161202998948</v>
      </c>
      <c r="O54" s="401">
        <f t="shared" si="64"/>
        <v>9.8203720029790692E-3</v>
      </c>
      <c r="P54" s="52"/>
      <c r="Q54" s="416"/>
      <c r="R54" s="416"/>
      <c r="S54" s="399">
        <f>S52+S53</f>
        <v>41826.688922539994</v>
      </c>
      <c r="T54" s="132"/>
      <c r="U54" s="400">
        <f t="shared" si="65"/>
        <v>-923.66199999999662</v>
      </c>
      <c r="V54" s="401">
        <f t="shared" si="66"/>
        <v>-2.1605951297887446E-2</v>
      </c>
      <c r="W54" s="52"/>
      <c r="X54" s="416"/>
      <c r="Y54" s="416"/>
      <c r="Z54" s="399">
        <f>Z52+Z53</f>
        <v>42166.813272539992</v>
      </c>
      <c r="AA54" s="132"/>
      <c r="AB54" s="400">
        <f t="shared" si="67"/>
        <v>340.12434999999823</v>
      </c>
      <c r="AC54" s="401">
        <f t="shared" si="68"/>
        <v>8.1317541206736201E-3</v>
      </c>
      <c r="AD54" s="52"/>
      <c r="AE54" s="416"/>
      <c r="AF54" s="416"/>
      <c r="AG54" s="399">
        <f>AG52+AG53</f>
        <v>42356.308622539997</v>
      </c>
      <c r="AH54" s="132"/>
      <c r="AI54" s="400">
        <f t="shared" si="69"/>
        <v>189.49535000000469</v>
      </c>
      <c r="AJ54" s="401">
        <f t="shared" si="70"/>
        <v>4.4939452449305308E-3</v>
      </c>
      <c r="AK54" s="52"/>
      <c r="AL54" s="416"/>
      <c r="AM54" s="416"/>
      <c r="AN54" s="399">
        <f>AN52+AN53</f>
        <v>42529.955722539999</v>
      </c>
      <c r="AO54" s="132"/>
      <c r="AP54" s="400">
        <f t="shared" si="71"/>
        <v>173.64710000000196</v>
      </c>
      <c r="AQ54" s="401">
        <f t="shared" si="72"/>
        <v>4.0996750105743466E-3</v>
      </c>
      <c r="AR54" s="402"/>
    </row>
    <row r="55" spans="1:44" ht="15.75" customHeight="1">
      <c r="A55" s="52"/>
      <c r="B55" s="632" t="s">
        <v>277</v>
      </c>
      <c r="C55" s="623"/>
      <c r="D55" s="623"/>
      <c r="E55" s="321"/>
      <c r="F55" s="454"/>
      <c r="G55" s="132"/>
      <c r="H55" s="491">
        <f>F55*H52</f>
        <v>0</v>
      </c>
      <c r="I55" s="416"/>
      <c r="J55" s="416"/>
      <c r="K55" s="416"/>
      <c r="L55" s="511">
        <f>J55*L52</f>
        <v>0</v>
      </c>
      <c r="M55" s="132"/>
      <c r="N55" s="456">
        <f t="shared" si="63"/>
        <v>0</v>
      </c>
      <c r="O55" s="458" t="str">
        <f t="shared" si="64"/>
        <v/>
      </c>
      <c r="P55" s="52"/>
      <c r="Q55" s="416"/>
      <c r="R55" s="416"/>
      <c r="S55" s="511">
        <f>Q55*S52</f>
        <v>0</v>
      </c>
      <c r="T55" s="132"/>
      <c r="U55" s="456">
        <f t="shared" si="65"/>
        <v>0</v>
      </c>
      <c r="V55" s="458" t="str">
        <f t="shared" si="66"/>
        <v/>
      </c>
      <c r="W55" s="52"/>
      <c r="X55" s="416"/>
      <c r="Y55" s="416"/>
      <c r="Z55" s="511">
        <f>X55*Z52</f>
        <v>0</v>
      </c>
      <c r="AA55" s="132"/>
      <c r="AB55" s="456">
        <f t="shared" si="67"/>
        <v>0</v>
      </c>
      <c r="AC55" s="458" t="str">
        <f t="shared" si="68"/>
        <v/>
      </c>
      <c r="AD55" s="52"/>
      <c r="AE55" s="416"/>
      <c r="AF55" s="416"/>
      <c r="AG55" s="511">
        <f>AE55*AG52</f>
        <v>0</v>
      </c>
      <c r="AH55" s="132"/>
      <c r="AI55" s="456">
        <f t="shared" si="69"/>
        <v>0</v>
      </c>
      <c r="AJ55" s="458" t="str">
        <f t="shared" si="70"/>
        <v/>
      </c>
      <c r="AK55" s="52"/>
      <c r="AL55" s="416"/>
      <c r="AM55" s="416"/>
      <c r="AN55" s="511">
        <f>AL55*AN52</f>
        <v>0</v>
      </c>
      <c r="AO55" s="132"/>
      <c r="AP55" s="456">
        <f t="shared" si="71"/>
        <v>0</v>
      </c>
      <c r="AQ55" s="458" t="str">
        <f t="shared" si="72"/>
        <v/>
      </c>
      <c r="AR55" s="459"/>
    </row>
    <row r="56" spans="1:44" ht="13.5" customHeight="1">
      <c r="A56" s="52"/>
      <c r="B56" s="634" t="s">
        <v>322</v>
      </c>
      <c r="C56" s="615"/>
      <c r="D56" s="615"/>
      <c r="E56" s="460"/>
      <c r="F56" s="461"/>
      <c r="G56" s="492"/>
      <c r="H56" s="493">
        <f>H54-H55</f>
        <v>42334.609310510001</v>
      </c>
      <c r="I56" s="462"/>
      <c r="J56" s="462"/>
      <c r="K56" s="462"/>
      <c r="L56" s="463">
        <f>L54-L55</f>
        <v>42750.35092253999</v>
      </c>
      <c r="M56" s="464"/>
      <c r="N56" s="465">
        <f t="shared" si="63"/>
        <v>415.74161202998948</v>
      </c>
      <c r="O56" s="466">
        <f t="shared" si="64"/>
        <v>9.8203720029790692E-3</v>
      </c>
      <c r="P56" s="52"/>
      <c r="Q56" s="462"/>
      <c r="R56" s="462"/>
      <c r="S56" s="463">
        <f>S54-S55</f>
        <v>41826.688922539994</v>
      </c>
      <c r="T56" s="464"/>
      <c r="U56" s="465">
        <f t="shared" si="65"/>
        <v>-923.66199999999662</v>
      </c>
      <c r="V56" s="466">
        <f t="shared" si="66"/>
        <v>-2.1605951297887446E-2</v>
      </c>
      <c r="W56" s="52"/>
      <c r="X56" s="462"/>
      <c r="Y56" s="462"/>
      <c r="Z56" s="463">
        <f>Z54-Z55</f>
        <v>42166.813272539992</v>
      </c>
      <c r="AA56" s="464"/>
      <c r="AB56" s="465">
        <f t="shared" si="67"/>
        <v>340.12434999999823</v>
      </c>
      <c r="AC56" s="466">
        <f t="shared" si="68"/>
        <v>8.1317541206736201E-3</v>
      </c>
      <c r="AD56" s="52"/>
      <c r="AE56" s="462"/>
      <c r="AF56" s="462"/>
      <c r="AG56" s="463">
        <f>AG54-AG55</f>
        <v>42356.308622539997</v>
      </c>
      <c r="AH56" s="464"/>
      <c r="AI56" s="465">
        <f t="shared" si="69"/>
        <v>189.49535000000469</v>
      </c>
      <c r="AJ56" s="466">
        <f t="shared" si="70"/>
        <v>4.4939452449305308E-3</v>
      </c>
      <c r="AK56" s="52"/>
      <c r="AL56" s="462"/>
      <c r="AM56" s="462"/>
      <c r="AN56" s="463">
        <f>AN54-AN55</f>
        <v>42529.955722539999</v>
      </c>
      <c r="AO56" s="464"/>
      <c r="AP56" s="465">
        <f t="shared" si="71"/>
        <v>173.64710000000196</v>
      </c>
      <c r="AQ56" s="466">
        <f t="shared" si="72"/>
        <v>4.0996750105743466E-3</v>
      </c>
      <c r="AR56" s="467"/>
    </row>
    <row r="57" spans="1:44" ht="8.25" customHeight="1">
      <c r="A57" s="52"/>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75" customHeight="1">
      <c r="A58" s="512"/>
      <c r="B58" s="513" t="s">
        <v>323</v>
      </c>
      <c r="C58" s="514"/>
      <c r="D58" s="514"/>
      <c r="E58" s="514"/>
      <c r="F58" s="515"/>
      <c r="G58" s="516"/>
      <c r="H58" s="517">
        <f>SUM(H49:H50,H42,H43:H45)</f>
        <v>9854.1304</v>
      </c>
      <c r="I58" s="518"/>
      <c r="J58" s="519"/>
      <c r="K58" s="519"/>
      <c r="L58" s="517">
        <f>SUM(L49:L50,L42,L43:L45)</f>
        <v>10238.067779999999</v>
      </c>
      <c r="M58" s="520"/>
      <c r="N58" s="521">
        <f t="shared" ref="N58:N62" si="73">L58-H58</f>
        <v>383.93737999999939</v>
      </c>
      <c r="O58" s="522">
        <f t="shared" ref="O58:O62" si="74">IF((H58)=0,"",(N58/H58))</f>
        <v>3.8962076247742713E-2</v>
      </c>
      <c r="P58" s="512"/>
      <c r="Q58" s="519"/>
      <c r="R58" s="519"/>
      <c r="S58" s="517">
        <f>SUM(S49:S50,S42,S43:S45)</f>
        <v>9420.6677799999998</v>
      </c>
      <c r="T58" s="520"/>
      <c r="U58" s="521">
        <f t="shared" ref="U58:U62" si="75">S58-L58</f>
        <v>-817.39999999999964</v>
      </c>
      <c r="V58" s="522">
        <f t="shared" ref="V58:V62" si="76">IF((L58)=0,"",(U58/L58))</f>
        <v>-7.9839283892687768E-2</v>
      </c>
      <c r="W58" s="512"/>
      <c r="X58" s="519"/>
      <c r="Y58" s="519"/>
      <c r="Z58" s="517">
        <f>SUM(Z49:Z50,Z42,Z43:Z45)</f>
        <v>9721.6627800000006</v>
      </c>
      <c r="AA58" s="520"/>
      <c r="AB58" s="521">
        <f t="shared" ref="AB58:AB62" si="77">Z58-S58</f>
        <v>300.9950000000008</v>
      </c>
      <c r="AC58" s="522">
        <f t="shared" ref="AC58:AC62" si="78">IF((S58)=0,"",(AB58/S58))</f>
        <v>3.1950495127214942E-2</v>
      </c>
      <c r="AD58" s="512"/>
      <c r="AE58" s="519"/>
      <c r="AF58" s="519"/>
      <c r="AG58" s="517">
        <f>SUM(AG49:AG50,AG42,AG43:AG45)</f>
        <v>9889.3577800000003</v>
      </c>
      <c r="AH58" s="520"/>
      <c r="AI58" s="521">
        <f t="shared" ref="AI58:AI62" si="79">AG58-Z58</f>
        <v>167.69499999999971</v>
      </c>
      <c r="AJ58" s="522">
        <f t="shared" ref="AJ58:AJ62" si="80">IF((Z58)=0,"",(AI58/Z58))</f>
        <v>1.7249621159971945E-2</v>
      </c>
      <c r="AK58" s="512"/>
      <c r="AL58" s="519"/>
      <c r="AM58" s="519"/>
      <c r="AN58" s="517">
        <f>SUM(AN49:AN50,AN42,AN43:AN45)</f>
        <v>10043.027780000002</v>
      </c>
      <c r="AO58" s="520"/>
      <c r="AP58" s="521">
        <f t="shared" ref="AP58:AP62" si="81">AN58-AG58</f>
        <v>153.67000000000189</v>
      </c>
      <c r="AQ58" s="522">
        <f t="shared" ref="AQ58:AQ62" si="82">IF((AG58)=0,"",(AP58/AG58))</f>
        <v>1.5538926128325584E-2</v>
      </c>
      <c r="AR58" s="523"/>
    </row>
    <row r="59" spans="1:44" ht="12.75" customHeight="1">
      <c r="A59" s="512"/>
      <c r="B59" s="524" t="s">
        <v>320</v>
      </c>
      <c r="C59" s="514"/>
      <c r="D59" s="514"/>
      <c r="E59" s="514"/>
      <c r="F59" s="515">
        <v>0.13</v>
      </c>
      <c r="G59" s="516"/>
      <c r="H59" s="525">
        <f>H58*F59</f>
        <v>1281.0369520000002</v>
      </c>
      <c r="I59" s="526"/>
      <c r="J59" s="515">
        <v>0.13</v>
      </c>
      <c r="K59" s="527"/>
      <c r="L59" s="528">
        <f>L58*J59</f>
        <v>1330.9488114000001</v>
      </c>
      <c r="M59" s="529"/>
      <c r="N59" s="530">
        <f t="shared" si="73"/>
        <v>49.911859399999912</v>
      </c>
      <c r="O59" s="531">
        <f t="shared" si="74"/>
        <v>3.89620762477427E-2</v>
      </c>
      <c r="P59" s="512"/>
      <c r="Q59" s="515">
        <v>0.13</v>
      </c>
      <c r="R59" s="527"/>
      <c r="S59" s="528">
        <f>S58*Q59</f>
        <v>1224.6868114000001</v>
      </c>
      <c r="T59" s="529"/>
      <c r="U59" s="530">
        <f t="shared" si="75"/>
        <v>-106.26199999999994</v>
      </c>
      <c r="V59" s="531">
        <f t="shared" si="76"/>
        <v>-7.9839283892687754E-2</v>
      </c>
      <c r="W59" s="512"/>
      <c r="X59" s="515">
        <v>0.13</v>
      </c>
      <c r="Y59" s="527"/>
      <c r="Z59" s="528">
        <f>Z58*X59</f>
        <v>1263.8161614000001</v>
      </c>
      <c r="AA59" s="529"/>
      <c r="AB59" s="530">
        <f t="shared" si="77"/>
        <v>39.129349999999931</v>
      </c>
      <c r="AC59" s="531">
        <f t="shared" si="78"/>
        <v>3.1950495127214797E-2</v>
      </c>
      <c r="AD59" s="512"/>
      <c r="AE59" s="515">
        <v>0.13</v>
      </c>
      <c r="AF59" s="527"/>
      <c r="AG59" s="528">
        <f>AG58*AE59</f>
        <v>1285.6165114</v>
      </c>
      <c r="AH59" s="529"/>
      <c r="AI59" s="530">
        <f t="shared" si="79"/>
        <v>21.80034999999998</v>
      </c>
      <c r="AJ59" s="531">
        <f t="shared" si="80"/>
        <v>1.7249621159971962E-2</v>
      </c>
      <c r="AK59" s="512"/>
      <c r="AL59" s="515">
        <v>0.13</v>
      </c>
      <c r="AM59" s="527"/>
      <c r="AN59" s="528">
        <f>AN58*AL59</f>
        <v>1305.5936114000003</v>
      </c>
      <c r="AO59" s="529"/>
      <c r="AP59" s="530">
        <f t="shared" si="81"/>
        <v>19.977100000000291</v>
      </c>
      <c r="AQ59" s="531">
        <f t="shared" si="82"/>
        <v>1.5538926128325619E-2</v>
      </c>
      <c r="AR59" s="532"/>
    </row>
    <row r="60" spans="1:44" ht="12.75" customHeight="1">
      <c r="A60" s="512"/>
      <c r="B60" s="553" t="s">
        <v>395</v>
      </c>
      <c r="C60" s="514"/>
      <c r="D60" s="514"/>
      <c r="E60" s="514"/>
      <c r="F60" s="534"/>
      <c r="G60" s="529"/>
      <c r="H60" s="525">
        <f>H58+H59</f>
        <v>11135.167352</v>
      </c>
      <c r="I60" s="526"/>
      <c r="J60" s="526"/>
      <c r="K60" s="526"/>
      <c r="L60" s="528">
        <f>L58+L59</f>
        <v>11569.016591399999</v>
      </c>
      <c r="M60" s="529"/>
      <c r="N60" s="530">
        <f t="shared" si="73"/>
        <v>433.84923939999862</v>
      </c>
      <c r="O60" s="531">
        <f t="shared" si="74"/>
        <v>3.8962076247742651E-2</v>
      </c>
      <c r="P60" s="512"/>
      <c r="Q60" s="526"/>
      <c r="R60" s="526"/>
      <c r="S60" s="528">
        <f>S58+S59</f>
        <v>10645.354591400001</v>
      </c>
      <c r="T60" s="529"/>
      <c r="U60" s="530">
        <f t="shared" si="75"/>
        <v>-923.66199999999844</v>
      </c>
      <c r="V60" s="531">
        <f t="shared" si="76"/>
        <v>-7.9839283892687685E-2</v>
      </c>
      <c r="W60" s="512"/>
      <c r="X60" s="526"/>
      <c r="Y60" s="526"/>
      <c r="Z60" s="528">
        <f>Z58+Z59</f>
        <v>10985.478941400001</v>
      </c>
      <c r="AA60" s="529"/>
      <c r="AB60" s="530">
        <f t="shared" si="77"/>
        <v>340.12435000000005</v>
      </c>
      <c r="AC60" s="531">
        <f t="shared" si="78"/>
        <v>3.1950495127214859E-2</v>
      </c>
      <c r="AD60" s="512"/>
      <c r="AE60" s="526"/>
      <c r="AF60" s="526"/>
      <c r="AG60" s="528">
        <f>AG58+AG59</f>
        <v>11174.9742914</v>
      </c>
      <c r="AH60" s="529"/>
      <c r="AI60" s="530">
        <f t="shared" si="79"/>
        <v>189.49534999999923</v>
      </c>
      <c r="AJ60" s="531">
        <f t="shared" si="80"/>
        <v>1.7249621159971907E-2</v>
      </c>
      <c r="AK60" s="512"/>
      <c r="AL60" s="526"/>
      <c r="AM60" s="526"/>
      <c r="AN60" s="528">
        <f>AN58+AN59</f>
        <v>11348.621391400002</v>
      </c>
      <c r="AO60" s="529"/>
      <c r="AP60" s="530">
        <f t="shared" si="81"/>
        <v>173.64710000000196</v>
      </c>
      <c r="AQ60" s="531">
        <f t="shared" si="82"/>
        <v>1.5538926128325569E-2</v>
      </c>
      <c r="AR60" s="532"/>
    </row>
    <row r="61" spans="1:44" ht="15.75" customHeight="1">
      <c r="A61" s="512"/>
      <c r="B61" s="644" t="s">
        <v>277</v>
      </c>
      <c r="C61" s="623"/>
      <c r="D61" s="623"/>
      <c r="E61" s="514"/>
      <c r="F61" s="534"/>
      <c r="G61" s="529"/>
      <c r="H61" s="535">
        <f>F61*H58</f>
        <v>0</v>
      </c>
      <c r="I61" s="526"/>
      <c r="J61" s="526"/>
      <c r="K61" s="526"/>
      <c r="L61" s="536">
        <f>J61*L58</f>
        <v>0</v>
      </c>
      <c r="M61" s="529"/>
      <c r="N61" s="537">
        <f t="shared" si="73"/>
        <v>0</v>
      </c>
      <c r="O61" s="538" t="str">
        <f t="shared" si="74"/>
        <v/>
      </c>
      <c r="P61" s="512"/>
      <c r="Q61" s="526"/>
      <c r="R61" s="526"/>
      <c r="S61" s="536">
        <f>Q61*S58</f>
        <v>0</v>
      </c>
      <c r="T61" s="529"/>
      <c r="U61" s="537">
        <f t="shared" si="75"/>
        <v>0</v>
      </c>
      <c r="V61" s="538" t="str">
        <f t="shared" si="76"/>
        <v/>
      </c>
      <c r="W61" s="512"/>
      <c r="X61" s="526"/>
      <c r="Y61" s="526"/>
      <c r="Z61" s="536">
        <f>X61*Z58</f>
        <v>0</v>
      </c>
      <c r="AA61" s="529"/>
      <c r="AB61" s="537">
        <f t="shared" si="77"/>
        <v>0</v>
      </c>
      <c r="AC61" s="538" t="str">
        <f t="shared" si="78"/>
        <v/>
      </c>
      <c r="AD61" s="512"/>
      <c r="AE61" s="526"/>
      <c r="AF61" s="526"/>
      <c r="AG61" s="536">
        <f>AE61*AG58</f>
        <v>0</v>
      </c>
      <c r="AH61" s="529"/>
      <c r="AI61" s="537">
        <f t="shared" si="79"/>
        <v>0</v>
      </c>
      <c r="AJ61" s="538" t="str">
        <f t="shared" si="80"/>
        <v/>
      </c>
      <c r="AK61" s="512"/>
      <c r="AL61" s="526"/>
      <c r="AM61" s="526"/>
      <c r="AN61" s="536">
        <f>AL61*AN58</f>
        <v>0</v>
      </c>
      <c r="AO61" s="529"/>
      <c r="AP61" s="537">
        <f t="shared" si="81"/>
        <v>0</v>
      </c>
      <c r="AQ61" s="538" t="str">
        <f t="shared" si="82"/>
        <v/>
      </c>
      <c r="AR61" s="539"/>
    </row>
    <row r="62" spans="1:44" ht="13.5" customHeight="1">
      <c r="A62" s="512"/>
      <c r="B62" s="643" t="s">
        <v>325</v>
      </c>
      <c r="C62" s="615"/>
      <c r="D62" s="615"/>
      <c r="E62" s="540"/>
      <c r="F62" s="541"/>
      <c r="G62" s="542"/>
      <c r="H62" s="543">
        <f>H60-H61</f>
        <v>11135.167352</v>
      </c>
      <c r="I62" s="544"/>
      <c r="J62" s="544"/>
      <c r="K62" s="544"/>
      <c r="L62" s="545">
        <f>L60-L61</f>
        <v>11569.016591399999</v>
      </c>
      <c r="M62" s="546"/>
      <c r="N62" s="547">
        <f t="shared" si="73"/>
        <v>433.84923939999862</v>
      </c>
      <c r="O62" s="548">
        <f t="shared" si="74"/>
        <v>3.8962076247742651E-2</v>
      </c>
      <c r="P62" s="512"/>
      <c r="Q62" s="544"/>
      <c r="R62" s="544"/>
      <c r="S62" s="545">
        <f>S60-S61</f>
        <v>10645.354591400001</v>
      </c>
      <c r="T62" s="546"/>
      <c r="U62" s="547">
        <f t="shared" si="75"/>
        <v>-923.66199999999844</v>
      </c>
      <c r="V62" s="548">
        <f t="shared" si="76"/>
        <v>-7.9839283892687685E-2</v>
      </c>
      <c r="W62" s="512"/>
      <c r="X62" s="544"/>
      <c r="Y62" s="544"/>
      <c r="Z62" s="545">
        <f>Z60-Z61</f>
        <v>10985.478941400001</v>
      </c>
      <c r="AA62" s="546"/>
      <c r="AB62" s="547">
        <f t="shared" si="77"/>
        <v>340.12435000000005</v>
      </c>
      <c r="AC62" s="548">
        <f t="shared" si="78"/>
        <v>3.1950495127214859E-2</v>
      </c>
      <c r="AD62" s="512"/>
      <c r="AE62" s="544"/>
      <c r="AF62" s="544"/>
      <c r="AG62" s="545">
        <f>AG60-AG61</f>
        <v>11174.9742914</v>
      </c>
      <c r="AH62" s="546"/>
      <c r="AI62" s="547">
        <f t="shared" si="79"/>
        <v>189.49534999999923</v>
      </c>
      <c r="AJ62" s="548">
        <f t="shared" si="80"/>
        <v>1.7249621159971907E-2</v>
      </c>
      <c r="AK62" s="512"/>
      <c r="AL62" s="544"/>
      <c r="AM62" s="544"/>
      <c r="AN62" s="545">
        <f>AN60-AN61</f>
        <v>11348.621391400002</v>
      </c>
      <c r="AO62" s="546"/>
      <c r="AP62" s="547">
        <f t="shared" si="81"/>
        <v>173.64710000000196</v>
      </c>
      <c r="AQ62" s="548">
        <f t="shared" si="82"/>
        <v>1.5538926128325569E-2</v>
      </c>
      <c r="AR62" s="549"/>
    </row>
    <row r="63" spans="1:44" ht="8.25" customHeight="1">
      <c r="A63" s="52"/>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75" customHeight="1">
      <c r="A64" s="52"/>
      <c r="B64" s="52"/>
      <c r="C64" s="52"/>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75" customHeight="1">
      <c r="A65" s="52"/>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7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8" t="s">
        <v>396</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328</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329</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330</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331</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333</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334</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335</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336</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C00-000000000000}">
      <formula1>"TOU,non-TOU"</formula1>
    </dataValidation>
    <dataValidation type="list" allowBlank="1" showErrorMessage="1" sqref="E15:E28 E30:E38 E40:E41 E43:E51 E57 E63" xr:uid="{00000000-0002-0000-1C00-000001000000}">
      <formula1>#REF!</formula1>
    </dataValidation>
    <dataValidation type="list" allowBlank="1" showInputMessage="1" showErrorMessage="1" prompt="Select Charge Unit - monthly, per kWh, per kW" sqref="D15:D28 D30:D38 D40:D41 D43:D51 D57 D63" xr:uid="{00000000-0002-0000-1C00-000002000000}">
      <formula1>"Monthly,per kWh,per kW"</formula1>
    </dataValidation>
  </dataValidations>
  <pageMargins left="0.74803149606299213" right="0.74803149606299213" top="0.98425196850393704" bottom="0.98425196850393704"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00"/>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12.5703125" defaultRowHeight="15" customHeight="1" outlineLevelRow="1" outlineLevelCol="1"/>
  <cols>
    <col min="1" max="1" width="1.85546875" customWidth="1"/>
    <col min="2" max="2" width="16.140625" customWidth="1"/>
    <col min="3" max="3" width="28.7109375" customWidth="1"/>
    <col min="4" max="6" width="8" hidden="1" customWidth="1" outlineLevel="1"/>
    <col min="7" max="7" width="12.42578125" customWidth="1" collapsed="1"/>
    <col min="8" max="8" width="13.85546875" customWidth="1"/>
    <col min="9" max="9" width="9.28515625" hidden="1" customWidth="1" outlineLevel="1"/>
    <col min="10" max="10" width="1.42578125" hidden="1" customWidth="1" outlineLevel="1"/>
    <col min="11" max="11" width="5" hidden="1" customWidth="1" outlineLevel="1"/>
    <col min="12" max="13" width="9.140625" hidden="1" customWidth="1" outlineLevel="1"/>
    <col min="14" max="14" width="10" hidden="1" customWidth="1" outlineLevel="1"/>
    <col min="15" max="17" width="9.140625" hidden="1" customWidth="1" outlineLevel="1"/>
    <col min="18" max="18" width="11" hidden="1" customWidth="1" outlineLevel="1"/>
    <col min="19" max="19" width="10.140625" hidden="1" customWidth="1" outlineLevel="1"/>
    <col min="20" max="20" width="14.140625" customWidth="1"/>
    <col min="21" max="21" width="11.42578125" customWidth="1"/>
    <col min="22" max="25" width="13.85546875" hidden="1" customWidth="1" outlineLevel="1"/>
    <col min="26" max="26" width="11.42578125" customWidth="1"/>
    <col min="27" max="27" width="10" customWidth="1"/>
    <col min="28" max="29" width="11.140625" customWidth="1"/>
    <col min="30" max="30" width="7.140625" customWidth="1"/>
    <col min="31" max="33" width="9.140625" customWidth="1"/>
    <col min="34" max="37" width="9.140625" hidden="1" customWidth="1" outlineLevel="1"/>
    <col min="38" max="38" width="9.140625" customWidth="1"/>
  </cols>
  <sheetData>
    <row r="1" spans="1:38" ht="30" customHeight="1">
      <c r="B1" s="115"/>
      <c r="C1" s="115"/>
      <c r="D1" s="115"/>
      <c r="E1" s="115"/>
      <c r="F1" s="115"/>
      <c r="G1" s="115"/>
      <c r="H1" s="115"/>
      <c r="I1" s="116" t="s">
        <v>155</v>
      </c>
      <c r="J1" s="117"/>
      <c r="K1" s="117"/>
      <c r="L1" s="118"/>
      <c r="M1" s="119"/>
      <c r="N1" s="120" t="s">
        <v>156</v>
      </c>
      <c r="O1" s="120"/>
      <c r="P1" s="117"/>
      <c r="T1" s="121"/>
      <c r="W1" s="122" t="s">
        <v>157</v>
      </c>
      <c r="X1" s="122" t="s">
        <v>158</v>
      </c>
      <c r="Y1" s="123"/>
      <c r="Z1" s="124"/>
      <c r="AA1" s="124"/>
      <c r="AB1" s="621" t="s">
        <v>159</v>
      </c>
      <c r="AC1" s="615"/>
      <c r="AD1" s="615"/>
      <c r="AE1" s="615"/>
      <c r="AF1" s="615"/>
      <c r="AG1" s="615"/>
      <c r="AH1" s="125"/>
      <c r="AI1" s="117"/>
      <c r="AJ1" s="117"/>
      <c r="AK1" s="117"/>
      <c r="AL1" s="117"/>
    </row>
    <row r="2" spans="1:38" ht="5.25" customHeight="1">
      <c r="B2" s="115"/>
      <c r="C2" s="115"/>
      <c r="D2" s="115"/>
      <c r="E2" s="115"/>
      <c r="F2" s="115"/>
      <c r="G2" s="115"/>
      <c r="H2" s="115"/>
      <c r="I2" s="116"/>
      <c r="T2" s="126"/>
      <c r="W2" s="127"/>
      <c r="X2" s="127"/>
      <c r="Y2" s="123"/>
      <c r="Z2" s="127"/>
      <c r="AA2" s="127"/>
      <c r="AB2" s="127"/>
      <c r="AC2" s="127"/>
      <c r="AD2" s="127"/>
      <c r="AE2" s="117"/>
      <c r="AF2" s="117"/>
      <c r="AG2" s="117"/>
      <c r="AH2" s="117"/>
      <c r="AI2" s="117"/>
      <c r="AJ2" s="117"/>
      <c r="AK2" s="117"/>
      <c r="AL2" s="117"/>
    </row>
    <row r="3" spans="1:38" ht="23.25" customHeight="1">
      <c r="A3" s="128"/>
      <c r="B3" s="128"/>
      <c r="C3" s="128"/>
      <c r="D3" s="129"/>
      <c r="E3" s="129"/>
      <c r="F3" s="129"/>
      <c r="G3" s="128"/>
      <c r="H3" s="128"/>
      <c r="I3" s="130"/>
      <c r="J3" s="131" t="s">
        <v>160</v>
      </c>
      <c r="K3" s="132"/>
      <c r="L3" s="133" t="s">
        <v>161</v>
      </c>
      <c r="M3" s="133">
        <v>2</v>
      </c>
      <c r="N3" s="133">
        <v>2</v>
      </c>
      <c r="O3" s="133">
        <v>1</v>
      </c>
      <c r="P3" s="133">
        <v>2</v>
      </c>
      <c r="Q3" s="133">
        <v>2</v>
      </c>
      <c r="R3" s="133" t="s">
        <v>161</v>
      </c>
      <c r="S3" s="128"/>
      <c r="T3" s="134"/>
      <c r="U3" s="132"/>
      <c r="V3" s="132"/>
      <c r="W3" s="622" t="s">
        <v>162</v>
      </c>
      <c r="X3" s="623"/>
      <c r="Y3" s="123"/>
      <c r="Z3" s="135"/>
      <c r="AA3" s="135"/>
      <c r="AB3" s="622" t="s">
        <v>162</v>
      </c>
      <c r="AC3" s="623"/>
      <c r="AD3" s="123"/>
      <c r="AE3" s="128"/>
      <c r="AF3" s="128"/>
      <c r="AG3" s="128"/>
      <c r="AH3" s="128"/>
      <c r="AI3" s="128"/>
      <c r="AJ3" s="128"/>
      <c r="AK3" s="128"/>
      <c r="AL3" s="128"/>
    </row>
    <row r="4" spans="1:38" ht="17.25">
      <c r="A4" s="117"/>
      <c r="B4" s="136" t="s">
        <v>163</v>
      </c>
      <c r="C4" s="137"/>
      <c r="D4" s="137"/>
      <c r="E4" s="137"/>
      <c r="F4" s="137"/>
      <c r="G4" s="138"/>
      <c r="H4" s="139" t="s">
        <v>164</v>
      </c>
      <c r="I4" s="140"/>
      <c r="J4" s="117"/>
      <c r="K4" s="117"/>
      <c r="L4" s="141" t="s">
        <v>165</v>
      </c>
      <c r="M4" s="141" t="s">
        <v>165</v>
      </c>
      <c r="N4" s="141" t="s">
        <v>165</v>
      </c>
      <c r="O4" s="141" t="s">
        <v>165</v>
      </c>
      <c r="P4" s="141" t="s">
        <v>165</v>
      </c>
      <c r="Q4" s="141" t="s">
        <v>165</v>
      </c>
      <c r="T4" s="142">
        <v>2</v>
      </c>
      <c r="V4" s="141" t="s">
        <v>166</v>
      </c>
      <c r="Y4" s="123"/>
      <c r="Z4" s="127">
        <v>1</v>
      </c>
      <c r="AA4" s="127">
        <v>2</v>
      </c>
      <c r="AB4" s="127">
        <v>1</v>
      </c>
      <c r="AC4" s="127">
        <v>2</v>
      </c>
      <c r="AD4" s="127"/>
      <c r="AE4" s="117"/>
      <c r="AF4" s="117"/>
      <c r="AG4" s="117"/>
      <c r="AH4" s="117"/>
      <c r="AI4" s="117"/>
      <c r="AJ4" s="117"/>
      <c r="AK4" s="117"/>
      <c r="AL4" s="117"/>
    </row>
    <row r="5" spans="1:38" ht="49.5" customHeight="1">
      <c r="A5" s="117"/>
      <c r="B5" s="143" t="s">
        <v>167</v>
      </c>
      <c r="C5" s="144"/>
      <c r="D5" s="145" t="s">
        <v>168</v>
      </c>
      <c r="E5" s="145" t="s">
        <v>169</v>
      </c>
      <c r="F5" s="145" t="s">
        <v>170</v>
      </c>
      <c r="G5" s="144" t="s">
        <v>171</v>
      </c>
      <c r="H5" s="146" t="s">
        <v>172</v>
      </c>
      <c r="I5" s="147" t="s">
        <v>173</v>
      </c>
      <c r="J5" s="117"/>
      <c r="K5" s="117"/>
      <c r="L5" s="148" t="s">
        <v>174</v>
      </c>
      <c r="M5" s="148" t="s">
        <v>175</v>
      </c>
      <c r="N5" s="149" t="s">
        <v>176</v>
      </c>
      <c r="O5" s="149" t="s">
        <v>177</v>
      </c>
      <c r="P5" s="148" t="s">
        <v>178</v>
      </c>
      <c r="Q5" s="148" t="s">
        <v>179</v>
      </c>
      <c r="R5" s="148" t="s">
        <v>180</v>
      </c>
      <c r="S5" s="148" t="s">
        <v>181</v>
      </c>
      <c r="T5" s="150" t="s">
        <v>182</v>
      </c>
      <c r="U5" s="151" t="s">
        <v>183</v>
      </c>
      <c r="V5" s="152" t="s">
        <v>184</v>
      </c>
      <c r="W5" s="152" t="s">
        <v>185</v>
      </c>
      <c r="X5" s="152" t="s">
        <v>186</v>
      </c>
      <c r="Y5" s="123"/>
      <c r="Z5" s="152" t="s">
        <v>187</v>
      </c>
      <c r="AA5" s="152" t="s">
        <v>188</v>
      </c>
      <c r="AB5" s="152" t="s">
        <v>189</v>
      </c>
      <c r="AC5" s="152" t="s">
        <v>190</v>
      </c>
      <c r="AE5" s="117"/>
      <c r="AF5" s="117"/>
      <c r="AG5" s="117"/>
      <c r="AH5" s="117"/>
      <c r="AI5" s="127" t="s">
        <v>191</v>
      </c>
      <c r="AJ5" s="117"/>
      <c r="AK5" s="117"/>
      <c r="AL5" s="117"/>
    </row>
    <row r="6" spans="1:38" ht="15" customHeight="1">
      <c r="A6" s="117"/>
      <c r="B6" s="618" t="s">
        <v>192</v>
      </c>
      <c r="C6" s="153" t="s">
        <v>193</v>
      </c>
      <c r="D6" s="154">
        <f>+'Res (750)'!H29</f>
        <v>34.51</v>
      </c>
      <c r="E6" s="155">
        <f>+'Res (750)'!L29</f>
        <v>40.04</v>
      </c>
      <c r="F6" s="155">
        <f>+'Res (750)'!S29</f>
        <v>42.64</v>
      </c>
      <c r="G6" s="156">
        <f>+'Res (750)'!Z29</f>
        <v>45.47</v>
      </c>
      <c r="H6" s="156">
        <f>+'Res (750)'!AG29</f>
        <v>46.98</v>
      </c>
      <c r="I6" s="157">
        <f>+'Res (750)'!AN29</f>
        <v>48.36</v>
      </c>
      <c r="J6" s="158"/>
      <c r="K6" s="158"/>
      <c r="L6" s="158"/>
      <c r="M6" s="158"/>
      <c r="N6" s="158"/>
      <c r="O6" s="159"/>
      <c r="P6" s="160"/>
      <c r="Q6" s="160"/>
      <c r="R6" s="159"/>
      <c r="S6" s="159"/>
      <c r="T6" s="161">
        <f t="shared" ref="T6:T8" si="0">H6</f>
        <v>46.98</v>
      </c>
      <c r="U6" s="162">
        <f t="shared" ref="U6:U55" si="1">H6-T6</f>
        <v>0</v>
      </c>
      <c r="V6" s="159"/>
      <c r="W6" s="156">
        <f>H6*'Res (750)'!$AC$15+H6</f>
        <v>50.098044090056277</v>
      </c>
      <c r="X6" s="156">
        <f t="shared" ref="X6:X8" si="2">W6</f>
        <v>50.098044090056277</v>
      </c>
      <c r="Y6" s="163"/>
      <c r="Z6" s="164"/>
      <c r="AA6" s="160"/>
      <c r="AB6" s="160"/>
      <c r="AC6" s="165"/>
      <c r="AE6" s="117"/>
      <c r="AF6" s="117"/>
      <c r="AG6" s="117"/>
      <c r="AH6" s="117"/>
      <c r="AI6" s="166"/>
      <c r="AJ6" s="117"/>
      <c r="AK6" s="117"/>
      <c r="AL6" s="117"/>
    </row>
    <row r="7" spans="1:38" ht="28.5">
      <c r="A7" s="117"/>
      <c r="B7" s="619"/>
      <c r="C7" s="167" t="s">
        <v>194</v>
      </c>
      <c r="D7" s="168"/>
      <c r="E7" s="169">
        <f>+'Res (750)'!N29</f>
        <v>5.5300000000000011</v>
      </c>
      <c r="F7" s="169">
        <f>+'Res (750)'!U29</f>
        <v>2.6000000000000014</v>
      </c>
      <c r="G7" s="170">
        <f>+'Res (750)'!AB29</f>
        <v>2.8299999999999983</v>
      </c>
      <c r="H7" s="171">
        <f>+'Res (750)'!AI29</f>
        <v>1.509999999999998</v>
      </c>
      <c r="I7" s="172">
        <f>+'Res (750)'!AP29</f>
        <v>1.3800000000000026</v>
      </c>
      <c r="J7" s="117"/>
      <c r="K7" s="117"/>
      <c r="L7" s="173">
        <f>'Proposed Rates'!I37</f>
        <v>0</v>
      </c>
      <c r="M7" s="173"/>
      <c r="N7" s="173">
        <f>'Res (750)'!AE31</f>
        <v>0</v>
      </c>
      <c r="O7" s="173">
        <f>'Res (750)'!AE32</f>
        <v>0</v>
      </c>
      <c r="P7" s="173"/>
      <c r="Q7" s="173"/>
      <c r="R7" s="173">
        <f>'Proposed Rates'!I90</f>
        <v>0</v>
      </c>
      <c r="S7" s="173">
        <f t="shared" ref="S7:S10" si="3">SUM(L7:R7)</f>
        <v>0</v>
      </c>
      <c r="T7" s="174">
        <f t="shared" si="0"/>
        <v>1.509999999999998</v>
      </c>
      <c r="U7" s="175">
        <f t="shared" si="1"/>
        <v>0</v>
      </c>
      <c r="V7" s="176">
        <f>'Proposed Rates'!J90</f>
        <v>0</v>
      </c>
      <c r="W7" s="171">
        <f>W6-H6</f>
        <v>3.11804409005628</v>
      </c>
      <c r="X7" s="171">
        <f t="shared" si="2"/>
        <v>3.11804409005628</v>
      </c>
      <c r="Y7" s="123"/>
      <c r="Z7" s="177"/>
      <c r="AA7" s="178"/>
      <c r="AB7" s="178">
        <f>-V8</f>
        <v>0</v>
      </c>
      <c r="AC7" s="179">
        <f>-V8</f>
        <v>0</v>
      </c>
      <c r="AD7" s="52" t="s">
        <v>195</v>
      </c>
      <c r="AE7" s="117"/>
      <c r="AF7" s="117"/>
      <c r="AG7" s="117"/>
      <c r="AH7" s="117"/>
      <c r="AI7" s="166">
        <f>L7*750</f>
        <v>0</v>
      </c>
      <c r="AJ7" s="117"/>
      <c r="AK7" s="117"/>
      <c r="AL7" s="117"/>
    </row>
    <row r="8" spans="1:38">
      <c r="A8" s="117"/>
      <c r="B8" s="619"/>
      <c r="C8" s="180" t="s">
        <v>196</v>
      </c>
      <c r="D8" s="181"/>
      <c r="E8" s="182">
        <f t="shared" ref="E8:I8" si="4">E7/D6</f>
        <v>0.16024340770791079</v>
      </c>
      <c r="F8" s="183">
        <f t="shared" si="4"/>
        <v>6.4935064935064971E-2</v>
      </c>
      <c r="G8" s="184">
        <f t="shared" si="4"/>
        <v>6.6369606003752302E-2</v>
      </c>
      <c r="H8" s="185">
        <f t="shared" si="4"/>
        <v>3.3208709038926719E-2</v>
      </c>
      <c r="I8" s="186">
        <f t="shared" si="4"/>
        <v>2.9374201787994946E-2</v>
      </c>
      <c r="J8" s="117"/>
      <c r="K8" s="117"/>
      <c r="L8" s="187">
        <f>'Res (750)'!AG30</f>
        <v>0</v>
      </c>
      <c r="M8" s="187"/>
      <c r="N8" s="187">
        <f>'Res (750)'!AG31</f>
        <v>0</v>
      </c>
      <c r="O8" s="187">
        <f>'Res (750)'!AG32</f>
        <v>0</v>
      </c>
      <c r="P8" s="187"/>
      <c r="Q8" s="187"/>
      <c r="R8" s="187">
        <f>'Res (750)'!AG21</f>
        <v>0</v>
      </c>
      <c r="S8" s="187">
        <f t="shared" si="3"/>
        <v>0</v>
      </c>
      <c r="T8" s="188">
        <f t="shared" si="0"/>
        <v>3.3208709038926719E-2</v>
      </c>
      <c r="U8" s="189">
        <f t="shared" si="1"/>
        <v>0</v>
      </c>
      <c r="V8" s="190">
        <f>R8</f>
        <v>0</v>
      </c>
      <c r="W8" s="185">
        <f>W7/W6</f>
        <v>6.2238838794809674E-2</v>
      </c>
      <c r="X8" s="185">
        <f t="shared" si="2"/>
        <v>6.2238838794809674E-2</v>
      </c>
      <c r="Y8" s="123"/>
      <c r="Z8" s="191"/>
      <c r="AA8" s="166"/>
      <c r="AB8" s="166"/>
      <c r="AC8" s="192"/>
      <c r="AE8" s="117"/>
      <c r="AF8" s="117"/>
      <c r="AG8" s="117"/>
      <c r="AH8" s="117"/>
      <c r="AI8" s="166"/>
      <c r="AJ8" s="117"/>
      <c r="AK8" s="117"/>
      <c r="AL8" s="117"/>
    </row>
    <row r="9" spans="1:38">
      <c r="A9" s="117"/>
      <c r="B9" s="619"/>
      <c r="C9" s="180" t="s">
        <v>197</v>
      </c>
      <c r="D9" s="181"/>
      <c r="E9" s="193">
        <f>+'Res (750)'!N53</f>
        <v>1.4520348024999876</v>
      </c>
      <c r="F9" s="193">
        <f>+'Res (750)'!U53</f>
        <v>0.64625000000000199</v>
      </c>
      <c r="G9" s="194">
        <f>+'Res (750)'!AB53</f>
        <v>0.66922101500000508</v>
      </c>
      <c r="H9" s="195">
        <f>+'Res (750)'!AI53</f>
        <v>0.35719999999999175</v>
      </c>
      <c r="I9" s="196">
        <f>+'Res (750)'!AP53</f>
        <v>0.32665000000000788</v>
      </c>
      <c r="J9" s="117"/>
      <c r="K9" s="117"/>
      <c r="N9" s="197">
        <f>N7/N$3</f>
        <v>0</v>
      </c>
      <c r="S9" s="198">
        <f t="shared" si="3"/>
        <v>0</v>
      </c>
      <c r="T9" s="199">
        <f>H9-S10-S10*0.13+S10*0.117</f>
        <v>0.35719999999999175</v>
      </c>
      <c r="U9" s="200">
        <f t="shared" si="1"/>
        <v>0</v>
      </c>
      <c r="W9" s="178">
        <f>-S8+V8</f>
        <v>0</v>
      </c>
      <c r="X9" s="178">
        <f>-L8</f>
        <v>0</v>
      </c>
      <c r="Y9" s="123"/>
      <c r="Z9" s="177">
        <f t="shared" ref="Z9:AA9" si="5">W9</f>
        <v>0</v>
      </c>
      <c r="AA9" s="178">
        <f t="shared" si="5"/>
        <v>0</v>
      </c>
      <c r="AB9" s="178">
        <f>-V8</f>
        <v>0</v>
      </c>
      <c r="AC9" s="179">
        <f>-S10-V8</f>
        <v>0</v>
      </c>
      <c r="AD9" s="52" t="s">
        <v>198</v>
      </c>
      <c r="AE9" s="117"/>
      <c r="AF9" s="117"/>
      <c r="AG9" s="117"/>
      <c r="AH9" s="117"/>
      <c r="AI9" s="166"/>
      <c r="AJ9" s="117"/>
      <c r="AK9" s="117"/>
      <c r="AL9" s="117"/>
    </row>
    <row r="10" spans="1:38">
      <c r="A10" s="117"/>
      <c r="B10" s="620"/>
      <c r="C10" s="201" t="s">
        <v>199</v>
      </c>
      <c r="D10" s="202"/>
      <c r="E10" s="203">
        <f>+'Res (750)'!O53</f>
        <v>4.0097694785943973E-2</v>
      </c>
      <c r="F10" s="203">
        <f>+'Res (750)'!V53</f>
        <v>1.7158084501644522E-2</v>
      </c>
      <c r="G10" s="204">
        <f>+'Res (750)'!AC53</f>
        <v>1.7468248491370755E-2</v>
      </c>
      <c r="H10" s="205">
        <f>+'Res (750)'!AJ53</f>
        <v>9.1636897234944944E-3</v>
      </c>
      <c r="I10" s="206">
        <f>+'Res (750)'!AQ53</f>
        <v>8.3038591139784346E-3</v>
      </c>
      <c r="J10" s="207"/>
      <c r="K10" s="207"/>
      <c r="L10" s="208">
        <f>IFERROR(ROUND(L8/L$3,2),)</f>
        <v>0</v>
      </c>
      <c r="M10" s="208"/>
      <c r="N10" s="208">
        <f>IFERROR(ROUND(N8/N$3,2),)</f>
        <v>0</v>
      </c>
      <c r="O10" s="208"/>
      <c r="P10" s="208"/>
      <c r="Q10" s="208"/>
      <c r="R10" s="208">
        <f>IFERROR(ROUND(R8/R$3,2),)</f>
        <v>0</v>
      </c>
      <c r="S10" s="208">
        <f t="shared" si="3"/>
        <v>0</v>
      </c>
      <c r="T10" s="209">
        <f>T9/'Res (750)'!Z53</f>
        <v>9.1636897234944944E-3</v>
      </c>
      <c r="U10" s="210">
        <f t="shared" si="1"/>
        <v>0</v>
      </c>
      <c r="V10" s="211"/>
      <c r="W10" s="212" t="s">
        <v>200</v>
      </c>
      <c r="X10" s="212" t="s">
        <v>200</v>
      </c>
      <c r="Y10" s="213"/>
      <c r="Z10" s="214"/>
      <c r="AA10" s="213"/>
      <c r="AB10" s="213"/>
      <c r="AC10" s="215"/>
      <c r="AE10" s="117"/>
      <c r="AF10" s="117"/>
      <c r="AG10" s="117"/>
      <c r="AH10" s="117"/>
      <c r="AI10" s="166"/>
      <c r="AJ10" s="117"/>
      <c r="AK10" s="117"/>
      <c r="AL10" s="117"/>
    </row>
    <row r="11" spans="1:38" hidden="1" outlineLevel="1">
      <c r="A11" s="117"/>
      <c r="B11" s="624" t="s">
        <v>201</v>
      </c>
      <c r="C11" s="167" t="s">
        <v>193</v>
      </c>
      <c r="D11" s="168">
        <f>+'Res (232)'!G30</f>
        <v>232</v>
      </c>
      <c r="E11" s="169">
        <f>+'Res (232)'!K30</f>
        <v>232</v>
      </c>
      <c r="F11" s="169">
        <f>+'Res (232)'!R30</f>
        <v>232</v>
      </c>
      <c r="G11" s="171">
        <f>+'Res (232)'!Y30</f>
        <v>232</v>
      </c>
      <c r="H11" s="171">
        <f>+'Res (232)'!AF30</f>
        <v>232</v>
      </c>
      <c r="I11" s="172">
        <f>+'Res (232)'!AM30</f>
        <v>232</v>
      </c>
      <c r="J11" s="117"/>
      <c r="K11" s="117"/>
      <c r="L11" s="117"/>
      <c r="M11" s="216"/>
      <c r="N11" s="216"/>
      <c r="O11" s="216"/>
      <c r="P11" s="166"/>
      <c r="Q11" s="166"/>
      <c r="T11" s="174">
        <f t="shared" ref="T11:T13" si="6">H11</f>
        <v>232</v>
      </c>
      <c r="U11" s="175">
        <f t="shared" si="1"/>
        <v>0</v>
      </c>
      <c r="W11" s="171">
        <f>H11*'Res (750)'!$AC$15+H11</f>
        <v>247.39774859287053</v>
      </c>
      <c r="X11" s="171">
        <f t="shared" ref="X11:X13" si="7">W11</f>
        <v>247.39774859287053</v>
      </c>
      <c r="Y11" s="166"/>
      <c r="Z11" s="191"/>
      <c r="AA11" s="166"/>
      <c r="AB11" s="166"/>
      <c r="AC11" s="217"/>
      <c r="AE11" s="117"/>
      <c r="AF11" s="117"/>
      <c r="AG11" s="117"/>
      <c r="AH11" s="117"/>
      <c r="AI11" s="166"/>
      <c r="AJ11" s="117"/>
      <c r="AK11" s="117"/>
      <c r="AL11" s="117"/>
    </row>
    <row r="12" spans="1:38" ht="28.5" hidden="1" outlineLevel="1">
      <c r="A12" s="117"/>
      <c r="B12" s="625"/>
      <c r="C12" s="167" t="s">
        <v>194</v>
      </c>
      <c r="D12" s="168"/>
      <c r="E12" s="169">
        <f>+'Res (232)'!M30</f>
        <v>0</v>
      </c>
      <c r="F12" s="169">
        <f>+'Res (232)'!T30</f>
        <v>0</v>
      </c>
      <c r="G12" s="170">
        <f>+'Res (232)'!AA30</f>
        <v>0</v>
      </c>
      <c r="H12" s="171">
        <f>+'Res (232)'!AH30</f>
        <v>0</v>
      </c>
      <c r="I12" s="172">
        <f>+'Res (232)'!AO30</f>
        <v>0</v>
      </c>
      <c r="J12" s="117"/>
      <c r="K12" s="117"/>
      <c r="L12" s="173">
        <f>L7</f>
        <v>0</v>
      </c>
      <c r="M12" s="173"/>
      <c r="N12" s="173">
        <f>'Res (232)'!AD32</f>
        <v>0</v>
      </c>
      <c r="O12" s="173">
        <f>'Res (232)'!AD33</f>
        <v>0</v>
      </c>
      <c r="P12" s="173"/>
      <c r="Q12" s="173"/>
      <c r="R12" s="173">
        <f t="shared" ref="R12:R13" si="8">R7</f>
        <v>0</v>
      </c>
      <c r="S12" s="173">
        <f t="shared" ref="S12:S15" si="9">SUM(L12:R12)</f>
        <v>0</v>
      </c>
      <c r="T12" s="174">
        <f t="shared" si="6"/>
        <v>0</v>
      </c>
      <c r="U12" s="175">
        <f t="shared" si="1"/>
        <v>0</v>
      </c>
      <c r="V12" s="176">
        <f>V7</f>
        <v>0</v>
      </c>
      <c r="W12" s="171">
        <f>W11-H11</f>
        <v>15.397748592870528</v>
      </c>
      <c r="X12" s="171">
        <f t="shared" si="7"/>
        <v>15.397748592870528</v>
      </c>
      <c r="Y12" s="166"/>
      <c r="Z12" s="177"/>
      <c r="AA12" s="178"/>
      <c r="AB12" s="178">
        <f>-V13</f>
        <v>0</v>
      </c>
      <c r="AC12" s="218">
        <f>-V13</f>
        <v>0</v>
      </c>
      <c r="AE12" s="117"/>
      <c r="AF12" s="117"/>
      <c r="AG12" s="117"/>
      <c r="AH12" s="117"/>
      <c r="AI12" s="166">
        <f>ROUND(L12*232,2)</f>
        <v>0</v>
      </c>
      <c r="AJ12" s="117"/>
      <c r="AK12" s="117"/>
      <c r="AL12" s="117"/>
    </row>
    <row r="13" spans="1:38" hidden="1" outlineLevel="1">
      <c r="A13" s="117"/>
      <c r="B13" s="625"/>
      <c r="C13" s="180" t="s">
        <v>196</v>
      </c>
      <c r="D13" s="181"/>
      <c r="E13" s="182">
        <f t="shared" ref="E13:I13" si="10">E12/D11</f>
        <v>0</v>
      </c>
      <c r="F13" s="183">
        <f t="shared" si="10"/>
        <v>0</v>
      </c>
      <c r="G13" s="184">
        <f t="shared" si="10"/>
        <v>0</v>
      </c>
      <c r="H13" s="185">
        <f t="shared" si="10"/>
        <v>0</v>
      </c>
      <c r="I13" s="186">
        <f t="shared" si="10"/>
        <v>0</v>
      </c>
      <c r="J13" s="117"/>
      <c r="K13" s="117"/>
      <c r="L13" s="187">
        <f>'Res (232)'!AF31</f>
        <v>232</v>
      </c>
      <c r="M13" s="187"/>
      <c r="N13" s="187">
        <f>'Res (232)'!AF32</f>
        <v>232</v>
      </c>
      <c r="O13" s="187">
        <f>'Res (232)'!AF33</f>
        <v>232</v>
      </c>
      <c r="P13" s="187"/>
      <c r="Q13" s="187"/>
      <c r="R13" s="187">
        <f t="shared" si="8"/>
        <v>0</v>
      </c>
      <c r="S13" s="187">
        <f t="shared" si="9"/>
        <v>696</v>
      </c>
      <c r="T13" s="188">
        <f t="shared" si="6"/>
        <v>0</v>
      </c>
      <c r="U13" s="189">
        <f t="shared" si="1"/>
        <v>0</v>
      </c>
      <c r="V13" s="176">
        <f>V12</f>
        <v>0</v>
      </c>
      <c r="W13" s="185">
        <f>W12/W11</f>
        <v>6.2238838794809702E-2</v>
      </c>
      <c r="X13" s="185">
        <f t="shared" si="7"/>
        <v>6.2238838794809702E-2</v>
      </c>
      <c r="Y13" s="166"/>
      <c r="Z13" s="191"/>
      <c r="AA13" s="166"/>
      <c r="AB13" s="166"/>
      <c r="AC13" s="217"/>
      <c r="AE13" s="117"/>
      <c r="AF13" s="117"/>
      <c r="AG13" s="117"/>
      <c r="AH13" s="117"/>
      <c r="AI13" s="166"/>
      <c r="AJ13" s="117"/>
      <c r="AK13" s="117"/>
      <c r="AL13" s="117"/>
    </row>
    <row r="14" spans="1:38" hidden="1" outlineLevel="1">
      <c r="A14" s="117"/>
      <c r="B14" s="625"/>
      <c r="C14" s="180" t="s">
        <v>197</v>
      </c>
      <c r="D14" s="181"/>
      <c r="E14" s="193">
        <f>+'Res (232)'!M55</f>
        <v>0</v>
      </c>
      <c r="F14" s="193">
        <f>+'Res (232)'!T55</f>
        <v>0</v>
      </c>
      <c r="G14" s="194">
        <f>+'Res (232)'!AA55</f>
        <v>0</v>
      </c>
      <c r="H14" s="195">
        <f>+'Res (232)'!AH55</f>
        <v>0</v>
      </c>
      <c r="I14" s="196">
        <f>+'Res (232)'!AO55</f>
        <v>0</v>
      </c>
      <c r="J14" s="117"/>
      <c r="K14" s="117"/>
      <c r="N14" s="197">
        <f>N12/N$3</f>
        <v>0</v>
      </c>
      <c r="S14" s="198">
        <f t="shared" si="9"/>
        <v>0</v>
      </c>
      <c r="T14" s="199">
        <f>H14-S15-S15*0.13+S15*0.117</f>
        <v>-117.50800000000001</v>
      </c>
      <c r="U14" s="200">
        <f t="shared" si="1"/>
        <v>117.50800000000001</v>
      </c>
      <c r="W14" s="178">
        <f>-S13+V13</f>
        <v>-696</v>
      </c>
      <c r="X14" s="178">
        <f>-L13</f>
        <v>-232</v>
      </c>
      <c r="Y14" s="166"/>
      <c r="Z14" s="177">
        <f t="shared" ref="Z14:AA14" si="11">W14</f>
        <v>-696</v>
      </c>
      <c r="AA14" s="178">
        <f t="shared" si="11"/>
        <v>-232</v>
      </c>
      <c r="AB14" s="178">
        <f>-V13</f>
        <v>0</v>
      </c>
      <c r="AC14" s="218">
        <f>-S15-V13</f>
        <v>-116</v>
      </c>
      <c r="AE14" s="117"/>
      <c r="AF14" s="117"/>
      <c r="AG14" s="117"/>
      <c r="AH14" s="117"/>
      <c r="AI14" s="166"/>
      <c r="AJ14" s="117"/>
      <c r="AK14" s="117"/>
      <c r="AL14" s="117"/>
    </row>
    <row r="15" spans="1:38" hidden="1" outlineLevel="1">
      <c r="A15" s="117"/>
      <c r="B15" s="626"/>
      <c r="C15" s="219" t="s">
        <v>199</v>
      </c>
      <c r="D15" s="220"/>
      <c r="E15" s="221">
        <f>+'Res (232)'!N55</f>
        <v>0</v>
      </c>
      <c r="F15" s="221">
        <f>+'Res (232)'!U55</f>
        <v>0</v>
      </c>
      <c r="G15" s="222">
        <f>+'Res (232)'!AB55</f>
        <v>0</v>
      </c>
      <c r="H15" s="223">
        <f>+'Res (232)'!AI55</f>
        <v>0</v>
      </c>
      <c r="I15" s="224">
        <f>+'Res (232)'!AP55</f>
        <v>0</v>
      </c>
      <c r="J15" s="117"/>
      <c r="K15" s="117"/>
      <c r="L15" s="225">
        <f>IFERROR(ROUND(L13/L$3,2),)</f>
        <v>0</v>
      </c>
      <c r="M15" s="225"/>
      <c r="N15" s="225">
        <f>IFERROR(ROUND(N13/N$3,2),)</f>
        <v>116</v>
      </c>
      <c r="O15" s="225"/>
      <c r="P15" s="225"/>
      <c r="Q15" s="225"/>
      <c r="R15" s="225">
        <f>IFERROR(ROUND(R13/R$3,2),)</f>
        <v>0</v>
      </c>
      <c r="S15" s="225">
        <f t="shared" si="9"/>
        <v>116</v>
      </c>
      <c r="T15" s="226" t="e">
        <f>T14/'Res (232)'!Y55</f>
        <v>#DIV/0!</v>
      </c>
      <c r="U15" s="227" t="e">
        <f t="shared" si="1"/>
        <v>#DIV/0!</v>
      </c>
      <c r="W15" s="228" t="s">
        <v>200</v>
      </c>
      <c r="X15" s="228" t="s">
        <v>200</v>
      </c>
      <c r="Y15" s="166"/>
      <c r="Z15" s="191"/>
      <c r="AA15" s="166"/>
      <c r="AB15" s="166"/>
      <c r="AC15" s="217"/>
      <c r="AE15" s="117"/>
      <c r="AF15" s="117"/>
      <c r="AG15" s="117"/>
      <c r="AH15" s="117"/>
      <c r="AI15" s="166"/>
      <c r="AJ15" s="117"/>
      <c r="AK15" s="117"/>
      <c r="AL15" s="117"/>
    </row>
    <row r="16" spans="1:38" ht="15" customHeight="1" collapsed="1">
      <c r="A16" s="117"/>
      <c r="B16" s="618" t="s">
        <v>202</v>
      </c>
      <c r="C16" s="153" t="s">
        <v>193</v>
      </c>
      <c r="D16" s="154">
        <f>+'SC (2000)'!H29</f>
        <v>85.93</v>
      </c>
      <c r="E16" s="155">
        <f>+'SC (2000)'!L29</f>
        <v>96.740000000000009</v>
      </c>
      <c r="F16" s="155">
        <f>+'SC (2000)'!S29</f>
        <v>102.21000000000001</v>
      </c>
      <c r="G16" s="156">
        <f>+'SC (2000)'!Z29</f>
        <v>108.89000000000001</v>
      </c>
      <c r="H16" s="156">
        <f>+'SC (2000)'!AG29</f>
        <v>110.86</v>
      </c>
      <c r="I16" s="157">
        <f>+'SC (2000)'!AN29</f>
        <v>112.49999999999999</v>
      </c>
      <c r="J16" s="158"/>
      <c r="K16" s="158"/>
      <c r="L16" s="158"/>
      <c r="M16" s="229"/>
      <c r="N16" s="229"/>
      <c r="O16" s="229"/>
      <c r="P16" s="160"/>
      <c r="Q16" s="160"/>
      <c r="R16" s="159"/>
      <c r="S16" s="159"/>
      <c r="T16" s="161">
        <f t="shared" ref="T16:T18" si="12">H16</f>
        <v>110.86</v>
      </c>
      <c r="U16" s="162">
        <f t="shared" si="1"/>
        <v>0</v>
      </c>
      <c r="V16" s="159"/>
      <c r="W16" s="156">
        <f>H16*'SC (2000)'!AC15+H16</f>
        <v>118.19603660682859</v>
      </c>
      <c r="X16" s="156">
        <f t="shared" ref="X16:X18" si="13">W16</f>
        <v>118.19603660682859</v>
      </c>
      <c r="Y16" s="160"/>
      <c r="Z16" s="164"/>
      <c r="AA16" s="160"/>
      <c r="AB16" s="160"/>
      <c r="AC16" s="165"/>
      <c r="AE16" s="117"/>
      <c r="AF16" s="117"/>
      <c r="AG16" s="117"/>
      <c r="AH16" s="117"/>
      <c r="AI16" s="166"/>
      <c r="AJ16" s="117"/>
      <c r="AK16" s="117"/>
      <c r="AL16" s="117"/>
    </row>
    <row r="17" spans="1:38" ht="28.5">
      <c r="A17" s="117"/>
      <c r="B17" s="619"/>
      <c r="C17" s="167" t="s">
        <v>194</v>
      </c>
      <c r="D17" s="168"/>
      <c r="E17" s="169">
        <f>+'SC (2000)'!N29</f>
        <v>10.810000000000002</v>
      </c>
      <c r="F17" s="169">
        <f>+'SC (2000)'!U29</f>
        <v>5.4699999999999989</v>
      </c>
      <c r="G17" s="170">
        <f>+'SC (2000)'!AB29</f>
        <v>6.6800000000000068</v>
      </c>
      <c r="H17" s="171">
        <f>+'SC (2000)'!AI29</f>
        <v>1.9699999999999847</v>
      </c>
      <c r="I17" s="172">
        <f>+'SC (2000)'!AP29</f>
        <v>1.6399999999999864</v>
      </c>
      <c r="J17" s="117"/>
      <c r="K17" s="117"/>
      <c r="L17" s="173">
        <f>L12</f>
        <v>0</v>
      </c>
      <c r="M17" s="173"/>
      <c r="N17" s="173">
        <f>'SC (2000)'!AE31</f>
        <v>0</v>
      </c>
      <c r="O17" s="173">
        <f>+'SC (2000)'!AE32</f>
        <v>0</v>
      </c>
      <c r="P17" s="173"/>
      <c r="Q17" s="173"/>
      <c r="R17" s="173">
        <f>'Proposed Rates'!I91</f>
        <v>0</v>
      </c>
      <c r="S17" s="173">
        <f t="shared" ref="S17:S20" si="14">SUM(L17:R17)</f>
        <v>0</v>
      </c>
      <c r="T17" s="174">
        <f t="shared" si="12"/>
        <v>1.9699999999999847</v>
      </c>
      <c r="U17" s="175">
        <f t="shared" si="1"/>
        <v>0</v>
      </c>
      <c r="V17" s="176">
        <f t="shared" ref="V17:V18" si="15">R17</f>
        <v>0</v>
      </c>
      <c r="W17" s="171">
        <f>W16-H16</f>
        <v>7.3360366068285856</v>
      </c>
      <c r="X17" s="171">
        <f t="shared" si="13"/>
        <v>7.3360366068285856</v>
      </c>
      <c r="Y17" s="166"/>
      <c r="Z17" s="177"/>
      <c r="AA17" s="178"/>
      <c r="AB17" s="178">
        <f>-V18</f>
        <v>0</v>
      </c>
      <c r="AC17" s="179">
        <f>-V18</f>
        <v>0</v>
      </c>
      <c r="AE17" s="117"/>
      <c r="AF17" s="117"/>
      <c r="AG17" s="117"/>
      <c r="AH17" s="117"/>
      <c r="AI17" s="166">
        <f>ROUND(L17*2000,2)</f>
        <v>0</v>
      </c>
      <c r="AJ17" s="117"/>
      <c r="AK17" s="117"/>
      <c r="AL17" s="117"/>
    </row>
    <row r="18" spans="1:38">
      <c r="A18" s="117"/>
      <c r="B18" s="619"/>
      <c r="C18" s="180" t="s">
        <v>196</v>
      </c>
      <c r="D18" s="181"/>
      <c r="E18" s="182">
        <f t="shared" ref="E18:I18" si="16">E17/D16</f>
        <v>0.12580006982427558</v>
      </c>
      <c r="F18" s="183">
        <f t="shared" si="16"/>
        <v>5.6543311970229465E-2</v>
      </c>
      <c r="G18" s="184">
        <f t="shared" si="16"/>
        <v>6.5355640348302574E-2</v>
      </c>
      <c r="H18" s="185">
        <f t="shared" si="16"/>
        <v>1.8091652125998572E-2</v>
      </c>
      <c r="I18" s="186">
        <f t="shared" si="16"/>
        <v>1.4793433158939079E-2</v>
      </c>
      <c r="J18" s="117"/>
      <c r="K18" s="117"/>
      <c r="L18" s="187">
        <f>'SC (2000)'!AG30</f>
        <v>0</v>
      </c>
      <c r="M18" s="187"/>
      <c r="N18" s="187">
        <f>'SC (2000)'!AG31</f>
        <v>0</v>
      </c>
      <c r="O18" s="187">
        <f>'SC (2000)'!AG32</f>
        <v>0</v>
      </c>
      <c r="P18" s="187"/>
      <c r="Q18" s="187"/>
      <c r="R18" s="187">
        <f>'SC (2000)'!AG21</f>
        <v>0</v>
      </c>
      <c r="S18" s="187">
        <f t="shared" si="14"/>
        <v>0</v>
      </c>
      <c r="T18" s="188">
        <f t="shared" si="12"/>
        <v>1.8091652125998572E-2</v>
      </c>
      <c r="U18" s="189">
        <f t="shared" si="1"/>
        <v>0</v>
      </c>
      <c r="V18" s="190">
        <f t="shared" si="15"/>
        <v>0</v>
      </c>
      <c r="W18" s="185">
        <f>W17/W16</f>
        <v>6.2066688676130771E-2</v>
      </c>
      <c r="X18" s="185">
        <f t="shared" si="13"/>
        <v>6.2066688676130771E-2</v>
      </c>
      <c r="Y18" s="166"/>
      <c r="Z18" s="191"/>
      <c r="AA18" s="166"/>
      <c r="AB18" s="166"/>
      <c r="AC18" s="192"/>
      <c r="AE18" s="117"/>
      <c r="AF18" s="117"/>
      <c r="AG18" s="117"/>
      <c r="AH18" s="117"/>
      <c r="AI18" s="166"/>
      <c r="AJ18" s="117"/>
      <c r="AK18" s="117"/>
      <c r="AL18" s="117"/>
    </row>
    <row r="19" spans="1:38">
      <c r="A19" s="117"/>
      <c r="B19" s="619"/>
      <c r="C19" s="180" t="s">
        <v>197</v>
      </c>
      <c r="D19" s="181"/>
      <c r="E19" s="193">
        <f>+'SC (2000)'!N54</f>
        <v>3.9993432999999641</v>
      </c>
      <c r="F19" s="193">
        <f>+'SC (2000)'!U54</f>
        <v>5.0746500000000196</v>
      </c>
      <c r="G19" s="194">
        <f>+'SC (2000)'!AB54</f>
        <v>5.9875500000000557</v>
      </c>
      <c r="H19" s="195">
        <f>+'SC (2000)'!AI54</f>
        <v>1.7721000000000231</v>
      </c>
      <c r="I19" s="196">
        <f>+'SC (2000)'!AP54</f>
        <v>1.4767499999999814</v>
      </c>
      <c r="J19" s="117"/>
      <c r="K19" s="117"/>
      <c r="N19" s="197">
        <f>N17/N$3</f>
        <v>0</v>
      </c>
      <c r="S19" s="198">
        <f t="shared" si="14"/>
        <v>0</v>
      </c>
      <c r="T19" s="199">
        <f>H19-S20-S20*0.13+S20*0.117</f>
        <v>1.7721000000000231</v>
      </c>
      <c r="U19" s="200">
        <f t="shared" si="1"/>
        <v>0</v>
      </c>
      <c r="W19" s="178">
        <f>-S18+V18</f>
        <v>0</v>
      </c>
      <c r="X19" s="178">
        <f>-L18</f>
        <v>0</v>
      </c>
      <c r="Y19" s="166"/>
      <c r="Z19" s="177">
        <f t="shared" ref="Z19:AA19" si="17">W19</f>
        <v>0</v>
      </c>
      <c r="AA19" s="178">
        <f t="shared" si="17"/>
        <v>0</v>
      </c>
      <c r="AB19" s="178">
        <f>-V18</f>
        <v>0</v>
      </c>
      <c r="AC19" s="179">
        <f>-S20-V18</f>
        <v>0</v>
      </c>
      <c r="AE19" s="117"/>
      <c r="AF19" s="117"/>
      <c r="AG19" s="117"/>
      <c r="AH19" s="117"/>
      <c r="AI19" s="166"/>
      <c r="AJ19" s="117"/>
      <c r="AK19" s="117"/>
      <c r="AL19" s="117"/>
    </row>
    <row r="20" spans="1:38">
      <c r="A20" s="117"/>
      <c r="B20" s="620"/>
      <c r="C20" s="201" t="s">
        <v>199</v>
      </c>
      <c r="D20" s="202"/>
      <c r="E20" s="203">
        <f>+'SC (2000)'!O54</f>
        <v>1.1114659346562977E-2</v>
      </c>
      <c r="F20" s="203">
        <f>+'SC (2000)'!V54</f>
        <v>1.3948039180224152E-2</v>
      </c>
      <c r="G20" s="204">
        <f>+'SC (2000)'!AC54</f>
        <v>1.6230822107006777E-2</v>
      </c>
      <c r="H20" s="205">
        <f>+'SC (2000)'!AJ54</f>
        <v>4.7270176888249372E-3</v>
      </c>
      <c r="I20" s="206">
        <f>+'SC (2000)'!AQ54</f>
        <v>3.9206484328602196E-3</v>
      </c>
      <c r="J20" s="207"/>
      <c r="K20" s="207"/>
      <c r="L20" s="208">
        <f>IFERROR(ROUND(L18/L$3,2),)</f>
        <v>0</v>
      </c>
      <c r="M20" s="208"/>
      <c r="N20" s="208">
        <f>IFERROR(ROUND(N18/N$3,2),)</f>
        <v>0</v>
      </c>
      <c r="O20" s="208"/>
      <c r="P20" s="208"/>
      <c r="Q20" s="208"/>
      <c r="R20" s="208">
        <f>IFERROR(ROUND(R18/R$3,2),)</f>
        <v>0</v>
      </c>
      <c r="S20" s="208">
        <f t="shared" si="14"/>
        <v>0</v>
      </c>
      <c r="T20" s="209">
        <f>T19/'SC (2000)'!Z54</f>
        <v>4.7270176888249372E-3</v>
      </c>
      <c r="U20" s="210">
        <f t="shared" si="1"/>
        <v>0</v>
      </c>
      <c r="V20" s="211"/>
      <c r="W20" s="212">
        <f>W19/'SC (2000)'!$AG$54</f>
        <v>0</v>
      </c>
      <c r="X20" s="212">
        <f>X19/'SC (2000)'!$AG$54</f>
        <v>0</v>
      </c>
      <c r="Y20" s="213"/>
      <c r="Z20" s="214"/>
      <c r="AA20" s="213"/>
      <c r="AB20" s="213"/>
      <c r="AC20" s="215"/>
      <c r="AE20" s="117"/>
      <c r="AF20" s="117"/>
      <c r="AG20" s="117"/>
      <c r="AH20" s="117"/>
      <c r="AI20" s="166"/>
      <c r="AJ20" s="117"/>
      <c r="AK20" s="117"/>
      <c r="AL20" s="117"/>
    </row>
    <row r="21" spans="1:38" ht="15" customHeight="1">
      <c r="A21" s="117"/>
      <c r="B21" s="618" t="s">
        <v>203</v>
      </c>
      <c r="C21" s="153" t="s">
        <v>193</v>
      </c>
      <c r="D21" s="154">
        <f>+'&gt;50 (250)'!H29</f>
        <v>1776.9</v>
      </c>
      <c r="E21" s="155">
        <f>+'&gt;50 (250)'!L29</f>
        <v>2160.3249999999998</v>
      </c>
      <c r="F21" s="155">
        <f>+'&gt;50 (250)'!S29</f>
        <v>2312.0499999999997</v>
      </c>
      <c r="G21" s="156">
        <f>+'&gt;50 (250)'!Z29</f>
        <v>2462.4749999999999</v>
      </c>
      <c r="H21" s="156">
        <f>+'&gt;50 (250)'!AG29</f>
        <v>2546.2249999999999</v>
      </c>
      <c r="I21" s="157">
        <f>+'&gt;50 (250)'!AN29</f>
        <v>2622.9500000000003</v>
      </c>
      <c r="J21" s="158"/>
      <c r="K21" s="158"/>
      <c r="L21" s="158"/>
      <c r="M21" s="229"/>
      <c r="N21" s="229"/>
      <c r="O21" s="229"/>
      <c r="P21" s="160"/>
      <c r="Q21" s="160"/>
      <c r="R21" s="159"/>
      <c r="S21" s="159"/>
      <c r="T21" s="161">
        <f t="shared" ref="T21:T23" si="18">H21</f>
        <v>2546.2249999999999</v>
      </c>
      <c r="U21" s="162">
        <f t="shared" si="1"/>
        <v>0</v>
      </c>
      <c r="V21" s="159"/>
      <c r="W21" s="156">
        <f>('&gt;50 (250)'!AE19*'&gt;50 (250)'!AC19+'&gt;50 (250)'!AE19)*250+'&gt;50 (250)'!AE15+'&gt;50 (250)'!AE21</f>
        <v>2721.6561912877214</v>
      </c>
      <c r="X21" s="156">
        <f t="shared" ref="X21:X23" si="19">W21</f>
        <v>2721.6561912877214</v>
      </c>
      <c r="Y21" s="160"/>
      <c r="Z21" s="164"/>
      <c r="AA21" s="160"/>
      <c r="AB21" s="160"/>
      <c r="AC21" s="165"/>
      <c r="AE21" s="117"/>
      <c r="AF21" s="117"/>
      <c r="AG21" s="117"/>
      <c r="AH21" s="117"/>
      <c r="AI21" s="166"/>
      <c r="AJ21" s="117"/>
      <c r="AK21" s="117"/>
      <c r="AL21" s="117"/>
    </row>
    <row r="22" spans="1:38" ht="15.75" customHeight="1">
      <c r="A22" s="117"/>
      <c r="B22" s="619"/>
      <c r="C22" s="167" t="s">
        <v>194</v>
      </c>
      <c r="D22" s="168"/>
      <c r="E22" s="169">
        <f>+'&gt;50 (250)'!N29</f>
        <v>383.42499999999973</v>
      </c>
      <c r="F22" s="169">
        <f>+'&gt;50 (250)'!U29</f>
        <v>151.72499999999991</v>
      </c>
      <c r="G22" s="170">
        <f>+'&gt;50 (250)'!AB29</f>
        <v>150.42500000000018</v>
      </c>
      <c r="H22" s="171">
        <f>+'&gt;50 (250)'!AI29</f>
        <v>83.75</v>
      </c>
      <c r="I22" s="172">
        <f>+'&gt;50 (250)'!AP29</f>
        <v>76.725000000000364</v>
      </c>
      <c r="J22" s="117"/>
      <c r="K22" s="117" t="s">
        <v>204</v>
      </c>
      <c r="L22" s="173">
        <f>'Proposed Rates'!I39</f>
        <v>0</v>
      </c>
      <c r="M22" s="173">
        <f>'Proposed Rates'!I158</f>
        <v>0</v>
      </c>
      <c r="N22" s="173">
        <f>'&gt;50 (250)'!AE31</f>
        <v>0</v>
      </c>
      <c r="O22" s="173">
        <f>'&gt;50 (250)'!AE32</f>
        <v>0</v>
      </c>
      <c r="P22" s="173">
        <f>'&gt;50 (250)'!AE35</f>
        <v>0</v>
      </c>
      <c r="Q22" s="173">
        <f>'&gt;50 (250)'!AE33</f>
        <v>0</v>
      </c>
      <c r="R22" s="173">
        <f>'Proposed Rates'!I92</f>
        <v>0</v>
      </c>
      <c r="S22" s="173">
        <f t="shared" ref="S22:S25" si="20">SUM(L22:R22)</f>
        <v>0</v>
      </c>
      <c r="T22" s="174">
        <f t="shared" si="18"/>
        <v>83.75</v>
      </c>
      <c r="U22" s="175">
        <f t="shared" si="1"/>
        <v>0</v>
      </c>
      <c r="V22" s="176">
        <f t="shared" ref="V22:V23" si="21">R22</f>
        <v>0</v>
      </c>
      <c r="W22" s="171">
        <f>W21-H21</f>
        <v>175.4311912877215</v>
      </c>
      <c r="X22" s="171">
        <f t="shared" si="19"/>
        <v>175.4311912877215</v>
      </c>
      <c r="Y22" s="166"/>
      <c r="Z22" s="177"/>
      <c r="AA22" s="178"/>
      <c r="AB22" s="230">
        <f>-V23</f>
        <v>0</v>
      </c>
      <c r="AC22" s="179">
        <f>-V23</f>
        <v>0</v>
      </c>
      <c r="AE22" s="117"/>
      <c r="AF22" s="117"/>
      <c r="AG22" s="117"/>
      <c r="AH22" s="117"/>
      <c r="AI22" s="166">
        <f>M22*250</f>
        <v>0</v>
      </c>
      <c r="AJ22" s="117"/>
      <c r="AK22" s="117"/>
      <c r="AL22" s="117"/>
    </row>
    <row r="23" spans="1:38" ht="15.75" customHeight="1">
      <c r="A23" s="117"/>
      <c r="B23" s="619"/>
      <c r="C23" s="180" t="s">
        <v>196</v>
      </c>
      <c r="D23" s="181"/>
      <c r="E23" s="182">
        <f t="shared" ref="E23:I23" si="22">E22/D21</f>
        <v>0.21578310540829518</v>
      </c>
      <c r="F23" s="182">
        <f t="shared" si="22"/>
        <v>7.0232488167289608E-2</v>
      </c>
      <c r="G23" s="184">
        <f t="shared" si="22"/>
        <v>6.5061309227741698E-2</v>
      </c>
      <c r="H23" s="185">
        <f t="shared" si="22"/>
        <v>3.4010497568503238E-2</v>
      </c>
      <c r="I23" s="186">
        <f t="shared" si="22"/>
        <v>3.0132843719624294E-2</v>
      </c>
      <c r="J23" s="117"/>
      <c r="K23" s="117" t="s">
        <v>205</v>
      </c>
      <c r="L23" s="187">
        <f>'&gt;50 (250)'!AG30</f>
        <v>0</v>
      </c>
      <c r="M23" s="187">
        <f>'&gt;50 (250)'!AG34</f>
        <v>0</v>
      </c>
      <c r="N23" s="187">
        <f>'&gt;50 (250)'!AG31</f>
        <v>0</v>
      </c>
      <c r="O23" s="187">
        <f>'&gt;50 (250)'!AG32</f>
        <v>0</v>
      </c>
      <c r="P23" s="187">
        <f>+'&gt;50 (250)'!AG35</f>
        <v>0</v>
      </c>
      <c r="Q23" s="187">
        <f>+'&gt;50 (250)'!AG33</f>
        <v>0</v>
      </c>
      <c r="R23" s="187">
        <f>'&gt;50 (250)'!AG21</f>
        <v>0</v>
      </c>
      <c r="S23" s="187">
        <f t="shared" si="20"/>
        <v>0</v>
      </c>
      <c r="T23" s="188">
        <f t="shared" si="18"/>
        <v>3.4010497568503238E-2</v>
      </c>
      <c r="U23" s="189">
        <f t="shared" si="1"/>
        <v>0</v>
      </c>
      <c r="V23" s="190">
        <f t="shared" si="21"/>
        <v>0</v>
      </c>
      <c r="W23" s="185">
        <f>W22/W21</f>
        <v>6.4457513718776574E-2</v>
      </c>
      <c r="X23" s="185">
        <f t="shared" si="19"/>
        <v>6.4457513718776574E-2</v>
      </c>
      <c r="Y23" s="166"/>
      <c r="Z23" s="191"/>
      <c r="AA23" s="166"/>
      <c r="AB23" s="166"/>
      <c r="AC23" s="192"/>
      <c r="AE23" s="117"/>
      <c r="AF23" s="117"/>
      <c r="AG23" s="117"/>
      <c r="AH23" s="117"/>
      <c r="AI23" s="166">
        <f>ROUND(L22*250,2)</f>
        <v>0</v>
      </c>
      <c r="AJ23" s="117"/>
      <c r="AK23" s="117"/>
      <c r="AL23" s="117"/>
    </row>
    <row r="24" spans="1:38" ht="15.75" customHeight="1">
      <c r="A24" s="117"/>
      <c r="B24" s="619"/>
      <c r="C24" s="180" t="s">
        <v>197</v>
      </c>
      <c r="D24" s="181"/>
      <c r="E24" s="193">
        <f>+'&gt;50 (250)'!N56</f>
        <v>207.87080601499474</v>
      </c>
      <c r="F24" s="193">
        <f>+'&gt;50 (250)'!U56</f>
        <v>-461.83099999999831</v>
      </c>
      <c r="G24" s="194">
        <f>+'&gt;50 (250)'!AB56</f>
        <v>170.06217499999912</v>
      </c>
      <c r="H24" s="195">
        <f>+'&gt;50 (250)'!AI56</f>
        <v>94.747675000002346</v>
      </c>
      <c r="I24" s="196">
        <f>+'&gt;50 (250)'!AP56</f>
        <v>86.823550000000978</v>
      </c>
      <c r="J24" s="117"/>
      <c r="K24" s="231" t="s">
        <v>204</v>
      </c>
      <c r="L24" s="120"/>
      <c r="M24" s="120"/>
      <c r="N24" s="120">
        <f>N22/N$3</f>
        <v>0</v>
      </c>
      <c r="O24" s="120"/>
      <c r="P24" s="120">
        <f>P22/P$3</f>
        <v>0</v>
      </c>
      <c r="Q24" s="120"/>
      <c r="R24" s="120"/>
      <c r="S24" s="120">
        <f t="shared" si="20"/>
        <v>0</v>
      </c>
      <c r="T24" s="199">
        <f>H24-S25-S25*0.13</f>
        <v>94.747675000002346</v>
      </c>
      <c r="U24" s="200">
        <f t="shared" si="1"/>
        <v>0</v>
      </c>
      <c r="W24" s="178">
        <f>-S23+V23</f>
        <v>0</v>
      </c>
      <c r="X24" s="178">
        <f>-L23</f>
        <v>0</v>
      </c>
      <c r="Y24" s="166"/>
      <c r="Z24" s="177">
        <f t="shared" ref="Z24:AA24" si="23">W24</f>
        <v>0</v>
      </c>
      <c r="AA24" s="178">
        <f t="shared" si="23"/>
        <v>0</v>
      </c>
      <c r="AB24" s="230">
        <f>-V23</f>
        <v>0</v>
      </c>
      <c r="AC24" s="179">
        <f>-S25-V23</f>
        <v>0</v>
      </c>
      <c r="AE24" s="117"/>
      <c r="AF24" s="117"/>
      <c r="AG24" s="117"/>
      <c r="AH24" s="117"/>
      <c r="AI24" s="166"/>
      <c r="AJ24" s="117"/>
      <c r="AK24" s="117"/>
      <c r="AL24" s="117"/>
    </row>
    <row r="25" spans="1:38" ht="15.75" customHeight="1">
      <c r="A25" s="117"/>
      <c r="B25" s="620"/>
      <c r="C25" s="201" t="s">
        <v>199</v>
      </c>
      <c r="D25" s="202"/>
      <c r="E25" s="203">
        <f>+'&gt;50 (250)'!O56</f>
        <v>9.7681602603854768E-3</v>
      </c>
      <c r="F25" s="203">
        <f>+'&gt;50 (250)'!V56</f>
        <v>-2.1492190672980048E-2</v>
      </c>
      <c r="G25" s="204">
        <f>+'&gt;50 (250)'!AC56</f>
        <v>8.0879980294970254E-3</v>
      </c>
      <c r="H25" s="205">
        <f>+'&gt;50 (250)'!AJ56</f>
        <v>4.4699578208852999E-3</v>
      </c>
      <c r="I25" s="206">
        <f>+'&gt;50 (250)'!AQ56</f>
        <v>4.0778894713169849E-3</v>
      </c>
      <c r="J25" s="207"/>
      <c r="K25" s="232" t="s">
        <v>205</v>
      </c>
      <c r="L25" s="233">
        <f>IFERROR(ROUND(L23/L$3,2),)</f>
        <v>0</v>
      </c>
      <c r="M25" s="233"/>
      <c r="N25" s="233">
        <f>IFERROR(ROUND(N23/N$3,2),)</f>
        <v>0</v>
      </c>
      <c r="O25" s="233"/>
      <c r="P25" s="233">
        <f>IFERROR(ROUND(P23/P$3,2),)</f>
        <v>0</v>
      </c>
      <c r="Q25" s="233"/>
      <c r="R25" s="233">
        <f>IFERROR(ROUND(R23/R$3,2),)</f>
        <v>0</v>
      </c>
      <c r="S25" s="233">
        <f t="shared" si="20"/>
        <v>0</v>
      </c>
      <c r="T25" s="209">
        <f>T24/'&gt;50 (250)'!Z56</f>
        <v>4.4699578208852999E-3</v>
      </c>
      <c r="U25" s="210">
        <f t="shared" si="1"/>
        <v>0</v>
      </c>
      <c r="V25" s="211"/>
      <c r="W25" s="212" t="s">
        <v>200</v>
      </c>
      <c r="X25" s="212" t="s">
        <v>200</v>
      </c>
      <c r="Y25" s="213"/>
      <c r="Z25" s="214"/>
      <c r="AA25" s="213"/>
      <c r="AB25" s="213"/>
      <c r="AC25" s="215"/>
      <c r="AE25" s="117"/>
      <c r="AF25" s="117"/>
      <c r="AG25" s="117"/>
      <c r="AH25" s="117"/>
      <c r="AI25" s="166"/>
      <c r="AJ25" s="117"/>
      <c r="AK25" s="117"/>
      <c r="AL25" s="117"/>
    </row>
    <row r="26" spans="1:38" ht="15" customHeight="1">
      <c r="A26" s="117"/>
      <c r="B26" s="618" t="s">
        <v>206</v>
      </c>
      <c r="C26" s="153" t="s">
        <v>193</v>
      </c>
      <c r="D26" s="154">
        <f>+'&gt;1500(2500)'!H30</f>
        <v>134</v>
      </c>
      <c r="E26" s="155">
        <f>+'&gt;1500(2500)'!L30</f>
        <v>-557.25</v>
      </c>
      <c r="F26" s="155">
        <f>+'&gt;1500(2500)'!S30</f>
        <v>0</v>
      </c>
      <c r="G26" s="156">
        <f>+'&gt;1500(2500)'!Z30</f>
        <v>0</v>
      </c>
      <c r="H26" s="156">
        <f>+'&gt;1500(2500)'!AG30</f>
        <v>0</v>
      </c>
      <c r="I26" s="157">
        <f>+'&gt;1500(2500)'!AN30</f>
        <v>0</v>
      </c>
      <c r="J26" s="158"/>
      <c r="K26" s="158"/>
      <c r="L26" s="159"/>
      <c r="M26" s="159"/>
      <c r="N26" s="159"/>
      <c r="O26" s="159"/>
      <c r="P26" s="159"/>
      <c r="Q26" s="159"/>
      <c r="R26" s="159"/>
      <c r="S26" s="159"/>
      <c r="T26" s="161">
        <f t="shared" ref="T26:T28" si="24">H26</f>
        <v>0</v>
      </c>
      <c r="U26" s="162">
        <f t="shared" si="1"/>
        <v>0</v>
      </c>
      <c r="V26" s="159"/>
      <c r="W26" s="156" t="e">
        <f>(+'&gt;1500(2500)'!AE20*'&gt;1500(2500)'!AC20+'&gt;1500(2500)'!AE20)*'&gt;1500(2500)'!AF20+'&gt;1500(2500)'!AE15+'&gt;1500(2500)'!AG22</f>
        <v>#VALUE!</v>
      </c>
      <c r="X26" s="156" t="e">
        <f t="shared" ref="X26:X28" si="25">W26</f>
        <v>#VALUE!</v>
      </c>
      <c r="Y26" s="160"/>
      <c r="Z26" s="164"/>
      <c r="AA26" s="160"/>
      <c r="AB26" s="160"/>
      <c r="AC26" s="165"/>
      <c r="AE26" s="117"/>
      <c r="AF26" s="117"/>
      <c r="AG26" s="117"/>
      <c r="AH26" s="117"/>
      <c r="AI26" s="166"/>
      <c r="AJ26" s="117"/>
      <c r="AK26" s="117"/>
      <c r="AL26" s="117"/>
    </row>
    <row r="27" spans="1:38" ht="15.75" customHeight="1">
      <c r="A27" s="117"/>
      <c r="B27" s="619"/>
      <c r="C27" s="167" t="s">
        <v>194</v>
      </c>
      <c r="D27" s="168"/>
      <c r="E27" s="169">
        <f>+'&gt;1500(2500)'!N30</f>
        <v>-691.25</v>
      </c>
      <c r="F27" s="169">
        <f>+'&gt;1500(2500)'!U30</f>
        <v>557.25</v>
      </c>
      <c r="G27" s="170">
        <f>+'&gt;1500(2500)'!AB30</f>
        <v>0</v>
      </c>
      <c r="H27" s="171">
        <f>+'&gt;1500(2500)'!AI30</f>
        <v>0</v>
      </c>
      <c r="I27" s="172">
        <f>+'&gt;1500(2500)'!AP30</f>
        <v>0</v>
      </c>
      <c r="J27" s="117"/>
      <c r="K27" s="117" t="s">
        <v>204</v>
      </c>
      <c r="L27" s="173">
        <f>'Proposed Rates'!I40</f>
        <v>0</v>
      </c>
      <c r="M27" s="173"/>
      <c r="N27" s="173">
        <f>'Proposed Rates'!I54</f>
        <v>0</v>
      </c>
      <c r="O27" s="173">
        <f>'Proposed Rates'!I106</f>
        <v>0</v>
      </c>
      <c r="P27" s="173"/>
      <c r="Q27" s="173">
        <f>'Proposed Rates'!I145</f>
        <v>0</v>
      </c>
      <c r="R27" s="173">
        <f>'Proposed Rates'!I93</f>
        <v>0</v>
      </c>
      <c r="S27" s="173">
        <f t="shared" ref="S27:S30" si="26">SUM(L27:R27)</f>
        <v>0</v>
      </c>
      <c r="T27" s="174">
        <f t="shared" si="24"/>
        <v>0</v>
      </c>
      <c r="U27" s="175">
        <f t="shared" si="1"/>
        <v>0</v>
      </c>
      <c r="V27" s="176">
        <f t="shared" ref="V27:V28" si="27">R27</f>
        <v>0</v>
      </c>
      <c r="W27" s="171" t="e">
        <f>W26-H26</f>
        <v>#VALUE!</v>
      </c>
      <c r="X27" s="171" t="e">
        <f t="shared" si="25"/>
        <v>#VALUE!</v>
      </c>
      <c r="Y27" s="166"/>
      <c r="Z27" s="177"/>
      <c r="AA27" s="178"/>
      <c r="AB27" s="178">
        <f>-V28</f>
        <v>0</v>
      </c>
      <c r="AC27" s="179">
        <f>-V28</f>
        <v>0</v>
      </c>
      <c r="AE27" s="117"/>
      <c r="AF27" s="117"/>
      <c r="AG27" s="117"/>
      <c r="AH27" s="117"/>
      <c r="AI27" s="166">
        <f>ROUND(L27*2500,2)</f>
        <v>0</v>
      </c>
      <c r="AJ27" s="117"/>
      <c r="AK27" s="117"/>
      <c r="AL27" s="117"/>
    </row>
    <row r="28" spans="1:38" ht="15.75" customHeight="1">
      <c r="A28" s="117"/>
      <c r="B28" s="619"/>
      <c r="C28" s="180" t="s">
        <v>196</v>
      </c>
      <c r="D28" s="181"/>
      <c r="E28" s="182">
        <f t="shared" ref="E28:I28" si="28">E27/D26</f>
        <v>-5.1585820895522385</v>
      </c>
      <c r="F28" s="182">
        <f t="shared" si="28"/>
        <v>-1</v>
      </c>
      <c r="G28" s="184" t="e">
        <f t="shared" si="28"/>
        <v>#DIV/0!</v>
      </c>
      <c r="H28" s="185" t="e">
        <f t="shared" si="28"/>
        <v>#DIV/0!</v>
      </c>
      <c r="I28" s="186" t="e">
        <f t="shared" si="28"/>
        <v>#DIV/0!</v>
      </c>
      <c r="J28" s="117"/>
      <c r="K28" s="117" t="s">
        <v>205</v>
      </c>
      <c r="L28" s="187">
        <f>'&gt;1500(2500)'!AG31</f>
        <v>0</v>
      </c>
      <c r="M28" s="187"/>
      <c r="N28" s="187">
        <f>'&gt;1500(2500)'!AG32</f>
        <v>0</v>
      </c>
      <c r="O28" s="187">
        <f>'&gt;1500(2500)'!AG33</f>
        <v>0</v>
      </c>
      <c r="P28" s="187"/>
      <c r="Q28" s="187">
        <f>'&gt;1500(2500)'!AG34</f>
        <v>0</v>
      </c>
      <c r="R28" s="190">
        <f>'&gt;1500(2500)'!AG22</f>
        <v>0</v>
      </c>
      <c r="S28" s="187">
        <f t="shared" si="26"/>
        <v>0</v>
      </c>
      <c r="T28" s="188" t="e">
        <f t="shared" si="24"/>
        <v>#DIV/0!</v>
      </c>
      <c r="U28" s="189" t="e">
        <f t="shared" si="1"/>
        <v>#DIV/0!</v>
      </c>
      <c r="V28" s="190">
        <f t="shared" si="27"/>
        <v>0</v>
      </c>
      <c r="W28" s="185" t="e">
        <f>W27/W26</f>
        <v>#VALUE!</v>
      </c>
      <c r="X28" s="185" t="e">
        <f t="shared" si="25"/>
        <v>#VALUE!</v>
      </c>
      <c r="Y28" s="166"/>
      <c r="Z28" s="191"/>
      <c r="AA28" s="166"/>
      <c r="AB28" s="166"/>
      <c r="AC28" s="192"/>
      <c r="AE28" s="117"/>
      <c r="AF28" s="117"/>
      <c r="AG28" s="117"/>
      <c r="AH28" s="117"/>
      <c r="AI28" s="166"/>
      <c r="AJ28" s="117"/>
      <c r="AK28" s="117"/>
      <c r="AL28" s="117"/>
    </row>
    <row r="29" spans="1:38" ht="15.75" customHeight="1">
      <c r="A29" s="117"/>
      <c r="B29" s="619"/>
      <c r="C29" s="180" t="s">
        <v>197</v>
      </c>
      <c r="D29" s="181"/>
      <c r="E29" s="193">
        <f>+'&gt;1500(2500)'!N56</f>
        <v>-1150.8319398500316</v>
      </c>
      <c r="F29" s="193">
        <f>+'&gt;1500(2500)'!U56</f>
        <v>-3437.4599999999919</v>
      </c>
      <c r="G29" s="194">
        <f>+'&gt;1500(2500)'!AB56</f>
        <v>1977.1892499999667</v>
      </c>
      <c r="H29" s="195">
        <f>+'&gt;1500(2500)'!AI56</f>
        <v>1053.1317500000005</v>
      </c>
      <c r="I29" s="196">
        <f>+'&gt;1500(2500)'!AP56</f>
        <v>965.10475000002771</v>
      </c>
      <c r="J29" s="117"/>
      <c r="K29" s="231" t="s">
        <v>204</v>
      </c>
      <c r="L29" s="120"/>
      <c r="M29" s="120"/>
      <c r="N29" s="120">
        <f>N27/N$3</f>
        <v>0</v>
      </c>
      <c r="O29" s="120"/>
      <c r="P29" s="120"/>
      <c r="Q29" s="120"/>
      <c r="R29" s="120"/>
      <c r="S29" s="120">
        <f t="shared" si="26"/>
        <v>0</v>
      </c>
      <c r="T29" s="199">
        <f>H29-S30-S30*0.13</f>
        <v>1053.1317500000005</v>
      </c>
      <c r="U29" s="200">
        <f t="shared" si="1"/>
        <v>0</v>
      </c>
      <c r="W29" s="178">
        <f>-S28+V28</f>
        <v>0</v>
      </c>
      <c r="X29" s="178">
        <f>-L28</f>
        <v>0</v>
      </c>
      <c r="Y29" s="166"/>
      <c r="Z29" s="177">
        <f t="shared" ref="Z29:AA29" si="29">W29</f>
        <v>0</v>
      </c>
      <c r="AA29" s="178">
        <f t="shared" si="29"/>
        <v>0</v>
      </c>
      <c r="AB29" s="178">
        <f>-V28</f>
        <v>0</v>
      </c>
      <c r="AC29" s="179">
        <f>-S30-V28</f>
        <v>0</v>
      </c>
      <c r="AE29" s="117"/>
      <c r="AF29" s="117"/>
      <c r="AG29" s="117"/>
      <c r="AH29" s="117"/>
      <c r="AI29" s="166"/>
      <c r="AJ29" s="117"/>
      <c r="AK29" s="117"/>
      <c r="AL29" s="117"/>
    </row>
    <row r="30" spans="1:38" ht="15.75" customHeight="1">
      <c r="A30" s="117"/>
      <c r="B30" s="620"/>
      <c r="C30" s="201" t="s">
        <v>199</v>
      </c>
      <c r="D30" s="202"/>
      <c r="E30" s="203">
        <f>+'&gt;1500(2500)'!O56</f>
        <v>-5.3224093815681167E-3</v>
      </c>
      <c r="F30" s="203">
        <f>+'&gt;1500(2500)'!V56</f>
        <v>-1.5982756714262421E-2</v>
      </c>
      <c r="G30" s="204">
        <f>+'&gt;1500(2500)'!AC56</f>
        <v>9.3424238652290367E-3</v>
      </c>
      <c r="H30" s="205">
        <f>+'&gt;1500(2500)'!AJ56</f>
        <v>4.9300974682361682E-3</v>
      </c>
      <c r="I30" s="206">
        <f>+'&gt;1500(2500)'!AQ56</f>
        <v>4.4958457135146641E-3</v>
      </c>
      <c r="J30" s="207"/>
      <c r="K30" s="232" t="s">
        <v>205</v>
      </c>
      <c r="L30" s="233">
        <f>IFERROR(ROUND(L28/L$3,2),)</f>
        <v>0</v>
      </c>
      <c r="M30" s="233"/>
      <c r="N30" s="233">
        <f>IFERROR(ROUND(N28/N$3,2),)</f>
        <v>0</v>
      </c>
      <c r="O30" s="233"/>
      <c r="P30" s="233"/>
      <c r="Q30" s="233"/>
      <c r="R30" s="233">
        <f>IFERROR(ROUND(R28/R$3,2),)</f>
        <v>0</v>
      </c>
      <c r="S30" s="233">
        <f t="shared" si="26"/>
        <v>0</v>
      </c>
      <c r="T30" s="209">
        <f>T29/'&gt;1500(2500)'!Z56</f>
        <v>4.9300974682361682E-3</v>
      </c>
      <c r="U30" s="210">
        <f t="shared" si="1"/>
        <v>0</v>
      </c>
      <c r="V30" s="211"/>
      <c r="W30" s="212" t="s">
        <v>200</v>
      </c>
      <c r="X30" s="212" t="s">
        <v>200</v>
      </c>
      <c r="Y30" s="213"/>
      <c r="Z30" s="214"/>
      <c r="AA30" s="213"/>
      <c r="AB30" s="213"/>
      <c r="AC30" s="215"/>
      <c r="AE30" s="117"/>
      <c r="AF30" s="117"/>
      <c r="AG30" s="117"/>
      <c r="AH30" s="117"/>
      <c r="AI30" s="166"/>
      <c r="AJ30" s="117"/>
      <c r="AK30" s="117"/>
      <c r="AL30" s="117"/>
    </row>
    <row r="31" spans="1:38" ht="15" customHeight="1">
      <c r="A31" s="117"/>
      <c r="B31" s="618" t="s">
        <v>207</v>
      </c>
      <c r="C31" s="153" t="s">
        <v>193</v>
      </c>
      <c r="D31" s="154">
        <f>+'LU(7500)'!H30</f>
        <v>475.5</v>
      </c>
      <c r="E31" s="155">
        <f>+'LU(7500)'!L30</f>
        <v>-2058.75</v>
      </c>
      <c r="F31" s="155">
        <f>+'LU(7500)'!S30</f>
        <v>0</v>
      </c>
      <c r="G31" s="156">
        <f>+'LU(7500)'!Z30</f>
        <v>0</v>
      </c>
      <c r="H31" s="156">
        <f>+'LU(7500)'!AG30</f>
        <v>0</v>
      </c>
      <c r="I31" s="157">
        <f>+'LU(7500)'!AN30</f>
        <v>0</v>
      </c>
      <c r="J31" s="158"/>
      <c r="K31" s="158"/>
      <c r="L31" s="159"/>
      <c r="M31" s="159"/>
      <c r="N31" s="159"/>
      <c r="O31" s="159"/>
      <c r="P31" s="159"/>
      <c r="Q31" s="159"/>
      <c r="R31" s="159"/>
      <c r="S31" s="159"/>
      <c r="T31" s="161">
        <f t="shared" ref="T31:T33" si="30">H31</f>
        <v>0</v>
      </c>
      <c r="U31" s="162">
        <f t="shared" si="1"/>
        <v>0</v>
      </c>
      <c r="V31" s="159"/>
      <c r="W31" s="156" t="e">
        <f>('LU(7500)'!AE20*'LU(7500)'!AC20+'LU(7500)'!AE20)*'LU(7500)'!AF20+'LU(7500)'!AE15+'LU(7500)'!AG22</f>
        <v>#VALUE!</v>
      </c>
      <c r="X31" s="156" t="e">
        <f t="shared" ref="X31:X33" si="31">W31</f>
        <v>#VALUE!</v>
      </c>
      <c r="Y31" s="160"/>
      <c r="Z31" s="164"/>
      <c r="AA31" s="160"/>
      <c r="AB31" s="160"/>
      <c r="AC31" s="165"/>
      <c r="AE31" s="117"/>
      <c r="AF31" s="117"/>
      <c r="AG31" s="117"/>
      <c r="AH31" s="117"/>
      <c r="AI31" s="166"/>
      <c r="AJ31" s="117"/>
      <c r="AK31" s="117"/>
      <c r="AL31" s="117"/>
    </row>
    <row r="32" spans="1:38" ht="15.75" customHeight="1">
      <c r="A32" s="117"/>
      <c r="B32" s="619"/>
      <c r="C32" s="167" t="s">
        <v>194</v>
      </c>
      <c r="D32" s="168"/>
      <c r="E32" s="169">
        <f>+'LU(7500)'!N30</f>
        <v>-2534.25</v>
      </c>
      <c r="F32" s="169">
        <f>+'LU(7500)'!U30</f>
        <v>2058.75</v>
      </c>
      <c r="G32" s="170">
        <f>+'LU(7500)'!AB30</f>
        <v>0</v>
      </c>
      <c r="H32" s="171">
        <f>+'LU(7500)'!AI30</f>
        <v>0</v>
      </c>
      <c r="I32" s="172">
        <f>+'LU(7500)'!AP30</f>
        <v>0</v>
      </c>
      <c r="J32" s="117"/>
      <c r="K32" s="117" t="s">
        <v>204</v>
      </c>
      <c r="L32" s="173">
        <f>'Proposed Rates'!I41</f>
        <v>0</v>
      </c>
      <c r="M32" s="117"/>
      <c r="N32" s="173">
        <f>'Proposed Rates'!I55</f>
        <v>0</v>
      </c>
      <c r="P32" s="166"/>
      <c r="Q32" s="166"/>
      <c r="R32" s="173">
        <f>'Proposed Rates'!I94</f>
        <v>0</v>
      </c>
      <c r="S32" s="173">
        <f t="shared" ref="S32:S35" si="32">SUM(L32:R32)</f>
        <v>0</v>
      </c>
      <c r="T32" s="174">
        <f t="shared" si="30"/>
        <v>0</v>
      </c>
      <c r="U32" s="175">
        <f t="shared" si="1"/>
        <v>0</v>
      </c>
      <c r="V32" s="176">
        <f t="shared" ref="V32:V33" si="33">R32</f>
        <v>0</v>
      </c>
      <c r="W32" s="171" t="e">
        <f>W31-H31</f>
        <v>#VALUE!</v>
      </c>
      <c r="X32" s="171" t="e">
        <f t="shared" si="31"/>
        <v>#VALUE!</v>
      </c>
      <c r="Y32" s="166"/>
      <c r="Z32" s="177"/>
      <c r="AA32" s="178"/>
      <c r="AB32" s="178">
        <f>-V33</f>
        <v>0</v>
      </c>
      <c r="AC32" s="179">
        <f>-V33</f>
        <v>0</v>
      </c>
      <c r="AE32" s="117"/>
      <c r="AF32" s="117"/>
      <c r="AG32" s="117"/>
      <c r="AH32" s="117"/>
      <c r="AI32" s="166">
        <f>ROUND(L32*7500,2)</f>
        <v>0</v>
      </c>
      <c r="AJ32" s="117"/>
      <c r="AK32" s="117"/>
      <c r="AL32" s="117"/>
    </row>
    <row r="33" spans="1:38" ht="15.75" customHeight="1">
      <c r="A33" s="117"/>
      <c r="B33" s="619"/>
      <c r="C33" s="180" t="s">
        <v>196</v>
      </c>
      <c r="D33" s="181"/>
      <c r="E33" s="182">
        <f t="shared" ref="E33:I33" si="34">E32/D31</f>
        <v>-5.329652996845426</v>
      </c>
      <c r="F33" s="182">
        <f t="shared" si="34"/>
        <v>-1</v>
      </c>
      <c r="G33" s="184" t="e">
        <f t="shared" si="34"/>
        <v>#DIV/0!</v>
      </c>
      <c r="H33" s="185" t="e">
        <f t="shared" si="34"/>
        <v>#DIV/0!</v>
      </c>
      <c r="I33" s="186" t="e">
        <f t="shared" si="34"/>
        <v>#DIV/0!</v>
      </c>
      <c r="J33" s="117"/>
      <c r="K33" s="117" t="s">
        <v>205</v>
      </c>
      <c r="L33" s="187">
        <f>'LU(7500)'!AG31</f>
        <v>0</v>
      </c>
      <c r="M33" s="117"/>
      <c r="N33" s="187">
        <f>'LU(7500)'!AG32</f>
        <v>0</v>
      </c>
      <c r="P33" s="166"/>
      <c r="Q33" s="166"/>
      <c r="R33" s="190">
        <f>'LU(7500)'!AG22</f>
        <v>0</v>
      </c>
      <c r="S33" s="187">
        <f t="shared" si="32"/>
        <v>0</v>
      </c>
      <c r="T33" s="188" t="e">
        <f t="shared" si="30"/>
        <v>#DIV/0!</v>
      </c>
      <c r="U33" s="189" t="e">
        <f t="shared" si="1"/>
        <v>#DIV/0!</v>
      </c>
      <c r="V33" s="190">
        <f t="shared" si="33"/>
        <v>0</v>
      </c>
      <c r="W33" s="185" t="e">
        <f>W32/W31</f>
        <v>#VALUE!</v>
      </c>
      <c r="X33" s="185" t="e">
        <f t="shared" si="31"/>
        <v>#VALUE!</v>
      </c>
      <c r="Y33" s="166"/>
      <c r="Z33" s="191"/>
      <c r="AA33" s="166"/>
      <c r="AB33" s="166"/>
      <c r="AC33" s="192"/>
      <c r="AE33" s="117"/>
      <c r="AF33" s="117"/>
      <c r="AG33" s="117"/>
      <c r="AH33" s="117"/>
      <c r="AI33" s="166"/>
      <c r="AJ33" s="117"/>
      <c r="AK33" s="117"/>
      <c r="AL33" s="117"/>
    </row>
    <row r="34" spans="1:38" ht="15.75" customHeight="1">
      <c r="A34" s="117"/>
      <c r="B34" s="619"/>
      <c r="C34" s="180" t="s">
        <v>197</v>
      </c>
      <c r="D34" s="181"/>
      <c r="E34" s="193">
        <f>+'LU(7500)'!N56</f>
        <v>3187.1356199998409</v>
      </c>
      <c r="F34" s="193">
        <f>+'LU(7500)'!U56</f>
        <v>-8169.8152499999851</v>
      </c>
      <c r="G34" s="194">
        <f>+'LU(7500)'!AB56</f>
        <v>6215.9039999999804</v>
      </c>
      <c r="H34" s="195">
        <f>+'LU(7500)'!AI56</f>
        <v>7010.9437499999767</v>
      </c>
      <c r="I34" s="196">
        <f>+'LU(7500)'!AP56</f>
        <v>6773.3047500000102</v>
      </c>
      <c r="J34" s="117"/>
      <c r="K34" s="231" t="s">
        <v>204</v>
      </c>
      <c r="L34" s="120"/>
      <c r="M34" s="120"/>
      <c r="N34" s="120">
        <f>N32/N$3</f>
        <v>0</v>
      </c>
      <c r="O34" s="120"/>
      <c r="P34" s="120"/>
      <c r="Q34" s="120"/>
      <c r="R34" s="120"/>
      <c r="S34" s="120">
        <f t="shared" si="32"/>
        <v>0</v>
      </c>
      <c r="T34" s="199">
        <f>H34-S35-S35*0.13</f>
        <v>7010.9437499999767</v>
      </c>
      <c r="U34" s="200">
        <f t="shared" si="1"/>
        <v>0</v>
      </c>
      <c r="W34" s="178">
        <f>-S33+V33</f>
        <v>0</v>
      </c>
      <c r="X34" s="178">
        <f>-L33</f>
        <v>0</v>
      </c>
      <c r="Y34" s="166"/>
      <c r="Z34" s="177">
        <f t="shared" ref="Z34:AA34" si="35">W34</f>
        <v>0</v>
      </c>
      <c r="AA34" s="178">
        <f t="shared" si="35"/>
        <v>0</v>
      </c>
      <c r="AB34" s="178">
        <f>-V33</f>
        <v>0</v>
      </c>
      <c r="AC34" s="179">
        <f>-S35-V33</f>
        <v>0</v>
      </c>
      <c r="AE34" s="117"/>
      <c r="AF34" s="117"/>
      <c r="AG34" s="117"/>
      <c r="AH34" s="117"/>
      <c r="AI34" s="166"/>
      <c r="AJ34" s="117"/>
      <c r="AK34" s="117"/>
      <c r="AL34" s="117"/>
    </row>
    <row r="35" spans="1:38" ht="15.75" customHeight="1">
      <c r="A35" s="117"/>
      <c r="B35" s="620"/>
      <c r="C35" s="201" t="s">
        <v>199</v>
      </c>
      <c r="D35" s="202"/>
      <c r="E35" s="203">
        <f>+'LU(7500)'!O56</f>
        <v>4.7770363407279408E-3</v>
      </c>
      <c r="F35" s="203">
        <f>+'LU(7500)'!V56</f>
        <v>-1.2187104518666843E-2</v>
      </c>
      <c r="G35" s="204">
        <f>+'LU(7500)'!AC56</f>
        <v>9.3868074036142814E-3</v>
      </c>
      <c r="H35" s="205">
        <f>+'LU(7500)'!AJ56</f>
        <v>1.0488960916698405E-2</v>
      </c>
      <c r="I35" s="206">
        <f>+'LU(7500)'!AQ56</f>
        <v>1.0028247113983903E-2</v>
      </c>
      <c r="J35" s="207"/>
      <c r="K35" s="232" t="s">
        <v>205</v>
      </c>
      <c r="L35" s="208">
        <f>IFERROR(ROUND(L33/L$3,2),)</f>
        <v>0</v>
      </c>
      <c r="M35" s="208"/>
      <c r="N35" s="208">
        <f>IFERROR(ROUND(N33/N$3,2),)</f>
        <v>0</v>
      </c>
      <c r="O35" s="208"/>
      <c r="P35" s="208"/>
      <c r="Q35" s="208"/>
      <c r="R35" s="208">
        <f>IFERROR(ROUND(R33/R$3,2),)</f>
        <v>0</v>
      </c>
      <c r="S35" s="208">
        <f t="shared" si="32"/>
        <v>0</v>
      </c>
      <c r="T35" s="209">
        <f>T34/'LU(7500)'!Z56</f>
        <v>1.0488960916698405E-2</v>
      </c>
      <c r="U35" s="210">
        <f t="shared" si="1"/>
        <v>0</v>
      </c>
      <c r="V35" s="211"/>
      <c r="W35" s="212" t="s">
        <v>200</v>
      </c>
      <c r="X35" s="212" t="s">
        <v>200</v>
      </c>
      <c r="Y35" s="213"/>
      <c r="Z35" s="214"/>
      <c r="AA35" s="213"/>
      <c r="AB35" s="213"/>
      <c r="AC35" s="215"/>
      <c r="AE35" s="117"/>
      <c r="AF35" s="117"/>
      <c r="AG35" s="117"/>
      <c r="AH35" s="117"/>
      <c r="AI35" s="166"/>
      <c r="AJ35" s="117"/>
      <c r="AK35" s="117"/>
      <c r="AL35" s="117"/>
    </row>
    <row r="36" spans="1:38" ht="15" customHeight="1">
      <c r="A36" s="117"/>
      <c r="B36" s="618" t="s">
        <v>208</v>
      </c>
      <c r="C36" s="153" t="s">
        <v>193</v>
      </c>
      <c r="D36" s="154" t="e">
        <v>#REF!</v>
      </c>
      <c r="E36" s="155" t="e">
        <v>#REF!</v>
      </c>
      <c r="F36" s="155" t="e">
        <v>#REF!</v>
      </c>
      <c r="G36" s="156" t="e">
        <v>#REF!</v>
      </c>
      <c r="H36" s="156" t="e">
        <v>#REF!</v>
      </c>
      <c r="I36" s="157" t="e">
        <v>#REF!</v>
      </c>
      <c r="J36" s="158"/>
      <c r="K36" s="158"/>
      <c r="L36" s="159"/>
      <c r="M36" s="159"/>
      <c r="N36" s="159"/>
      <c r="O36" s="159"/>
      <c r="P36" s="159"/>
      <c r="Q36" s="159"/>
      <c r="R36" s="159"/>
      <c r="S36" s="159"/>
      <c r="T36" s="161" t="e">
        <f t="shared" ref="T36:T38" si="36">H36</f>
        <v>#REF!</v>
      </c>
      <c r="U36" s="162" t="e">
        <f t="shared" si="1"/>
        <v>#REF!</v>
      </c>
      <c r="V36" s="159"/>
      <c r="W36" s="156" t="e">
        <v>#REF!</v>
      </c>
      <c r="X36" s="156" t="e">
        <f t="shared" ref="X36:X38" si="37">W36</f>
        <v>#REF!</v>
      </c>
      <c r="Y36" s="160"/>
      <c r="Z36" s="164"/>
      <c r="AA36" s="160"/>
      <c r="AB36" s="160"/>
      <c r="AC36" s="165"/>
      <c r="AE36" s="117"/>
      <c r="AF36" s="117"/>
      <c r="AG36" s="117"/>
      <c r="AH36" s="117"/>
      <c r="AI36" s="166"/>
      <c r="AJ36" s="117"/>
      <c r="AK36" s="117"/>
      <c r="AL36" s="117"/>
    </row>
    <row r="37" spans="1:38" ht="15.75" customHeight="1">
      <c r="A37" s="117"/>
      <c r="B37" s="619"/>
      <c r="C37" s="167" t="s">
        <v>194</v>
      </c>
      <c r="D37" s="168"/>
      <c r="E37" s="169" t="e">
        <v>#REF!</v>
      </c>
      <c r="F37" s="169" t="e">
        <v>#REF!</v>
      </c>
      <c r="G37" s="170" t="e">
        <v>#REF!</v>
      </c>
      <c r="H37" s="171" t="e">
        <v>#REF!</v>
      </c>
      <c r="I37" s="172" t="e">
        <v>#REF!</v>
      </c>
      <c r="J37" s="117"/>
      <c r="K37" s="117" t="s">
        <v>204</v>
      </c>
      <c r="L37" s="173">
        <f>'Proposed Rates'!I43</f>
        <v>0</v>
      </c>
      <c r="M37" s="173"/>
      <c r="N37" s="173">
        <f>'Proposed Rates'!I57</f>
        <v>0</v>
      </c>
      <c r="O37" s="173">
        <f>'Proposed Rates'!I109</f>
        <v>0</v>
      </c>
      <c r="P37" s="173"/>
      <c r="Q37" s="166"/>
      <c r="S37" s="173">
        <f t="shared" ref="S37:S40" si="38">SUM(L37:R37)</f>
        <v>0</v>
      </c>
      <c r="T37" s="174" t="e">
        <f t="shared" si="36"/>
        <v>#REF!</v>
      </c>
      <c r="U37" s="175" t="e">
        <f t="shared" si="1"/>
        <v>#REF!</v>
      </c>
      <c r="V37" s="52">
        <f t="shared" ref="V37:V38" si="39">R37</f>
        <v>0</v>
      </c>
      <c r="W37" s="171" t="e">
        <f>W36-H36</f>
        <v>#REF!</v>
      </c>
      <c r="X37" s="171" t="e">
        <f t="shared" si="37"/>
        <v>#REF!</v>
      </c>
      <c r="Y37" s="166"/>
      <c r="Z37" s="177">
        <f>V38</f>
        <v>0</v>
      </c>
      <c r="AA37" s="178"/>
      <c r="AB37" s="178">
        <f>-V38</f>
        <v>0</v>
      </c>
      <c r="AC37" s="179">
        <f>-V38</f>
        <v>0</v>
      </c>
      <c r="AE37" s="117"/>
      <c r="AF37" s="117"/>
      <c r="AG37" s="117"/>
      <c r="AH37" s="117"/>
      <c r="AI37" s="166">
        <f>ROUND(L37*0.4,2)</f>
        <v>0</v>
      </c>
      <c r="AJ37" s="117"/>
      <c r="AK37" s="117"/>
      <c r="AL37" s="117"/>
    </row>
    <row r="38" spans="1:38" ht="15.75" customHeight="1">
      <c r="A38" s="117"/>
      <c r="B38" s="619"/>
      <c r="C38" s="180" t="s">
        <v>196</v>
      </c>
      <c r="D38" s="181"/>
      <c r="E38" s="182" t="e">
        <f t="shared" ref="E38:I38" si="40">E37/D36</f>
        <v>#REF!</v>
      </c>
      <c r="F38" s="182" t="e">
        <f t="shared" si="40"/>
        <v>#REF!</v>
      </c>
      <c r="G38" s="184" t="e">
        <f t="shared" si="40"/>
        <v>#REF!</v>
      </c>
      <c r="H38" s="185" t="e">
        <f t="shared" si="40"/>
        <v>#REF!</v>
      </c>
      <c r="I38" s="186" t="e">
        <f t="shared" si="40"/>
        <v>#REF!</v>
      </c>
      <c r="J38" s="117"/>
      <c r="K38" s="117" t="s">
        <v>205</v>
      </c>
      <c r="L38" s="187" t="e">
        <v>#REF!</v>
      </c>
      <c r="M38" s="187"/>
      <c r="N38" s="187" t="e">
        <v>#REF!</v>
      </c>
      <c r="O38" s="187" t="e">
        <v>#REF!</v>
      </c>
      <c r="P38" s="187"/>
      <c r="Q38" s="166"/>
      <c r="S38" s="187" t="e">
        <f t="shared" si="38"/>
        <v>#REF!</v>
      </c>
      <c r="T38" s="188" t="e">
        <f t="shared" si="36"/>
        <v>#REF!</v>
      </c>
      <c r="U38" s="189" t="e">
        <f t="shared" si="1"/>
        <v>#REF!</v>
      </c>
      <c r="V38" s="52">
        <f t="shared" si="39"/>
        <v>0</v>
      </c>
      <c r="W38" s="185" t="e">
        <f>W37/W36</f>
        <v>#REF!</v>
      </c>
      <c r="X38" s="185" t="e">
        <f t="shared" si="37"/>
        <v>#REF!</v>
      </c>
      <c r="Y38" s="166"/>
      <c r="Z38" s="191"/>
      <c r="AA38" s="166"/>
      <c r="AB38" s="166"/>
      <c r="AC38" s="192"/>
      <c r="AE38" s="117"/>
      <c r="AF38" s="117"/>
      <c r="AG38" s="117"/>
      <c r="AH38" s="117"/>
      <c r="AI38" s="166"/>
      <c r="AJ38" s="117"/>
      <c r="AK38" s="117"/>
      <c r="AL38" s="117"/>
    </row>
    <row r="39" spans="1:38" ht="15.75" customHeight="1">
      <c r="A39" s="117"/>
      <c r="B39" s="619"/>
      <c r="C39" s="180" t="s">
        <v>197</v>
      </c>
      <c r="D39" s="181"/>
      <c r="E39" s="193" t="e">
        <v>#REF!</v>
      </c>
      <c r="F39" s="193" t="e">
        <v>#REF!</v>
      </c>
      <c r="G39" s="194" t="e">
        <v>#REF!</v>
      </c>
      <c r="H39" s="195" t="e">
        <v>#REF!</v>
      </c>
      <c r="I39" s="196" t="e">
        <v>#REF!</v>
      </c>
      <c r="J39" s="117"/>
      <c r="K39" s="231" t="s">
        <v>204</v>
      </c>
      <c r="L39" s="120"/>
      <c r="M39" s="120"/>
      <c r="N39" s="120">
        <f>N37/N$3</f>
        <v>0</v>
      </c>
      <c r="O39" s="120"/>
      <c r="P39" s="120"/>
      <c r="Q39" s="120"/>
      <c r="R39" s="120"/>
      <c r="S39" s="120">
        <f t="shared" si="38"/>
        <v>0</v>
      </c>
      <c r="T39" s="199" t="e">
        <f>H39-S40-S40*0.13</f>
        <v>#REF!</v>
      </c>
      <c r="U39" s="200" t="e">
        <f t="shared" si="1"/>
        <v>#REF!</v>
      </c>
      <c r="W39" s="178" t="e">
        <f>-S38+V38</f>
        <v>#REF!</v>
      </c>
      <c r="X39" s="178" t="e">
        <f>-L38</f>
        <v>#REF!</v>
      </c>
      <c r="Y39" s="166"/>
      <c r="Z39" s="177" t="e">
        <f t="shared" ref="Z39:AA39" si="41">W39</f>
        <v>#REF!</v>
      </c>
      <c r="AA39" s="178" t="e">
        <f t="shared" si="41"/>
        <v>#REF!</v>
      </c>
      <c r="AB39" s="178">
        <f>-V38</f>
        <v>0</v>
      </c>
      <c r="AC39" s="179">
        <f>-S40-V38</f>
        <v>0</v>
      </c>
      <c r="AE39" s="117"/>
      <c r="AF39" s="117"/>
      <c r="AG39" s="117"/>
      <c r="AH39" s="117"/>
      <c r="AI39" s="166"/>
      <c r="AJ39" s="117"/>
      <c r="AK39" s="117"/>
      <c r="AL39" s="117"/>
    </row>
    <row r="40" spans="1:38" ht="15.75" customHeight="1">
      <c r="A40" s="117"/>
      <c r="B40" s="620"/>
      <c r="C40" s="201" t="s">
        <v>199</v>
      </c>
      <c r="D40" s="202"/>
      <c r="E40" s="203" t="e">
        <v>#REF!</v>
      </c>
      <c r="F40" s="203" t="e">
        <v>#REF!</v>
      </c>
      <c r="G40" s="204" t="e">
        <v>#REF!</v>
      </c>
      <c r="H40" s="234" t="e">
        <v>#REF!</v>
      </c>
      <c r="I40" s="206" t="e">
        <v>#REF!</v>
      </c>
      <c r="J40" s="207"/>
      <c r="K40" s="232" t="s">
        <v>205</v>
      </c>
      <c r="L40" s="208">
        <f>IFERROR(ROUND(L38/L$3,2),)</f>
        <v>0</v>
      </c>
      <c r="M40" s="208"/>
      <c r="N40" s="208">
        <f>IFERROR(ROUND(N38/N$3,2),)</f>
        <v>0</v>
      </c>
      <c r="O40" s="208"/>
      <c r="P40" s="208"/>
      <c r="Q40" s="208"/>
      <c r="R40" s="208">
        <f>IFERROR(ROUND(R38/R$3,2),)</f>
        <v>0</v>
      </c>
      <c r="S40" s="208">
        <f t="shared" si="38"/>
        <v>0</v>
      </c>
      <c r="T40" s="235" t="e">
        <v>#REF!</v>
      </c>
      <c r="U40" s="236" t="e">
        <f t="shared" si="1"/>
        <v>#REF!</v>
      </c>
      <c r="V40" s="211"/>
      <c r="W40" s="212" t="s">
        <v>200</v>
      </c>
      <c r="X40" s="212" t="s">
        <v>200</v>
      </c>
      <c r="Y40" s="213"/>
      <c r="Z40" s="214"/>
      <c r="AA40" s="213"/>
      <c r="AB40" s="213"/>
      <c r="AC40" s="215"/>
      <c r="AE40" s="117"/>
      <c r="AF40" s="117"/>
      <c r="AG40" s="117"/>
      <c r="AH40" s="117"/>
      <c r="AI40" s="166"/>
      <c r="AJ40" s="117"/>
      <c r="AK40" s="117"/>
      <c r="AL40" s="117"/>
    </row>
    <row r="41" spans="1:38" ht="18.75" customHeight="1">
      <c r="A41" s="117"/>
      <c r="B41" s="618" t="s">
        <v>209</v>
      </c>
      <c r="C41" s="153" t="s">
        <v>193</v>
      </c>
      <c r="D41" s="237" t="e">
        <v>#REF!</v>
      </c>
      <c r="E41" s="238" t="e">
        <v>#REF!</v>
      </c>
      <c r="F41" s="238" t="e">
        <v>#REF!</v>
      </c>
      <c r="G41" s="239" t="e">
        <v>#REF!</v>
      </c>
      <c r="H41" s="239" t="e">
        <v>#REF!</v>
      </c>
      <c r="I41" s="240" t="e">
        <v>#REF!</v>
      </c>
      <c r="J41" s="158"/>
      <c r="K41" s="158"/>
      <c r="L41" s="159"/>
      <c r="M41" s="159"/>
      <c r="N41" s="159"/>
      <c r="O41" s="159"/>
      <c r="P41" s="159"/>
      <c r="Q41" s="159"/>
      <c r="R41" s="159"/>
      <c r="S41" s="159"/>
      <c r="T41" s="241" t="e">
        <f t="shared" ref="T41:T43" si="42">H41</f>
        <v>#REF!</v>
      </c>
      <c r="U41" s="242" t="e">
        <f t="shared" si="1"/>
        <v>#REF!</v>
      </c>
      <c r="V41" s="159"/>
      <c r="W41" s="156" t="e">
        <v>#REF!</v>
      </c>
      <c r="X41" s="156" t="e">
        <f t="shared" ref="X41:X43" si="43">W41</f>
        <v>#REF!</v>
      </c>
      <c r="Y41" s="160"/>
      <c r="Z41" s="164"/>
      <c r="AA41" s="160"/>
      <c r="AB41" s="160"/>
      <c r="AC41" s="165"/>
      <c r="AE41" s="117"/>
      <c r="AF41" s="117"/>
      <c r="AG41" s="117"/>
      <c r="AH41" s="117"/>
      <c r="AI41" s="166"/>
      <c r="AJ41" s="117"/>
      <c r="AK41" s="117"/>
      <c r="AL41" s="117"/>
    </row>
    <row r="42" spans="1:38" ht="15.75" customHeight="1">
      <c r="A42" s="117"/>
      <c r="B42" s="619"/>
      <c r="C42" s="167" t="s">
        <v>194</v>
      </c>
      <c r="D42" s="243"/>
      <c r="E42" s="244" t="e">
        <v>#REF!</v>
      </c>
      <c r="F42" s="244" t="e">
        <v>#REF!</v>
      </c>
      <c r="G42" s="170" t="e">
        <v>#REF!</v>
      </c>
      <c r="H42" s="245" t="e">
        <v>#REF!</v>
      </c>
      <c r="I42" s="246" t="e">
        <v>#REF!</v>
      </c>
      <c r="J42" s="117"/>
      <c r="K42" s="117" t="s">
        <v>204</v>
      </c>
      <c r="L42" s="173">
        <f>'Proposed Rates'!I42</f>
        <v>0</v>
      </c>
      <c r="M42" s="117"/>
      <c r="N42" s="173">
        <f>'Proposed Rates'!I56</f>
        <v>0</v>
      </c>
      <c r="O42" s="176">
        <f>'Proposed Rates'!I108</f>
        <v>0</v>
      </c>
      <c r="P42" s="166"/>
      <c r="Q42" s="166"/>
      <c r="R42" s="173">
        <f>'Proposed Rates'!I95</f>
        <v>0</v>
      </c>
      <c r="S42" s="173">
        <f t="shared" ref="S42:S45" si="44">SUM(L42:R42)</f>
        <v>0</v>
      </c>
      <c r="T42" s="247" t="e">
        <f t="shared" si="42"/>
        <v>#REF!</v>
      </c>
      <c r="U42" s="248" t="e">
        <f t="shared" si="1"/>
        <v>#REF!</v>
      </c>
      <c r="V42" s="176">
        <f t="shared" ref="V42:V43" si="45">R42</f>
        <v>0</v>
      </c>
      <c r="W42" s="171" t="e">
        <f>W41-H41</f>
        <v>#REF!</v>
      </c>
      <c r="X42" s="171" t="e">
        <f t="shared" si="43"/>
        <v>#REF!</v>
      </c>
      <c r="Y42" s="166"/>
      <c r="Z42" s="177"/>
      <c r="AA42" s="178"/>
      <c r="AB42" s="178" t="e">
        <f>IF(#REF!="Yr2/3/4",0,-V43)</f>
        <v>#REF!</v>
      </c>
      <c r="AC42" s="179" t="e">
        <f>IF(#REF!="Yr2/3/4",0,-V43)</f>
        <v>#REF!</v>
      </c>
      <c r="AE42" s="117"/>
      <c r="AF42" s="117"/>
      <c r="AG42" s="117"/>
      <c r="AH42" s="117"/>
      <c r="AI42" s="166">
        <f>ROUND(L42*1,2)</f>
        <v>0</v>
      </c>
      <c r="AJ42" s="117"/>
      <c r="AK42" s="117"/>
      <c r="AL42" s="117"/>
    </row>
    <row r="43" spans="1:38" ht="15.75" customHeight="1">
      <c r="A43" s="117"/>
      <c r="B43" s="619"/>
      <c r="C43" s="180" t="s">
        <v>196</v>
      </c>
      <c r="D43" s="249"/>
      <c r="E43" s="250" t="e">
        <f t="shared" ref="E43:I43" si="46">E42/D41</f>
        <v>#REF!</v>
      </c>
      <c r="F43" s="250" t="e">
        <f t="shared" si="46"/>
        <v>#REF!</v>
      </c>
      <c r="G43" s="184" t="e">
        <f t="shared" si="46"/>
        <v>#REF!</v>
      </c>
      <c r="H43" s="251" t="e">
        <f t="shared" si="46"/>
        <v>#REF!</v>
      </c>
      <c r="I43" s="252" t="e">
        <f t="shared" si="46"/>
        <v>#REF!</v>
      </c>
      <c r="J43" s="117"/>
      <c r="K43" s="117" t="s">
        <v>205</v>
      </c>
      <c r="L43" s="117" t="e">
        <v>#REF!</v>
      </c>
      <c r="M43" s="117"/>
      <c r="N43" s="117" t="e">
        <v>#REF!</v>
      </c>
      <c r="O43" s="52" t="e">
        <v>#REF!</v>
      </c>
      <c r="P43" s="166"/>
      <c r="Q43" s="166"/>
      <c r="R43" s="52" t="e">
        <v>#REF!</v>
      </c>
      <c r="S43" s="187" t="e">
        <f t="shared" si="44"/>
        <v>#REF!</v>
      </c>
      <c r="T43" s="253" t="e">
        <f t="shared" si="42"/>
        <v>#REF!</v>
      </c>
      <c r="U43" s="254" t="e">
        <f t="shared" si="1"/>
        <v>#REF!</v>
      </c>
      <c r="V43" s="52" t="e">
        <f t="shared" si="45"/>
        <v>#REF!</v>
      </c>
      <c r="W43" s="185" t="e">
        <f>W42/W41</f>
        <v>#REF!</v>
      </c>
      <c r="X43" s="185" t="e">
        <f t="shared" si="43"/>
        <v>#REF!</v>
      </c>
      <c r="Y43" s="166"/>
      <c r="Z43" s="191"/>
      <c r="AA43" s="166"/>
      <c r="AB43" s="166"/>
      <c r="AC43" s="192"/>
      <c r="AE43" s="117"/>
      <c r="AF43" s="117"/>
      <c r="AG43" s="117"/>
      <c r="AH43" s="117"/>
      <c r="AI43" s="166"/>
      <c r="AJ43" s="117"/>
      <c r="AK43" s="117"/>
      <c r="AL43" s="117"/>
    </row>
    <row r="44" spans="1:38" ht="15.75" customHeight="1">
      <c r="A44" s="117"/>
      <c r="B44" s="619"/>
      <c r="C44" s="180" t="s">
        <v>197</v>
      </c>
      <c r="D44" s="249"/>
      <c r="E44" s="244" t="e">
        <v>#REF!</v>
      </c>
      <c r="F44" s="244" t="e">
        <v>#REF!</v>
      </c>
      <c r="G44" s="194" t="e">
        <v>#REF!</v>
      </c>
      <c r="H44" s="245" t="e">
        <v>#REF!</v>
      </c>
      <c r="I44" s="246" t="e">
        <v>#REF!</v>
      </c>
      <c r="J44" s="117"/>
      <c r="K44" s="231" t="s">
        <v>204</v>
      </c>
      <c r="L44" s="120"/>
      <c r="M44" s="120"/>
      <c r="N44" s="120">
        <f>N42/N$3</f>
        <v>0</v>
      </c>
      <c r="O44" s="120"/>
      <c r="P44" s="120"/>
      <c r="Q44" s="120"/>
      <c r="R44" s="120"/>
      <c r="S44" s="120">
        <f t="shared" si="44"/>
        <v>0</v>
      </c>
      <c r="T44" s="247" t="e">
        <f>H44-S45-S45*0.13</f>
        <v>#REF!</v>
      </c>
      <c r="U44" s="248" t="e">
        <f t="shared" si="1"/>
        <v>#REF!</v>
      </c>
      <c r="W44" s="178" t="e">
        <f>-S43+V43</f>
        <v>#REF!</v>
      </c>
      <c r="X44" s="178" t="e">
        <f>-L43</f>
        <v>#REF!</v>
      </c>
      <c r="Y44" s="166"/>
      <c r="Z44" s="177" t="e">
        <f t="shared" ref="Z44:AA44" si="47">W44</f>
        <v>#REF!</v>
      </c>
      <c r="AA44" s="178" t="e">
        <f t="shared" si="47"/>
        <v>#REF!</v>
      </c>
      <c r="AB44" s="178" t="e">
        <f>IF(#REF!="Yr2/3/4",0,-V43)</f>
        <v>#REF!</v>
      </c>
      <c r="AC44" s="179" t="e">
        <f>IF(#REF!="Yr2/3/4",-S45,-S45-V43)</f>
        <v>#REF!</v>
      </c>
      <c r="AE44" s="117"/>
      <c r="AF44" s="117"/>
      <c r="AG44" s="117"/>
      <c r="AH44" s="117"/>
      <c r="AI44" s="166"/>
      <c r="AJ44" s="117"/>
      <c r="AK44" s="117"/>
      <c r="AL44" s="117"/>
    </row>
    <row r="45" spans="1:38" ht="15.75" customHeight="1">
      <c r="A45" s="117"/>
      <c r="B45" s="620"/>
      <c r="C45" s="201" t="s">
        <v>199</v>
      </c>
      <c r="D45" s="255"/>
      <c r="E45" s="256" t="e">
        <v>#REF!</v>
      </c>
      <c r="F45" s="256" t="e">
        <v>#REF!</v>
      </c>
      <c r="G45" s="204" t="e">
        <v>#REF!</v>
      </c>
      <c r="H45" s="234" t="e">
        <v>#REF!</v>
      </c>
      <c r="I45" s="257" t="e">
        <v>#REF!</v>
      </c>
      <c r="J45" s="207"/>
      <c r="K45" s="232" t="s">
        <v>205</v>
      </c>
      <c r="L45" s="208">
        <f>IFERROR(ROUND(L43/L$3,2),)</f>
        <v>0</v>
      </c>
      <c r="M45" s="208"/>
      <c r="N45" s="208">
        <f>IFERROR(ROUND(N43/N$3,2),)</f>
        <v>0</v>
      </c>
      <c r="O45" s="208"/>
      <c r="P45" s="208"/>
      <c r="Q45" s="208"/>
      <c r="R45" s="208">
        <f>IFERROR(ROUND(R43/R$3,2),)</f>
        <v>0</v>
      </c>
      <c r="S45" s="208">
        <f t="shared" si="44"/>
        <v>0</v>
      </c>
      <c r="T45" s="235" t="e">
        <v>#REF!</v>
      </c>
      <c r="U45" s="236" t="e">
        <f t="shared" si="1"/>
        <v>#REF!</v>
      </c>
      <c r="V45" s="211"/>
      <c r="W45" s="212" t="s">
        <v>200</v>
      </c>
      <c r="X45" s="212" t="s">
        <v>200</v>
      </c>
      <c r="Y45" s="213"/>
      <c r="Z45" s="214"/>
      <c r="AA45" s="213"/>
      <c r="AB45" s="213"/>
      <c r="AC45" s="215"/>
      <c r="AE45" s="117"/>
      <c r="AF45" s="117"/>
      <c r="AG45" s="117"/>
      <c r="AH45" s="117"/>
      <c r="AI45" s="166"/>
      <c r="AJ45" s="117"/>
      <c r="AK45" s="117"/>
      <c r="AL45" s="117"/>
    </row>
    <row r="46" spans="1:38" ht="15.75" customHeight="1">
      <c r="A46" s="117"/>
      <c r="B46" s="618" t="s">
        <v>210</v>
      </c>
      <c r="C46" s="258" t="s">
        <v>193</v>
      </c>
      <c r="D46" s="259"/>
      <c r="E46" s="259"/>
      <c r="F46" s="259"/>
      <c r="G46" s="239" t="e">
        <v>#REF!</v>
      </c>
      <c r="H46" s="239" t="e">
        <v>#REF!</v>
      </c>
      <c r="I46" s="260"/>
      <c r="J46" s="158"/>
      <c r="K46" s="158"/>
      <c r="L46" s="159"/>
      <c r="M46" s="159"/>
      <c r="N46" s="159"/>
      <c r="O46" s="159"/>
      <c r="P46" s="159"/>
      <c r="Q46" s="159"/>
      <c r="R46" s="159"/>
      <c r="S46" s="159"/>
      <c r="T46" s="241" t="e">
        <f t="shared" ref="T46:T48" si="48">H46</f>
        <v>#REF!</v>
      </c>
      <c r="U46" s="242" t="e">
        <f t="shared" si="1"/>
        <v>#REF!</v>
      </c>
      <c r="V46" s="159"/>
      <c r="W46" s="239" t="e">
        <v>#REF!</v>
      </c>
      <c r="X46" s="239" t="e">
        <f t="shared" ref="X46:X48" si="49">W46</f>
        <v>#REF!</v>
      </c>
      <c r="Y46" s="160"/>
      <c r="Z46" s="164"/>
      <c r="AA46" s="160"/>
      <c r="AB46" s="160"/>
      <c r="AC46" s="165"/>
      <c r="AE46" s="117"/>
      <c r="AF46" s="117"/>
      <c r="AG46" s="117"/>
      <c r="AH46" s="117"/>
      <c r="AI46" s="166"/>
      <c r="AJ46" s="117"/>
      <c r="AK46" s="117"/>
      <c r="AL46" s="117"/>
    </row>
    <row r="47" spans="1:38" ht="15.75" customHeight="1">
      <c r="A47" s="117"/>
      <c r="B47" s="619"/>
      <c r="C47" s="261" t="s">
        <v>194</v>
      </c>
      <c r="D47" s="262"/>
      <c r="E47" s="262"/>
      <c r="F47" s="262"/>
      <c r="G47" s="170" t="e">
        <v>#REF!</v>
      </c>
      <c r="H47" s="245" t="e">
        <v>#REF!</v>
      </c>
      <c r="I47" s="263"/>
      <c r="J47" s="117"/>
      <c r="K47" s="117" t="s">
        <v>204</v>
      </c>
      <c r="L47" s="173">
        <f>L42</f>
        <v>0</v>
      </c>
      <c r="M47" s="117"/>
      <c r="N47" s="173">
        <f t="shared" ref="N47:O47" si="50">N42</f>
        <v>0</v>
      </c>
      <c r="O47" s="176">
        <f t="shared" si="50"/>
        <v>0</v>
      </c>
      <c r="Q47" s="176">
        <f>'Proposed Rates'!I147</f>
        <v>0</v>
      </c>
      <c r="R47" s="176">
        <f>R42</f>
        <v>0</v>
      </c>
      <c r="S47" s="173">
        <f t="shared" ref="S47:S50" si="51">SUM(L47:R47)</f>
        <v>0</v>
      </c>
      <c r="T47" s="247" t="e">
        <f t="shared" si="48"/>
        <v>#REF!</v>
      </c>
      <c r="U47" s="248" t="e">
        <f t="shared" si="1"/>
        <v>#REF!</v>
      </c>
      <c r="V47" s="176">
        <f t="shared" ref="V47:V48" si="52">R47</f>
        <v>0</v>
      </c>
      <c r="W47" s="171" t="e">
        <f>W46-H46</f>
        <v>#REF!</v>
      </c>
      <c r="X47" s="171" t="e">
        <f t="shared" si="49"/>
        <v>#REF!</v>
      </c>
      <c r="Y47" s="166"/>
      <c r="Z47" s="177"/>
      <c r="AA47" s="178"/>
      <c r="AB47" s="178" t="e">
        <f>IF(#REF!="Yr2/3/4",0,-V48)</f>
        <v>#REF!</v>
      </c>
      <c r="AC47" s="179" t="e">
        <f>IF(#REF!="Yr2/3/4",0,-V48)</f>
        <v>#REF!</v>
      </c>
      <c r="AE47" s="117"/>
      <c r="AF47" s="117"/>
      <c r="AG47" s="117"/>
      <c r="AH47" s="117"/>
      <c r="AI47" s="166">
        <f>ROUND(L47*50,2)</f>
        <v>0</v>
      </c>
      <c r="AJ47" s="117"/>
      <c r="AK47" s="117"/>
      <c r="AL47" s="117"/>
    </row>
    <row r="48" spans="1:38" ht="15.75" customHeight="1">
      <c r="A48" s="117"/>
      <c r="B48" s="619"/>
      <c r="C48" s="261" t="s">
        <v>196</v>
      </c>
      <c r="D48" s="264"/>
      <c r="E48" s="265"/>
      <c r="F48" s="265"/>
      <c r="G48" s="184" t="e">
        <v>#REF!</v>
      </c>
      <c r="H48" s="251" t="e">
        <v>#REF!</v>
      </c>
      <c r="I48" s="266"/>
      <c r="J48" s="117"/>
      <c r="K48" s="117" t="s">
        <v>205</v>
      </c>
      <c r="L48" s="117" t="e">
        <v>#REF!</v>
      </c>
      <c r="M48" s="117"/>
      <c r="N48" s="117" t="e">
        <v>#REF!</v>
      </c>
      <c r="O48" s="52" t="e">
        <v>#REF!</v>
      </c>
      <c r="Q48" s="190" t="e">
        <v>#REF!</v>
      </c>
      <c r="R48" s="52" t="e">
        <v>#REF!</v>
      </c>
      <c r="S48" s="187" t="e">
        <f t="shared" si="51"/>
        <v>#REF!</v>
      </c>
      <c r="T48" s="253" t="e">
        <f t="shared" si="48"/>
        <v>#REF!</v>
      </c>
      <c r="U48" s="254" t="e">
        <f t="shared" si="1"/>
        <v>#REF!</v>
      </c>
      <c r="V48" s="52" t="e">
        <f t="shared" si="52"/>
        <v>#REF!</v>
      </c>
      <c r="W48" s="185" t="e">
        <f>W47/W46</f>
        <v>#REF!</v>
      </c>
      <c r="X48" s="185" t="e">
        <f t="shared" si="49"/>
        <v>#REF!</v>
      </c>
      <c r="Y48" s="166"/>
      <c r="Z48" s="191"/>
      <c r="AA48" s="166"/>
      <c r="AB48" s="166"/>
      <c r="AC48" s="192"/>
      <c r="AE48" s="117"/>
      <c r="AF48" s="117"/>
      <c r="AG48" s="117"/>
      <c r="AH48" s="117"/>
      <c r="AI48" s="166"/>
      <c r="AJ48" s="117"/>
      <c r="AK48" s="117"/>
      <c r="AL48" s="117"/>
    </row>
    <row r="49" spans="1:38" ht="15.75" customHeight="1">
      <c r="A49" s="117"/>
      <c r="B49" s="619"/>
      <c r="C49" s="261" t="s">
        <v>197</v>
      </c>
      <c r="D49" s="264"/>
      <c r="E49" s="262"/>
      <c r="F49" s="262"/>
      <c r="G49" s="194" t="e">
        <v>#REF!</v>
      </c>
      <c r="H49" s="245" t="e">
        <v>#REF!</v>
      </c>
      <c r="I49" s="263"/>
      <c r="J49" s="117"/>
      <c r="K49" s="231" t="s">
        <v>204</v>
      </c>
      <c r="L49" s="120"/>
      <c r="M49" s="120"/>
      <c r="N49" s="120">
        <f>N47/N$3</f>
        <v>0</v>
      </c>
      <c r="O49" s="120"/>
      <c r="P49" s="120"/>
      <c r="Q49" s="120"/>
      <c r="R49" s="120"/>
      <c r="S49" s="120">
        <f t="shared" si="51"/>
        <v>0</v>
      </c>
      <c r="T49" s="247" t="e">
        <f>H49-S50-S50*0.13</f>
        <v>#REF!</v>
      </c>
      <c r="U49" s="248" t="e">
        <f t="shared" si="1"/>
        <v>#REF!</v>
      </c>
      <c r="W49" s="178" t="e">
        <f>-S48+V48</f>
        <v>#REF!</v>
      </c>
      <c r="X49" s="178" t="e">
        <f>-L48</f>
        <v>#REF!</v>
      </c>
      <c r="Y49" s="166"/>
      <c r="Z49" s="177" t="e">
        <f t="shared" ref="Z49:AA49" si="53">W49</f>
        <v>#REF!</v>
      </c>
      <c r="AA49" s="178" t="e">
        <f t="shared" si="53"/>
        <v>#REF!</v>
      </c>
      <c r="AB49" s="178" t="e">
        <f>IF(#REF!="Yr2/3/4",0,-V48)</f>
        <v>#REF!</v>
      </c>
      <c r="AC49" s="179" t="e">
        <f>IF(#REF!="Yr2/3/4",-S50,-S50-V48)</f>
        <v>#REF!</v>
      </c>
      <c r="AE49" s="117"/>
      <c r="AF49" s="117"/>
      <c r="AG49" s="117"/>
      <c r="AH49" s="117"/>
      <c r="AI49" s="166"/>
      <c r="AJ49" s="117"/>
      <c r="AK49" s="117"/>
      <c r="AL49" s="117"/>
    </row>
    <row r="50" spans="1:38" ht="19.5" customHeight="1">
      <c r="A50" s="117"/>
      <c r="B50" s="620"/>
      <c r="C50" s="267" t="s">
        <v>199</v>
      </c>
      <c r="D50" s="268"/>
      <c r="E50" s="269"/>
      <c r="F50" s="269"/>
      <c r="G50" s="204" t="e">
        <v>#REF!</v>
      </c>
      <c r="H50" s="234" t="e">
        <v>#REF!</v>
      </c>
      <c r="I50" s="270"/>
      <c r="J50" s="207"/>
      <c r="K50" s="232" t="s">
        <v>205</v>
      </c>
      <c r="L50" s="208">
        <f>IFERROR(ROUND(L48/L$3,2),)</f>
        <v>0</v>
      </c>
      <c r="M50" s="208"/>
      <c r="N50" s="208">
        <f>IFERROR(ROUND(N48/N$3,2),)</f>
        <v>0</v>
      </c>
      <c r="O50" s="208"/>
      <c r="P50" s="208"/>
      <c r="Q50" s="208"/>
      <c r="R50" s="208">
        <f>IFERROR(ROUND(R48/R$3,2),)</f>
        <v>0</v>
      </c>
      <c r="S50" s="208">
        <f t="shared" si="51"/>
        <v>0</v>
      </c>
      <c r="T50" s="235" t="e">
        <v>#REF!</v>
      </c>
      <c r="U50" s="236" t="e">
        <f t="shared" si="1"/>
        <v>#REF!</v>
      </c>
      <c r="V50" s="211"/>
      <c r="W50" s="212" t="s">
        <v>200</v>
      </c>
      <c r="X50" s="212" t="s">
        <v>200</v>
      </c>
      <c r="Y50" s="213"/>
      <c r="Z50" s="214"/>
      <c r="AA50" s="213"/>
      <c r="AB50" s="213"/>
      <c r="AC50" s="215"/>
      <c r="AE50" s="117"/>
      <c r="AF50" s="117"/>
      <c r="AG50" s="117"/>
      <c r="AH50" s="117"/>
      <c r="AI50" s="166"/>
      <c r="AJ50" s="117"/>
      <c r="AK50" s="117"/>
      <c r="AL50" s="117"/>
    </row>
    <row r="51" spans="1:38" ht="13.5" customHeight="1">
      <c r="A51" s="117"/>
      <c r="B51" s="618" t="s">
        <v>211</v>
      </c>
      <c r="C51" s="153" t="s">
        <v>193</v>
      </c>
      <c r="D51" s="154" t="e">
        <v>#REF!</v>
      </c>
      <c r="E51" s="155" t="e">
        <v>#REF!</v>
      </c>
      <c r="F51" s="155" t="e">
        <v>#REF!</v>
      </c>
      <c r="G51" s="156" t="e">
        <v>#REF!</v>
      </c>
      <c r="H51" s="156" t="e">
        <v>#REF!</v>
      </c>
      <c r="I51" s="157" t="e">
        <v>#REF!</v>
      </c>
      <c r="J51" s="158"/>
      <c r="K51" s="158"/>
      <c r="L51" s="159"/>
      <c r="M51" s="159"/>
      <c r="N51" s="159"/>
      <c r="O51" s="159"/>
      <c r="P51" s="159"/>
      <c r="Q51" s="159"/>
      <c r="R51" s="159"/>
      <c r="S51" s="159"/>
      <c r="T51" s="161" t="e">
        <f t="shared" ref="T51:T53" si="54">H51</f>
        <v>#REF!</v>
      </c>
      <c r="U51" s="162" t="e">
        <f t="shared" si="1"/>
        <v>#REF!</v>
      </c>
      <c r="V51" s="159">
        <f t="shared" ref="V51:V52" si="55">R52</f>
        <v>0</v>
      </c>
      <c r="W51" s="239" t="e">
        <v>#REF!</v>
      </c>
      <c r="X51" s="239" t="e">
        <f t="shared" ref="X51:X53" si="56">W51</f>
        <v>#REF!</v>
      </c>
      <c r="Y51" s="160"/>
      <c r="Z51" s="164"/>
      <c r="AA51" s="160"/>
      <c r="AB51" s="160"/>
      <c r="AC51" s="165"/>
      <c r="AE51" s="117"/>
      <c r="AF51" s="117"/>
      <c r="AG51" s="117"/>
      <c r="AH51" s="117"/>
      <c r="AI51" s="166"/>
      <c r="AJ51" s="117"/>
      <c r="AK51" s="117"/>
      <c r="AL51" s="117"/>
    </row>
    <row r="52" spans="1:38" ht="15.75" customHeight="1">
      <c r="A52" s="117"/>
      <c r="B52" s="619"/>
      <c r="C52" s="167" t="s">
        <v>194</v>
      </c>
      <c r="D52" s="168"/>
      <c r="E52" s="169" t="e">
        <v>#REF!</v>
      </c>
      <c r="F52" s="169" t="e">
        <v>#REF!</v>
      </c>
      <c r="G52" s="170" t="e">
        <v>#REF!</v>
      </c>
      <c r="H52" s="171" t="e">
        <v>#REF!</v>
      </c>
      <c r="I52" s="172" t="e">
        <v>#REF!</v>
      </c>
      <c r="J52" s="117"/>
      <c r="K52" s="117" t="s">
        <v>204</v>
      </c>
      <c r="L52" s="173">
        <f>'Proposed Rates'!I44</f>
        <v>0</v>
      </c>
      <c r="M52" s="117"/>
      <c r="N52" s="173">
        <f>'Proposed Rates'!I58</f>
        <v>0</v>
      </c>
      <c r="O52" s="176">
        <f>'Proposed Rates'!I110</f>
        <v>0</v>
      </c>
      <c r="P52" s="166"/>
      <c r="Q52" s="166"/>
      <c r="S52" s="173">
        <f t="shared" ref="S52:S55" si="57">SUM(L52:R52)</f>
        <v>0</v>
      </c>
      <c r="T52" s="174" t="e">
        <f t="shared" si="54"/>
        <v>#REF!</v>
      </c>
      <c r="U52" s="175" t="e">
        <f t="shared" si="1"/>
        <v>#REF!</v>
      </c>
      <c r="V52" s="52">
        <f t="shared" si="55"/>
        <v>0</v>
      </c>
      <c r="W52" s="171" t="e">
        <f>W51-H51</f>
        <v>#REF!</v>
      </c>
      <c r="X52" s="171" t="e">
        <f t="shared" si="56"/>
        <v>#REF!</v>
      </c>
      <c r="Y52" s="166"/>
      <c r="Z52" s="177"/>
      <c r="AA52" s="178"/>
      <c r="AB52" s="178">
        <f>-V53</f>
        <v>0</v>
      </c>
      <c r="AC52" s="179">
        <f>-V53</f>
        <v>0</v>
      </c>
      <c r="AE52" s="117"/>
      <c r="AF52" s="117"/>
      <c r="AG52" s="117"/>
      <c r="AH52" s="117"/>
      <c r="AI52" s="166">
        <f>ROUND(L52*470,2)</f>
        <v>0</v>
      </c>
      <c r="AJ52" s="117"/>
      <c r="AK52" s="117"/>
      <c r="AL52" s="117"/>
    </row>
    <row r="53" spans="1:38" ht="15.75" customHeight="1">
      <c r="A53" s="117"/>
      <c r="B53" s="619"/>
      <c r="C53" s="180" t="s">
        <v>196</v>
      </c>
      <c r="D53" s="181"/>
      <c r="E53" s="182" t="e">
        <f t="shared" ref="E53:I53" si="58">E52/D51</f>
        <v>#REF!</v>
      </c>
      <c r="F53" s="182" t="e">
        <f t="shared" si="58"/>
        <v>#REF!</v>
      </c>
      <c r="G53" s="184" t="e">
        <f t="shared" si="58"/>
        <v>#REF!</v>
      </c>
      <c r="H53" s="185" t="e">
        <f t="shared" si="58"/>
        <v>#REF!</v>
      </c>
      <c r="I53" s="186" t="e">
        <f t="shared" si="58"/>
        <v>#REF!</v>
      </c>
      <c r="J53" s="271"/>
      <c r="K53" s="117" t="s">
        <v>205</v>
      </c>
      <c r="L53" s="117" t="e">
        <v>#REF!</v>
      </c>
      <c r="M53" s="117"/>
      <c r="N53" s="117" t="e">
        <v>#REF!</v>
      </c>
      <c r="O53" s="52" t="e">
        <v>#REF!</v>
      </c>
      <c r="P53" s="166"/>
      <c r="Q53" s="166"/>
      <c r="S53" s="187" t="e">
        <f t="shared" si="57"/>
        <v>#REF!</v>
      </c>
      <c r="T53" s="188" t="e">
        <f t="shared" si="54"/>
        <v>#REF!</v>
      </c>
      <c r="U53" s="189" t="e">
        <f t="shared" si="1"/>
        <v>#REF!</v>
      </c>
      <c r="V53" s="52">
        <v>0</v>
      </c>
      <c r="W53" s="185" t="e">
        <f>W52/W51</f>
        <v>#REF!</v>
      </c>
      <c r="X53" s="185" t="e">
        <f t="shared" si="56"/>
        <v>#REF!</v>
      </c>
      <c r="Y53" s="127"/>
      <c r="Z53" s="191"/>
      <c r="AA53" s="166"/>
      <c r="AB53" s="166"/>
      <c r="AC53" s="192"/>
      <c r="AE53" s="117"/>
      <c r="AF53" s="117"/>
      <c r="AG53" s="117"/>
      <c r="AH53" s="117"/>
      <c r="AI53" s="127"/>
      <c r="AJ53" s="117"/>
      <c r="AK53" s="117"/>
      <c r="AL53" s="117"/>
    </row>
    <row r="54" spans="1:38" ht="15.75" customHeight="1">
      <c r="A54" s="117"/>
      <c r="B54" s="619"/>
      <c r="C54" s="180" t="s">
        <v>197</v>
      </c>
      <c r="D54" s="181"/>
      <c r="E54" s="193" t="e">
        <v>#REF!</v>
      </c>
      <c r="F54" s="193" t="e">
        <v>#REF!</v>
      </c>
      <c r="G54" s="194" t="e">
        <v>#REF!</v>
      </c>
      <c r="H54" s="195" t="e">
        <v>#REF!</v>
      </c>
      <c r="I54" s="196" t="e">
        <v>#REF!</v>
      </c>
      <c r="J54" s="117"/>
      <c r="K54" s="231" t="s">
        <v>204</v>
      </c>
      <c r="L54" s="120"/>
      <c r="M54" s="120"/>
      <c r="N54" s="120">
        <f>N52/N$3</f>
        <v>0</v>
      </c>
      <c r="O54" s="120"/>
      <c r="P54" s="120"/>
      <c r="Q54" s="120"/>
      <c r="R54" s="120"/>
      <c r="S54" s="120">
        <f t="shared" si="57"/>
        <v>0</v>
      </c>
      <c r="T54" s="199" t="e">
        <f>H54-S55-S55*0.13+S55*0.117</f>
        <v>#REF!</v>
      </c>
      <c r="U54" s="200" t="e">
        <f t="shared" si="1"/>
        <v>#REF!</v>
      </c>
      <c r="W54" s="178" t="e">
        <f>-S53+V53</f>
        <v>#REF!</v>
      </c>
      <c r="X54" s="178" t="e">
        <f>-L53</f>
        <v>#REF!</v>
      </c>
      <c r="Y54" s="127"/>
      <c r="Z54" s="177" t="e">
        <f t="shared" ref="Z54:AA54" si="59">W54</f>
        <v>#REF!</v>
      </c>
      <c r="AA54" s="178" t="e">
        <f t="shared" si="59"/>
        <v>#REF!</v>
      </c>
      <c r="AB54" s="178">
        <f>-V53</f>
        <v>0</v>
      </c>
      <c r="AC54" s="179">
        <f>-S55-V53</f>
        <v>0</v>
      </c>
      <c r="AE54" s="117"/>
      <c r="AF54" s="117"/>
      <c r="AG54" s="117"/>
      <c r="AH54" s="117"/>
      <c r="AI54" s="127"/>
      <c r="AJ54" s="117"/>
      <c r="AK54" s="117"/>
      <c r="AL54" s="117"/>
    </row>
    <row r="55" spans="1:38" ht="15.75" customHeight="1">
      <c r="A55" s="117"/>
      <c r="B55" s="620"/>
      <c r="C55" s="201" t="s">
        <v>199</v>
      </c>
      <c r="D55" s="202"/>
      <c r="E55" s="203" t="e">
        <v>#REF!</v>
      </c>
      <c r="F55" s="203" t="e">
        <v>#REF!</v>
      </c>
      <c r="G55" s="204" t="e">
        <v>#REF!</v>
      </c>
      <c r="H55" s="205" t="e">
        <v>#REF!</v>
      </c>
      <c r="I55" s="206" t="e">
        <v>#REF!</v>
      </c>
      <c r="J55" s="272"/>
      <c r="K55" s="232" t="s">
        <v>205</v>
      </c>
      <c r="L55" s="208">
        <f>IFERROR(ROUND(L53/L$3,2),)</f>
        <v>0</v>
      </c>
      <c r="M55" s="208"/>
      <c r="N55" s="208">
        <f>IFERROR(ROUND(N53/N$3,2),)</f>
        <v>0</v>
      </c>
      <c r="O55" s="208"/>
      <c r="P55" s="208"/>
      <c r="Q55" s="208"/>
      <c r="R55" s="208"/>
      <c r="S55" s="208">
        <f t="shared" si="57"/>
        <v>0</v>
      </c>
      <c r="T55" s="209" t="e">
        <v>#REF!</v>
      </c>
      <c r="U55" s="210" t="e">
        <f t="shared" si="1"/>
        <v>#REF!</v>
      </c>
      <c r="V55" s="211"/>
      <c r="W55" s="212" t="s">
        <v>200</v>
      </c>
      <c r="X55" s="212" t="s">
        <v>200</v>
      </c>
      <c r="Y55" s="273"/>
      <c r="Z55" s="274"/>
      <c r="AA55" s="273"/>
      <c r="AB55" s="273"/>
      <c r="AC55" s="275"/>
      <c r="AD55" s="127"/>
      <c r="AE55" s="117"/>
      <c r="AF55" s="117"/>
      <c r="AG55" s="117"/>
      <c r="AH55" s="117"/>
      <c r="AI55" s="117"/>
      <c r="AJ55" s="117"/>
      <c r="AK55" s="117"/>
      <c r="AL55" s="117"/>
    </row>
    <row r="56" spans="1:38" ht="15.75" customHeight="1">
      <c r="A56" s="117"/>
      <c r="B56" s="117"/>
      <c r="C56" s="117"/>
      <c r="D56" s="276"/>
      <c r="E56" s="277"/>
      <c r="F56" s="277"/>
      <c r="G56" s="271"/>
      <c r="H56" s="271"/>
      <c r="I56" s="278"/>
      <c r="J56" s="271"/>
      <c r="K56" s="117"/>
      <c r="L56" s="117"/>
      <c r="M56" s="117"/>
      <c r="N56" s="117"/>
      <c r="O56" s="117"/>
      <c r="P56" s="117"/>
      <c r="Q56" s="117"/>
      <c r="R56" s="117"/>
      <c r="S56" s="117"/>
      <c r="T56" s="126"/>
      <c r="W56" s="127"/>
      <c r="X56" s="127"/>
      <c r="Y56" s="127"/>
      <c r="Z56" s="127"/>
      <c r="AA56" s="127"/>
      <c r="AB56" s="127"/>
      <c r="AC56" s="127"/>
      <c r="AD56" s="127"/>
      <c r="AE56" s="117"/>
      <c r="AF56" s="117"/>
      <c r="AG56" s="117"/>
      <c r="AH56" s="117"/>
      <c r="AI56" s="117"/>
      <c r="AJ56" s="117"/>
      <c r="AK56" s="117"/>
      <c r="AL56" s="117"/>
    </row>
    <row r="57" spans="1:38" ht="15.75" customHeight="1">
      <c r="A57" s="117"/>
      <c r="B57" s="117"/>
      <c r="C57" s="117"/>
      <c r="D57" s="276"/>
      <c r="E57" s="277"/>
      <c r="F57" s="277"/>
      <c r="G57" s="271"/>
      <c r="H57" s="271"/>
      <c r="I57" s="278"/>
      <c r="J57" s="271"/>
      <c r="K57" s="117"/>
      <c r="L57" s="117"/>
      <c r="M57" s="117"/>
      <c r="N57" s="117"/>
      <c r="O57" s="117"/>
      <c r="P57" s="117"/>
      <c r="Q57" s="117"/>
      <c r="R57" s="117"/>
      <c r="S57" s="117"/>
      <c r="T57" s="126"/>
      <c r="W57" s="127"/>
      <c r="X57" s="127"/>
      <c r="Y57" s="127"/>
      <c r="Z57" s="127"/>
      <c r="AA57" s="127"/>
      <c r="AB57" s="127"/>
      <c r="AC57" s="127"/>
      <c r="AD57" s="127"/>
      <c r="AE57" s="117"/>
      <c r="AF57" s="117"/>
      <c r="AG57" s="117"/>
      <c r="AH57" s="117"/>
      <c r="AI57" s="117"/>
      <c r="AJ57" s="117"/>
      <c r="AK57" s="117"/>
      <c r="AL57" s="117"/>
    </row>
    <row r="58" spans="1:38" ht="15.75" customHeight="1">
      <c r="A58" s="117"/>
      <c r="B58" s="117"/>
      <c r="C58" s="117"/>
      <c r="D58" s="276"/>
      <c r="E58" s="276"/>
      <c r="F58" s="276"/>
      <c r="G58" s="117"/>
      <c r="H58" s="117"/>
      <c r="I58" s="279"/>
      <c r="J58" s="271"/>
      <c r="K58" s="117"/>
      <c r="L58" s="117"/>
      <c r="M58" s="117"/>
      <c r="N58" s="117"/>
      <c r="O58" s="117"/>
      <c r="P58" s="117"/>
      <c r="Q58" s="117"/>
      <c r="R58" s="117"/>
      <c r="S58" s="117"/>
      <c r="T58" s="126"/>
      <c r="W58" s="127"/>
      <c r="X58" s="127"/>
      <c r="Y58" s="127"/>
      <c r="Z58" s="127"/>
      <c r="AA58" s="127"/>
      <c r="AB58" s="127"/>
      <c r="AC58" s="127"/>
      <c r="AD58" s="127"/>
      <c r="AE58" s="117"/>
      <c r="AF58" s="117"/>
      <c r="AG58" s="117"/>
      <c r="AH58" s="117"/>
      <c r="AI58" s="117"/>
      <c r="AJ58" s="117"/>
      <c r="AK58" s="117"/>
      <c r="AL58" s="117"/>
    </row>
    <row r="59" spans="1:38" ht="15.75" customHeight="1">
      <c r="A59" s="117"/>
      <c r="B59" s="117"/>
      <c r="C59" s="280"/>
      <c r="D59" s="276"/>
      <c r="E59" s="281"/>
      <c r="F59" s="281"/>
      <c r="G59" s="282"/>
      <c r="H59" s="282"/>
      <c r="I59" s="283"/>
      <c r="J59" s="271"/>
      <c r="K59" s="117"/>
      <c r="L59" s="117"/>
      <c r="M59" s="117"/>
      <c r="N59" s="117"/>
      <c r="O59" s="117"/>
      <c r="P59" s="117"/>
      <c r="Q59" s="117"/>
      <c r="R59" s="117"/>
      <c r="S59" s="117"/>
      <c r="T59" s="126"/>
      <c r="W59" s="127"/>
      <c r="X59" s="127"/>
      <c r="Y59" s="127"/>
      <c r="Z59" s="127"/>
      <c r="AA59" s="127"/>
      <c r="AB59" s="127"/>
      <c r="AC59" s="127"/>
      <c r="AD59" s="127"/>
      <c r="AE59" s="117"/>
      <c r="AF59" s="117"/>
      <c r="AG59" s="117"/>
      <c r="AH59" s="117"/>
      <c r="AI59" s="117"/>
      <c r="AJ59" s="117"/>
      <c r="AK59" s="117"/>
      <c r="AL59" s="117"/>
    </row>
    <row r="60" spans="1:38" ht="15.75" customHeight="1">
      <c r="A60" s="117"/>
      <c r="B60" s="117"/>
      <c r="C60" s="117"/>
      <c r="D60" s="276"/>
      <c r="E60" s="276"/>
      <c r="F60" s="276"/>
      <c r="G60" s="117"/>
      <c r="H60" s="117"/>
      <c r="I60" s="279"/>
      <c r="J60" s="271"/>
      <c r="K60" s="117"/>
      <c r="L60" s="117"/>
      <c r="M60" s="117"/>
      <c r="N60" s="117"/>
      <c r="O60" s="117"/>
      <c r="P60" s="117"/>
      <c r="Q60" s="117"/>
      <c r="R60" s="117"/>
      <c r="S60" s="117"/>
      <c r="T60" s="126"/>
      <c r="W60" s="127"/>
      <c r="X60" s="127"/>
      <c r="Y60" s="127"/>
      <c r="Z60" s="127"/>
      <c r="AA60" s="127"/>
      <c r="AB60" s="127"/>
      <c r="AC60" s="127"/>
      <c r="AD60" s="127"/>
      <c r="AE60" s="117"/>
      <c r="AF60" s="117"/>
      <c r="AG60" s="117"/>
      <c r="AH60" s="117"/>
      <c r="AI60" s="117"/>
      <c r="AJ60" s="117"/>
      <c r="AK60" s="117"/>
      <c r="AL60" s="117"/>
    </row>
    <row r="61" spans="1:38" ht="15.75" customHeight="1">
      <c r="A61" s="117"/>
      <c r="B61" s="117"/>
      <c r="C61" s="117"/>
      <c r="D61" s="276"/>
      <c r="E61" s="277"/>
      <c r="F61" s="277"/>
      <c r="G61" s="271"/>
      <c r="H61" s="271"/>
      <c r="I61" s="278"/>
      <c r="J61" s="271"/>
      <c r="K61" s="117"/>
      <c r="L61" s="117"/>
      <c r="M61" s="117"/>
      <c r="N61" s="117"/>
      <c r="O61" s="117"/>
      <c r="P61" s="117"/>
      <c r="Q61" s="117"/>
      <c r="R61" s="117"/>
      <c r="S61" s="117"/>
      <c r="T61" s="126"/>
      <c r="W61" s="127"/>
      <c r="X61" s="127"/>
      <c r="Y61" s="127"/>
      <c r="Z61" s="127"/>
      <c r="AA61" s="127"/>
      <c r="AB61" s="127"/>
      <c r="AC61" s="127"/>
      <c r="AD61" s="127"/>
      <c r="AE61" s="117"/>
      <c r="AF61" s="117"/>
      <c r="AG61" s="117"/>
      <c r="AH61" s="117"/>
      <c r="AI61" s="117"/>
      <c r="AJ61" s="117"/>
      <c r="AK61" s="117"/>
      <c r="AL61" s="117"/>
    </row>
    <row r="62" spans="1:38" ht="15.75" customHeight="1">
      <c r="A62" s="117"/>
      <c r="B62" s="117"/>
      <c r="C62" s="117"/>
      <c r="D62" s="276"/>
      <c r="E62" s="277"/>
      <c r="F62" s="277"/>
      <c r="G62" s="271"/>
      <c r="H62" s="271"/>
      <c r="I62" s="278"/>
      <c r="J62" s="271"/>
      <c r="K62" s="117"/>
      <c r="L62" s="117"/>
      <c r="M62" s="117"/>
      <c r="N62" s="117"/>
      <c r="O62" s="117"/>
      <c r="P62" s="117"/>
      <c r="Q62" s="117"/>
      <c r="R62" s="117"/>
      <c r="S62" s="117"/>
      <c r="T62" s="126"/>
      <c r="W62" s="127"/>
      <c r="X62" s="127"/>
      <c r="Y62" s="127"/>
      <c r="Z62" s="127"/>
      <c r="AA62" s="127"/>
      <c r="AB62" s="127"/>
      <c r="AC62" s="127"/>
      <c r="AD62" s="127"/>
      <c r="AE62" s="117"/>
      <c r="AF62" s="117"/>
      <c r="AG62" s="117"/>
      <c r="AH62" s="117"/>
      <c r="AI62" s="117"/>
      <c r="AJ62" s="117"/>
      <c r="AK62" s="117"/>
      <c r="AL62" s="117"/>
    </row>
    <row r="63" spans="1:38" ht="15.75" customHeight="1">
      <c r="A63" s="117"/>
      <c r="B63" s="117"/>
      <c r="C63" s="117"/>
      <c r="D63" s="276"/>
      <c r="E63" s="277"/>
      <c r="F63" s="277"/>
      <c r="G63" s="271"/>
      <c r="H63" s="271"/>
      <c r="I63" s="278"/>
      <c r="J63" s="117"/>
      <c r="K63" s="117"/>
      <c r="L63" s="117"/>
      <c r="M63" s="117"/>
      <c r="N63" s="117"/>
      <c r="O63" s="117"/>
      <c r="P63" s="117"/>
      <c r="Q63" s="117"/>
      <c r="R63" s="117"/>
      <c r="S63" s="117"/>
      <c r="T63" s="126"/>
      <c r="W63" s="127"/>
      <c r="X63" s="127"/>
      <c r="Y63" s="127"/>
      <c r="Z63" s="127"/>
      <c r="AA63" s="127"/>
      <c r="AB63" s="127"/>
      <c r="AC63" s="127"/>
      <c r="AD63" s="127"/>
      <c r="AE63" s="117"/>
      <c r="AF63" s="117"/>
      <c r="AG63" s="117"/>
      <c r="AH63" s="117"/>
      <c r="AI63" s="117"/>
      <c r="AJ63" s="117"/>
      <c r="AK63" s="117"/>
      <c r="AL63" s="117"/>
    </row>
    <row r="64" spans="1:38" ht="15.75" customHeight="1">
      <c r="A64" s="117"/>
      <c r="B64" s="117"/>
      <c r="C64" s="117"/>
      <c r="D64" s="276"/>
      <c r="E64" s="277"/>
      <c r="F64" s="277"/>
      <c r="G64" s="271"/>
      <c r="H64" s="271"/>
      <c r="I64" s="278"/>
      <c r="J64" s="271"/>
      <c r="K64" s="117"/>
      <c r="L64" s="117"/>
      <c r="M64" s="117"/>
      <c r="N64" s="117"/>
      <c r="O64" s="117"/>
      <c r="P64" s="117"/>
      <c r="Q64" s="117"/>
      <c r="R64" s="117"/>
      <c r="S64" s="117"/>
      <c r="T64" s="126"/>
      <c r="W64" s="127"/>
      <c r="X64" s="127"/>
      <c r="Y64" s="127"/>
      <c r="Z64" s="127"/>
      <c r="AA64" s="127"/>
      <c r="AB64" s="127"/>
      <c r="AC64" s="127"/>
      <c r="AD64" s="127"/>
      <c r="AE64" s="117"/>
      <c r="AF64" s="117"/>
      <c r="AG64" s="117"/>
      <c r="AH64" s="117"/>
      <c r="AI64" s="117"/>
      <c r="AJ64" s="117"/>
      <c r="AK64" s="117"/>
      <c r="AL64" s="117"/>
    </row>
    <row r="65" spans="1:38" ht="15.75" customHeight="1">
      <c r="A65" s="117"/>
      <c r="B65" s="117"/>
      <c r="C65" s="117"/>
      <c r="D65" s="276"/>
      <c r="E65" s="277"/>
      <c r="F65" s="277"/>
      <c r="G65" s="271"/>
      <c r="H65" s="271"/>
      <c r="I65" s="278"/>
      <c r="J65" s="117"/>
      <c r="K65" s="117"/>
      <c r="L65" s="117"/>
      <c r="M65" s="117"/>
      <c r="N65" s="117"/>
      <c r="O65" s="117"/>
      <c r="P65" s="117"/>
      <c r="Q65" s="117"/>
      <c r="R65" s="117"/>
      <c r="S65" s="117"/>
      <c r="T65" s="126"/>
      <c r="W65" s="127"/>
      <c r="X65" s="127"/>
      <c r="Y65" s="127"/>
      <c r="Z65" s="127"/>
      <c r="AA65" s="127"/>
      <c r="AB65" s="127"/>
      <c r="AC65" s="127"/>
      <c r="AD65" s="127"/>
      <c r="AE65" s="117"/>
      <c r="AF65" s="117"/>
      <c r="AG65" s="117"/>
      <c r="AH65" s="117"/>
      <c r="AI65" s="117"/>
      <c r="AJ65" s="117"/>
      <c r="AK65" s="117"/>
      <c r="AL65" s="117"/>
    </row>
    <row r="66" spans="1:38" ht="15.75" customHeight="1">
      <c r="A66" s="117"/>
      <c r="B66" s="117"/>
      <c r="C66" s="117"/>
      <c r="D66" s="276"/>
      <c r="E66" s="277"/>
      <c r="F66" s="277"/>
      <c r="G66" s="271"/>
      <c r="H66" s="271"/>
      <c r="I66" s="278"/>
      <c r="J66" s="271"/>
      <c r="K66" s="117"/>
      <c r="L66" s="117"/>
      <c r="M66" s="117"/>
      <c r="N66" s="117"/>
      <c r="O66" s="117"/>
      <c r="P66" s="117"/>
      <c r="Q66" s="117"/>
      <c r="R66" s="117"/>
      <c r="S66" s="117"/>
      <c r="T66" s="126"/>
      <c r="W66" s="127"/>
      <c r="X66" s="127"/>
      <c r="Y66" s="127"/>
      <c r="Z66" s="127"/>
      <c r="AA66" s="127"/>
      <c r="AB66" s="127"/>
      <c r="AC66" s="127"/>
      <c r="AD66" s="127"/>
      <c r="AE66" s="117"/>
      <c r="AF66" s="117"/>
      <c r="AG66" s="117"/>
      <c r="AH66" s="117"/>
      <c r="AI66" s="117"/>
      <c r="AJ66" s="117"/>
      <c r="AK66" s="117"/>
      <c r="AL66" s="117"/>
    </row>
    <row r="67" spans="1:38" ht="15.75" customHeight="1">
      <c r="A67" s="117"/>
      <c r="B67" s="117"/>
      <c r="C67" s="117"/>
      <c r="D67" s="276"/>
      <c r="E67" s="277"/>
      <c r="F67" s="277"/>
      <c r="G67" s="271"/>
      <c r="H67" s="271"/>
      <c r="I67" s="278"/>
      <c r="J67" s="271"/>
      <c r="K67" s="117"/>
      <c r="L67" s="117"/>
      <c r="M67" s="117"/>
      <c r="N67" s="117"/>
      <c r="O67" s="117"/>
      <c r="P67" s="117"/>
      <c r="Q67" s="117"/>
      <c r="R67" s="117"/>
      <c r="S67" s="117"/>
      <c r="T67" s="126"/>
      <c r="W67" s="127"/>
      <c r="X67" s="127"/>
      <c r="Y67" s="127"/>
      <c r="Z67" s="127"/>
      <c r="AA67" s="127"/>
      <c r="AB67" s="127"/>
      <c r="AC67" s="127"/>
      <c r="AD67" s="127"/>
      <c r="AE67" s="117"/>
      <c r="AF67" s="117"/>
      <c r="AG67" s="117"/>
      <c r="AH67" s="117"/>
      <c r="AI67" s="117"/>
      <c r="AJ67" s="117"/>
      <c r="AK67" s="117"/>
      <c r="AL67" s="117"/>
    </row>
    <row r="68" spans="1:38" ht="15.75" customHeight="1">
      <c r="A68" s="117"/>
      <c r="B68" s="117"/>
      <c r="C68" s="117"/>
      <c r="D68" s="276"/>
      <c r="E68" s="277"/>
      <c r="F68" s="277"/>
      <c r="G68" s="271"/>
      <c r="H68" s="271"/>
      <c r="I68" s="278"/>
      <c r="J68" s="271"/>
      <c r="K68" s="117"/>
      <c r="L68" s="117"/>
      <c r="M68" s="117"/>
      <c r="N68" s="117"/>
      <c r="O68" s="117"/>
      <c r="P68" s="117"/>
      <c r="Q68" s="117"/>
      <c r="R68" s="117"/>
      <c r="S68" s="117"/>
      <c r="T68" s="126"/>
      <c r="W68" s="127"/>
      <c r="X68" s="127"/>
      <c r="Y68" s="127"/>
      <c r="Z68" s="127"/>
      <c r="AA68" s="127"/>
      <c r="AB68" s="127"/>
      <c r="AC68" s="127"/>
      <c r="AD68" s="127"/>
      <c r="AE68" s="117"/>
      <c r="AF68" s="117"/>
      <c r="AG68" s="117"/>
      <c r="AH68" s="117"/>
      <c r="AI68" s="117"/>
      <c r="AJ68" s="117"/>
      <c r="AK68" s="117"/>
      <c r="AL68" s="117"/>
    </row>
    <row r="69" spans="1:38" ht="15.75" customHeight="1">
      <c r="A69" s="117"/>
      <c r="B69" s="117"/>
      <c r="C69" s="117"/>
      <c r="D69" s="276"/>
      <c r="E69" s="276"/>
      <c r="F69" s="276"/>
      <c r="G69" s="117"/>
      <c r="H69" s="117"/>
      <c r="I69" s="279"/>
      <c r="J69" s="271"/>
      <c r="K69" s="117"/>
      <c r="L69" s="117"/>
      <c r="M69" s="117"/>
      <c r="N69" s="117"/>
      <c r="O69" s="117"/>
      <c r="P69" s="117"/>
      <c r="Q69" s="117"/>
      <c r="R69" s="117"/>
      <c r="S69" s="117"/>
      <c r="T69" s="126"/>
      <c r="W69" s="127"/>
      <c r="X69" s="127"/>
      <c r="Y69" s="127"/>
      <c r="Z69" s="127"/>
      <c r="AA69" s="127"/>
      <c r="AB69" s="127"/>
      <c r="AC69" s="127"/>
      <c r="AD69" s="127"/>
      <c r="AE69" s="117"/>
      <c r="AF69" s="117"/>
      <c r="AG69" s="117"/>
      <c r="AH69" s="117"/>
      <c r="AI69" s="117"/>
      <c r="AJ69" s="117"/>
      <c r="AK69" s="117"/>
      <c r="AL69" s="117"/>
    </row>
    <row r="70" spans="1:38" ht="15.75" customHeight="1">
      <c r="A70" s="117"/>
      <c r="B70" s="117"/>
      <c r="C70" s="117"/>
      <c r="D70" s="276"/>
      <c r="E70" s="276"/>
      <c r="F70" s="276"/>
      <c r="G70" s="117"/>
      <c r="H70" s="117"/>
      <c r="I70" s="279"/>
      <c r="J70" s="271"/>
      <c r="K70" s="117"/>
      <c r="L70" s="117"/>
      <c r="M70" s="117"/>
      <c r="N70" s="117"/>
      <c r="O70" s="117"/>
      <c r="P70" s="117"/>
      <c r="Q70" s="117"/>
      <c r="R70" s="117"/>
      <c r="S70" s="117"/>
      <c r="T70" s="126"/>
      <c r="W70" s="127"/>
      <c r="X70" s="127"/>
      <c r="Y70" s="127"/>
      <c r="Z70" s="127"/>
      <c r="AA70" s="127"/>
      <c r="AB70" s="127"/>
      <c r="AC70" s="127"/>
      <c r="AD70" s="127"/>
      <c r="AE70" s="117"/>
      <c r="AF70" s="117"/>
      <c r="AG70" s="117"/>
      <c r="AH70" s="117"/>
      <c r="AI70" s="117"/>
      <c r="AJ70" s="117"/>
      <c r="AK70" s="117"/>
      <c r="AL70" s="117"/>
    </row>
    <row r="71" spans="1:38" ht="15.75" customHeight="1">
      <c r="A71" s="117"/>
      <c r="B71" s="117"/>
      <c r="C71" s="117"/>
      <c r="D71" s="276"/>
      <c r="E71" s="276"/>
      <c r="F71" s="276"/>
      <c r="G71" s="117"/>
      <c r="H71" s="117"/>
      <c r="I71" s="279"/>
      <c r="J71" s="271"/>
      <c r="K71" s="117"/>
      <c r="L71" s="117"/>
      <c r="M71" s="117"/>
      <c r="N71" s="117"/>
      <c r="O71" s="117"/>
      <c r="P71" s="117"/>
      <c r="Q71" s="117"/>
      <c r="R71" s="117"/>
      <c r="S71" s="117"/>
      <c r="T71" s="126"/>
      <c r="W71" s="127"/>
      <c r="X71" s="127"/>
      <c r="Y71" s="127"/>
      <c r="Z71" s="127"/>
      <c r="AA71" s="127"/>
      <c r="AB71" s="127"/>
      <c r="AC71" s="127"/>
      <c r="AD71" s="127"/>
      <c r="AE71" s="117"/>
      <c r="AF71" s="117"/>
      <c r="AG71" s="117"/>
      <c r="AH71" s="117"/>
      <c r="AI71" s="117"/>
      <c r="AJ71" s="117"/>
      <c r="AK71" s="117"/>
      <c r="AL71" s="117"/>
    </row>
    <row r="72" spans="1:38" ht="15.75" customHeight="1">
      <c r="A72" s="117"/>
      <c r="B72" s="117"/>
      <c r="C72" s="117"/>
      <c r="D72" s="276"/>
      <c r="E72" s="276"/>
      <c r="F72" s="276"/>
      <c r="G72" s="117"/>
      <c r="H72" s="117"/>
      <c r="I72" s="279"/>
      <c r="J72" s="271"/>
      <c r="K72" s="117"/>
      <c r="L72" s="117"/>
      <c r="M72" s="117"/>
      <c r="N72" s="117"/>
      <c r="O72" s="117"/>
      <c r="P72" s="117"/>
      <c r="Q72" s="117"/>
      <c r="R72" s="117"/>
      <c r="S72" s="117"/>
      <c r="T72" s="126"/>
      <c r="W72" s="127"/>
      <c r="X72" s="127"/>
      <c r="Y72" s="127"/>
      <c r="Z72" s="127"/>
      <c r="AA72" s="127"/>
      <c r="AB72" s="127"/>
      <c r="AC72" s="127"/>
      <c r="AD72" s="127"/>
      <c r="AE72" s="117"/>
      <c r="AF72" s="117"/>
      <c r="AG72" s="117"/>
      <c r="AH72" s="117"/>
      <c r="AI72" s="117"/>
      <c r="AJ72" s="117"/>
      <c r="AK72" s="117"/>
      <c r="AL72" s="117"/>
    </row>
    <row r="73" spans="1:38" ht="15.75" customHeight="1">
      <c r="A73" s="117"/>
      <c r="B73" s="117"/>
      <c r="C73" s="117"/>
      <c r="D73" s="276"/>
      <c r="E73" s="276"/>
      <c r="F73" s="276"/>
      <c r="G73" s="117"/>
      <c r="H73" s="117"/>
      <c r="I73" s="279"/>
      <c r="J73" s="271"/>
      <c r="K73" s="117"/>
      <c r="L73" s="117"/>
      <c r="M73" s="117"/>
      <c r="N73" s="117"/>
      <c r="O73" s="117"/>
      <c r="P73" s="117"/>
      <c r="Q73" s="117"/>
      <c r="R73" s="117"/>
      <c r="S73" s="117"/>
      <c r="T73" s="126"/>
      <c r="W73" s="127"/>
      <c r="X73" s="127"/>
      <c r="Y73" s="127"/>
      <c r="Z73" s="127"/>
      <c r="AA73" s="127"/>
      <c r="AB73" s="127"/>
      <c r="AC73" s="127"/>
      <c r="AD73" s="127"/>
      <c r="AE73" s="117"/>
      <c r="AF73" s="117"/>
      <c r="AG73" s="117"/>
      <c r="AH73" s="117"/>
      <c r="AI73" s="117"/>
      <c r="AJ73" s="117"/>
      <c r="AK73" s="117"/>
      <c r="AL73" s="117"/>
    </row>
    <row r="74" spans="1:38" ht="15.75" customHeight="1">
      <c r="A74" s="117"/>
      <c r="B74" s="117"/>
      <c r="C74" s="117"/>
      <c r="D74" s="276"/>
      <c r="E74" s="276"/>
      <c r="F74" s="276"/>
      <c r="G74" s="117"/>
      <c r="H74" s="117"/>
      <c r="I74" s="279"/>
      <c r="J74" s="117"/>
      <c r="K74" s="117"/>
      <c r="L74" s="117"/>
      <c r="M74" s="117"/>
      <c r="N74" s="117"/>
      <c r="O74" s="117"/>
      <c r="P74" s="117"/>
      <c r="Q74" s="117"/>
      <c r="R74" s="117"/>
      <c r="S74" s="117"/>
      <c r="T74" s="126"/>
      <c r="W74" s="127"/>
      <c r="X74" s="127"/>
      <c r="Y74" s="127"/>
      <c r="Z74" s="127"/>
      <c r="AA74" s="127"/>
      <c r="AB74" s="127"/>
      <c r="AC74" s="127"/>
      <c r="AD74" s="127"/>
      <c r="AE74" s="117"/>
      <c r="AF74" s="117"/>
      <c r="AG74" s="117"/>
      <c r="AH74" s="117"/>
      <c r="AI74" s="117"/>
      <c r="AJ74" s="117"/>
      <c r="AK74" s="117"/>
      <c r="AL74" s="117"/>
    </row>
    <row r="75" spans="1:38" ht="15.75" customHeight="1">
      <c r="A75" s="117"/>
      <c r="B75" s="117"/>
      <c r="C75" s="117"/>
      <c r="D75" s="276"/>
      <c r="E75" s="276"/>
      <c r="F75" s="276"/>
      <c r="G75" s="117"/>
      <c r="H75" s="117"/>
      <c r="I75" s="279"/>
      <c r="J75" s="117"/>
      <c r="K75" s="117"/>
      <c r="L75" s="117"/>
      <c r="M75" s="117"/>
      <c r="N75" s="117"/>
      <c r="O75" s="117"/>
      <c r="P75" s="117"/>
      <c r="Q75" s="117"/>
      <c r="R75" s="117"/>
      <c r="S75" s="117"/>
      <c r="T75" s="126"/>
      <c r="W75" s="127"/>
      <c r="X75" s="127"/>
      <c r="Y75" s="127"/>
      <c r="Z75" s="127"/>
      <c r="AA75" s="127"/>
      <c r="AB75" s="127"/>
      <c r="AC75" s="127"/>
      <c r="AD75" s="127"/>
      <c r="AE75" s="117"/>
      <c r="AF75" s="117"/>
      <c r="AG75" s="117"/>
      <c r="AH75" s="117"/>
      <c r="AI75" s="117"/>
      <c r="AJ75" s="117"/>
      <c r="AK75" s="117"/>
      <c r="AL75" s="117"/>
    </row>
    <row r="76" spans="1:38" ht="15.75" customHeight="1">
      <c r="A76" s="117"/>
      <c r="B76" s="117"/>
      <c r="C76" s="117"/>
      <c r="D76" s="276"/>
      <c r="E76" s="276"/>
      <c r="F76" s="276"/>
      <c r="G76" s="117"/>
      <c r="H76" s="117"/>
      <c r="I76" s="279"/>
      <c r="J76" s="117"/>
      <c r="K76" s="117"/>
      <c r="L76" s="117"/>
      <c r="M76" s="117"/>
      <c r="N76" s="117"/>
      <c r="O76" s="117"/>
      <c r="P76" s="117"/>
      <c r="Q76" s="117"/>
      <c r="R76" s="117"/>
      <c r="S76" s="117"/>
      <c r="T76" s="126"/>
      <c r="W76" s="127"/>
      <c r="X76" s="127"/>
      <c r="Y76" s="127"/>
      <c r="Z76" s="127"/>
      <c r="AA76" s="127"/>
      <c r="AB76" s="127"/>
      <c r="AC76" s="127"/>
      <c r="AD76" s="127"/>
      <c r="AE76" s="117"/>
      <c r="AF76" s="117"/>
      <c r="AG76" s="117"/>
      <c r="AH76" s="117"/>
      <c r="AI76" s="117"/>
      <c r="AJ76" s="117"/>
      <c r="AK76" s="117"/>
      <c r="AL76" s="117"/>
    </row>
    <row r="77" spans="1:38" ht="15.75" customHeight="1">
      <c r="A77" s="117"/>
      <c r="B77" s="117"/>
      <c r="C77" s="117"/>
      <c r="D77" s="276"/>
      <c r="E77" s="276"/>
      <c r="F77" s="276"/>
      <c r="G77" s="117"/>
      <c r="H77" s="117"/>
      <c r="I77" s="279"/>
      <c r="J77" s="117"/>
      <c r="K77" s="117"/>
      <c r="L77" s="117"/>
      <c r="M77" s="117"/>
      <c r="N77" s="117"/>
      <c r="O77" s="117"/>
      <c r="P77" s="117"/>
      <c r="Q77" s="117"/>
      <c r="R77" s="117"/>
      <c r="S77" s="117"/>
      <c r="T77" s="126"/>
      <c r="W77" s="127"/>
      <c r="X77" s="127"/>
      <c r="Y77" s="127"/>
      <c r="Z77" s="127"/>
      <c r="AA77" s="127"/>
      <c r="AB77" s="127"/>
      <c r="AC77" s="127"/>
      <c r="AD77" s="127"/>
      <c r="AE77" s="117"/>
      <c r="AF77" s="117"/>
      <c r="AG77" s="117"/>
      <c r="AH77" s="117"/>
      <c r="AI77" s="117"/>
      <c r="AJ77" s="117"/>
      <c r="AK77" s="117"/>
      <c r="AL77" s="117"/>
    </row>
    <row r="78" spans="1:38" ht="15.75" customHeight="1">
      <c r="A78" s="117"/>
      <c r="B78" s="117"/>
      <c r="C78" s="117"/>
      <c r="D78" s="276"/>
      <c r="E78" s="276"/>
      <c r="F78" s="276"/>
      <c r="G78" s="117"/>
      <c r="H78" s="117"/>
      <c r="I78" s="279"/>
      <c r="J78" s="117"/>
      <c r="K78" s="117"/>
      <c r="L78" s="117"/>
      <c r="M78" s="117"/>
      <c r="N78" s="117"/>
      <c r="O78" s="117"/>
      <c r="P78" s="117"/>
      <c r="Q78" s="117"/>
      <c r="R78" s="117"/>
      <c r="S78" s="117"/>
      <c r="T78" s="126"/>
      <c r="W78" s="127"/>
      <c r="X78" s="127"/>
      <c r="Y78" s="127"/>
      <c r="Z78" s="127"/>
      <c r="AA78" s="127"/>
      <c r="AB78" s="127"/>
      <c r="AC78" s="127"/>
      <c r="AD78" s="127"/>
      <c r="AE78" s="117"/>
      <c r="AF78" s="117"/>
      <c r="AG78" s="117"/>
      <c r="AH78" s="117"/>
      <c r="AI78" s="117"/>
      <c r="AJ78" s="117"/>
      <c r="AK78" s="117"/>
      <c r="AL78" s="117"/>
    </row>
    <row r="79" spans="1:38" ht="15.75" customHeight="1">
      <c r="A79" s="117"/>
      <c r="B79" s="117"/>
      <c r="C79" s="117"/>
      <c r="D79" s="276"/>
      <c r="E79" s="276"/>
      <c r="F79" s="276"/>
      <c r="G79" s="117"/>
      <c r="H79" s="117"/>
      <c r="I79" s="279"/>
      <c r="J79" s="117"/>
      <c r="K79" s="117"/>
      <c r="L79" s="117"/>
      <c r="M79" s="117"/>
      <c r="N79" s="117"/>
      <c r="O79" s="117"/>
      <c r="P79" s="117"/>
      <c r="Q79" s="117"/>
      <c r="R79" s="117"/>
      <c r="S79" s="117"/>
      <c r="T79" s="126"/>
      <c r="W79" s="127"/>
      <c r="X79" s="127"/>
      <c r="Y79" s="127"/>
      <c r="Z79" s="127"/>
      <c r="AA79" s="127"/>
      <c r="AB79" s="127"/>
      <c r="AC79" s="127"/>
      <c r="AD79" s="127"/>
      <c r="AE79" s="117"/>
      <c r="AF79" s="117"/>
      <c r="AG79" s="117"/>
      <c r="AH79" s="117"/>
      <c r="AI79" s="117"/>
      <c r="AJ79" s="117"/>
      <c r="AK79" s="117"/>
      <c r="AL79" s="117"/>
    </row>
    <row r="80" spans="1:38" ht="15.75" customHeight="1">
      <c r="A80" s="117"/>
      <c r="B80" s="117"/>
      <c r="C80" s="117"/>
      <c r="D80" s="276"/>
      <c r="E80" s="276"/>
      <c r="F80" s="276"/>
      <c r="G80" s="117"/>
      <c r="H80" s="117"/>
      <c r="I80" s="279"/>
      <c r="J80" s="117"/>
      <c r="K80" s="117"/>
      <c r="L80" s="117"/>
      <c r="M80" s="117"/>
      <c r="N80" s="117"/>
      <c r="O80" s="117"/>
      <c r="P80" s="117"/>
      <c r="Q80" s="117"/>
      <c r="R80" s="117"/>
      <c r="S80" s="117"/>
      <c r="T80" s="126"/>
      <c r="W80" s="127"/>
      <c r="X80" s="127"/>
      <c r="Y80" s="127"/>
      <c r="Z80" s="127"/>
      <c r="AA80" s="127"/>
      <c r="AB80" s="127"/>
      <c r="AC80" s="127"/>
      <c r="AD80" s="127"/>
      <c r="AE80" s="117"/>
      <c r="AF80" s="117"/>
      <c r="AG80" s="117"/>
      <c r="AH80" s="117"/>
      <c r="AI80" s="117"/>
      <c r="AJ80" s="117"/>
      <c r="AK80" s="117"/>
      <c r="AL80" s="117"/>
    </row>
    <row r="81" spans="1:38" ht="15.75" customHeight="1">
      <c r="A81" s="117"/>
      <c r="B81" s="117"/>
      <c r="C81" s="117"/>
      <c r="D81" s="276"/>
      <c r="E81" s="276"/>
      <c r="F81" s="276"/>
      <c r="G81" s="117"/>
      <c r="H81" s="117"/>
      <c r="I81" s="279"/>
      <c r="J81" s="117"/>
      <c r="K81" s="117"/>
      <c r="L81" s="117"/>
      <c r="M81" s="117"/>
      <c r="N81" s="117"/>
      <c r="O81" s="117"/>
      <c r="P81" s="117"/>
      <c r="Q81" s="117"/>
      <c r="R81" s="117"/>
      <c r="S81" s="117"/>
      <c r="T81" s="126"/>
      <c r="W81" s="127"/>
      <c r="X81" s="127"/>
      <c r="Y81" s="127"/>
      <c r="Z81" s="127"/>
      <c r="AA81" s="127"/>
      <c r="AB81" s="127"/>
      <c r="AC81" s="127"/>
      <c r="AD81" s="127"/>
      <c r="AE81" s="117"/>
      <c r="AF81" s="117"/>
      <c r="AG81" s="117"/>
      <c r="AH81" s="117"/>
      <c r="AI81" s="117"/>
      <c r="AJ81" s="117"/>
      <c r="AK81" s="117"/>
      <c r="AL81" s="117"/>
    </row>
    <row r="82" spans="1:38" ht="15.75" customHeight="1">
      <c r="A82" s="117"/>
      <c r="B82" s="117"/>
      <c r="C82" s="117"/>
      <c r="D82" s="276"/>
      <c r="E82" s="276"/>
      <c r="F82" s="276"/>
      <c r="G82" s="117"/>
      <c r="H82" s="117"/>
      <c r="I82" s="279"/>
      <c r="J82" s="117"/>
      <c r="K82" s="117"/>
      <c r="L82" s="117"/>
      <c r="M82" s="117"/>
      <c r="N82" s="117"/>
      <c r="O82" s="117"/>
      <c r="P82" s="117"/>
      <c r="Q82" s="117"/>
      <c r="R82" s="117"/>
      <c r="S82" s="117"/>
      <c r="T82" s="126"/>
      <c r="W82" s="127"/>
      <c r="X82" s="127"/>
      <c r="Y82" s="127"/>
      <c r="Z82" s="127"/>
      <c r="AA82" s="127"/>
      <c r="AB82" s="127"/>
      <c r="AC82" s="127"/>
      <c r="AD82" s="127"/>
      <c r="AE82" s="117"/>
      <c r="AF82" s="117"/>
      <c r="AG82" s="117"/>
      <c r="AH82" s="117"/>
      <c r="AI82" s="117"/>
      <c r="AJ82" s="117"/>
      <c r="AK82" s="117"/>
      <c r="AL82" s="117"/>
    </row>
    <row r="83" spans="1:38" ht="15.75" customHeight="1">
      <c r="A83" s="117"/>
      <c r="B83" s="117"/>
      <c r="C83" s="117"/>
      <c r="D83" s="276"/>
      <c r="E83" s="276"/>
      <c r="F83" s="276"/>
      <c r="G83" s="117"/>
      <c r="H83" s="117"/>
      <c r="I83" s="279"/>
      <c r="J83" s="117"/>
      <c r="K83" s="117"/>
      <c r="L83" s="117"/>
      <c r="M83" s="117"/>
      <c r="N83" s="117"/>
      <c r="O83" s="117"/>
      <c r="P83" s="117"/>
      <c r="Q83" s="117"/>
      <c r="R83" s="117"/>
      <c r="S83" s="117"/>
      <c r="T83" s="126"/>
      <c r="W83" s="127"/>
      <c r="X83" s="127"/>
      <c r="Y83" s="127"/>
      <c r="Z83" s="127"/>
      <c r="AA83" s="127"/>
      <c r="AB83" s="127"/>
      <c r="AC83" s="127"/>
      <c r="AD83" s="127"/>
      <c r="AE83" s="117"/>
      <c r="AF83" s="117"/>
      <c r="AG83" s="117"/>
      <c r="AH83" s="117"/>
      <c r="AI83" s="117"/>
      <c r="AJ83" s="117"/>
      <c r="AK83" s="117"/>
      <c r="AL83" s="117"/>
    </row>
    <row r="84" spans="1:38" ht="15.75" customHeight="1">
      <c r="A84" s="117"/>
      <c r="B84" s="117"/>
      <c r="C84" s="117"/>
      <c r="D84" s="276"/>
      <c r="E84" s="276"/>
      <c r="F84" s="276"/>
      <c r="G84" s="117"/>
      <c r="H84" s="117"/>
      <c r="I84" s="279"/>
      <c r="J84" s="117"/>
      <c r="K84" s="117"/>
      <c r="L84" s="117"/>
      <c r="M84" s="117"/>
      <c r="N84" s="117"/>
      <c r="O84" s="117"/>
      <c r="P84" s="117"/>
      <c r="Q84" s="117"/>
      <c r="R84" s="117"/>
      <c r="S84" s="117"/>
      <c r="T84" s="126"/>
      <c r="W84" s="127"/>
      <c r="X84" s="127"/>
      <c r="Y84" s="127"/>
      <c r="Z84" s="127"/>
      <c r="AA84" s="127"/>
      <c r="AB84" s="127"/>
      <c r="AC84" s="127"/>
      <c r="AD84" s="127"/>
      <c r="AE84" s="117"/>
      <c r="AF84" s="117"/>
      <c r="AG84" s="117"/>
      <c r="AH84" s="117"/>
      <c r="AI84" s="117"/>
      <c r="AJ84" s="117"/>
      <c r="AK84" s="117"/>
      <c r="AL84" s="117"/>
    </row>
    <row r="85" spans="1:38" ht="15.75" customHeight="1">
      <c r="A85" s="117"/>
      <c r="B85" s="117"/>
      <c r="C85" s="117"/>
      <c r="D85" s="276"/>
      <c r="E85" s="276"/>
      <c r="F85" s="276"/>
      <c r="G85" s="117"/>
      <c r="H85" s="117"/>
      <c r="I85" s="279"/>
      <c r="J85" s="117"/>
      <c r="K85" s="117"/>
      <c r="L85" s="117"/>
      <c r="M85" s="117"/>
      <c r="N85" s="117"/>
      <c r="O85" s="117"/>
      <c r="P85" s="117"/>
      <c r="Q85" s="117"/>
      <c r="R85" s="117"/>
      <c r="S85" s="117"/>
      <c r="T85" s="126"/>
      <c r="W85" s="127"/>
      <c r="X85" s="127"/>
      <c r="Y85" s="127"/>
      <c r="Z85" s="127"/>
      <c r="AA85" s="127"/>
      <c r="AB85" s="127"/>
      <c r="AC85" s="127"/>
      <c r="AD85" s="127"/>
      <c r="AE85" s="117"/>
      <c r="AF85" s="117"/>
      <c r="AG85" s="117"/>
      <c r="AH85" s="117"/>
      <c r="AI85" s="117"/>
      <c r="AJ85" s="117"/>
      <c r="AK85" s="117"/>
      <c r="AL85" s="117"/>
    </row>
    <row r="86" spans="1:38" ht="15.75" customHeight="1">
      <c r="A86" s="117"/>
      <c r="B86" s="117"/>
      <c r="C86" s="117"/>
      <c r="D86" s="276"/>
      <c r="E86" s="276"/>
      <c r="F86" s="276"/>
      <c r="G86" s="117"/>
      <c r="H86" s="117"/>
      <c r="I86" s="279"/>
      <c r="J86" s="117"/>
      <c r="K86" s="117"/>
      <c r="L86" s="117"/>
      <c r="M86" s="117"/>
      <c r="N86" s="117"/>
      <c r="O86" s="117"/>
      <c r="P86" s="117"/>
      <c r="Q86" s="117"/>
      <c r="R86" s="117"/>
      <c r="S86" s="117"/>
      <c r="T86" s="126"/>
      <c r="W86" s="127"/>
      <c r="X86" s="127"/>
      <c r="Y86" s="127"/>
      <c r="Z86" s="127"/>
      <c r="AA86" s="127"/>
      <c r="AB86" s="127"/>
      <c r="AC86" s="127"/>
      <c r="AD86" s="127"/>
      <c r="AE86" s="117"/>
      <c r="AF86" s="117"/>
      <c r="AG86" s="117"/>
      <c r="AH86" s="117"/>
      <c r="AI86" s="117"/>
      <c r="AJ86" s="117"/>
      <c r="AK86" s="117"/>
      <c r="AL86" s="117"/>
    </row>
    <row r="87" spans="1:38" ht="15.75" customHeight="1">
      <c r="A87" s="117"/>
      <c r="B87" s="117"/>
      <c r="C87" s="117"/>
      <c r="D87" s="276"/>
      <c r="E87" s="276"/>
      <c r="F87" s="276"/>
      <c r="G87" s="117"/>
      <c r="H87" s="117"/>
      <c r="I87" s="279"/>
      <c r="J87" s="117"/>
      <c r="K87" s="117"/>
      <c r="L87" s="117"/>
      <c r="M87" s="117"/>
      <c r="N87" s="117"/>
      <c r="O87" s="117"/>
      <c r="P87" s="117"/>
      <c r="Q87" s="117"/>
      <c r="R87" s="117"/>
      <c r="S87" s="117"/>
      <c r="T87" s="126"/>
      <c r="W87" s="127"/>
      <c r="X87" s="127"/>
      <c r="Y87" s="127"/>
      <c r="Z87" s="127"/>
      <c r="AA87" s="127"/>
      <c r="AB87" s="127"/>
      <c r="AC87" s="127"/>
      <c r="AD87" s="127"/>
      <c r="AE87" s="117"/>
      <c r="AF87" s="117"/>
      <c r="AG87" s="117"/>
      <c r="AH87" s="117"/>
      <c r="AI87" s="117"/>
      <c r="AJ87" s="117"/>
      <c r="AK87" s="117"/>
      <c r="AL87" s="117"/>
    </row>
    <row r="88" spans="1:38" ht="15.75" customHeight="1">
      <c r="A88" s="117"/>
      <c r="B88" s="117"/>
      <c r="C88" s="117"/>
      <c r="D88" s="276"/>
      <c r="E88" s="276"/>
      <c r="F88" s="276"/>
      <c r="G88" s="117"/>
      <c r="H88" s="117"/>
      <c r="I88" s="279"/>
      <c r="J88" s="117"/>
      <c r="K88" s="117"/>
      <c r="L88" s="117"/>
      <c r="M88" s="117"/>
      <c r="N88" s="117"/>
      <c r="O88" s="117"/>
      <c r="P88" s="117"/>
      <c r="Q88" s="117"/>
      <c r="R88" s="117"/>
      <c r="S88" s="117"/>
      <c r="T88" s="126"/>
      <c r="W88" s="127"/>
      <c r="X88" s="127"/>
      <c r="Y88" s="127"/>
      <c r="Z88" s="127"/>
      <c r="AA88" s="127"/>
      <c r="AB88" s="127"/>
      <c r="AC88" s="127"/>
      <c r="AD88" s="127"/>
      <c r="AE88" s="117"/>
      <c r="AF88" s="117"/>
      <c r="AG88" s="117"/>
      <c r="AH88" s="117"/>
      <c r="AI88" s="117"/>
      <c r="AJ88" s="117"/>
      <c r="AK88" s="117"/>
      <c r="AL88" s="117"/>
    </row>
    <row r="89" spans="1:38" ht="15.75" customHeight="1">
      <c r="A89" s="117"/>
      <c r="B89" s="117"/>
      <c r="C89" s="117"/>
      <c r="D89" s="276"/>
      <c r="E89" s="276"/>
      <c r="F89" s="276"/>
      <c r="G89" s="117"/>
      <c r="H89" s="117"/>
      <c r="I89" s="279"/>
      <c r="J89" s="117"/>
      <c r="K89" s="117"/>
      <c r="L89" s="117"/>
      <c r="M89" s="117"/>
      <c r="N89" s="117"/>
      <c r="O89" s="117"/>
      <c r="P89" s="117"/>
      <c r="Q89" s="117"/>
      <c r="R89" s="117"/>
      <c r="S89" s="117"/>
      <c r="T89" s="126"/>
      <c r="W89" s="127"/>
      <c r="X89" s="127"/>
      <c r="Y89" s="127"/>
      <c r="Z89" s="127"/>
      <c r="AA89" s="127"/>
      <c r="AB89" s="127"/>
      <c r="AC89" s="127"/>
      <c r="AD89" s="127"/>
      <c r="AE89" s="117"/>
      <c r="AF89" s="117"/>
      <c r="AG89" s="117"/>
      <c r="AH89" s="117"/>
      <c r="AI89" s="117"/>
      <c r="AJ89" s="117"/>
      <c r="AK89" s="117"/>
      <c r="AL89" s="117"/>
    </row>
    <row r="90" spans="1:38" ht="15.75" customHeight="1">
      <c r="A90" s="117"/>
      <c r="B90" s="117"/>
      <c r="C90" s="117"/>
      <c r="D90" s="276"/>
      <c r="E90" s="276"/>
      <c r="F90" s="276"/>
      <c r="G90" s="117"/>
      <c r="H90" s="117"/>
      <c r="I90" s="279"/>
      <c r="J90" s="117"/>
      <c r="K90" s="117"/>
      <c r="L90" s="117"/>
      <c r="M90" s="117"/>
      <c r="N90" s="117"/>
      <c r="O90" s="117"/>
      <c r="P90" s="117"/>
      <c r="Q90" s="117"/>
      <c r="R90" s="117"/>
      <c r="S90" s="117"/>
      <c r="T90" s="126"/>
      <c r="W90" s="127"/>
      <c r="X90" s="127"/>
      <c r="Y90" s="127"/>
      <c r="Z90" s="127"/>
      <c r="AA90" s="127"/>
      <c r="AB90" s="127"/>
      <c r="AC90" s="127"/>
      <c r="AD90" s="127"/>
      <c r="AE90" s="117"/>
      <c r="AF90" s="117"/>
      <c r="AG90" s="117"/>
      <c r="AH90" s="117"/>
      <c r="AI90" s="117"/>
      <c r="AJ90" s="117"/>
      <c r="AK90" s="117"/>
      <c r="AL90" s="117"/>
    </row>
    <row r="91" spans="1:38" ht="15.75" customHeight="1">
      <c r="A91" s="117"/>
      <c r="B91" s="117"/>
      <c r="C91" s="117"/>
      <c r="D91" s="276"/>
      <c r="E91" s="276"/>
      <c r="F91" s="276"/>
      <c r="G91" s="117"/>
      <c r="H91" s="117"/>
      <c r="I91" s="279"/>
      <c r="J91" s="117"/>
      <c r="K91" s="117"/>
      <c r="L91" s="117"/>
      <c r="M91" s="117"/>
      <c r="N91" s="117"/>
      <c r="O91" s="117"/>
      <c r="P91" s="117"/>
      <c r="Q91" s="117"/>
      <c r="R91" s="117"/>
      <c r="S91" s="117"/>
      <c r="T91" s="126"/>
      <c r="W91" s="127"/>
      <c r="X91" s="127"/>
      <c r="Y91" s="127"/>
      <c r="Z91" s="127"/>
      <c r="AA91" s="127"/>
      <c r="AB91" s="127"/>
      <c r="AC91" s="127"/>
      <c r="AD91" s="127"/>
      <c r="AE91" s="117"/>
      <c r="AF91" s="117"/>
      <c r="AG91" s="117"/>
      <c r="AH91" s="117"/>
      <c r="AI91" s="117"/>
      <c r="AJ91" s="117"/>
      <c r="AK91" s="117"/>
      <c r="AL91" s="117"/>
    </row>
    <row r="92" spans="1:38" ht="15.75" customHeight="1">
      <c r="A92" s="117"/>
      <c r="B92" s="117"/>
      <c r="C92" s="117"/>
      <c r="D92" s="276"/>
      <c r="E92" s="276"/>
      <c r="F92" s="276"/>
      <c r="G92" s="117"/>
      <c r="H92" s="117"/>
      <c r="I92" s="279"/>
      <c r="J92" s="117"/>
      <c r="K92" s="117"/>
      <c r="L92" s="117"/>
      <c r="M92" s="117"/>
      <c r="N92" s="117"/>
      <c r="O92" s="117"/>
      <c r="P92" s="117"/>
      <c r="Q92" s="117"/>
      <c r="R92" s="117"/>
      <c r="S92" s="117"/>
      <c r="T92" s="126"/>
      <c r="W92" s="127"/>
      <c r="X92" s="127"/>
      <c r="Y92" s="127"/>
      <c r="Z92" s="127"/>
      <c r="AA92" s="127"/>
      <c r="AB92" s="127"/>
      <c r="AC92" s="127"/>
      <c r="AD92" s="127"/>
      <c r="AE92" s="117"/>
      <c r="AF92" s="117"/>
      <c r="AG92" s="117"/>
      <c r="AH92" s="117"/>
      <c r="AI92" s="117"/>
      <c r="AJ92" s="117"/>
      <c r="AK92" s="117"/>
      <c r="AL92" s="117"/>
    </row>
    <row r="93" spans="1:38" ht="15.75" customHeight="1">
      <c r="A93" s="117"/>
      <c r="B93" s="117"/>
      <c r="C93" s="117"/>
      <c r="D93" s="276"/>
      <c r="E93" s="276"/>
      <c r="F93" s="276"/>
      <c r="G93" s="117"/>
      <c r="H93" s="117"/>
      <c r="I93" s="279"/>
      <c r="J93" s="117"/>
      <c r="K93" s="117"/>
      <c r="L93" s="117"/>
      <c r="M93" s="117"/>
      <c r="N93" s="117"/>
      <c r="O93" s="117"/>
      <c r="P93" s="117"/>
      <c r="Q93" s="117"/>
      <c r="R93" s="117"/>
      <c r="S93" s="117"/>
      <c r="T93" s="126"/>
      <c r="W93" s="127"/>
      <c r="X93" s="127"/>
      <c r="Y93" s="127"/>
      <c r="Z93" s="127"/>
      <c r="AA93" s="127"/>
      <c r="AB93" s="127"/>
      <c r="AC93" s="127"/>
      <c r="AD93" s="127"/>
      <c r="AE93" s="117"/>
      <c r="AF93" s="117"/>
      <c r="AG93" s="117"/>
      <c r="AH93" s="117"/>
      <c r="AI93" s="117"/>
      <c r="AJ93" s="117"/>
      <c r="AK93" s="117"/>
      <c r="AL93" s="117"/>
    </row>
    <row r="94" spans="1:38" ht="15.75" customHeight="1">
      <c r="A94" s="117"/>
      <c r="B94" s="117"/>
      <c r="C94" s="117"/>
      <c r="D94" s="276"/>
      <c r="E94" s="276"/>
      <c r="F94" s="276"/>
      <c r="G94" s="117"/>
      <c r="H94" s="117"/>
      <c r="I94" s="279"/>
      <c r="J94" s="117"/>
      <c r="K94" s="117"/>
      <c r="L94" s="117"/>
      <c r="M94" s="117"/>
      <c r="N94" s="117"/>
      <c r="O94" s="117"/>
      <c r="P94" s="117"/>
      <c r="Q94" s="117"/>
      <c r="R94" s="117"/>
      <c r="S94" s="117"/>
      <c r="T94" s="126"/>
      <c r="W94" s="127"/>
      <c r="X94" s="127"/>
      <c r="Y94" s="127"/>
      <c r="Z94" s="127"/>
      <c r="AA94" s="127"/>
      <c r="AB94" s="127"/>
      <c r="AC94" s="127"/>
      <c r="AD94" s="127"/>
      <c r="AE94" s="117"/>
      <c r="AF94" s="117"/>
      <c r="AG94" s="117"/>
      <c r="AH94" s="117"/>
      <c r="AI94" s="117"/>
      <c r="AJ94" s="117"/>
      <c r="AK94" s="117"/>
      <c r="AL94" s="117"/>
    </row>
    <row r="95" spans="1:38" ht="15.75" customHeight="1">
      <c r="A95" s="117"/>
      <c r="B95" s="117"/>
      <c r="C95" s="117"/>
      <c r="D95" s="276"/>
      <c r="E95" s="276"/>
      <c r="F95" s="276"/>
      <c r="G95" s="117"/>
      <c r="H95" s="117"/>
      <c r="I95" s="279"/>
      <c r="J95" s="117"/>
      <c r="K95" s="117"/>
      <c r="L95" s="117"/>
      <c r="M95" s="117"/>
      <c r="N95" s="117"/>
      <c r="O95" s="117"/>
      <c r="P95" s="117"/>
      <c r="Q95" s="117"/>
      <c r="R95" s="117"/>
      <c r="S95" s="117"/>
      <c r="T95" s="126"/>
      <c r="W95" s="127"/>
      <c r="X95" s="127"/>
      <c r="Y95" s="127"/>
      <c r="Z95" s="127"/>
      <c r="AA95" s="127"/>
      <c r="AB95" s="127"/>
      <c r="AC95" s="127"/>
      <c r="AD95" s="127"/>
      <c r="AE95" s="117"/>
      <c r="AF95" s="117"/>
      <c r="AG95" s="117"/>
      <c r="AH95" s="117"/>
      <c r="AI95" s="117"/>
      <c r="AJ95" s="117"/>
      <c r="AK95" s="117"/>
      <c r="AL95" s="117"/>
    </row>
    <row r="96" spans="1:38" ht="15.75" customHeight="1">
      <c r="A96" s="117"/>
      <c r="B96" s="117"/>
      <c r="C96" s="117"/>
      <c r="D96" s="276"/>
      <c r="E96" s="276"/>
      <c r="F96" s="276"/>
      <c r="G96" s="117"/>
      <c r="H96" s="117"/>
      <c r="I96" s="279"/>
      <c r="J96" s="117"/>
      <c r="K96" s="117"/>
      <c r="L96" s="117"/>
      <c r="M96" s="117"/>
      <c r="N96" s="117"/>
      <c r="O96" s="117"/>
      <c r="P96" s="117"/>
      <c r="Q96" s="117"/>
      <c r="R96" s="117"/>
      <c r="S96" s="117"/>
      <c r="T96" s="126"/>
      <c r="W96" s="127"/>
      <c r="X96" s="127"/>
      <c r="Y96" s="127"/>
      <c r="Z96" s="127"/>
      <c r="AA96" s="127"/>
      <c r="AB96" s="127"/>
      <c r="AC96" s="127"/>
      <c r="AD96" s="127"/>
      <c r="AE96" s="117"/>
      <c r="AF96" s="117"/>
      <c r="AG96" s="117"/>
      <c r="AH96" s="117"/>
      <c r="AI96" s="117"/>
      <c r="AJ96" s="117"/>
      <c r="AK96" s="117"/>
      <c r="AL96" s="117"/>
    </row>
    <row r="97" spans="1:38" ht="15.75" customHeight="1">
      <c r="A97" s="117"/>
      <c r="B97" s="117"/>
      <c r="C97" s="117"/>
      <c r="D97" s="276"/>
      <c r="E97" s="276"/>
      <c r="F97" s="276"/>
      <c r="G97" s="117"/>
      <c r="H97" s="117"/>
      <c r="I97" s="279"/>
      <c r="J97" s="117"/>
      <c r="K97" s="117"/>
      <c r="L97" s="117"/>
      <c r="M97" s="117"/>
      <c r="N97" s="117"/>
      <c r="O97" s="117"/>
      <c r="P97" s="117"/>
      <c r="Q97" s="117"/>
      <c r="R97" s="117"/>
      <c r="S97" s="117"/>
      <c r="T97" s="126"/>
      <c r="W97" s="127"/>
      <c r="X97" s="127"/>
      <c r="Y97" s="127"/>
      <c r="Z97" s="127"/>
      <c r="AA97" s="127"/>
      <c r="AB97" s="127"/>
      <c r="AC97" s="127"/>
      <c r="AD97" s="127"/>
      <c r="AE97" s="117"/>
      <c r="AF97" s="117"/>
      <c r="AG97" s="117"/>
      <c r="AH97" s="117"/>
      <c r="AI97" s="117"/>
      <c r="AJ97" s="117"/>
      <c r="AK97" s="117"/>
      <c r="AL97" s="117"/>
    </row>
    <row r="98" spans="1:38" ht="15.75" customHeight="1">
      <c r="A98" s="117"/>
      <c r="B98" s="117"/>
      <c r="C98" s="117"/>
      <c r="D98" s="276"/>
      <c r="E98" s="276"/>
      <c r="F98" s="276"/>
      <c r="G98" s="117"/>
      <c r="H98" s="117"/>
      <c r="I98" s="279"/>
      <c r="J98" s="117"/>
      <c r="K98" s="117"/>
      <c r="L98" s="117"/>
      <c r="M98" s="117"/>
      <c r="N98" s="117"/>
      <c r="O98" s="117"/>
      <c r="P98" s="117"/>
      <c r="Q98" s="117"/>
      <c r="R98" s="117"/>
      <c r="S98" s="117"/>
      <c r="T98" s="126"/>
      <c r="W98" s="127"/>
      <c r="X98" s="127"/>
      <c r="Y98" s="127"/>
      <c r="Z98" s="127"/>
      <c r="AA98" s="127"/>
      <c r="AB98" s="127"/>
      <c r="AC98" s="127"/>
      <c r="AD98" s="127"/>
      <c r="AE98" s="117"/>
      <c r="AF98" s="117"/>
      <c r="AG98" s="117"/>
      <c r="AH98" s="117"/>
      <c r="AI98" s="117"/>
      <c r="AJ98" s="117"/>
      <c r="AK98" s="117"/>
      <c r="AL98" s="117"/>
    </row>
    <row r="99" spans="1:38" ht="15.75" customHeight="1">
      <c r="A99" s="117"/>
      <c r="B99" s="117"/>
      <c r="C99" s="117"/>
      <c r="D99" s="276"/>
      <c r="E99" s="276"/>
      <c r="F99" s="276"/>
      <c r="G99" s="117"/>
      <c r="H99" s="117"/>
      <c r="I99" s="279"/>
      <c r="J99" s="117"/>
      <c r="K99" s="117"/>
      <c r="L99" s="117"/>
      <c r="M99" s="117"/>
      <c r="N99" s="117"/>
      <c r="O99" s="117"/>
      <c r="P99" s="117"/>
      <c r="Q99" s="117"/>
      <c r="R99" s="117"/>
      <c r="S99" s="117"/>
      <c r="T99" s="126"/>
      <c r="W99" s="127"/>
      <c r="X99" s="127"/>
      <c r="Y99" s="127"/>
      <c r="Z99" s="127"/>
      <c r="AA99" s="127"/>
      <c r="AB99" s="127"/>
      <c r="AC99" s="127"/>
      <c r="AD99" s="127"/>
      <c r="AE99" s="117"/>
      <c r="AF99" s="117"/>
      <c r="AG99" s="117"/>
      <c r="AH99" s="117"/>
      <c r="AI99" s="117"/>
      <c r="AJ99" s="117"/>
      <c r="AK99" s="117"/>
      <c r="AL99" s="117"/>
    </row>
    <row r="100" spans="1:38" ht="15.75" customHeight="1">
      <c r="A100" s="117"/>
      <c r="B100" s="117"/>
      <c r="C100" s="117"/>
      <c r="D100" s="276"/>
      <c r="E100" s="276"/>
      <c r="F100" s="276"/>
      <c r="G100" s="117"/>
      <c r="H100" s="117"/>
      <c r="I100" s="279"/>
      <c r="J100" s="117"/>
      <c r="K100" s="117"/>
      <c r="L100" s="117"/>
      <c r="M100" s="117"/>
      <c r="N100" s="117"/>
      <c r="O100" s="117"/>
      <c r="P100" s="117"/>
      <c r="Q100" s="117"/>
      <c r="R100" s="117"/>
      <c r="S100" s="117"/>
      <c r="T100" s="126"/>
      <c r="W100" s="127"/>
      <c r="X100" s="127"/>
      <c r="Y100" s="127"/>
      <c r="Z100" s="127"/>
      <c r="AA100" s="127"/>
      <c r="AB100" s="127"/>
      <c r="AC100" s="127"/>
      <c r="AD100" s="127"/>
      <c r="AE100" s="117"/>
      <c r="AF100" s="117"/>
      <c r="AG100" s="117"/>
      <c r="AH100" s="117"/>
      <c r="AI100" s="117"/>
      <c r="AJ100" s="117"/>
      <c r="AK100" s="117"/>
      <c r="AL100" s="117"/>
    </row>
    <row r="101" spans="1:38" ht="15.75" customHeight="1">
      <c r="A101" s="117"/>
      <c r="B101" s="117"/>
      <c r="C101" s="117"/>
      <c r="D101" s="276"/>
      <c r="E101" s="276"/>
      <c r="F101" s="276"/>
      <c r="G101" s="117"/>
      <c r="H101" s="117"/>
      <c r="I101" s="279"/>
      <c r="J101" s="117"/>
      <c r="K101" s="117"/>
      <c r="L101" s="117"/>
      <c r="M101" s="117"/>
      <c r="N101" s="117"/>
      <c r="O101" s="117"/>
      <c r="P101" s="117"/>
      <c r="Q101" s="117"/>
      <c r="R101" s="117"/>
      <c r="S101" s="117"/>
      <c r="T101" s="126"/>
      <c r="W101" s="127"/>
      <c r="X101" s="127"/>
      <c r="Y101" s="127"/>
      <c r="Z101" s="127"/>
      <c r="AA101" s="127"/>
      <c r="AB101" s="127"/>
      <c r="AC101" s="127"/>
      <c r="AD101" s="127"/>
      <c r="AE101" s="117"/>
      <c r="AF101" s="117"/>
      <c r="AG101" s="117"/>
      <c r="AH101" s="117"/>
      <c r="AI101" s="117"/>
      <c r="AJ101" s="117"/>
      <c r="AK101" s="117"/>
      <c r="AL101" s="117"/>
    </row>
    <row r="102" spans="1:38" ht="15.75" customHeight="1">
      <c r="A102" s="117"/>
      <c r="B102" s="117"/>
      <c r="C102" s="117"/>
      <c r="D102" s="276"/>
      <c r="E102" s="276"/>
      <c r="F102" s="276"/>
      <c r="G102" s="117"/>
      <c r="H102" s="117"/>
      <c r="I102" s="279"/>
      <c r="J102" s="117"/>
      <c r="K102" s="117"/>
      <c r="L102" s="117"/>
      <c r="M102" s="117"/>
      <c r="N102" s="117"/>
      <c r="O102" s="117"/>
      <c r="P102" s="117"/>
      <c r="Q102" s="117"/>
      <c r="R102" s="117"/>
      <c r="S102" s="117"/>
      <c r="T102" s="126"/>
      <c r="W102" s="127"/>
      <c r="X102" s="127"/>
      <c r="Y102" s="127"/>
      <c r="Z102" s="127"/>
      <c r="AA102" s="127"/>
      <c r="AB102" s="127"/>
      <c r="AC102" s="127"/>
      <c r="AD102" s="127"/>
      <c r="AE102" s="117"/>
      <c r="AF102" s="117"/>
      <c r="AG102" s="117"/>
      <c r="AH102" s="117"/>
      <c r="AI102" s="117"/>
      <c r="AJ102" s="117"/>
      <c r="AK102" s="117"/>
      <c r="AL102" s="117"/>
    </row>
    <row r="103" spans="1:38" ht="15.75" customHeight="1">
      <c r="A103" s="117"/>
      <c r="B103" s="117"/>
      <c r="C103" s="117"/>
      <c r="D103" s="276"/>
      <c r="E103" s="276"/>
      <c r="F103" s="276"/>
      <c r="G103" s="117"/>
      <c r="H103" s="117"/>
      <c r="I103" s="279"/>
      <c r="J103" s="117"/>
      <c r="K103" s="117"/>
      <c r="L103" s="117"/>
      <c r="M103" s="117"/>
      <c r="N103" s="117"/>
      <c r="O103" s="117"/>
      <c r="P103" s="117"/>
      <c r="Q103" s="117"/>
      <c r="R103" s="117"/>
      <c r="S103" s="117"/>
      <c r="T103" s="126"/>
      <c r="W103" s="127"/>
      <c r="X103" s="127"/>
      <c r="Y103" s="127"/>
      <c r="Z103" s="127"/>
      <c r="AA103" s="127"/>
      <c r="AB103" s="127"/>
      <c r="AC103" s="127"/>
      <c r="AD103" s="127"/>
      <c r="AE103" s="117"/>
      <c r="AF103" s="117"/>
      <c r="AG103" s="117"/>
      <c r="AH103" s="117"/>
      <c r="AI103" s="117"/>
      <c r="AJ103" s="117"/>
      <c r="AK103" s="117"/>
      <c r="AL103" s="117"/>
    </row>
    <row r="104" spans="1:38" ht="15.75" customHeight="1">
      <c r="A104" s="117"/>
      <c r="B104" s="117"/>
      <c r="C104" s="117"/>
      <c r="D104" s="276"/>
      <c r="E104" s="276"/>
      <c r="F104" s="276"/>
      <c r="G104" s="117"/>
      <c r="H104" s="117"/>
      <c r="I104" s="279"/>
      <c r="J104" s="117"/>
      <c r="K104" s="117"/>
      <c r="L104" s="117"/>
      <c r="M104" s="117"/>
      <c r="N104" s="117"/>
      <c r="O104" s="117"/>
      <c r="P104" s="117"/>
      <c r="Q104" s="117"/>
      <c r="R104" s="117"/>
      <c r="S104" s="117"/>
      <c r="T104" s="126"/>
      <c r="W104" s="127"/>
      <c r="X104" s="127"/>
      <c r="Y104" s="127"/>
      <c r="Z104" s="127"/>
      <c r="AA104" s="127"/>
      <c r="AB104" s="127"/>
      <c r="AC104" s="127"/>
      <c r="AD104" s="127"/>
      <c r="AE104" s="117"/>
      <c r="AF104" s="117"/>
      <c r="AG104" s="117"/>
      <c r="AH104" s="117"/>
      <c r="AI104" s="117"/>
      <c r="AJ104" s="117"/>
      <c r="AK104" s="117"/>
      <c r="AL104" s="117"/>
    </row>
    <row r="105" spans="1:38" ht="15.75" customHeight="1">
      <c r="A105" s="117"/>
      <c r="B105" s="117"/>
      <c r="C105" s="117"/>
      <c r="D105" s="276"/>
      <c r="E105" s="276"/>
      <c r="F105" s="276"/>
      <c r="G105" s="117"/>
      <c r="H105" s="117"/>
      <c r="I105" s="279"/>
      <c r="J105" s="117"/>
      <c r="K105" s="117"/>
      <c r="L105" s="117"/>
      <c r="M105" s="117"/>
      <c r="N105" s="117"/>
      <c r="O105" s="117"/>
      <c r="P105" s="117"/>
      <c r="Q105" s="117"/>
      <c r="R105" s="117"/>
      <c r="S105" s="117"/>
      <c r="T105" s="126"/>
      <c r="W105" s="127"/>
      <c r="X105" s="127"/>
      <c r="Y105" s="127"/>
      <c r="Z105" s="127"/>
      <c r="AA105" s="127"/>
      <c r="AB105" s="127"/>
      <c r="AC105" s="127"/>
      <c r="AD105" s="127"/>
      <c r="AE105" s="117"/>
      <c r="AF105" s="117"/>
      <c r="AG105" s="117"/>
      <c r="AH105" s="117"/>
      <c r="AI105" s="117"/>
      <c r="AJ105" s="117"/>
      <c r="AK105" s="117"/>
      <c r="AL105" s="117"/>
    </row>
    <row r="106" spans="1:38" ht="15.75" customHeight="1">
      <c r="A106" s="117"/>
      <c r="B106" s="117"/>
      <c r="C106" s="117"/>
      <c r="D106" s="276"/>
      <c r="E106" s="276"/>
      <c r="F106" s="276"/>
      <c r="G106" s="117"/>
      <c r="H106" s="117"/>
      <c r="I106" s="279"/>
      <c r="J106" s="117"/>
      <c r="K106" s="117"/>
      <c r="L106" s="117"/>
      <c r="M106" s="117"/>
      <c r="N106" s="117"/>
      <c r="O106" s="117"/>
      <c r="P106" s="117"/>
      <c r="Q106" s="117"/>
      <c r="R106" s="117"/>
      <c r="S106" s="117"/>
      <c r="T106" s="126"/>
      <c r="W106" s="127"/>
      <c r="X106" s="127"/>
      <c r="Y106" s="127"/>
      <c r="Z106" s="127"/>
      <c r="AA106" s="127"/>
      <c r="AB106" s="127"/>
      <c r="AC106" s="127"/>
      <c r="AD106" s="127"/>
      <c r="AE106" s="117"/>
      <c r="AF106" s="117"/>
      <c r="AG106" s="117"/>
      <c r="AH106" s="117"/>
      <c r="AI106" s="117"/>
      <c r="AJ106" s="117"/>
      <c r="AK106" s="117"/>
      <c r="AL106" s="117"/>
    </row>
    <row r="107" spans="1:38" ht="15.75" customHeight="1">
      <c r="A107" s="117"/>
      <c r="B107" s="117"/>
      <c r="C107" s="117"/>
      <c r="D107" s="276"/>
      <c r="E107" s="276"/>
      <c r="F107" s="276"/>
      <c r="G107" s="117"/>
      <c r="H107" s="117"/>
      <c r="I107" s="279"/>
      <c r="J107" s="117"/>
      <c r="K107" s="117"/>
      <c r="L107" s="117"/>
      <c r="M107" s="117"/>
      <c r="N107" s="117"/>
      <c r="O107" s="117"/>
      <c r="P107" s="117"/>
      <c r="Q107" s="117"/>
      <c r="R107" s="117"/>
      <c r="S107" s="117"/>
      <c r="T107" s="126"/>
      <c r="W107" s="127"/>
      <c r="X107" s="127"/>
      <c r="Y107" s="127"/>
      <c r="Z107" s="127"/>
      <c r="AA107" s="127"/>
      <c r="AB107" s="127"/>
      <c r="AC107" s="127"/>
      <c r="AD107" s="127"/>
      <c r="AE107" s="117"/>
      <c r="AF107" s="117"/>
      <c r="AG107" s="117"/>
      <c r="AH107" s="117"/>
      <c r="AI107" s="117"/>
      <c r="AJ107" s="117"/>
      <c r="AK107" s="117"/>
      <c r="AL107" s="117"/>
    </row>
    <row r="108" spans="1:38" ht="15.75" customHeight="1">
      <c r="A108" s="117"/>
      <c r="B108" s="117"/>
      <c r="C108" s="117"/>
      <c r="D108" s="276"/>
      <c r="E108" s="276"/>
      <c r="F108" s="276"/>
      <c r="G108" s="117"/>
      <c r="H108" s="117"/>
      <c r="I108" s="279"/>
      <c r="J108" s="117"/>
      <c r="K108" s="117"/>
      <c r="L108" s="117"/>
      <c r="M108" s="117"/>
      <c r="N108" s="117"/>
      <c r="O108" s="117"/>
      <c r="P108" s="117"/>
      <c r="Q108" s="117"/>
      <c r="R108" s="117"/>
      <c r="S108" s="117"/>
      <c r="T108" s="126"/>
      <c r="W108" s="127"/>
      <c r="X108" s="127"/>
      <c r="Y108" s="127"/>
      <c r="Z108" s="127"/>
      <c r="AA108" s="127"/>
      <c r="AB108" s="127"/>
      <c r="AC108" s="127"/>
      <c r="AD108" s="127"/>
      <c r="AE108" s="117"/>
      <c r="AF108" s="117"/>
      <c r="AG108" s="117"/>
      <c r="AH108" s="117"/>
      <c r="AI108" s="117"/>
      <c r="AJ108" s="117"/>
      <c r="AK108" s="117"/>
      <c r="AL108" s="117"/>
    </row>
    <row r="109" spans="1:38" ht="15.75" customHeight="1">
      <c r="A109" s="117"/>
      <c r="B109" s="117"/>
      <c r="C109" s="117"/>
      <c r="D109" s="276"/>
      <c r="E109" s="276"/>
      <c r="F109" s="276"/>
      <c r="G109" s="117"/>
      <c r="H109" s="117"/>
      <c r="I109" s="279"/>
      <c r="J109" s="117"/>
      <c r="K109" s="117"/>
      <c r="L109" s="117"/>
      <c r="M109" s="117"/>
      <c r="N109" s="117"/>
      <c r="O109" s="117"/>
      <c r="P109" s="117"/>
      <c r="Q109" s="117"/>
      <c r="R109" s="117"/>
      <c r="S109" s="117"/>
      <c r="T109" s="126"/>
      <c r="W109" s="127"/>
      <c r="X109" s="127"/>
      <c r="Y109" s="127"/>
      <c r="Z109" s="127"/>
      <c r="AA109" s="127"/>
      <c r="AB109" s="127"/>
      <c r="AC109" s="127"/>
      <c r="AD109" s="127"/>
      <c r="AE109" s="117"/>
      <c r="AF109" s="117"/>
      <c r="AG109" s="117"/>
      <c r="AH109" s="117"/>
      <c r="AI109" s="117"/>
      <c r="AJ109" s="117"/>
      <c r="AK109" s="117"/>
      <c r="AL109" s="117"/>
    </row>
    <row r="110" spans="1:38" ht="15.75" customHeight="1">
      <c r="A110" s="117"/>
      <c r="B110" s="117"/>
      <c r="C110" s="117"/>
      <c r="D110" s="276"/>
      <c r="E110" s="276"/>
      <c r="F110" s="276"/>
      <c r="G110" s="117"/>
      <c r="H110" s="117"/>
      <c r="I110" s="279"/>
      <c r="J110" s="117"/>
      <c r="K110" s="117"/>
      <c r="L110" s="117"/>
      <c r="M110" s="117"/>
      <c r="N110" s="117"/>
      <c r="O110" s="117"/>
      <c r="P110" s="117"/>
      <c r="Q110" s="117"/>
      <c r="R110" s="117"/>
      <c r="S110" s="117"/>
      <c r="T110" s="126"/>
      <c r="W110" s="127"/>
      <c r="X110" s="127"/>
      <c r="Y110" s="127"/>
      <c r="Z110" s="127"/>
      <c r="AA110" s="127"/>
      <c r="AB110" s="127"/>
      <c r="AC110" s="127"/>
      <c r="AD110" s="127"/>
      <c r="AE110" s="117"/>
      <c r="AF110" s="117"/>
      <c r="AG110" s="117"/>
      <c r="AH110" s="117"/>
      <c r="AI110" s="117"/>
      <c r="AJ110" s="117"/>
      <c r="AK110" s="117"/>
      <c r="AL110" s="117"/>
    </row>
    <row r="111" spans="1:38" ht="15.75" customHeight="1">
      <c r="A111" s="117"/>
      <c r="B111" s="117"/>
      <c r="C111" s="117"/>
      <c r="D111" s="276"/>
      <c r="E111" s="276"/>
      <c r="F111" s="276"/>
      <c r="G111" s="117"/>
      <c r="H111" s="117"/>
      <c r="I111" s="279"/>
      <c r="J111" s="117"/>
      <c r="K111" s="117"/>
      <c r="L111" s="117"/>
      <c r="M111" s="117"/>
      <c r="N111" s="117"/>
      <c r="O111" s="117"/>
      <c r="P111" s="117"/>
      <c r="Q111" s="117"/>
      <c r="R111" s="117"/>
      <c r="S111" s="117"/>
      <c r="T111" s="126"/>
      <c r="W111" s="127"/>
      <c r="X111" s="127"/>
      <c r="Y111" s="127"/>
      <c r="Z111" s="127"/>
      <c r="AA111" s="127"/>
      <c r="AB111" s="127"/>
      <c r="AC111" s="127"/>
      <c r="AD111" s="127"/>
      <c r="AE111" s="117"/>
      <c r="AF111" s="117"/>
      <c r="AG111" s="117"/>
      <c r="AH111" s="117"/>
      <c r="AI111" s="117"/>
      <c r="AJ111" s="117"/>
      <c r="AK111" s="117"/>
      <c r="AL111" s="117"/>
    </row>
    <row r="112" spans="1:38" ht="15.75" customHeight="1">
      <c r="A112" s="117"/>
      <c r="B112" s="117"/>
      <c r="C112" s="117"/>
      <c r="D112" s="276"/>
      <c r="E112" s="276"/>
      <c r="F112" s="276"/>
      <c r="G112" s="117"/>
      <c r="H112" s="117"/>
      <c r="I112" s="279"/>
      <c r="J112" s="117"/>
      <c r="K112" s="117"/>
      <c r="L112" s="117"/>
      <c r="M112" s="117"/>
      <c r="N112" s="117"/>
      <c r="O112" s="117"/>
      <c r="P112" s="117"/>
      <c r="Q112" s="117"/>
      <c r="R112" s="117"/>
      <c r="S112" s="117"/>
      <c r="T112" s="126"/>
      <c r="W112" s="127"/>
      <c r="X112" s="127"/>
      <c r="Y112" s="127"/>
      <c r="Z112" s="127"/>
      <c r="AA112" s="127"/>
      <c r="AB112" s="127"/>
      <c r="AC112" s="127"/>
      <c r="AD112" s="127"/>
      <c r="AE112" s="117"/>
      <c r="AF112" s="117"/>
      <c r="AG112" s="117"/>
      <c r="AH112" s="117"/>
      <c r="AI112" s="117"/>
      <c r="AJ112" s="117"/>
      <c r="AK112" s="117"/>
      <c r="AL112" s="117"/>
    </row>
    <row r="113" spans="1:38" ht="15.75" customHeight="1">
      <c r="A113" s="117"/>
      <c r="B113" s="117"/>
      <c r="C113" s="117"/>
      <c r="D113" s="276"/>
      <c r="E113" s="276"/>
      <c r="F113" s="276"/>
      <c r="G113" s="117"/>
      <c r="H113" s="117"/>
      <c r="I113" s="279"/>
      <c r="J113" s="117"/>
      <c r="K113" s="117"/>
      <c r="L113" s="117"/>
      <c r="M113" s="117"/>
      <c r="N113" s="117"/>
      <c r="O113" s="117"/>
      <c r="P113" s="117"/>
      <c r="Q113" s="117"/>
      <c r="R113" s="117"/>
      <c r="S113" s="117"/>
      <c r="T113" s="126"/>
      <c r="W113" s="127"/>
      <c r="X113" s="127"/>
      <c r="Y113" s="127"/>
      <c r="Z113" s="127"/>
      <c r="AA113" s="127"/>
      <c r="AB113" s="127"/>
      <c r="AC113" s="127"/>
      <c r="AD113" s="127"/>
      <c r="AE113" s="117"/>
      <c r="AF113" s="117"/>
      <c r="AG113" s="117"/>
      <c r="AH113" s="117"/>
      <c r="AI113" s="117"/>
      <c r="AJ113" s="117"/>
      <c r="AK113" s="117"/>
      <c r="AL113" s="117"/>
    </row>
    <row r="114" spans="1:38" ht="15.75" customHeight="1">
      <c r="A114" s="117"/>
      <c r="B114" s="117"/>
      <c r="C114" s="117"/>
      <c r="D114" s="276"/>
      <c r="E114" s="276"/>
      <c r="F114" s="276"/>
      <c r="G114" s="117"/>
      <c r="H114" s="117"/>
      <c r="I114" s="279"/>
      <c r="J114" s="117"/>
      <c r="K114" s="117"/>
      <c r="L114" s="117"/>
      <c r="M114" s="117"/>
      <c r="N114" s="117"/>
      <c r="O114" s="117"/>
      <c r="P114" s="117"/>
      <c r="Q114" s="117"/>
      <c r="R114" s="117"/>
      <c r="S114" s="117"/>
      <c r="T114" s="126"/>
      <c r="W114" s="127"/>
      <c r="X114" s="127"/>
      <c r="Y114" s="127"/>
      <c r="Z114" s="127"/>
      <c r="AA114" s="127"/>
      <c r="AB114" s="127"/>
      <c r="AC114" s="127"/>
      <c r="AD114" s="127"/>
      <c r="AE114" s="117"/>
      <c r="AF114" s="117"/>
      <c r="AG114" s="117"/>
      <c r="AH114" s="117"/>
      <c r="AI114" s="117"/>
      <c r="AJ114" s="117"/>
      <c r="AK114" s="117"/>
      <c r="AL114" s="117"/>
    </row>
    <row r="115" spans="1:38" ht="15.75" customHeight="1">
      <c r="A115" s="117"/>
      <c r="B115" s="117"/>
      <c r="C115" s="117"/>
      <c r="D115" s="276"/>
      <c r="E115" s="276"/>
      <c r="F115" s="276"/>
      <c r="G115" s="117"/>
      <c r="H115" s="117"/>
      <c r="I115" s="279"/>
      <c r="J115" s="117"/>
      <c r="K115" s="117"/>
      <c r="L115" s="117"/>
      <c r="M115" s="117"/>
      <c r="N115" s="117"/>
      <c r="O115" s="117"/>
      <c r="P115" s="117"/>
      <c r="Q115" s="117"/>
      <c r="R115" s="117"/>
      <c r="S115" s="117"/>
      <c r="T115" s="126"/>
      <c r="W115" s="127"/>
      <c r="X115" s="127"/>
      <c r="Y115" s="127"/>
      <c r="Z115" s="127"/>
      <c r="AA115" s="127"/>
      <c r="AB115" s="127"/>
      <c r="AC115" s="127"/>
      <c r="AD115" s="127"/>
      <c r="AE115" s="117"/>
      <c r="AF115" s="117"/>
      <c r="AG115" s="117"/>
      <c r="AH115" s="117"/>
      <c r="AI115" s="117"/>
      <c r="AJ115" s="117"/>
      <c r="AK115" s="117"/>
      <c r="AL115" s="117"/>
    </row>
    <row r="116" spans="1:38" ht="15.75" customHeight="1">
      <c r="A116" s="117"/>
      <c r="B116" s="117"/>
      <c r="C116" s="117"/>
      <c r="D116" s="276"/>
      <c r="E116" s="276"/>
      <c r="F116" s="276"/>
      <c r="G116" s="117"/>
      <c r="H116" s="117"/>
      <c r="I116" s="279"/>
      <c r="J116" s="117"/>
      <c r="K116" s="117"/>
      <c r="L116" s="117"/>
      <c r="M116" s="117"/>
      <c r="N116" s="117"/>
      <c r="O116" s="117"/>
      <c r="P116" s="117"/>
      <c r="Q116" s="117"/>
      <c r="R116" s="117"/>
      <c r="S116" s="117"/>
      <c r="T116" s="126"/>
      <c r="W116" s="127"/>
      <c r="X116" s="127"/>
      <c r="Y116" s="127"/>
      <c r="Z116" s="127"/>
      <c r="AA116" s="127"/>
      <c r="AB116" s="127"/>
      <c r="AC116" s="127"/>
      <c r="AD116" s="127"/>
      <c r="AE116" s="117"/>
      <c r="AF116" s="117"/>
      <c r="AG116" s="117"/>
      <c r="AH116" s="117"/>
      <c r="AI116" s="117"/>
      <c r="AJ116" s="117"/>
      <c r="AK116" s="117"/>
      <c r="AL116" s="117"/>
    </row>
    <row r="117" spans="1:38" ht="15.75" customHeight="1">
      <c r="A117" s="117"/>
      <c r="B117" s="117"/>
      <c r="C117" s="117"/>
      <c r="D117" s="276"/>
      <c r="E117" s="276"/>
      <c r="F117" s="276"/>
      <c r="G117" s="117"/>
      <c r="H117" s="117"/>
      <c r="I117" s="279"/>
      <c r="J117" s="117"/>
      <c r="K117" s="117"/>
      <c r="L117" s="117"/>
      <c r="M117" s="117"/>
      <c r="N117" s="117"/>
      <c r="O117" s="117"/>
      <c r="P117" s="117"/>
      <c r="Q117" s="117"/>
      <c r="R117" s="117"/>
      <c r="S117" s="117"/>
      <c r="T117" s="126"/>
      <c r="W117" s="127"/>
      <c r="X117" s="127"/>
      <c r="Y117" s="127"/>
      <c r="Z117" s="127"/>
      <c r="AA117" s="127"/>
      <c r="AB117" s="127"/>
      <c r="AC117" s="127"/>
      <c r="AD117" s="127"/>
      <c r="AE117" s="117"/>
      <c r="AF117" s="117"/>
      <c r="AG117" s="117"/>
      <c r="AH117" s="117"/>
      <c r="AI117" s="117"/>
      <c r="AJ117" s="117"/>
      <c r="AK117" s="117"/>
      <c r="AL117" s="117"/>
    </row>
    <row r="118" spans="1:38" ht="15.75" customHeight="1">
      <c r="A118" s="117"/>
      <c r="B118" s="117"/>
      <c r="C118" s="117"/>
      <c r="D118" s="276"/>
      <c r="E118" s="276"/>
      <c r="F118" s="276"/>
      <c r="G118" s="117"/>
      <c r="H118" s="117"/>
      <c r="I118" s="279"/>
      <c r="J118" s="117"/>
      <c r="K118" s="117"/>
      <c r="L118" s="117"/>
      <c r="M118" s="117"/>
      <c r="N118" s="117"/>
      <c r="O118" s="117"/>
      <c r="P118" s="117"/>
      <c r="Q118" s="117"/>
      <c r="R118" s="117"/>
      <c r="S118" s="117"/>
      <c r="T118" s="126"/>
      <c r="W118" s="127"/>
      <c r="X118" s="127"/>
      <c r="Y118" s="127"/>
      <c r="Z118" s="127"/>
      <c r="AA118" s="127"/>
      <c r="AB118" s="127"/>
      <c r="AC118" s="127"/>
      <c r="AD118" s="127"/>
      <c r="AE118" s="117"/>
      <c r="AF118" s="117"/>
      <c r="AG118" s="117"/>
      <c r="AH118" s="117"/>
      <c r="AI118" s="117"/>
      <c r="AJ118" s="117"/>
      <c r="AK118" s="117"/>
      <c r="AL118" s="117"/>
    </row>
    <row r="119" spans="1:38" ht="15.75" customHeight="1">
      <c r="A119" s="117"/>
      <c r="B119" s="117"/>
      <c r="C119" s="117"/>
      <c r="D119" s="276"/>
      <c r="E119" s="276"/>
      <c r="F119" s="276"/>
      <c r="G119" s="117"/>
      <c r="H119" s="117"/>
      <c r="I119" s="279"/>
      <c r="J119" s="117"/>
      <c r="K119" s="117"/>
      <c r="L119" s="117"/>
      <c r="M119" s="117"/>
      <c r="N119" s="117"/>
      <c r="O119" s="117"/>
      <c r="P119" s="117"/>
      <c r="Q119" s="117"/>
      <c r="R119" s="117"/>
      <c r="S119" s="117"/>
      <c r="T119" s="126"/>
      <c r="W119" s="127"/>
      <c r="X119" s="127"/>
      <c r="Y119" s="127"/>
      <c r="Z119" s="127"/>
      <c r="AA119" s="127"/>
      <c r="AB119" s="127"/>
      <c r="AC119" s="127"/>
      <c r="AD119" s="127"/>
      <c r="AE119" s="117"/>
      <c r="AF119" s="117"/>
      <c r="AG119" s="117"/>
      <c r="AH119" s="117"/>
      <c r="AI119" s="117"/>
      <c r="AJ119" s="117"/>
      <c r="AK119" s="117"/>
      <c r="AL119" s="117"/>
    </row>
    <row r="120" spans="1:38" ht="15.75" customHeight="1">
      <c r="A120" s="117"/>
      <c r="B120" s="117"/>
      <c r="C120" s="117"/>
      <c r="D120" s="276"/>
      <c r="E120" s="276"/>
      <c r="F120" s="276"/>
      <c r="G120" s="117"/>
      <c r="H120" s="117"/>
      <c r="I120" s="279"/>
      <c r="J120" s="117"/>
      <c r="K120" s="117"/>
      <c r="L120" s="117"/>
      <c r="M120" s="117"/>
      <c r="N120" s="117"/>
      <c r="O120" s="117"/>
      <c r="P120" s="117"/>
      <c r="Q120" s="117"/>
      <c r="R120" s="117"/>
      <c r="S120" s="117"/>
      <c r="T120" s="126"/>
      <c r="W120" s="127"/>
      <c r="X120" s="127"/>
      <c r="Y120" s="127"/>
      <c r="Z120" s="127"/>
      <c r="AA120" s="127"/>
      <c r="AB120" s="127"/>
      <c r="AC120" s="127"/>
      <c r="AD120" s="127"/>
      <c r="AE120" s="117"/>
      <c r="AF120" s="117"/>
      <c r="AG120" s="117"/>
      <c r="AH120" s="117"/>
      <c r="AI120" s="117"/>
      <c r="AJ120" s="117"/>
      <c r="AK120" s="117"/>
      <c r="AL120" s="117"/>
    </row>
    <row r="121" spans="1:38" ht="15.75" customHeight="1">
      <c r="A121" s="117"/>
      <c r="B121" s="117"/>
      <c r="C121" s="117"/>
      <c r="D121" s="276"/>
      <c r="E121" s="276"/>
      <c r="F121" s="276"/>
      <c r="G121" s="117"/>
      <c r="H121" s="117"/>
      <c r="I121" s="279"/>
      <c r="J121" s="117"/>
      <c r="K121" s="117"/>
      <c r="L121" s="117"/>
      <c r="M121" s="117"/>
      <c r="N121" s="117"/>
      <c r="O121" s="117"/>
      <c r="P121" s="117"/>
      <c r="Q121" s="117"/>
      <c r="R121" s="117"/>
      <c r="S121" s="117"/>
      <c r="T121" s="126"/>
      <c r="W121" s="127"/>
      <c r="X121" s="127"/>
      <c r="Y121" s="127"/>
      <c r="Z121" s="127"/>
      <c r="AA121" s="127"/>
      <c r="AB121" s="127"/>
      <c r="AC121" s="127"/>
      <c r="AD121" s="127"/>
      <c r="AE121" s="117"/>
      <c r="AF121" s="117"/>
      <c r="AG121" s="117"/>
      <c r="AH121" s="117"/>
      <c r="AI121" s="117"/>
      <c r="AJ121" s="117"/>
      <c r="AK121" s="117"/>
      <c r="AL121" s="117"/>
    </row>
    <row r="122" spans="1:38" ht="15.75" customHeight="1">
      <c r="A122" s="117"/>
      <c r="B122" s="117"/>
      <c r="C122" s="117"/>
      <c r="D122" s="276"/>
      <c r="E122" s="276"/>
      <c r="F122" s="276"/>
      <c r="G122" s="117"/>
      <c r="H122" s="117"/>
      <c r="I122" s="279"/>
      <c r="J122" s="117"/>
      <c r="K122" s="117"/>
      <c r="L122" s="117"/>
      <c r="M122" s="117"/>
      <c r="N122" s="117"/>
      <c r="O122" s="117"/>
      <c r="P122" s="117"/>
      <c r="Q122" s="117"/>
      <c r="R122" s="117"/>
      <c r="S122" s="117"/>
      <c r="T122" s="126"/>
      <c r="W122" s="127"/>
      <c r="X122" s="127"/>
      <c r="Y122" s="127"/>
      <c r="Z122" s="127"/>
      <c r="AA122" s="127"/>
      <c r="AB122" s="127"/>
      <c r="AC122" s="127"/>
      <c r="AD122" s="127"/>
      <c r="AE122" s="117"/>
      <c r="AF122" s="117"/>
      <c r="AG122" s="117"/>
      <c r="AH122" s="117"/>
      <c r="AI122" s="117"/>
      <c r="AJ122" s="117"/>
      <c r="AK122" s="117"/>
      <c r="AL122" s="117"/>
    </row>
    <row r="123" spans="1:38" ht="15.75" customHeight="1">
      <c r="A123" s="117"/>
      <c r="B123" s="117"/>
      <c r="C123" s="117"/>
      <c r="D123" s="276"/>
      <c r="E123" s="276"/>
      <c r="F123" s="276"/>
      <c r="G123" s="117"/>
      <c r="H123" s="117"/>
      <c r="I123" s="279"/>
      <c r="J123" s="117"/>
      <c r="K123" s="117"/>
      <c r="L123" s="117"/>
      <c r="M123" s="117"/>
      <c r="N123" s="117"/>
      <c r="O123" s="117"/>
      <c r="P123" s="117"/>
      <c r="Q123" s="117"/>
      <c r="R123" s="117"/>
      <c r="S123" s="117"/>
      <c r="T123" s="126"/>
      <c r="W123" s="127"/>
      <c r="X123" s="127"/>
      <c r="Y123" s="127"/>
      <c r="Z123" s="127"/>
      <c r="AA123" s="127"/>
      <c r="AB123" s="127"/>
      <c r="AC123" s="127"/>
      <c r="AD123" s="127"/>
      <c r="AE123" s="117"/>
      <c r="AF123" s="117"/>
      <c r="AG123" s="117"/>
      <c r="AH123" s="117"/>
      <c r="AI123" s="117"/>
      <c r="AJ123" s="117"/>
      <c r="AK123" s="117"/>
      <c r="AL123" s="117"/>
    </row>
    <row r="124" spans="1:38" ht="15.75" customHeight="1">
      <c r="A124" s="117"/>
      <c r="B124" s="117"/>
      <c r="C124" s="117"/>
      <c r="D124" s="276"/>
      <c r="E124" s="276"/>
      <c r="F124" s="276"/>
      <c r="G124" s="117"/>
      <c r="H124" s="117"/>
      <c r="I124" s="279"/>
      <c r="J124" s="117"/>
      <c r="K124" s="117"/>
      <c r="L124" s="117"/>
      <c r="M124" s="117"/>
      <c r="N124" s="117"/>
      <c r="O124" s="117"/>
      <c r="P124" s="117"/>
      <c r="Q124" s="117"/>
      <c r="R124" s="117"/>
      <c r="S124" s="117"/>
      <c r="T124" s="126"/>
      <c r="W124" s="127"/>
      <c r="X124" s="127"/>
      <c r="Y124" s="127"/>
      <c r="Z124" s="127"/>
      <c r="AA124" s="127"/>
      <c r="AB124" s="127"/>
      <c r="AC124" s="127"/>
      <c r="AD124" s="127"/>
      <c r="AE124" s="117"/>
      <c r="AF124" s="117"/>
      <c r="AG124" s="117"/>
      <c r="AH124" s="117"/>
      <c r="AI124" s="117"/>
      <c r="AJ124" s="117"/>
      <c r="AK124" s="117"/>
      <c r="AL124" s="117"/>
    </row>
    <row r="125" spans="1:38" ht="15.75" customHeight="1">
      <c r="A125" s="117"/>
      <c r="B125" s="117"/>
      <c r="C125" s="117"/>
      <c r="D125" s="276"/>
      <c r="E125" s="276"/>
      <c r="F125" s="276"/>
      <c r="G125" s="117"/>
      <c r="H125" s="117"/>
      <c r="I125" s="279"/>
      <c r="J125" s="117"/>
      <c r="K125" s="117"/>
      <c r="L125" s="117"/>
      <c r="M125" s="117"/>
      <c r="N125" s="117"/>
      <c r="O125" s="117"/>
      <c r="P125" s="117"/>
      <c r="Q125" s="117"/>
      <c r="R125" s="117"/>
      <c r="S125" s="117"/>
      <c r="T125" s="126"/>
      <c r="W125" s="127"/>
      <c r="X125" s="127"/>
      <c r="Y125" s="127"/>
      <c r="Z125" s="127"/>
      <c r="AA125" s="127"/>
      <c r="AB125" s="127"/>
      <c r="AC125" s="127"/>
      <c r="AD125" s="127"/>
      <c r="AE125" s="117"/>
      <c r="AF125" s="117"/>
      <c r="AG125" s="117"/>
      <c r="AH125" s="117"/>
      <c r="AI125" s="117"/>
      <c r="AJ125" s="117"/>
      <c r="AK125" s="117"/>
      <c r="AL125" s="117"/>
    </row>
    <row r="126" spans="1:38" ht="15.75" customHeight="1">
      <c r="A126" s="117"/>
      <c r="B126" s="117"/>
      <c r="C126" s="117"/>
      <c r="D126" s="276"/>
      <c r="E126" s="276"/>
      <c r="F126" s="276"/>
      <c r="G126" s="117"/>
      <c r="H126" s="117"/>
      <c r="I126" s="279"/>
      <c r="J126" s="117"/>
      <c r="K126" s="117"/>
      <c r="L126" s="117"/>
      <c r="M126" s="117"/>
      <c r="N126" s="117"/>
      <c r="O126" s="117"/>
      <c r="P126" s="117"/>
      <c r="Q126" s="117"/>
      <c r="R126" s="117"/>
      <c r="S126" s="117"/>
      <c r="T126" s="126"/>
      <c r="W126" s="127"/>
      <c r="X126" s="127"/>
      <c r="Y126" s="127"/>
      <c r="Z126" s="127"/>
      <c r="AA126" s="127"/>
      <c r="AB126" s="127"/>
      <c r="AC126" s="127"/>
      <c r="AD126" s="127"/>
      <c r="AE126" s="117"/>
      <c r="AF126" s="117"/>
      <c r="AG126" s="117"/>
      <c r="AH126" s="117"/>
      <c r="AI126" s="117"/>
      <c r="AJ126" s="117"/>
      <c r="AK126" s="117"/>
      <c r="AL126" s="117"/>
    </row>
    <row r="127" spans="1:38" ht="15.75" customHeight="1">
      <c r="A127" s="117"/>
      <c r="B127" s="117"/>
      <c r="C127" s="117"/>
      <c r="D127" s="276"/>
      <c r="E127" s="276"/>
      <c r="F127" s="276"/>
      <c r="G127" s="117"/>
      <c r="H127" s="117"/>
      <c r="I127" s="279"/>
      <c r="J127" s="117"/>
      <c r="K127" s="117"/>
      <c r="L127" s="117"/>
      <c r="M127" s="117"/>
      <c r="N127" s="117"/>
      <c r="O127" s="117"/>
      <c r="P127" s="117"/>
      <c r="Q127" s="117"/>
      <c r="R127" s="117"/>
      <c r="S127" s="117"/>
      <c r="T127" s="126"/>
      <c r="W127" s="127"/>
      <c r="X127" s="127"/>
      <c r="Y127" s="127"/>
      <c r="Z127" s="127"/>
      <c r="AA127" s="127"/>
      <c r="AB127" s="127"/>
      <c r="AC127" s="127"/>
      <c r="AD127" s="127"/>
      <c r="AE127" s="117"/>
      <c r="AF127" s="117"/>
      <c r="AG127" s="117"/>
      <c r="AH127" s="117"/>
      <c r="AI127" s="117"/>
      <c r="AJ127" s="117"/>
      <c r="AK127" s="117"/>
      <c r="AL127" s="117"/>
    </row>
    <row r="128" spans="1:38" ht="15.75" customHeight="1">
      <c r="A128" s="117"/>
      <c r="B128" s="117"/>
      <c r="C128" s="117"/>
      <c r="D128" s="276"/>
      <c r="E128" s="276"/>
      <c r="F128" s="276"/>
      <c r="G128" s="117"/>
      <c r="H128" s="117"/>
      <c r="I128" s="279"/>
      <c r="J128" s="117"/>
      <c r="K128" s="117"/>
      <c r="L128" s="117"/>
      <c r="M128" s="117"/>
      <c r="N128" s="117"/>
      <c r="O128" s="117"/>
      <c r="P128" s="117"/>
      <c r="Q128" s="117"/>
      <c r="R128" s="117"/>
      <c r="S128" s="117"/>
      <c r="T128" s="126"/>
      <c r="W128" s="127"/>
      <c r="X128" s="127"/>
      <c r="Y128" s="127"/>
      <c r="Z128" s="127"/>
      <c r="AA128" s="127"/>
      <c r="AB128" s="127"/>
      <c r="AC128" s="127"/>
      <c r="AD128" s="127"/>
      <c r="AE128" s="117"/>
      <c r="AF128" s="117"/>
      <c r="AG128" s="117"/>
      <c r="AH128" s="117"/>
      <c r="AI128" s="117"/>
      <c r="AJ128" s="117"/>
      <c r="AK128" s="117"/>
      <c r="AL128" s="117"/>
    </row>
    <row r="129" spans="1:38" ht="15.75" customHeight="1">
      <c r="A129" s="117"/>
      <c r="B129" s="117"/>
      <c r="C129" s="117"/>
      <c r="D129" s="276"/>
      <c r="E129" s="276"/>
      <c r="F129" s="276"/>
      <c r="G129" s="117"/>
      <c r="H129" s="117"/>
      <c r="I129" s="279"/>
      <c r="J129" s="117"/>
      <c r="K129" s="117"/>
      <c r="L129" s="117"/>
      <c r="M129" s="117"/>
      <c r="N129" s="117"/>
      <c r="O129" s="117"/>
      <c r="P129" s="117"/>
      <c r="Q129" s="117"/>
      <c r="R129" s="117"/>
      <c r="S129" s="117"/>
      <c r="T129" s="126"/>
      <c r="W129" s="127"/>
      <c r="X129" s="127"/>
      <c r="Y129" s="127"/>
      <c r="Z129" s="127"/>
      <c r="AA129" s="127"/>
      <c r="AB129" s="127"/>
      <c r="AC129" s="127"/>
      <c r="AD129" s="127"/>
      <c r="AE129" s="117"/>
      <c r="AF129" s="117"/>
      <c r="AG129" s="117"/>
      <c r="AH129" s="117"/>
      <c r="AI129" s="117"/>
      <c r="AJ129" s="117"/>
      <c r="AK129" s="117"/>
      <c r="AL129" s="117"/>
    </row>
    <row r="130" spans="1:38" ht="15.75" customHeight="1">
      <c r="A130" s="117"/>
      <c r="B130" s="117"/>
      <c r="C130" s="117"/>
      <c r="D130" s="276"/>
      <c r="E130" s="276"/>
      <c r="F130" s="276"/>
      <c r="G130" s="117"/>
      <c r="H130" s="117"/>
      <c r="I130" s="279"/>
      <c r="J130" s="117"/>
      <c r="K130" s="117"/>
      <c r="L130" s="117"/>
      <c r="M130" s="117"/>
      <c r="N130" s="117"/>
      <c r="O130" s="117"/>
      <c r="P130" s="117"/>
      <c r="Q130" s="117"/>
      <c r="R130" s="117"/>
      <c r="S130" s="117"/>
      <c r="T130" s="126"/>
      <c r="W130" s="127"/>
      <c r="X130" s="127"/>
      <c r="Y130" s="127"/>
      <c r="Z130" s="127"/>
      <c r="AA130" s="127"/>
      <c r="AB130" s="127"/>
      <c r="AC130" s="127"/>
      <c r="AD130" s="127"/>
      <c r="AE130" s="117"/>
      <c r="AF130" s="117"/>
      <c r="AG130" s="117"/>
      <c r="AH130" s="117"/>
      <c r="AI130" s="117"/>
      <c r="AJ130" s="117"/>
      <c r="AK130" s="117"/>
      <c r="AL130" s="117"/>
    </row>
    <row r="131" spans="1:38" ht="15.75" customHeight="1">
      <c r="A131" s="117"/>
      <c r="B131" s="117"/>
      <c r="C131" s="117"/>
      <c r="D131" s="276"/>
      <c r="E131" s="276"/>
      <c r="F131" s="276"/>
      <c r="G131" s="117"/>
      <c r="H131" s="117"/>
      <c r="I131" s="279"/>
      <c r="J131" s="117"/>
      <c r="K131" s="117"/>
      <c r="L131" s="117"/>
      <c r="M131" s="117"/>
      <c r="N131" s="117"/>
      <c r="O131" s="117"/>
      <c r="P131" s="117"/>
      <c r="Q131" s="117"/>
      <c r="R131" s="117"/>
      <c r="S131" s="117"/>
      <c r="T131" s="126"/>
      <c r="W131" s="127"/>
      <c r="X131" s="127"/>
      <c r="Y131" s="127"/>
      <c r="Z131" s="127"/>
      <c r="AA131" s="127"/>
      <c r="AB131" s="127"/>
      <c r="AC131" s="127"/>
      <c r="AD131" s="127"/>
      <c r="AE131" s="117"/>
      <c r="AF131" s="117"/>
      <c r="AG131" s="117"/>
      <c r="AH131" s="117"/>
      <c r="AI131" s="117"/>
      <c r="AJ131" s="117"/>
      <c r="AK131" s="117"/>
      <c r="AL131" s="117"/>
    </row>
    <row r="132" spans="1:38" ht="15.75" customHeight="1">
      <c r="A132" s="117"/>
      <c r="B132" s="117"/>
      <c r="C132" s="117"/>
      <c r="D132" s="276"/>
      <c r="E132" s="276"/>
      <c r="F132" s="276"/>
      <c r="G132" s="117"/>
      <c r="H132" s="117"/>
      <c r="I132" s="279"/>
      <c r="J132" s="117"/>
      <c r="K132" s="117"/>
      <c r="L132" s="117"/>
      <c r="M132" s="117"/>
      <c r="N132" s="117"/>
      <c r="O132" s="117"/>
      <c r="P132" s="117"/>
      <c r="Q132" s="117"/>
      <c r="R132" s="117"/>
      <c r="S132" s="117"/>
      <c r="T132" s="126"/>
      <c r="W132" s="127"/>
      <c r="X132" s="127"/>
      <c r="Y132" s="127"/>
      <c r="Z132" s="127"/>
      <c r="AA132" s="127"/>
      <c r="AB132" s="127"/>
      <c r="AC132" s="127"/>
      <c r="AD132" s="127"/>
      <c r="AE132" s="117"/>
      <c r="AF132" s="117"/>
      <c r="AG132" s="117"/>
      <c r="AH132" s="117"/>
      <c r="AI132" s="117"/>
      <c r="AJ132" s="117"/>
      <c r="AK132" s="117"/>
      <c r="AL132" s="117"/>
    </row>
    <row r="133" spans="1:38" ht="15.75" customHeight="1">
      <c r="A133" s="117"/>
      <c r="B133" s="117"/>
      <c r="C133" s="117"/>
      <c r="D133" s="276"/>
      <c r="E133" s="276"/>
      <c r="F133" s="276"/>
      <c r="G133" s="117"/>
      <c r="H133" s="117"/>
      <c r="I133" s="279"/>
      <c r="J133" s="117"/>
      <c r="K133" s="117"/>
      <c r="L133" s="117"/>
      <c r="M133" s="117"/>
      <c r="N133" s="117"/>
      <c r="O133" s="117"/>
      <c r="P133" s="117"/>
      <c r="Q133" s="117"/>
      <c r="R133" s="117"/>
      <c r="S133" s="117"/>
      <c r="T133" s="126"/>
      <c r="W133" s="127"/>
      <c r="X133" s="127"/>
      <c r="Y133" s="127"/>
      <c r="Z133" s="127"/>
      <c r="AA133" s="127"/>
      <c r="AB133" s="127"/>
      <c r="AC133" s="127"/>
      <c r="AD133" s="127"/>
      <c r="AE133" s="117"/>
      <c r="AF133" s="117"/>
      <c r="AG133" s="117"/>
      <c r="AH133" s="117"/>
      <c r="AI133" s="117"/>
      <c r="AJ133" s="117"/>
      <c r="AK133" s="117"/>
      <c r="AL133" s="117"/>
    </row>
    <row r="134" spans="1:38" ht="15.75" customHeight="1">
      <c r="A134" s="117"/>
      <c r="B134" s="117"/>
      <c r="C134" s="117"/>
      <c r="D134" s="276"/>
      <c r="E134" s="276"/>
      <c r="F134" s="276"/>
      <c r="G134" s="117"/>
      <c r="H134" s="117"/>
      <c r="I134" s="279"/>
      <c r="J134" s="117"/>
      <c r="K134" s="117"/>
      <c r="L134" s="117"/>
      <c r="M134" s="117"/>
      <c r="N134" s="117"/>
      <c r="O134" s="117"/>
      <c r="P134" s="117"/>
      <c r="Q134" s="117"/>
      <c r="R134" s="117"/>
      <c r="S134" s="117"/>
      <c r="T134" s="126"/>
      <c r="W134" s="127"/>
      <c r="X134" s="127"/>
      <c r="Y134" s="127"/>
      <c r="Z134" s="127"/>
      <c r="AA134" s="127"/>
      <c r="AB134" s="127"/>
      <c r="AC134" s="127"/>
      <c r="AD134" s="127"/>
      <c r="AE134" s="117"/>
      <c r="AF134" s="117"/>
      <c r="AG134" s="117"/>
      <c r="AH134" s="117"/>
      <c r="AI134" s="117"/>
      <c r="AJ134" s="117"/>
      <c r="AK134" s="117"/>
      <c r="AL134" s="117"/>
    </row>
    <row r="135" spans="1:38" ht="15.75" customHeight="1">
      <c r="A135" s="117"/>
      <c r="B135" s="117"/>
      <c r="C135" s="117"/>
      <c r="D135" s="276"/>
      <c r="E135" s="276"/>
      <c r="F135" s="276"/>
      <c r="G135" s="117"/>
      <c r="H135" s="117"/>
      <c r="I135" s="279"/>
      <c r="J135" s="117"/>
      <c r="K135" s="117"/>
      <c r="L135" s="117"/>
      <c r="M135" s="117"/>
      <c r="N135" s="117"/>
      <c r="O135" s="117"/>
      <c r="P135" s="117"/>
      <c r="Q135" s="117"/>
      <c r="R135" s="117"/>
      <c r="S135" s="117"/>
      <c r="T135" s="126"/>
      <c r="W135" s="127"/>
      <c r="X135" s="127"/>
      <c r="Y135" s="127"/>
      <c r="Z135" s="127"/>
      <c r="AA135" s="127"/>
      <c r="AB135" s="127"/>
      <c r="AC135" s="127"/>
      <c r="AD135" s="127"/>
      <c r="AE135" s="117"/>
      <c r="AF135" s="117"/>
      <c r="AG135" s="117"/>
      <c r="AH135" s="117"/>
      <c r="AI135" s="117"/>
      <c r="AJ135" s="117"/>
      <c r="AK135" s="117"/>
      <c r="AL135" s="117"/>
    </row>
    <row r="136" spans="1:38" ht="15.75" customHeight="1">
      <c r="A136" s="117"/>
      <c r="B136" s="117"/>
      <c r="C136" s="117"/>
      <c r="D136" s="276"/>
      <c r="E136" s="276"/>
      <c r="F136" s="276"/>
      <c r="G136" s="117"/>
      <c r="H136" s="117"/>
      <c r="I136" s="279"/>
      <c r="J136" s="117"/>
      <c r="K136" s="117"/>
      <c r="L136" s="117"/>
      <c r="M136" s="117"/>
      <c r="N136" s="117"/>
      <c r="O136" s="117"/>
      <c r="P136" s="117"/>
      <c r="Q136" s="117"/>
      <c r="R136" s="117"/>
      <c r="S136" s="117"/>
      <c r="T136" s="126"/>
      <c r="W136" s="127"/>
      <c r="X136" s="127"/>
      <c r="Y136" s="127"/>
      <c r="Z136" s="127"/>
      <c r="AA136" s="127"/>
      <c r="AB136" s="127"/>
      <c r="AC136" s="127"/>
      <c r="AD136" s="127"/>
      <c r="AE136" s="117"/>
      <c r="AF136" s="117"/>
      <c r="AG136" s="117"/>
      <c r="AH136" s="117"/>
      <c r="AI136" s="117"/>
      <c r="AJ136" s="117"/>
      <c r="AK136" s="117"/>
      <c r="AL136" s="117"/>
    </row>
    <row r="137" spans="1:38" ht="15.75" customHeight="1">
      <c r="A137" s="117"/>
      <c r="B137" s="117"/>
      <c r="C137" s="117"/>
      <c r="D137" s="276"/>
      <c r="E137" s="276"/>
      <c r="F137" s="276"/>
      <c r="G137" s="117"/>
      <c r="H137" s="117"/>
      <c r="I137" s="279"/>
      <c r="J137" s="117"/>
      <c r="K137" s="117"/>
      <c r="L137" s="117"/>
      <c r="M137" s="117"/>
      <c r="N137" s="117"/>
      <c r="O137" s="117"/>
      <c r="P137" s="117"/>
      <c r="Q137" s="117"/>
      <c r="R137" s="117"/>
      <c r="S137" s="117"/>
      <c r="T137" s="126"/>
      <c r="W137" s="127"/>
      <c r="X137" s="127"/>
      <c r="Y137" s="127"/>
      <c r="Z137" s="127"/>
      <c r="AA137" s="127"/>
      <c r="AB137" s="127"/>
      <c r="AC137" s="127"/>
      <c r="AD137" s="127"/>
      <c r="AE137" s="117"/>
      <c r="AF137" s="117"/>
      <c r="AG137" s="117"/>
      <c r="AH137" s="117"/>
      <c r="AI137" s="117"/>
      <c r="AJ137" s="117"/>
      <c r="AK137" s="117"/>
      <c r="AL137" s="117"/>
    </row>
    <row r="138" spans="1:38" ht="15.75" customHeight="1">
      <c r="A138" s="117"/>
      <c r="B138" s="117"/>
      <c r="C138" s="117"/>
      <c r="D138" s="276"/>
      <c r="E138" s="276"/>
      <c r="F138" s="276"/>
      <c r="G138" s="117"/>
      <c r="H138" s="117"/>
      <c r="I138" s="279"/>
      <c r="J138" s="117"/>
      <c r="K138" s="117"/>
      <c r="L138" s="117"/>
      <c r="M138" s="117"/>
      <c r="N138" s="117"/>
      <c r="O138" s="117"/>
      <c r="P138" s="117"/>
      <c r="Q138" s="117"/>
      <c r="R138" s="117"/>
      <c r="S138" s="117"/>
      <c r="T138" s="126"/>
      <c r="W138" s="127"/>
      <c r="X138" s="127"/>
      <c r="Y138" s="127"/>
      <c r="Z138" s="127"/>
      <c r="AA138" s="127"/>
      <c r="AB138" s="127"/>
      <c r="AC138" s="127"/>
      <c r="AD138" s="127"/>
      <c r="AE138" s="117"/>
      <c r="AF138" s="117"/>
      <c r="AG138" s="117"/>
      <c r="AH138" s="117"/>
      <c r="AI138" s="117"/>
      <c r="AJ138" s="117"/>
      <c r="AK138" s="117"/>
      <c r="AL138" s="117"/>
    </row>
    <row r="139" spans="1:38" ht="15.75" customHeight="1">
      <c r="A139" s="117"/>
      <c r="B139" s="117"/>
      <c r="C139" s="117"/>
      <c r="D139" s="276"/>
      <c r="E139" s="276"/>
      <c r="F139" s="276"/>
      <c r="G139" s="117"/>
      <c r="H139" s="117"/>
      <c r="I139" s="279"/>
      <c r="J139" s="117"/>
      <c r="K139" s="117"/>
      <c r="L139" s="117"/>
      <c r="M139" s="117"/>
      <c r="N139" s="117"/>
      <c r="O139" s="117"/>
      <c r="P139" s="117"/>
      <c r="Q139" s="117"/>
      <c r="R139" s="117"/>
      <c r="S139" s="117"/>
      <c r="T139" s="126"/>
      <c r="W139" s="127"/>
      <c r="X139" s="127"/>
      <c r="Y139" s="127"/>
      <c r="Z139" s="127"/>
      <c r="AA139" s="127"/>
      <c r="AB139" s="127"/>
      <c r="AC139" s="127"/>
      <c r="AD139" s="127"/>
      <c r="AE139" s="117"/>
      <c r="AF139" s="117"/>
      <c r="AG139" s="117"/>
      <c r="AH139" s="117"/>
      <c r="AI139" s="117"/>
      <c r="AJ139" s="117"/>
      <c r="AK139" s="117"/>
      <c r="AL139" s="117"/>
    </row>
    <row r="140" spans="1:38" ht="15.75" customHeight="1">
      <c r="A140" s="117"/>
      <c r="B140" s="117"/>
      <c r="C140" s="117"/>
      <c r="D140" s="276"/>
      <c r="E140" s="276"/>
      <c r="F140" s="276"/>
      <c r="G140" s="117"/>
      <c r="H140" s="117"/>
      <c r="I140" s="279"/>
      <c r="J140" s="117"/>
      <c r="K140" s="117"/>
      <c r="L140" s="117"/>
      <c r="M140" s="117"/>
      <c r="N140" s="117"/>
      <c r="O140" s="117"/>
      <c r="P140" s="117"/>
      <c r="Q140" s="117"/>
      <c r="R140" s="117"/>
      <c r="S140" s="117"/>
      <c r="T140" s="126"/>
      <c r="W140" s="127"/>
      <c r="X140" s="127"/>
      <c r="Y140" s="127"/>
      <c r="Z140" s="127"/>
      <c r="AA140" s="127"/>
      <c r="AB140" s="127"/>
      <c r="AC140" s="127"/>
      <c r="AD140" s="127"/>
      <c r="AE140" s="117"/>
      <c r="AF140" s="117"/>
      <c r="AG140" s="117"/>
      <c r="AH140" s="117"/>
      <c r="AI140" s="117"/>
      <c r="AJ140" s="117"/>
      <c r="AK140" s="117"/>
      <c r="AL140" s="117"/>
    </row>
    <row r="141" spans="1:38" ht="15.75" customHeight="1">
      <c r="A141" s="117"/>
      <c r="B141" s="117"/>
      <c r="C141" s="117"/>
      <c r="D141" s="276"/>
      <c r="E141" s="276"/>
      <c r="F141" s="276"/>
      <c r="G141" s="117"/>
      <c r="H141" s="117"/>
      <c r="I141" s="279"/>
      <c r="J141" s="117"/>
      <c r="K141" s="117"/>
      <c r="L141" s="117"/>
      <c r="M141" s="117"/>
      <c r="N141" s="117"/>
      <c r="O141" s="117"/>
      <c r="P141" s="117"/>
      <c r="Q141" s="117"/>
      <c r="R141" s="117"/>
      <c r="S141" s="117"/>
      <c r="T141" s="126"/>
      <c r="W141" s="127"/>
      <c r="X141" s="127"/>
      <c r="Y141" s="127"/>
      <c r="Z141" s="127"/>
      <c r="AA141" s="127"/>
      <c r="AB141" s="127"/>
      <c r="AC141" s="127"/>
      <c r="AD141" s="127"/>
      <c r="AE141" s="117"/>
      <c r="AF141" s="117"/>
      <c r="AG141" s="117"/>
      <c r="AH141" s="117"/>
      <c r="AI141" s="117"/>
      <c r="AJ141" s="117"/>
      <c r="AK141" s="117"/>
      <c r="AL141" s="117"/>
    </row>
    <row r="142" spans="1:38" ht="15.75" customHeight="1">
      <c r="A142" s="117"/>
      <c r="B142" s="117"/>
      <c r="C142" s="117"/>
      <c r="D142" s="276"/>
      <c r="E142" s="276"/>
      <c r="F142" s="276"/>
      <c r="G142" s="117"/>
      <c r="H142" s="117"/>
      <c r="I142" s="279"/>
      <c r="J142" s="117"/>
      <c r="K142" s="117"/>
      <c r="L142" s="117"/>
      <c r="M142" s="117"/>
      <c r="N142" s="117"/>
      <c r="O142" s="117"/>
      <c r="P142" s="117"/>
      <c r="Q142" s="117"/>
      <c r="R142" s="117"/>
      <c r="S142" s="117"/>
      <c r="T142" s="126"/>
      <c r="W142" s="127"/>
      <c r="X142" s="127"/>
      <c r="Y142" s="127"/>
      <c r="Z142" s="127"/>
      <c r="AA142" s="127"/>
      <c r="AB142" s="127"/>
      <c r="AC142" s="127"/>
      <c r="AD142" s="127"/>
      <c r="AE142" s="117"/>
      <c r="AF142" s="117"/>
      <c r="AG142" s="117"/>
      <c r="AH142" s="117"/>
      <c r="AI142" s="117"/>
      <c r="AJ142" s="117"/>
      <c r="AK142" s="117"/>
      <c r="AL142" s="117"/>
    </row>
    <row r="143" spans="1:38" ht="15.75" customHeight="1">
      <c r="A143" s="117"/>
      <c r="B143" s="117"/>
      <c r="C143" s="117"/>
      <c r="D143" s="276"/>
      <c r="E143" s="276"/>
      <c r="F143" s="276"/>
      <c r="G143" s="117"/>
      <c r="H143" s="117"/>
      <c r="I143" s="279"/>
      <c r="J143" s="117"/>
      <c r="K143" s="117"/>
      <c r="L143" s="117"/>
      <c r="M143" s="117"/>
      <c r="N143" s="117"/>
      <c r="O143" s="117"/>
      <c r="P143" s="117"/>
      <c r="Q143" s="117"/>
      <c r="R143" s="117"/>
      <c r="S143" s="117"/>
      <c r="T143" s="126"/>
      <c r="W143" s="127"/>
      <c r="X143" s="127"/>
      <c r="Y143" s="127"/>
      <c r="Z143" s="127"/>
      <c r="AA143" s="127"/>
      <c r="AB143" s="127"/>
      <c r="AC143" s="127"/>
      <c r="AD143" s="127"/>
      <c r="AE143" s="117"/>
      <c r="AF143" s="117"/>
      <c r="AG143" s="117"/>
      <c r="AH143" s="117"/>
      <c r="AI143" s="117"/>
      <c r="AJ143" s="117"/>
      <c r="AK143" s="117"/>
      <c r="AL143" s="117"/>
    </row>
    <row r="144" spans="1:38" ht="15.75" customHeight="1">
      <c r="A144" s="117"/>
      <c r="B144" s="117"/>
      <c r="C144" s="117"/>
      <c r="D144" s="276"/>
      <c r="E144" s="276"/>
      <c r="F144" s="276"/>
      <c r="G144" s="117"/>
      <c r="H144" s="117"/>
      <c r="I144" s="279"/>
      <c r="J144" s="117"/>
      <c r="K144" s="117"/>
      <c r="L144" s="117"/>
      <c r="M144" s="117"/>
      <c r="N144" s="117"/>
      <c r="O144" s="117"/>
      <c r="P144" s="117"/>
      <c r="Q144" s="117"/>
      <c r="R144" s="117"/>
      <c r="S144" s="117"/>
      <c r="T144" s="126"/>
      <c r="W144" s="127"/>
      <c r="X144" s="127"/>
      <c r="Y144" s="127"/>
      <c r="Z144" s="127"/>
      <c r="AA144" s="127"/>
      <c r="AB144" s="127"/>
      <c r="AC144" s="127"/>
      <c r="AD144" s="127"/>
      <c r="AE144" s="117"/>
      <c r="AF144" s="117"/>
      <c r="AG144" s="117"/>
      <c r="AH144" s="117"/>
      <c r="AI144" s="117"/>
      <c r="AJ144" s="117"/>
      <c r="AK144" s="117"/>
      <c r="AL144" s="117"/>
    </row>
    <row r="145" spans="1:38" ht="15.75" customHeight="1">
      <c r="A145" s="117"/>
      <c r="B145" s="117"/>
      <c r="C145" s="117"/>
      <c r="D145" s="276"/>
      <c r="E145" s="276"/>
      <c r="F145" s="276"/>
      <c r="G145" s="117"/>
      <c r="H145" s="117"/>
      <c r="I145" s="279"/>
      <c r="J145" s="117"/>
      <c r="K145" s="117"/>
      <c r="L145" s="117"/>
      <c r="M145" s="117"/>
      <c r="N145" s="117"/>
      <c r="O145" s="117"/>
      <c r="P145" s="117"/>
      <c r="Q145" s="117"/>
      <c r="R145" s="117"/>
      <c r="S145" s="117"/>
      <c r="T145" s="126"/>
      <c r="W145" s="127"/>
      <c r="X145" s="127"/>
      <c r="Y145" s="127"/>
      <c r="Z145" s="127"/>
      <c r="AA145" s="127"/>
      <c r="AB145" s="127"/>
      <c r="AC145" s="127"/>
      <c r="AD145" s="127"/>
      <c r="AE145" s="117"/>
      <c r="AF145" s="117"/>
      <c r="AG145" s="117"/>
      <c r="AH145" s="117"/>
      <c r="AI145" s="117"/>
      <c r="AJ145" s="117"/>
      <c r="AK145" s="117"/>
      <c r="AL145" s="117"/>
    </row>
    <row r="146" spans="1:38" ht="15.75" customHeight="1">
      <c r="A146" s="117"/>
      <c r="B146" s="117"/>
      <c r="C146" s="117"/>
      <c r="D146" s="276"/>
      <c r="E146" s="276"/>
      <c r="F146" s="276"/>
      <c r="G146" s="117"/>
      <c r="H146" s="117"/>
      <c r="I146" s="279"/>
      <c r="J146" s="117"/>
      <c r="K146" s="117"/>
      <c r="L146" s="117"/>
      <c r="M146" s="117"/>
      <c r="N146" s="117"/>
      <c r="O146" s="117"/>
      <c r="P146" s="117"/>
      <c r="Q146" s="117"/>
      <c r="R146" s="117"/>
      <c r="S146" s="117"/>
      <c r="T146" s="126"/>
      <c r="W146" s="127"/>
      <c r="X146" s="127"/>
      <c r="Y146" s="127"/>
      <c r="Z146" s="127"/>
      <c r="AA146" s="127"/>
      <c r="AB146" s="127"/>
      <c r="AC146" s="127"/>
      <c r="AD146" s="127"/>
      <c r="AE146" s="117"/>
      <c r="AF146" s="117"/>
      <c r="AG146" s="117"/>
      <c r="AH146" s="117"/>
      <c r="AI146" s="117"/>
      <c r="AJ146" s="117"/>
      <c r="AK146" s="117"/>
      <c r="AL146" s="117"/>
    </row>
    <row r="147" spans="1:38" ht="15.75" customHeight="1">
      <c r="A147" s="117"/>
      <c r="B147" s="117"/>
      <c r="C147" s="117"/>
      <c r="D147" s="276"/>
      <c r="E147" s="276"/>
      <c r="F147" s="276"/>
      <c r="G147" s="117"/>
      <c r="H147" s="117"/>
      <c r="I147" s="279"/>
      <c r="J147" s="117"/>
      <c r="K147" s="117"/>
      <c r="L147" s="117"/>
      <c r="M147" s="117"/>
      <c r="N147" s="117"/>
      <c r="O147" s="117"/>
      <c r="P147" s="117"/>
      <c r="Q147" s="117"/>
      <c r="R147" s="117"/>
      <c r="S147" s="117"/>
      <c r="T147" s="126"/>
      <c r="W147" s="127"/>
      <c r="X147" s="127"/>
      <c r="Y147" s="127"/>
      <c r="Z147" s="127"/>
      <c r="AA147" s="127"/>
      <c r="AB147" s="127"/>
      <c r="AC147" s="127"/>
      <c r="AD147" s="127"/>
      <c r="AE147" s="117"/>
      <c r="AF147" s="117"/>
      <c r="AG147" s="117"/>
      <c r="AH147" s="117"/>
      <c r="AI147" s="117"/>
      <c r="AJ147" s="117"/>
      <c r="AK147" s="117"/>
      <c r="AL147" s="117"/>
    </row>
    <row r="148" spans="1:38" ht="15.75" customHeight="1">
      <c r="A148" s="117"/>
      <c r="B148" s="117"/>
      <c r="C148" s="117"/>
      <c r="D148" s="276"/>
      <c r="E148" s="276"/>
      <c r="F148" s="276"/>
      <c r="G148" s="117"/>
      <c r="H148" s="117"/>
      <c r="I148" s="279"/>
      <c r="J148" s="117"/>
      <c r="K148" s="117"/>
      <c r="L148" s="117"/>
      <c r="M148" s="117"/>
      <c r="N148" s="117"/>
      <c r="O148" s="117"/>
      <c r="P148" s="117"/>
      <c r="Q148" s="117"/>
      <c r="R148" s="117"/>
      <c r="S148" s="117"/>
      <c r="T148" s="126"/>
      <c r="W148" s="127"/>
      <c r="X148" s="127"/>
      <c r="Y148" s="127"/>
      <c r="Z148" s="127"/>
      <c r="AA148" s="127"/>
      <c r="AB148" s="127"/>
      <c r="AC148" s="127"/>
      <c r="AD148" s="127"/>
      <c r="AE148" s="117"/>
      <c r="AF148" s="117"/>
      <c r="AG148" s="117"/>
      <c r="AH148" s="117"/>
      <c r="AI148" s="117"/>
      <c r="AJ148" s="117"/>
      <c r="AK148" s="117"/>
      <c r="AL148" s="117"/>
    </row>
    <row r="149" spans="1:38" ht="15.75" customHeight="1">
      <c r="A149" s="117"/>
      <c r="B149" s="117"/>
      <c r="C149" s="117"/>
      <c r="D149" s="276"/>
      <c r="E149" s="276"/>
      <c r="F149" s="276"/>
      <c r="G149" s="117"/>
      <c r="H149" s="117"/>
      <c r="I149" s="279"/>
      <c r="J149" s="117"/>
      <c r="K149" s="117"/>
      <c r="L149" s="117"/>
      <c r="M149" s="117"/>
      <c r="N149" s="117"/>
      <c r="O149" s="117"/>
      <c r="P149" s="117"/>
      <c r="Q149" s="117"/>
      <c r="R149" s="117"/>
      <c r="S149" s="117"/>
      <c r="T149" s="126"/>
      <c r="W149" s="127"/>
      <c r="X149" s="127"/>
      <c r="Y149" s="127"/>
      <c r="Z149" s="127"/>
      <c r="AA149" s="127"/>
      <c r="AB149" s="127"/>
      <c r="AC149" s="127"/>
      <c r="AD149" s="127"/>
      <c r="AE149" s="117"/>
      <c r="AF149" s="117"/>
      <c r="AG149" s="117"/>
      <c r="AH149" s="117"/>
      <c r="AI149" s="117"/>
      <c r="AJ149" s="117"/>
      <c r="AK149" s="117"/>
      <c r="AL149" s="117"/>
    </row>
    <row r="150" spans="1:38" ht="15.75" customHeight="1">
      <c r="A150" s="117"/>
      <c r="B150" s="117"/>
      <c r="C150" s="117"/>
      <c r="D150" s="276"/>
      <c r="E150" s="276"/>
      <c r="F150" s="276"/>
      <c r="G150" s="117"/>
      <c r="H150" s="117"/>
      <c r="I150" s="279"/>
      <c r="J150" s="117"/>
      <c r="K150" s="117"/>
      <c r="L150" s="117"/>
      <c r="M150" s="117"/>
      <c r="N150" s="117"/>
      <c r="O150" s="117"/>
      <c r="P150" s="117"/>
      <c r="Q150" s="117"/>
      <c r="R150" s="117"/>
      <c r="S150" s="117"/>
      <c r="T150" s="126"/>
      <c r="W150" s="127"/>
      <c r="X150" s="127"/>
      <c r="Y150" s="127"/>
      <c r="Z150" s="127"/>
      <c r="AA150" s="127"/>
      <c r="AB150" s="127"/>
      <c r="AC150" s="127"/>
      <c r="AD150" s="127"/>
      <c r="AE150" s="117"/>
      <c r="AF150" s="117"/>
      <c r="AG150" s="117"/>
      <c r="AH150" s="117"/>
      <c r="AI150" s="117"/>
      <c r="AJ150" s="117"/>
      <c r="AK150" s="117"/>
      <c r="AL150" s="117"/>
    </row>
    <row r="151" spans="1:38" ht="15.75" customHeight="1">
      <c r="A151" s="117"/>
      <c r="B151" s="117"/>
      <c r="C151" s="117"/>
      <c r="D151" s="276"/>
      <c r="E151" s="276"/>
      <c r="F151" s="276"/>
      <c r="G151" s="117"/>
      <c r="H151" s="117"/>
      <c r="I151" s="279"/>
      <c r="J151" s="117"/>
      <c r="K151" s="117"/>
      <c r="L151" s="117"/>
      <c r="M151" s="117"/>
      <c r="N151" s="117"/>
      <c r="O151" s="117"/>
      <c r="P151" s="117"/>
      <c r="Q151" s="117"/>
      <c r="R151" s="117"/>
      <c r="S151" s="117"/>
      <c r="T151" s="126"/>
      <c r="W151" s="127"/>
      <c r="X151" s="127"/>
      <c r="Y151" s="127"/>
      <c r="Z151" s="127"/>
      <c r="AA151" s="127"/>
      <c r="AB151" s="127"/>
      <c r="AC151" s="127"/>
      <c r="AD151" s="127"/>
      <c r="AE151" s="117"/>
      <c r="AF151" s="117"/>
      <c r="AG151" s="117"/>
      <c r="AH151" s="117"/>
      <c r="AI151" s="117"/>
      <c r="AJ151" s="117"/>
      <c r="AK151" s="117"/>
      <c r="AL151" s="117"/>
    </row>
    <row r="152" spans="1:38" ht="15.75" customHeight="1">
      <c r="A152" s="117"/>
      <c r="B152" s="117"/>
      <c r="C152" s="117"/>
      <c r="D152" s="276"/>
      <c r="E152" s="276"/>
      <c r="F152" s="276"/>
      <c r="G152" s="117"/>
      <c r="H152" s="117"/>
      <c r="I152" s="279"/>
      <c r="J152" s="117"/>
      <c r="K152" s="117"/>
      <c r="L152" s="117"/>
      <c r="M152" s="117"/>
      <c r="N152" s="117"/>
      <c r="O152" s="117"/>
      <c r="P152" s="117"/>
      <c r="Q152" s="117"/>
      <c r="R152" s="117"/>
      <c r="S152" s="117"/>
      <c r="T152" s="126"/>
      <c r="W152" s="127"/>
      <c r="X152" s="127"/>
      <c r="Y152" s="127"/>
      <c r="Z152" s="127"/>
      <c r="AA152" s="127"/>
      <c r="AB152" s="127"/>
      <c r="AC152" s="127"/>
      <c r="AD152" s="127"/>
      <c r="AE152" s="117"/>
      <c r="AF152" s="117"/>
      <c r="AG152" s="117"/>
      <c r="AH152" s="117"/>
      <c r="AI152" s="117"/>
      <c r="AJ152" s="117"/>
      <c r="AK152" s="117"/>
      <c r="AL152" s="117"/>
    </row>
    <row r="153" spans="1:38" ht="15.75" customHeight="1">
      <c r="A153" s="117"/>
      <c r="B153" s="117"/>
      <c r="C153" s="117"/>
      <c r="D153" s="276"/>
      <c r="E153" s="276"/>
      <c r="F153" s="276"/>
      <c r="G153" s="117"/>
      <c r="H153" s="117"/>
      <c r="I153" s="279"/>
      <c r="J153" s="117"/>
      <c r="K153" s="117"/>
      <c r="L153" s="117"/>
      <c r="M153" s="117"/>
      <c r="N153" s="117"/>
      <c r="O153" s="117"/>
      <c r="P153" s="117"/>
      <c r="Q153" s="117"/>
      <c r="R153" s="117"/>
      <c r="S153" s="117"/>
      <c r="T153" s="126"/>
      <c r="W153" s="127"/>
      <c r="X153" s="127"/>
      <c r="Y153" s="127"/>
      <c r="Z153" s="127"/>
      <c r="AA153" s="127"/>
      <c r="AB153" s="127"/>
      <c r="AC153" s="127"/>
      <c r="AD153" s="127"/>
      <c r="AE153" s="117"/>
      <c r="AF153" s="117"/>
      <c r="AG153" s="117"/>
      <c r="AH153" s="117"/>
      <c r="AI153" s="117"/>
      <c r="AJ153" s="117"/>
      <c r="AK153" s="117"/>
      <c r="AL153" s="117"/>
    </row>
    <row r="154" spans="1:38" ht="15.75" customHeight="1">
      <c r="A154" s="117"/>
      <c r="B154" s="117"/>
      <c r="C154" s="117"/>
      <c r="D154" s="276"/>
      <c r="E154" s="276"/>
      <c r="F154" s="276"/>
      <c r="G154" s="117"/>
      <c r="H154" s="117"/>
      <c r="I154" s="279"/>
      <c r="J154" s="117"/>
      <c r="K154" s="117"/>
      <c r="L154" s="117"/>
      <c r="M154" s="117"/>
      <c r="N154" s="117"/>
      <c r="O154" s="117"/>
      <c r="P154" s="117"/>
      <c r="Q154" s="117"/>
      <c r="R154" s="117"/>
      <c r="S154" s="117"/>
      <c r="T154" s="126"/>
      <c r="W154" s="127"/>
      <c r="X154" s="127"/>
      <c r="Y154" s="127"/>
      <c r="Z154" s="127"/>
      <c r="AA154" s="127"/>
      <c r="AB154" s="127"/>
      <c r="AC154" s="127"/>
      <c r="AD154" s="127"/>
      <c r="AE154" s="117"/>
      <c r="AF154" s="117"/>
      <c r="AG154" s="117"/>
      <c r="AH154" s="117"/>
      <c r="AI154" s="117"/>
      <c r="AJ154" s="117"/>
      <c r="AK154" s="117"/>
      <c r="AL154" s="117"/>
    </row>
    <row r="155" spans="1:38" ht="15.75" customHeight="1">
      <c r="A155" s="117"/>
      <c r="B155" s="117"/>
      <c r="C155" s="117"/>
      <c r="D155" s="276"/>
      <c r="E155" s="276"/>
      <c r="F155" s="276"/>
      <c r="G155" s="117"/>
      <c r="H155" s="117"/>
      <c r="I155" s="279"/>
      <c r="J155" s="117"/>
      <c r="K155" s="117"/>
      <c r="L155" s="117"/>
      <c r="M155" s="117"/>
      <c r="N155" s="117"/>
      <c r="O155" s="117"/>
      <c r="P155" s="117"/>
      <c r="Q155" s="117"/>
      <c r="R155" s="117"/>
      <c r="S155" s="117"/>
      <c r="T155" s="126"/>
      <c r="W155" s="127"/>
      <c r="X155" s="127"/>
      <c r="Y155" s="127"/>
      <c r="Z155" s="127"/>
      <c r="AA155" s="127"/>
      <c r="AB155" s="127"/>
      <c r="AC155" s="127"/>
      <c r="AD155" s="127"/>
      <c r="AE155" s="117"/>
      <c r="AF155" s="117"/>
      <c r="AG155" s="117"/>
      <c r="AH155" s="117"/>
      <c r="AI155" s="117"/>
      <c r="AJ155" s="117"/>
      <c r="AK155" s="117"/>
      <c r="AL155" s="117"/>
    </row>
    <row r="156" spans="1:38" ht="15.75" customHeight="1">
      <c r="A156" s="117"/>
      <c r="B156" s="117"/>
      <c r="C156" s="117"/>
      <c r="D156" s="276"/>
      <c r="E156" s="276"/>
      <c r="F156" s="276"/>
      <c r="G156" s="117"/>
      <c r="H156" s="117"/>
      <c r="I156" s="279"/>
      <c r="J156" s="117"/>
      <c r="K156" s="117"/>
      <c r="L156" s="117"/>
      <c r="M156" s="117"/>
      <c r="N156" s="117"/>
      <c r="O156" s="117"/>
      <c r="P156" s="117"/>
      <c r="Q156" s="117"/>
      <c r="R156" s="117"/>
      <c r="S156" s="117"/>
      <c r="T156" s="126"/>
      <c r="W156" s="127"/>
      <c r="X156" s="127"/>
      <c r="Y156" s="127"/>
      <c r="Z156" s="127"/>
      <c r="AA156" s="127"/>
      <c r="AB156" s="127"/>
      <c r="AC156" s="127"/>
      <c r="AD156" s="127"/>
      <c r="AE156" s="117"/>
      <c r="AF156" s="117"/>
      <c r="AG156" s="117"/>
      <c r="AH156" s="117"/>
      <c r="AI156" s="117"/>
      <c r="AJ156" s="117"/>
      <c r="AK156" s="117"/>
      <c r="AL156" s="117"/>
    </row>
    <row r="157" spans="1:38" ht="15.75" customHeight="1">
      <c r="A157" s="117"/>
      <c r="B157" s="117"/>
      <c r="C157" s="117"/>
      <c r="D157" s="276"/>
      <c r="E157" s="276"/>
      <c r="F157" s="276"/>
      <c r="G157" s="117"/>
      <c r="H157" s="117"/>
      <c r="I157" s="279"/>
      <c r="J157" s="117"/>
      <c r="K157" s="117"/>
      <c r="L157" s="117"/>
      <c r="M157" s="117"/>
      <c r="N157" s="117"/>
      <c r="O157" s="117"/>
      <c r="P157" s="117"/>
      <c r="Q157" s="117"/>
      <c r="R157" s="117"/>
      <c r="S157" s="117"/>
      <c r="T157" s="126"/>
      <c r="W157" s="127"/>
      <c r="X157" s="127"/>
      <c r="Y157" s="127"/>
      <c r="Z157" s="127"/>
      <c r="AA157" s="127"/>
      <c r="AB157" s="127"/>
      <c r="AC157" s="127"/>
      <c r="AD157" s="127"/>
      <c r="AE157" s="117"/>
      <c r="AF157" s="117"/>
      <c r="AG157" s="117"/>
      <c r="AH157" s="117"/>
      <c r="AI157" s="117"/>
      <c r="AJ157" s="117"/>
      <c r="AK157" s="117"/>
      <c r="AL157" s="117"/>
    </row>
    <row r="158" spans="1:38" ht="15.75" customHeight="1">
      <c r="A158" s="117"/>
      <c r="B158" s="117"/>
      <c r="C158" s="117"/>
      <c r="D158" s="276"/>
      <c r="E158" s="276"/>
      <c r="F158" s="276"/>
      <c r="G158" s="117"/>
      <c r="H158" s="117"/>
      <c r="I158" s="279"/>
      <c r="J158" s="117"/>
      <c r="K158" s="117"/>
      <c r="L158" s="117"/>
      <c r="M158" s="117"/>
      <c r="N158" s="117"/>
      <c r="O158" s="117"/>
      <c r="P158" s="117"/>
      <c r="Q158" s="117"/>
      <c r="R158" s="117"/>
      <c r="S158" s="117"/>
      <c r="T158" s="126"/>
      <c r="W158" s="127"/>
      <c r="X158" s="127"/>
      <c r="Y158" s="127"/>
      <c r="Z158" s="127"/>
      <c r="AA158" s="127"/>
      <c r="AB158" s="127"/>
      <c r="AC158" s="127"/>
      <c r="AD158" s="127"/>
      <c r="AE158" s="117"/>
      <c r="AF158" s="117"/>
      <c r="AG158" s="117"/>
      <c r="AH158" s="117"/>
      <c r="AI158" s="117"/>
      <c r="AJ158" s="117"/>
      <c r="AK158" s="117"/>
      <c r="AL158" s="117"/>
    </row>
    <row r="159" spans="1:38" ht="15.75" customHeight="1">
      <c r="A159" s="117"/>
      <c r="B159" s="117"/>
      <c r="C159" s="117"/>
      <c r="D159" s="276"/>
      <c r="E159" s="276"/>
      <c r="F159" s="276"/>
      <c r="G159" s="117"/>
      <c r="H159" s="117"/>
      <c r="I159" s="279"/>
      <c r="J159" s="117"/>
      <c r="K159" s="117"/>
      <c r="L159" s="117"/>
      <c r="M159" s="117"/>
      <c r="N159" s="117"/>
      <c r="O159" s="117"/>
      <c r="P159" s="117"/>
      <c r="Q159" s="117"/>
      <c r="R159" s="117"/>
      <c r="S159" s="117"/>
      <c r="T159" s="126"/>
      <c r="W159" s="127"/>
      <c r="X159" s="127"/>
      <c r="Y159" s="127"/>
      <c r="Z159" s="127"/>
      <c r="AA159" s="127"/>
      <c r="AB159" s="127"/>
      <c r="AC159" s="127"/>
      <c r="AD159" s="127"/>
      <c r="AE159" s="117"/>
      <c r="AF159" s="117"/>
      <c r="AG159" s="117"/>
      <c r="AH159" s="117"/>
      <c r="AI159" s="117"/>
      <c r="AJ159" s="117"/>
      <c r="AK159" s="117"/>
      <c r="AL159" s="117"/>
    </row>
    <row r="160" spans="1:38" ht="15.75" customHeight="1">
      <c r="A160" s="117"/>
      <c r="B160" s="117"/>
      <c r="C160" s="117"/>
      <c r="D160" s="276"/>
      <c r="E160" s="276"/>
      <c r="F160" s="276"/>
      <c r="G160" s="117"/>
      <c r="H160" s="117"/>
      <c r="I160" s="279"/>
      <c r="J160" s="117"/>
      <c r="K160" s="117"/>
      <c r="L160" s="117"/>
      <c r="M160" s="117"/>
      <c r="N160" s="117"/>
      <c r="O160" s="117"/>
      <c r="P160" s="117"/>
      <c r="Q160" s="117"/>
      <c r="R160" s="117"/>
      <c r="S160" s="117"/>
      <c r="T160" s="126"/>
      <c r="W160" s="127"/>
      <c r="X160" s="127"/>
      <c r="Y160" s="127"/>
      <c r="Z160" s="127"/>
      <c r="AA160" s="127"/>
      <c r="AB160" s="127"/>
      <c r="AC160" s="127"/>
      <c r="AD160" s="127"/>
      <c r="AE160" s="117"/>
      <c r="AF160" s="117"/>
      <c r="AG160" s="117"/>
      <c r="AH160" s="117"/>
      <c r="AI160" s="117"/>
      <c r="AJ160" s="117"/>
      <c r="AK160" s="117"/>
      <c r="AL160" s="117"/>
    </row>
    <row r="161" spans="1:38" ht="15.75" customHeight="1">
      <c r="A161" s="117"/>
      <c r="B161" s="117"/>
      <c r="C161" s="117"/>
      <c r="D161" s="276"/>
      <c r="E161" s="276"/>
      <c r="F161" s="276"/>
      <c r="G161" s="117"/>
      <c r="H161" s="117"/>
      <c r="I161" s="279"/>
      <c r="J161" s="117"/>
      <c r="K161" s="117"/>
      <c r="L161" s="117"/>
      <c r="M161" s="117"/>
      <c r="N161" s="117"/>
      <c r="O161" s="117"/>
      <c r="P161" s="117"/>
      <c r="Q161" s="117"/>
      <c r="R161" s="117"/>
      <c r="S161" s="117"/>
      <c r="T161" s="126"/>
      <c r="W161" s="127"/>
      <c r="X161" s="127"/>
      <c r="Y161" s="127"/>
      <c r="Z161" s="127"/>
      <c r="AA161" s="127"/>
      <c r="AB161" s="127"/>
      <c r="AC161" s="127"/>
      <c r="AD161" s="127"/>
      <c r="AE161" s="117"/>
      <c r="AF161" s="117"/>
      <c r="AG161" s="117"/>
      <c r="AH161" s="117"/>
      <c r="AI161" s="117"/>
      <c r="AJ161" s="117"/>
      <c r="AK161" s="117"/>
      <c r="AL161" s="117"/>
    </row>
    <row r="162" spans="1:38" ht="15.75" customHeight="1">
      <c r="A162" s="117"/>
      <c r="B162" s="117"/>
      <c r="C162" s="117"/>
      <c r="D162" s="276"/>
      <c r="E162" s="276"/>
      <c r="F162" s="276"/>
      <c r="G162" s="117"/>
      <c r="H162" s="117"/>
      <c r="I162" s="279"/>
      <c r="J162" s="117"/>
      <c r="K162" s="117"/>
      <c r="L162" s="117"/>
      <c r="M162" s="117"/>
      <c r="N162" s="117"/>
      <c r="O162" s="117"/>
      <c r="P162" s="117"/>
      <c r="Q162" s="117"/>
      <c r="R162" s="117"/>
      <c r="S162" s="117"/>
      <c r="T162" s="126"/>
      <c r="W162" s="127"/>
      <c r="X162" s="127"/>
      <c r="Y162" s="127"/>
      <c r="Z162" s="127"/>
      <c r="AA162" s="127"/>
      <c r="AB162" s="127"/>
      <c r="AC162" s="127"/>
      <c r="AD162" s="127"/>
      <c r="AE162" s="117"/>
      <c r="AF162" s="117"/>
      <c r="AG162" s="117"/>
      <c r="AH162" s="117"/>
      <c r="AI162" s="117"/>
      <c r="AJ162" s="117"/>
      <c r="AK162" s="117"/>
      <c r="AL162" s="117"/>
    </row>
    <row r="163" spans="1:38" ht="15.75" customHeight="1">
      <c r="A163" s="117"/>
      <c r="B163" s="117"/>
      <c r="C163" s="117"/>
      <c r="D163" s="276"/>
      <c r="E163" s="276"/>
      <c r="F163" s="276"/>
      <c r="G163" s="117"/>
      <c r="H163" s="117"/>
      <c r="I163" s="279"/>
      <c r="J163" s="117"/>
      <c r="K163" s="117"/>
      <c r="L163" s="117"/>
      <c r="M163" s="117"/>
      <c r="N163" s="117"/>
      <c r="O163" s="117"/>
      <c r="P163" s="117"/>
      <c r="Q163" s="117"/>
      <c r="R163" s="117"/>
      <c r="S163" s="117"/>
      <c r="T163" s="126"/>
      <c r="W163" s="127"/>
      <c r="X163" s="127"/>
      <c r="Y163" s="127"/>
      <c r="Z163" s="127"/>
      <c r="AA163" s="127"/>
      <c r="AB163" s="127"/>
      <c r="AC163" s="127"/>
      <c r="AD163" s="127"/>
      <c r="AE163" s="117"/>
      <c r="AF163" s="117"/>
      <c r="AG163" s="117"/>
      <c r="AH163" s="117"/>
      <c r="AI163" s="117"/>
      <c r="AJ163" s="117"/>
      <c r="AK163" s="117"/>
      <c r="AL163" s="117"/>
    </row>
    <row r="164" spans="1:38" ht="15.75" customHeight="1">
      <c r="A164" s="117"/>
      <c r="B164" s="117"/>
      <c r="C164" s="117"/>
      <c r="D164" s="276"/>
      <c r="E164" s="276"/>
      <c r="F164" s="276"/>
      <c r="G164" s="117"/>
      <c r="H164" s="117"/>
      <c r="I164" s="279"/>
      <c r="J164" s="117"/>
      <c r="K164" s="117"/>
      <c r="L164" s="117"/>
      <c r="M164" s="117"/>
      <c r="N164" s="117"/>
      <c r="O164" s="117"/>
      <c r="P164" s="117"/>
      <c r="Q164" s="117"/>
      <c r="R164" s="117"/>
      <c r="S164" s="117"/>
      <c r="T164" s="126"/>
      <c r="W164" s="127"/>
      <c r="X164" s="127"/>
      <c r="Y164" s="127"/>
      <c r="Z164" s="127"/>
      <c r="AA164" s="127"/>
      <c r="AB164" s="127"/>
      <c r="AC164" s="127"/>
      <c r="AD164" s="127"/>
      <c r="AE164" s="117"/>
      <c r="AF164" s="117"/>
      <c r="AG164" s="117"/>
      <c r="AH164" s="117"/>
      <c r="AI164" s="117"/>
      <c r="AJ164" s="117"/>
      <c r="AK164" s="117"/>
      <c r="AL164" s="117"/>
    </row>
    <row r="165" spans="1:38" ht="15.75" customHeight="1">
      <c r="A165" s="117"/>
      <c r="B165" s="117"/>
      <c r="C165" s="117"/>
      <c r="D165" s="276"/>
      <c r="E165" s="276"/>
      <c r="F165" s="276"/>
      <c r="G165" s="117"/>
      <c r="H165" s="117"/>
      <c r="I165" s="279"/>
      <c r="J165" s="117"/>
      <c r="K165" s="117"/>
      <c r="L165" s="117"/>
      <c r="M165" s="117"/>
      <c r="N165" s="117"/>
      <c r="O165" s="117"/>
      <c r="P165" s="117"/>
      <c r="Q165" s="117"/>
      <c r="R165" s="117"/>
      <c r="S165" s="117"/>
      <c r="T165" s="126"/>
      <c r="W165" s="127"/>
      <c r="X165" s="127"/>
      <c r="Y165" s="127"/>
      <c r="Z165" s="127"/>
      <c r="AA165" s="127"/>
      <c r="AB165" s="127"/>
      <c r="AC165" s="127"/>
      <c r="AD165" s="127"/>
      <c r="AE165" s="117"/>
      <c r="AF165" s="117"/>
      <c r="AG165" s="117"/>
      <c r="AH165" s="117"/>
      <c r="AI165" s="117"/>
      <c r="AJ165" s="117"/>
      <c r="AK165" s="117"/>
      <c r="AL165" s="117"/>
    </row>
    <row r="166" spans="1:38" ht="15.75" customHeight="1">
      <c r="A166" s="117"/>
      <c r="B166" s="117"/>
      <c r="C166" s="117"/>
      <c r="D166" s="276"/>
      <c r="E166" s="276"/>
      <c r="F166" s="276"/>
      <c r="G166" s="117"/>
      <c r="H166" s="117"/>
      <c r="I166" s="279"/>
      <c r="J166" s="117"/>
      <c r="K166" s="117"/>
      <c r="L166" s="117"/>
      <c r="M166" s="117"/>
      <c r="N166" s="117"/>
      <c r="O166" s="117"/>
      <c r="P166" s="117"/>
      <c r="Q166" s="117"/>
      <c r="R166" s="117"/>
      <c r="S166" s="117"/>
      <c r="T166" s="126"/>
      <c r="W166" s="127"/>
      <c r="X166" s="127"/>
      <c r="Y166" s="127"/>
      <c r="Z166" s="127"/>
      <c r="AA166" s="127"/>
      <c r="AB166" s="127"/>
      <c r="AC166" s="127"/>
      <c r="AD166" s="127"/>
      <c r="AE166" s="117"/>
      <c r="AF166" s="117"/>
      <c r="AG166" s="117"/>
      <c r="AH166" s="117"/>
      <c r="AI166" s="117"/>
      <c r="AJ166" s="117"/>
      <c r="AK166" s="117"/>
      <c r="AL166" s="117"/>
    </row>
    <row r="167" spans="1:38" ht="15.75" customHeight="1">
      <c r="A167" s="117"/>
      <c r="B167" s="117"/>
      <c r="C167" s="117"/>
      <c r="D167" s="276"/>
      <c r="E167" s="276"/>
      <c r="F167" s="276"/>
      <c r="G167" s="117"/>
      <c r="H167" s="117"/>
      <c r="I167" s="279"/>
      <c r="J167" s="117"/>
      <c r="K167" s="117"/>
      <c r="L167" s="117"/>
      <c r="M167" s="117"/>
      <c r="N167" s="117"/>
      <c r="O167" s="117"/>
      <c r="P167" s="117"/>
      <c r="Q167" s="117"/>
      <c r="R167" s="117"/>
      <c r="S167" s="117"/>
      <c r="T167" s="126"/>
      <c r="W167" s="127"/>
      <c r="X167" s="127"/>
      <c r="Y167" s="127"/>
      <c r="Z167" s="127"/>
      <c r="AA167" s="127"/>
      <c r="AB167" s="127"/>
      <c r="AC167" s="127"/>
      <c r="AD167" s="127"/>
      <c r="AE167" s="117"/>
      <c r="AF167" s="117"/>
      <c r="AG167" s="117"/>
      <c r="AH167" s="117"/>
      <c r="AI167" s="117"/>
      <c r="AJ167" s="117"/>
      <c r="AK167" s="117"/>
      <c r="AL167" s="117"/>
    </row>
    <row r="168" spans="1:38" ht="15.75" customHeight="1">
      <c r="A168" s="117"/>
      <c r="B168" s="117"/>
      <c r="C168" s="117"/>
      <c r="D168" s="276"/>
      <c r="E168" s="276"/>
      <c r="F168" s="276"/>
      <c r="G168" s="117"/>
      <c r="H168" s="117"/>
      <c r="I168" s="279"/>
      <c r="J168" s="117"/>
      <c r="K168" s="117"/>
      <c r="L168" s="117"/>
      <c r="M168" s="117"/>
      <c r="N168" s="117"/>
      <c r="O168" s="117"/>
      <c r="P168" s="117"/>
      <c r="Q168" s="117"/>
      <c r="R168" s="117"/>
      <c r="S168" s="117"/>
      <c r="T168" s="126"/>
      <c r="W168" s="127"/>
      <c r="X168" s="127"/>
      <c r="Y168" s="127"/>
      <c r="Z168" s="127"/>
      <c r="AA168" s="127"/>
      <c r="AB168" s="127"/>
      <c r="AC168" s="127"/>
      <c r="AD168" s="127"/>
      <c r="AE168" s="117"/>
      <c r="AF168" s="117"/>
      <c r="AG168" s="117"/>
      <c r="AH168" s="117"/>
      <c r="AI168" s="117"/>
      <c r="AJ168" s="117"/>
      <c r="AK168" s="117"/>
      <c r="AL168" s="117"/>
    </row>
    <row r="169" spans="1:38" ht="15.75" customHeight="1">
      <c r="A169" s="117"/>
      <c r="B169" s="117"/>
      <c r="C169" s="117"/>
      <c r="D169" s="276"/>
      <c r="E169" s="276"/>
      <c r="F169" s="276"/>
      <c r="G169" s="117"/>
      <c r="H169" s="117"/>
      <c r="I169" s="279"/>
      <c r="J169" s="117"/>
      <c r="K169" s="117"/>
      <c r="L169" s="117"/>
      <c r="M169" s="117"/>
      <c r="N169" s="117"/>
      <c r="O169" s="117"/>
      <c r="P169" s="117"/>
      <c r="Q169" s="117"/>
      <c r="R169" s="117"/>
      <c r="S169" s="117"/>
      <c r="T169" s="126"/>
      <c r="W169" s="127"/>
      <c r="X169" s="127"/>
      <c r="Y169" s="127"/>
      <c r="Z169" s="127"/>
      <c r="AA169" s="127"/>
      <c r="AB169" s="127"/>
      <c r="AC169" s="127"/>
      <c r="AD169" s="127"/>
      <c r="AE169" s="117"/>
      <c r="AF169" s="117"/>
      <c r="AG169" s="117"/>
      <c r="AH169" s="117"/>
      <c r="AI169" s="117"/>
      <c r="AJ169" s="117"/>
      <c r="AK169" s="117"/>
      <c r="AL169" s="117"/>
    </row>
    <row r="170" spans="1:38" ht="15.75" customHeight="1">
      <c r="A170" s="117"/>
      <c r="B170" s="117"/>
      <c r="C170" s="117"/>
      <c r="D170" s="276"/>
      <c r="E170" s="276"/>
      <c r="F170" s="276"/>
      <c r="G170" s="117"/>
      <c r="H170" s="117"/>
      <c r="I170" s="279"/>
      <c r="J170" s="117"/>
      <c r="K170" s="117"/>
      <c r="L170" s="117"/>
      <c r="M170" s="117"/>
      <c r="N170" s="117"/>
      <c r="O170" s="117"/>
      <c r="P170" s="117"/>
      <c r="Q170" s="117"/>
      <c r="R170" s="117"/>
      <c r="S170" s="117"/>
      <c r="T170" s="126"/>
      <c r="W170" s="127"/>
      <c r="X170" s="127"/>
      <c r="Y170" s="127"/>
      <c r="Z170" s="127"/>
      <c r="AA170" s="127"/>
      <c r="AB170" s="127"/>
      <c r="AC170" s="127"/>
      <c r="AD170" s="127"/>
      <c r="AE170" s="117"/>
      <c r="AF170" s="117"/>
      <c r="AG170" s="117"/>
      <c r="AH170" s="117"/>
      <c r="AI170" s="117"/>
      <c r="AJ170" s="117"/>
      <c r="AK170" s="117"/>
      <c r="AL170" s="117"/>
    </row>
    <row r="171" spans="1:38" ht="15.75" customHeight="1">
      <c r="A171" s="117"/>
      <c r="B171" s="117"/>
      <c r="C171" s="117"/>
      <c r="D171" s="276"/>
      <c r="E171" s="276"/>
      <c r="F171" s="276"/>
      <c r="G171" s="117"/>
      <c r="H171" s="117"/>
      <c r="I171" s="279"/>
      <c r="J171" s="117"/>
      <c r="K171" s="117"/>
      <c r="L171" s="117"/>
      <c r="M171" s="117"/>
      <c r="N171" s="117"/>
      <c r="O171" s="117"/>
      <c r="P171" s="117"/>
      <c r="Q171" s="117"/>
      <c r="R171" s="117"/>
      <c r="S171" s="117"/>
      <c r="T171" s="126"/>
      <c r="W171" s="127"/>
      <c r="X171" s="127"/>
      <c r="Y171" s="127"/>
      <c r="Z171" s="127"/>
      <c r="AA171" s="127"/>
      <c r="AB171" s="127"/>
      <c r="AC171" s="127"/>
      <c r="AD171" s="127"/>
      <c r="AE171" s="117"/>
      <c r="AF171" s="117"/>
      <c r="AG171" s="117"/>
      <c r="AH171" s="117"/>
      <c r="AI171" s="117"/>
      <c r="AJ171" s="117"/>
      <c r="AK171" s="117"/>
      <c r="AL171" s="117"/>
    </row>
    <row r="172" spans="1:38" ht="15.75" customHeight="1">
      <c r="A172" s="117"/>
      <c r="B172" s="117"/>
      <c r="C172" s="117"/>
      <c r="D172" s="276"/>
      <c r="E172" s="276"/>
      <c r="F172" s="276"/>
      <c r="G172" s="117"/>
      <c r="H172" s="117"/>
      <c r="I172" s="279"/>
      <c r="J172" s="117"/>
      <c r="K172" s="117"/>
      <c r="L172" s="117"/>
      <c r="M172" s="117"/>
      <c r="N172" s="117"/>
      <c r="O172" s="117"/>
      <c r="P172" s="117"/>
      <c r="Q172" s="117"/>
      <c r="R172" s="117"/>
      <c r="S172" s="117"/>
      <c r="T172" s="126"/>
      <c r="W172" s="127"/>
      <c r="X172" s="127"/>
      <c r="Y172" s="127"/>
      <c r="Z172" s="127"/>
      <c r="AA172" s="127"/>
      <c r="AB172" s="127"/>
      <c r="AC172" s="127"/>
      <c r="AD172" s="127"/>
      <c r="AE172" s="117"/>
      <c r="AF172" s="117"/>
      <c r="AG172" s="117"/>
      <c r="AH172" s="117"/>
      <c r="AI172" s="117"/>
      <c r="AJ172" s="117"/>
      <c r="AK172" s="117"/>
      <c r="AL172" s="117"/>
    </row>
    <row r="173" spans="1:38" ht="15.75" customHeight="1">
      <c r="A173" s="117"/>
      <c r="B173" s="117"/>
      <c r="C173" s="117"/>
      <c r="D173" s="276"/>
      <c r="E173" s="276"/>
      <c r="F173" s="276"/>
      <c r="G173" s="117"/>
      <c r="H173" s="117"/>
      <c r="I173" s="279"/>
      <c r="J173" s="117"/>
      <c r="K173" s="117"/>
      <c r="L173" s="117"/>
      <c r="M173" s="117"/>
      <c r="N173" s="117"/>
      <c r="O173" s="117"/>
      <c r="P173" s="117"/>
      <c r="Q173" s="117"/>
      <c r="R173" s="117"/>
      <c r="S173" s="117"/>
      <c r="T173" s="126"/>
      <c r="W173" s="127"/>
      <c r="X173" s="127"/>
      <c r="Y173" s="127"/>
      <c r="Z173" s="127"/>
      <c r="AA173" s="127"/>
      <c r="AB173" s="127"/>
      <c r="AC173" s="127"/>
      <c r="AD173" s="127"/>
      <c r="AE173" s="117"/>
      <c r="AF173" s="117"/>
      <c r="AG173" s="117"/>
      <c r="AH173" s="117"/>
      <c r="AI173" s="117"/>
      <c r="AJ173" s="117"/>
      <c r="AK173" s="117"/>
      <c r="AL173" s="117"/>
    </row>
    <row r="174" spans="1:38" ht="15.75" customHeight="1">
      <c r="A174" s="117"/>
      <c r="B174" s="117"/>
      <c r="C174" s="117"/>
      <c r="D174" s="276"/>
      <c r="E174" s="276"/>
      <c r="F174" s="276"/>
      <c r="G174" s="117"/>
      <c r="H174" s="117"/>
      <c r="I174" s="279"/>
      <c r="J174" s="117"/>
      <c r="K174" s="117"/>
      <c r="L174" s="117"/>
      <c r="M174" s="117"/>
      <c r="N174" s="117"/>
      <c r="O174" s="117"/>
      <c r="P174" s="117"/>
      <c r="Q174" s="117"/>
      <c r="R174" s="117"/>
      <c r="S174" s="117"/>
      <c r="T174" s="126"/>
      <c r="W174" s="127"/>
      <c r="X174" s="127"/>
      <c r="Y174" s="127"/>
      <c r="Z174" s="127"/>
      <c r="AA174" s="127"/>
      <c r="AB174" s="127"/>
      <c r="AC174" s="127"/>
      <c r="AD174" s="127"/>
      <c r="AE174" s="117"/>
      <c r="AF174" s="117"/>
      <c r="AG174" s="117"/>
      <c r="AH174" s="117"/>
      <c r="AI174" s="117"/>
      <c r="AJ174" s="117"/>
      <c r="AK174" s="117"/>
      <c r="AL174" s="117"/>
    </row>
    <row r="175" spans="1:38" ht="15.75" customHeight="1">
      <c r="A175" s="117"/>
      <c r="B175" s="117"/>
      <c r="C175" s="117"/>
      <c r="D175" s="276"/>
      <c r="E175" s="276"/>
      <c r="F175" s="276"/>
      <c r="G175" s="117"/>
      <c r="H175" s="117"/>
      <c r="I175" s="279"/>
      <c r="J175" s="117"/>
      <c r="K175" s="117"/>
      <c r="L175" s="117"/>
      <c r="M175" s="117"/>
      <c r="N175" s="117"/>
      <c r="O175" s="117"/>
      <c r="P175" s="117"/>
      <c r="Q175" s="117"/>
      <c r="R175" s="117"/>
      <c r="S175" s="117"/>
      <c r="T175" s="126"/>
      <c r="W175" s="127"/>
      <c r="X175" s="127"/>
      <c r="Y175" s="127"/>
      <c r="Z175" s="127"/>
      <c r="AA175" s="127"/>
      <c r="AB175" s="127"/>
      <c r="AC175" s="127"/>
      <c r="AD175" s="127"/>
      <c r="AE175" s="117"/>
      <c r="AF175" s="117"/>
      <c r="AG175" s="117"/>
      <c r="AH175" s="117"/>
      <c r="AI175" s="117"/>
      <c r="AJ175" s="117"/>
      <c r="AK175" s="117"/>
      <c r="AL175" s="117"/>
    </row>
    <row r="176" spans="1:38" ht="15.75" customHeight="1">
      <c r="A176" s="117"/>
      <c r="B176" s="117"/>
      <c r="C176" s="117"/>
      <c r="D176" s="276"/>
      <c r="E176" s="276"/>
      <c r="F176" s="276"/>
      <c r="G176" s="117"/>
      <c r="H176" s="117"/>
      <c r="I176" s="279"/>
      <c r="J176" s="117"/>
      <c r="K176" s="117"/>
      <c r="L176" s="117"/>
      <c r="M176" s="117"/>
      <c r="N176" s="117"/>
      <c r="O176" s="117"/>
      <c r="P176" s="117"/>
      <c r="Q176" s="117"/>
      <c r="R176" s="117"/>
      <c r="S176" s="117"/>
      <c r="T176" s="126"/>
      <c r="W176" s="127"/>
      <c r="X176" s="127"/>
      <c r="Y176" s="127"/>
      <c r="Z176" s="127"/>
      <c r="AA176" s="127"/>
      <c r="AB176" s="127"/>
      <c r="AC176" s="127"/>
      <c r="AD176" s="127"/>
      <c r="AE176" s="117"/>
      <c r="AF176" s="117"/>
      <c r="AG176" s="117"/>
      <c r="AH176" s="117"/>
      <c r="AI176" s="117"/>
      <c r="AJ176" s="117"/>
      <c r="AK176" s="117"/>
      <c r="AL176" s="117"/>
    </row>
    <row r="177" spans="1:38" ht="15.75" customHeight="1">
      <c r="A177" s="117"/>
      <c r="B177" s="117"/>
      <c r="C177" s="117"/>
      <c r="D177" s="276"/>
      <c r="E177" s="276"/>
      <c r="F177" s="276"/>
      <c r="G177" s="117"/>
      <c r="H177" s="117"/>
      <c r="I177" s="279"/>
      <c r="J177" s="117"/>
      <c r="K177" s="117"/>
      <c r="L177" s="117"/>
      <c r="M177" s="117"/>
      <c r="N177" s="117"/>
      <c r="O177" s="117"/>
      <c r="P177" s="117"/>
      <c r="Q177" s="117"/>
      <c r="R177" s="117"/>
      <c r="S177" s="117"/>
      <c r="T177" s="126"/>
      <c r="W177" s="127"/>
      <c r="X177" s="127"/>
      <c r="Y177" s="127"/>
      <c r="Z177" s="127"/>
      <c r="AA177" s="127"/>
      <c r="AB177" s="127"/>
      <c r="AC177" s="127"/>
      <c r="AD177" s="127"/>
      <c r="AE177" s="117"/>
      <c r="AF177" s="117"/>
      <c r="AG177" s="117"/>
      <c r="AH177" s="117"/>
      <c r="AI177" s="117"/>
      <c r="AJ177" s="117"/>
      <c r="AK177" s="117"/>
      <c r="AL177" s="117"/>
    </row>
    <row r="178" spans="1:38" ht="15.75" customHeight="1">
      <c r="A178" s="117"/>
      <c r="B178" s="117"/>
      <c r="C178" s="117"/>
      <c r="D178" s="276"/>
      <c r="E178" s="276"/>
      <c r="F178" s="276"/>
      <c r="G178" s="117"/>
      <c r="H178" s="117"/>
      <c r="I178" s="279"/>
      <c r="J178" s="117"/>
      <c r="K178" s="117"/>
      <c r="L178" s="117"/>
      <c r="M178" s="117"/>
      <c r="N178" s="117"/>
      <c r="O178" s="117"/>
      <c r="P178" s="117"/>
      <c r="Q178" s="117"/>
      <c r="R178" s="117"/>
      <c r="S178" s="117"/>
      <c r="T178" s="126"/>
      <c r="W178" s="127"/>
      <c r="X178" s="127"/>
      <c r="Y178" s="127"/>
      <c r="Z178" s="127"/>
      <c r="AA178" s="127"/>
      <c r="AB178" s="127"/>
      <c r="AC178" s="127"/>
      <c r="AD178" s="127"/>
      <c r="AE178" s="117"/>
      <c r="AF178" s="117"/>
      <c r="AG178" s="117"/>
      <c r="AH178" s="117"/>
      <c r="AI178" s="117"/>
      <c r="AJ178" s="117"/>
      <c r="AK178" s="117"/>
      <c r="AL178" s="117"/>
    </row>
    <row r="179" spans="1:38" ht="15.75" customHeight="1">
      <c r="A179" s="117"/>
      <c r="B179" s="117"/>
      <c r="C179" s="117"/>
      <c r="D179" s="276"/>
      <c r="E179" s="276"/>
      <c r="F179" s="276"/>
      <c r="G179" s="117"/>
      <c r="H179" s="117"/>
      <c r="I179" s="279"/>
      <c r="J179" s="117"/>
      <c r="K179" s="117"/>
      <c r="L179" s="117"/>
      <c r="M179" s="117"/>
      <c r="N179" s="117"/>
      <c r="O179" s="117"/>
      <c r="P179" s="117"/>
      <c r="Q179" s="117"/>
      <c r="R179" s="117"/>
      <c r="S179" s="117"/>
      <c r="T179" s="126"/>
      <c r="W179" s="127"/>
      <c r="X179" s="127"/>
      <c r="Y179" s="127"/>
      <c r="Z179" s="127"/>
      <c r="AA179" s="127"/>
      <c r="AB179" s="127"/>
      <c r="AC179" s="127"/>
      <c r="AD179" s="127"/>
      <c r="AE179" s="117"/>
      <c r="AF179" s="117"/>
      <c r="AG179" s="117"/>
      <c r="AH179" s="117"/>
      <c r="AI179" s="117"/>
      <c r="AJ179" s="117"/>
      <c r="AK179" s="117"/>
      <c r="AL179" s="117"/>
    </row>
    <row r="180" spans="1:38" ht="15.75" customHeight="1">
      <c r="A180" s="117"/>
      <c r="B180" s="117"/>
      <c r="C180" s="117"/>
      <c r="D180" s="276"/>
      <c r="E180" s="276"/>
      <c r="F180" s="276"/>
      <c r="G180" s="117"/>
      <c r="H180" s="117"/>
      <c r="I180" s="279"/>
      <c r="J180" s="117"/>
      <c r="K180" s="117"/>
      <c r="L180" s="117"/>
      <c r="M180" s="117"/>
      <c r="N180" s="117"/>
      <c r="O180" s="117"/>
      <c r="P180" s="117"/>
      <c r="Q180" s="117"/>
      <c r="R180" s="117"/>
      <c r="S180" s="117"/>
      <c r="T180" s="126"/>
      <c r="W180" s="127"/>
      <c r="X180" s="127"/>
      <c r="Y180" s="127"/>
      <c r="Z180" s="127"/>
      <c r="AA180" s="127"/>
      <c r="AB180" s="127"/>
      <c r="AC180" s="127"/>
      <c r="AD180" s="127"/>
      <c r="AE180" s="117"/>
      <c r="AF180" s="117"/>
      <c r="AG180" s="117"/>
      <c r="AH180" s="117"/>
      <c r="AI180" s="117"/>
      <c r="AJ180" s="117"/>
      <c r="AK180" s="117"/>
      <c r="AL180" s="117"/>
    </row>
    <row r="181" spans="1:38" ht="15.75" customHeight="1">
      <c r="A181" s="117"/>
      <c r="B181" s="117"/>
      <c r="C181" s="117"/>
      <c r="D181" s="276"/>
      <c r="E181" s="276"/>
      <c r="F181" s="276"/>
      <c r="G181" s="117"/>
      <c r="H181" s="117"/>
      <c r="I181" s="279"/>
      <c r="J181" s="117"/>
      <c r="K181" s="117"/>
      <c r="L181" s="117"/>
      <c r="M181" s="117"/>
      <c r="N181" s="117"/>
      <c r="O181" s="117"/>
      <c r="P181" s="117"/>
      <c r="Q181" s="117"/>
      <c r="R181" s="117"/>
      <c r="S181" s="117"/>
      <c r="T181" s="126"/>
      <c r="W181" s="127"/>
      <c r="X181" s="127"/>
      <c r="Y181" s="127"/>
      <c r="Z181" s="127"/>
      <c r="AA181" s="127"/>
      <c r="AB181" s="127"/>
      <c r="AC181" s="127"/>
      <c r="AD181" s="127"/>
      <c r="AE181" s="117"/>
      <c r="AF181" s="117"/>
      <c r="AG181" s="117"/>
      <c r="AH181" s="117"/>
      <c r="AI181" s="117"/>
      <c r="AJ181" s="117"/>
      <c r="AK181" s="117"/>
      <c r="AL181" s="117"/>
    </row>
    <row r="182" spans="1:38" ht="15.75" customHeight="1">
      <c r="A182" s="117"/>
      <c r="B182" s="117"/>
      <c r="C182" s="117"/>
      <c r="D182" s="276"/>
      <c r="E182" s="276"/>
      <c r="F182" s="276"/>
      <c r="G182" s="117"/>
      <c r="H182" s="117"/>
      <c r="I182" s="279"/>
      <c r="J182" s="117"/>
      <c r="K182" s="117"/>
      <c r="L182" s="117"/>
      <c r="M182" s="117"/>
      <c r="N182" s="117"/>
      <c r="O182" s="117"/>
      <c r="P182" s="117"/>
      <c r="Q182" s="117"/>
      <c r="R182" s="117"/>
      <c r="S182" s="117"/>
      <c r="T182" s="126"/>
      <c r="W182" s="127"/>
      <c r="X182" s="127"/>
      <c r="Y182" s="127"/>
      <c r="Z182" s="127"/>
      <c r="AA182" s="127"/>
      <c r="AB182" s="127"/>
      <c r="AC182" s="127"/>
      <c r="AD182" s="127"/>
      <c r="AE182" s="117"/>
      <c r="AF182" s="117"/>
      <c r="AG182" s="117"/>
      <c r="AH182" s="117"/>
      <c r="AI182" s="117"/>
      <c r="AJ182" s="117"/>
      <c r="AK182" s="117"/>
      <c r="AL182" s="117"/>
    </row>
    <row r="183" spans="1:38" ht="15.75" customHeight="1">
      <c r="A183" s="117"/>
      <c r="B183" s="117"/>
      <c r="C183" s="117"/>
      <c r="D183" s="276"/>
      <c r="E183" s="276"/>
      <c r="F183" s="276"/>
      <c r="G183" s="117"/>
      <c r="H183" s="117"/>
      <c r="I183" s="279"/>
      <c r="J183" s="117"/>
      <c r="K183" s="117"/>
      <c r="L183" s="117"/>
      <c r="M183" s="117"/>
      <c r="N183" s="117"/>
      <c r="O183" s="117"/>
      <c r="P183" s="117"/>
      <c r="Q183" s="117"/>
      <c r="R183" s="117"/>
      <c r="S183" s="117"/>
      <c r="T183" s="126"/>
      <c r="W183" s="127"/>
      <c r="X183" s="127"/>
      <c r="Y183" s="127"/>
      <c r="Z183" s="127"/>
      <c r="AA183" s="127"/>
      <c r="AB183" s="127"/>
      <c r="AC183" s="127"/>
      <c r="AD183" s="127"/>
      <c r="AE183" s="117"/>
      <c r="AF183" s="117"/>
      <c r="AG183" s="117"/>
      <c r="AH183" s="117"/>
      <c r="AI183" s="117"/>
      <c r="AJ183" s="117"/>
      <c r="AK183" s="117"/>
      <c r="AL183" s="117"/>
    </row>
    <row r="184" spans="1:38" ht="15.75" customHeight="1">
      <c r="A184" s="117"/>
      <c r="B184" s="117"/>
      <c r="C184" s="117"/>
      <c r="D184" s="276"/>
      <c r="E184" s="276"/>
      <c r="F184" s="276"/>
      <c r="G184" s="117"/>
      <c r="H184" s="117"/>
      <c r="I184" s="279"/>
      <c r="J184" s="117"/>
      <c r="K184" s="117"/>
      <c r="L184" s="117"/>
      <c r="M184" s="117"/>
      <c r="N184" s="117"/>
      <c r="O184" s="117"/>
      <c r="P184" s="117"/>
      <c r="Q184" s="117"/>
      <c r="R184" s="117"/>
      <c r="S184" s="117"/>
      <c r="T184" s="126"/>
      <c r="W184" s="127"/>
      <c r="X184" s="127"/>
      <c r="Y184" s="127"/>
      <c r="Z184" s="127"/>
      <c r="AA184" s="127"/>
      <c r="AB184" s="127"/>
      <c r="AC184" s="127"/>
      <c r="AD184" s="127"/>
      <c r="AE184" s="117"/>
      <c r="AF184" s="117"/>
      <c r="AG184" s="117"/>
      <c r="AH184" s="117"/>
      <c r="AI184" s="117"/>
      <c r="AJ184" s="117"/>
      <c r="AK184" s="117"/>
      <c r="AL184" s="117"/>
    </row>
    <row r="185" spans="1:38" ht="15.75" customHeight="1">
      <c r="A185" s="117"/>
      <c r="B185" s="117"/>
      <c r="C185" s="117"/>
      <c r="D185" s="276"/>
      <c r="E185" s="276"/>
      <c r="F185" s="276"/>
      <c r="G185" s="117"/>
      <c r="H185" s="117"/>
      <c r="I185" s="279"/>
      <c r="J185" s="117"/>
      <c r="K185" s="117"/>
      <c r="L185" s="117"/>
      <c r="M185" s="117"/>
      <c r="N185" s="117"/>
      <c r="O185" s="117"/>
      <c r="P185" s="117"/>
      <c r="Q185" s="117"/>
      <c r="R185" s="117"/>
      <c r="S185" s="117"/>
      <c r="T185" s="126"/>
      <c r="W185" s="127"/>
      <c r="X185" s="127"/>
      <c r="Y185" s="127"/>
      <c r="Z185" s="127"/>
      <c r="AA185" s="127"/>
      <c r="AB185" s="127"/>
      <c r="AC185" s="127"/>
      <c r="AD185" s="127"/>
      <c r="AE185" s="117"/>
      <c r="AF185" s="117"/>
      <c r="AG185" s="117"/>
      <c r="AH185" s="117"/>
      <c r="AI185" s="117"/>
      <c r="AJ185" s="117"/>
      <c r="AK185" s="117"/>
      <c r="AL185" s="117"/>
    </row>
    <row r="186" spans="1:38" ht="15.75" customHeight="1">
      <c r="A186" s="117"/>
      <c r="B186" s="117"/>
      <c r="C186" s="117"/>
      <c r="D186" s="276"/>
      <c r="E186" s="276"/>
      <c r="F186" s="276"/>
      <c r="G186" s="117"/>
      <c r="H186" s="117"/>
      <c r="I186" s="279"/>
      <c r="J186" s="117"/>
      <c r="K186" s="117"/>
      <c r="L186" s="117"/>
      <c r="M186" s="117"/>
      <c r="N186" s="117"/>
      <c r="O186" s="117"/>
      <c r="P186" s="117"/>
      <c r="Q186" s="117"/>
      <c r="R186" s="117"/>
      <c r="S186" s="117"/>
      <c r="T186" s="126"/>
      <c r="W186" s="127"/>
      <c r="X186" s="127"/>
      <c r="Y186" s="127"/>
      <c r="Z186" s="127"/>
      <c r="AA186" s="127"/>
      <c r="AB186" s="127"/>
      <c r="AC186" s="127"/>
      <c r="AD186" s="127"/>
      <c r="AE186" s="117"/>
      <c r="AF186" s="117"/>
      <c r="AG186" s="117"/>
      <c r="AH186" s="117"/>
      <c r="AI186" s="117"/>
      <c r="AJ186" s="117"/>
      <c r="AK186" s="117"/>
      <c r="AL186" s="117"/>
    </row>
    <row r="187" spans="1:38" ht="15.75" customHeight="1">
      <c r="A187" s="117"/>
      <c r="B187" s="117"/>
      <c r="C187" s="117"/>
      <c r="D187" s="276"/>
      <c r="E187" s="276"/>
      <c r="F187" s="276"/>
      <c r="G187" s="117"/>
      <c r="H187" s="117"/>
      <c r="I187" s="279"/>
      <c r="J187" s="117"/>
      <c r="K187" s="117"/>
      <c r="L187" s="117"/>
      <c r="M187" s="117"/>
      <c r="N187" s="117"/>
      <c r="O187" s="117"/>
      <c r="P187" s="117"/>
      <c r="Q187" s="117"/>
      <c r="R187" s="117"/>
      <c r="S187" s="117"/>
      <c r="T187" s="126"/>
      <c r="W187" s="127"/>
      <c r="X187" s="127"/>
      <c r="Y187" s="127"/>
      <c r="Z187" s="127"/>
      <c r="AA187" s="127"/>
      <c r="AB187" s="127"/>
      <c r="AC187" s="127"/>
      <c r="AD187" s="127"/>
      <c r="AE187" s="117"/>
      <c r="AF187" s="117"/>
      <c r="AG187" s="117"/>
      <c r="AH187" s="117"/>
      <c r="AI187" s="117"/>
      <c r="AJ187" s="117"/>
      <c r="AK187" s="117"/>
      <c r="AL187" s="117"/>
    </row>
    <row r="188" spans="1:38" ht="15.75" customHeight="1">
      <c r="A188" s="117"/>
      <c r="B188" s="117"/>
      <c r="C188" s="117"/>
      <c r="D188" s="276"/>
      <c r="E188" s="276"/>
      <c r="F188" s="276"/>
      <c r="G188" s="117"/>
      <c r="H188" s="117"/>
      <c r="I188" s="279"/>
      <c r="J188" s="117"/>
      <c r="K188" s="117"/>
      <c r="L188" s="117"/>
      <c r="M188" s="117"/>
      <c r="N188" s="117"/>
      <c r="O188" s="117"/>
      <c r="P188" s="117"/>
      <c r="Q188" s="117"/>
      <c r="R188" s="117"/>
      <c r="S188" s="117"/>
      <c r="T188" s="126"/>
      <c r="W188" s="127"/>
      <c r="X188" s="127"/>
      <c r="Y188" s="127"/>
      <c r="Z188" s="127"/>
      <c r="AA188" s="127"/>
      <c r="AB188" s="127"/>
      <c r="AC188" s="127"/>
      <c r="AD188" s="127"/>
      <c r="AE188" s="117"/>
      <c r="AF188" s="117"/>
      <c r="AG188" s="117"/>
      <c r="AH188" s="117"/>
      <c r="AI188" s="117"/>
      <c r="AJ188" s="117"/>
      <c r="AK188" s="117"/>
      <c r="AL188" s="117"/>
    </row>
    <row r="189" spans="1:38" ht="15.75" customHeight="1">
      <c r="A189" s="117"/>
      <c r="B189" s="117"/>
      <c r="C189" s="117"/>
      <c r="D189" s="276"/>
      <c r="E189" s="276"/>
      <c r="F189" s="276"/>
      <c r="G189" s="117"/>
      <c r="H189" s="117"/>
      <c r="I189" s="279"/>
      <c r="J189" s="117"/>
      <c r="K189" s="117"/>
      <c r="L189" s="117"/>
      <c r="M189" s="117"/>
      <c r="N189" s="117"/>
      <c r="O189" s="117"/>
      <c r="P189" s="117"/>
      <c r="Q189" s="117"/>
      <c r="R189" s="117"/>
      <c r="S189" s="117"/>
      <c r="T189" s="126"/>
      <c r="W189" s="127"/>
      <c r="X189" s="127"/>
      <c r="Y189" s="127"/>
      <c r="Z189" s="127"/>
      <c r="AA189" s="127"/>
      <c r="AB189" s="127"/>
      <c r="AC189" s="127"/>
      <c r="AD189" s="127"/>
      <c r="AE189" s="117"/>
      <c r="AF189" s="117"/>
      <c r="AG189" s="117"/>
      <c r="AH189" s="117"/>
      <c r="AI189" s="117"/>
      <c r="AJ189" s="117"/>
      <c r="AK189" s="117"/>
      <c r="AL189" s="117"/>
    </row>
    <row r="190" spans="1:38" ht="15.75" customHeight="1">
      <c r="A190" s="117"/>
      <c r="B190" s="117"/>
      <c r="C190" s="117"/>
      <c r="D190" s="276"/>
      <c r="E190" s="276"/>
      <c r="F190" s="276"/>
      <c r="G190" s="117"/>
      <c r="H190" s="117"/>
      <c r="I190" s="279"/>
      <c r="J190" s="117"/>
      <c r="K190" s="117"/>
      <c r="L190" s="117"/>
      <c r="M190" s="117"/>
      <c r="N190" s="117"/>
      <c r="O190" s="117"/>
      <c r="P190" s="117"/>
      <c r="Q190" s="117"/>
      <c r="R190" s="117"/>
      <c r="S190" s="117"/>
      <c r="T190" s="126"/>
      <c r="W190" s="127"/>
      <c r="X190" s="127"/>
      <c r="Y190" s="127"/>
      <c r="Z190" s="127"/>
      <c r="AA190" s="127"/>
      <c r="AB190" s="127"/>
      <c r="AC190" s="127"/>
      <c r="AD190" s="127"/>
      <c r="AE190" s="117"/>
      <c r="AF190" s="117"/>
      <c r="AG190" s="117"/>
      <c r="AH190" s="117"/>
      <c r="AI190" s="117"/>
      <c r="AJ190" s="117"/>
      <c r="AK190" s="117"/>
      <c r="AL190" s="117"/>
    </row>
    <row r="191" spans="1:38" ht="15.75" customHeight="1">
      <c r="A191" s="117"/>
      <c r="B191" s="117"/>
      <c r="C191" s="117"/>
      <c r="D191" s="276"/>
      <c r="E191" s="276"/>
      <c r="F191" s="276"/>
      <c r="G191" s="117"/>
      <c r="H191" s="117"/>
      <c r="I191" s="279"/>
      <c r="J191" s="117"/>
      <c r="K191" s="117"/>
      <c r="L191" s="117"/>
      <c r="M191" s="117"/>
      <c r="N191" s="117"/>
      <c r="O191" s="117"/>
      <c r="P191" s="117"/>
      <c r="Q191" s="117"/>
      <c r="R191" s="117"/>
      <c r="S191" s="117"/>
      <c r="T191" s="126"/>
      <c r="W191" s="127"/>
      <c r="X191" s="127"/>
      <c r="Y191" s="127"/>
      <c r="Z191" s="127"/>
      <c r="AA191" s="127"/>
      <c r="AB191" s="127"/>
      <c r="AC191" s="127"/>
      <c r="AD191" s="127"/>
      <c r="AE191" s="117"/>
      <c r="AF191" s="117"/>
      <c r="AG191" s="117"/>
      <c r="AH191" s="117"/>
      <c r="AI191" s="117"/>
      <c r="AJ191" s="117"/>
      <c r="AK191" s="117"/>
      <c r="AL191" s="117"/>
    </row>
    <row r="192" spans="1:38" ht="15.75" customHeight="1">
      <c r="A192" s="117"/>
      <c r="B192" s="117"/>
      <c r="C192" s="117"/>
      <c r="D192" s="276"/>
      <c r="E192" s="276"/>
      <c r="F192" s="276"/>
      <c r="G192" s="117"/>
      <c r="H192" s="117"/>
      <c r="I192" s="279"/>
      <c r="J192" s="117"/>
      <c r="K192" s="117"/>
      <c r="L192" s="117"/>
      <c r="M192" s="117"/>
      <c r="N192" s="117"/>
      <c r="O192" s="117"/>
      <c r="P192" s="117"/>
      <c r="Q192" s="117"/>
      <c r="R192" s="117"/>
      <c r="S192" s="117"/>
      <c r="T192" s="126"/>
      <c r="W192" s="127"/>
      <c r="X192" s="127"/>
      <c r="Y192" s="127"/>
      <c r="Z192" s="127"/>
      <c r="AA192" s="127"/>
      <c r="AB192" s="127"/>
      <c r="AC192" s="127"/>
      <c r="AD192" s="127"/>
      <c r="AE192" s="117"/>
      <c r="AF192" s="117"/>
      <c r="AG192" s="117"/>
      <c r="AH192" s="117"/>
      <c r="AI192" s="117"/>
      <c r="AJ192" s="117"/>
      <c r="AK192" s="117"/>
      <c r="AL192" s="117"/>
    </row>
    <row r="193" spans="1:38" ht="15.75" customHeight="1">
      <c r="A193" s="117"/>
      <c r="B193" s="117"/>
      <c r="C193" s="117"/>
      <c r="D193" s="276"/>
      <c r="E193" s="276"/>
      <c r="F193" s="276"/>
      <c r="G193" s="117"/>
      <c r="H193" s="117"/>
      <c r="I193" s="279"/>
      <c r="J193" s="117"/>
      <c r="K193" s="117"/>
      <c r="L193" s="117"/>
      <c r="M193" s="117"/>
      <c r="N193" s="117"/>
      <c r="O193" s="117"/>
      <c r="P193" s="117"/>
      <c r="Q193" s="117"/>
      <c r="R193" s="117"/>
      <c r="S193" s="117"/>
      <c r="T193" s="126"/>
      <c r="W193" s="127"/>
      <c r="X193" s="127"/>
      <c r="Y193" s="127"/>
      <c r="Z193" s="127"/>
      <c r="AA193" s="127"/>
      <c r="AB193" s="127"/>
      <c r="AC193" s="127"/>
      <c r="AD193" s="127"/>
      <c r="AE193" s="117"/>
      <c r="AF193" s="117"/>
      <c r="AG193" s="117"/>
      <c r="AH193" s="117"/>
      <c r="AI193" s="117"/>
      <c r="AJ193" s="117"/>
      <c r="AK193" s="117"/>
      <c r="AL193" s="117"/>
    </row>
    <row r="194" spans="1:38" ht="15.75" customHeight="1">
      <c r="A194" s="117"/>
      <c r="B194" s="117"/>
      <c r="C194" s="117"/>
      <c r="D194" s="276"/>
      <c r="E194" s="276"/>
      <c r="F194" s="276"/>
      <c r="G194" s="117"/>
      <c r="H194" s="117"/>
      <c r="I194" s="279"/>
      <c r="J194" s="117"/>
      <c r="K194" s="117"/>
      <c r="L194" s="117"/>
      <c r="M194" s="117"/>
      <c r="N194" s="117"/>
      <c r="O194" s="117"/>
      <c r="P194" s="117"/>
      <c r="Q194" s="117"/>
      <c r="R194" s="117"/>
      <c r="S194" s="117"/>
      <c r="T194" s="126"/>
      <c r="W194" s="127"/>
      <c r="X194" s="127"/>
      <c r="Y194" s="127"/>
      <c r="Z194" s="127"/>
      <c r="AA194" s="127"/>
      <c r="AB194" s="127"/>
      <c r="AC194" s="127"/>
      <c r="AD194" s="127"/>
      <c r="AE194" s="117"/>
      <c r="AF194" s="117"/>
      <c r="AG194" s="117"/>
      <c r="AH194" s="117"/>
      <c r="AI194" s="117"/>
      <c r="AJ194" s="117"/>
      <c r="AK194" s="117"/>
      <c r="AL194" s="117"/>
    </row>
    <row r="195" spans="1:38" ht="15.75" customHeight="1">
      <c r="A195" s="117"/>
      <c r="B195" s="117"/>
      <c r="C195" s="117"/>
      <c r="D195" s="276"/>
      <c r="E195" s="276"/>
      <c r="F195" s="276"/>
      <c r="G195" s="117"/>
      <c r="H195" s="117"/>
      <c r="I195" s="279"/>
      <c r="J195" s="117"/>
      <c r="K195" s="117"/>
      <c r="L195" s="117"/>
      <c r="M195" s="117"/>
      <c r="N195" s="117"/>
      <c r="O195" s="117"/>
      <c r="P195" s="117"/>
      <c r="Q195" s="117"/>
      <c r="R195" s="117"/>
      <c r="S195" s="117"/>
      <c r="T195" s="126"/>
      <c r="W195" s="127"/>
      <c r="X195" s="127"/>
      <c r="Y195" s="127"/>
      <c r="Z195" s="127"/>
      <c r="AA195" s="127"/>
      <c r="AB195" s="127"/>
      <c r="AC195" s="127"/>
      <c r="AD195" s="127"/>
      <c r="AE195" s="117"/>
      <c r="AF195" s="117"/>
      <c r="AG195" s="117"/>
      <c r="AH195" s="117"/>
      <c r="AI195" s="117"/>
      <c r="AJ195" s="117"/>
      <c r="AK195" s="117"/>
      <c r="AL195" s="117"/>
    </row>
    <row r="196" spans="1:38" ht="15.75" customHeight="1">
      <c r="A196" s="117"/>
      <c r="B196" s="117"/>
      <c r="C196" s="117"/>
      <c r="D196" s="276"/>
      <c r="E196" s="276"/>
      <c r="F196" s="276"/>
      <c r="G196" s="117"/>
      <c r="H196" s="117"/>
      <c r="I196" s="279"/>
      <c r="J196" s="117"/>
      <c r="K196" s="117"/>
      <c r="L196" s="117"/>
      <c r="M196" s="117"/>
      <c r="N196" s="117"/>
      <c r="O196" s="117"/>
      <c r="P196" s="117"/>
      <c r="Q196" s="117"/>
      <c r="R196" s="117"/>
      <c r="S196" s="117"/>
      <c r="T196" s="126"/>
      <c r="W196" s="127"/>
      <c r="X196" s="127"/>
      <c r="Y196" s="127"/>
      <c r="Z196" s="127"/>
      <c r="AA196" s="127"/>
      <c r="AB196" s="127"/>
      <c r="AC196" s="127"/>
      <c r="AD196" s="127"/>
      <c r="AE196" s="117"/>
      <c r="AF196" s="117"/>
      <c r="AG196" s="117"/>
      <c r="AH196" s="117"/>
      <c r="AI196" s="117"/>
      <c r="AJ196" s="117"/>
      <c r="AK196" s="117"/>
      <c r="AL196" s="117"/>
    </row>
    <row r="197" spans="1:38" ht="15.75" customHeight="1">
      <c r="A197" s="117"/>
      <c r="B197" s="117"/>
      <c r="C197" s="117"/>
      <c r="D197" s="276"/>
      <c r="E197" s="276"/>
      <c r="F197" s="276"/>
      <c r="G197" s="117"/>
      <c r="H197" s="117"/>
      <c r="I197" s="279"/>
      <c r="J197" s="117"/>
      <c r="K197" s="117"/>
      <c r="L197" s="117"/>
      <c r="M197" s="117"/>
      <c r="N197" s="117"/>
      <c r="O197" s="117"/>
      <c r="P197" s="117"/>
      <c r="Q197" s="117"/>
      <c r="R197" s="117"/>
      <c r="S197" s="117"/>
      <c r="T197" s="126"/>
      <c r="W197" s="127"/>
      <c r="X197" s="127"/>
      <c r="Y197" s="127"/>
      <c r="Z197" s="127"/>
      <c r="AA197" s="127"/>
      <c r="AB197" s="127"/>
      <c r="AC197" s="127"/>
      <c r="AD197" s="127"/>
      <c r="AE197" s="117"/>
      <c r="AF197" s="117"/>
      <c r="AG197" s="117"/>
      <c r="AH197" s="117"/>
      <c r="AI197" s="117"/>
      <c r="AJ197" s="117"/>
      <c r="AK197" s="117"/>
      <c r="AL197" s="117"/>
    </row>
    <row r="198" spans="1:38" ht="15.75" customHeight="1">
      <c r="A198" s="117"/>
      <c r="B198" s="117"/>
      <c r="C198" s="117"/>
      <c r="D198" s="276"/>
      <c r="E198" s="276"/>
      <c r="F198" s="276"/>
      <c r="G198" s="117"/>
      <c r="H198" s="117"/>
      <c r="I198" s="279"/>
      <c r="J198" s="117"/>
      <c r="K198" s="117"/>
      <c r="L198" s="117"/>
      <c r="M198" s="117"/>
      <c r="N198" s="117"/>
      <c r="O198" s="117"/>
      <c r="P198" s="117"/>
      <c r="Q198" s="117"/>
      <c r="R198" s="117"/>
      <c r="S198" s="117"/>
      <c r="T198" s="126"/>
      <c r="W198" s="127"/>
      <c r="X198" s="127"/>
      <c r="Y198" s="127"/>
      <c r="Z198" s="127"/>
      <c r="AA198" s="127"/>
      <c r="AB198" s="127"/>
      <c r="AC198" s="127"/>
      <c r="AD198" s="127"/>
      <c r="AE198" s="117"/>
      <c r="AF198" s="117"/>
      <c r="AG198" s="117"/>
      <c r="AH198" s="117"/>
      <c r="AI198" s="117"/>
      <c r="AJ198" s="117"/>
      <c r="AK198" s="117"/>
      <c r="AL198" s="117"/>
    </row>
    <row r="199" spans="1:38" ht="15.75" customHeight="1">
      <c r="A199" s="117"/>
      <c r="B199" s="117"/>
      <c r="C199" s="117"/>
      <c r="D199" s="276"/>
      <c r="E199" s="276"/>
      <c r="F199" s="276"/>
      <c r="G199" s="117"/>
      <c r="H199" s="117"/>
      <c r="I199" s="279"/>
      <c r="J199" s="117"/>
      <c r="K199" s="117"/>
      <c r="L199" s="117"/>
      <c r="M199" s="117"/>
      <c r="N199" s="117"/>
      <c r="O199" s="117"/>
      <c r="P199" s="117"/>
      <c r="Q199" s="117"/>
      <c r="R199" s="117"/>
      <c r="S199" s="117"/>
      <c r="T199" s="126"/>
      <c r="W199" s="127"/>
      <c r="X199" s="127"/>
      <c r="Y199" s="127"/>
      <c r="Z199" s="127"/>
      <c r="AA199" s="127"/>
      <c r="AB199" s="127"/>
      <c r="AC199" s="127"/>
      <c r="AD199" s="127"/>
      <c r="AE199" s="117"/>
      <c r="AF199" s="117"/>
      <c r="AG199" s="117"/>
      <c r="AH199" s="117"/>
      <c r="AI199" s="117"/>
      <c r="AJ199" s="117"/>
      <c r="AK199" s="117"/>
      <c r="AL199" s="117"/>
    </row>
    <row r="200" spans="1:38" ht="15.75" customHeight="1">
      <c r="A200" s="117"/>
      <c r="B200" s="117"/>
      <c r="C200" s="117"/>
      <c r="D200" s="276"/>
      <c r="E200" s="276"/>
      <c r="F200" s="276"/>
      <c r="G200" s="117"/>
      <c r="H200" s="117"/>
      <c r="I200" s="279"/>
      <c r="J200" s="117"/>
      <c r="K200" s="117"/>
      <c r="L200" s="117"/>
      <c r="M200" s="117"/>
      <c r="N200" s="117"/>
      <c r="O200" s="117"/>
      <c r="P200" s="117"/>
      <c r="Q200" s="117"/>
      <c r="R200" s="117"/>
      <c r="S200" s="117"/>
      <c r="T200" s="126"/>
      <c r="W200" s="127"/>
      <c r="X200" s="127"/>
      <c r="Y200" s="127"/>
      <c r="Z200" s="127"/>
      <c r="AA200" s="127"/>
      <c r="AB200" s="127"/>
      <c r="AC200" s="127"/>
      <c r="AD200" s="127"/>
      <c r="AE200" s="117"/>
      <c r="AF200" s="117"/>
      <c r="AG200" s="117"/>
      <c r="AH200" s="117"/>
      <c r="AI200" s="117"/>
      <c r="AJ200" s="117"/>
      <c r="AK200" s="117"/>
      <c r="AL200" s="117"/>
    </row>
    <row r="201" spans="1:38" ht="15.75" customHeight="1">
      <c r="A201" s="117"/>
      <c r="B201" s="117"/>
      <c r="C201" s="117"/>
      <c r="D201" s="276"/>
      <c r="E201" s="276"/>
      <c r="F201" s="276"/>
      <c r="G201" s="117"/>
      <c r="H201" s="117"/>
      <c r="I201" s="279"/>
      <c r="J201" s="117"/>
      <c r="K201" s="117"/>
      <c r="L201" s="117"/>
      <c r="M201" s="117"/>
      <c r="N201" s="117"/>
      <c r="O201" s="117"/>
      <c r="P201" s="117"/>
      <c r="Q201" s="117"/>
      <c r="R201" s="117"/>
      <c r="S201" s="117"/>
      <c r="T201" s="126"/>
      <c r="W201" s="127"/>
      <c r="X201" s="127"/>
      <c r="Y201" s="127"/>
      <c r="Z201" s="127"/>
      <c r="AA201" s="127"/>
      <c r="AB201" s="127"/>
      <c r="AC201" s="127"/>
      <c r="AD201" s="127"/>
      <c r="AE201" s="117"/>
      <c r="AF201" s="117"/>
      <c r="AG201" s="117"/>
      <c r="AH201" s="117"/>
      <c r="AI201" s="117"/>
      <c r="AJ201" s="117"/>
      <c r="AK201" s="117"/>
      <c r="AL201" s="117"/>
    </row>
    <row r="202" spans="1:38" ht="15.75" customHeight="1">
      <c r="A202" s="117"/>
      <c r="B202" s="117"/>
      <c r="C202" s="117"/>
      <c r="D202" s="276"/>
      <c r="E202" s="276"/>
      <c r="F202" s="276"/>
      <c r="G202" s="117"/>
      <c r="H202" s="117"/>
      <c r="I202" s="279"/>
      <c r="J202" s="117"/>
      <c r="K202" s="117"/>
      <c r="L202" s="117"/>
      <c r="M202" s="117"/>
      <c r="N202" s="117"/>
      <c r="O202" s="117"/>
      <c r="P202" s="117"/>
      <c r="Q202" s="117"/>
      <c r="R202" s="117"/>
      <c r="S202" s="117"/>
      <c r="T202" s="126"/>
      <c r="W202" s="127"/>
      <c r="X202" s="127"/>
      <c r="Y202" s="127"/>
      <c r="Z202" s="127"/>
      <c r="AA202" s="127"/>
      <c r="AB202" s="127"/>
      <c r="AC202" s="127"/>
      <c r="AD202" s="127"/>
      <c r="AE202" s="117"/>
      <c r="AF202" s="117"/>
      <c r="AG202" s="117"/>
      <c r="AH202" s="117"/>
      <c r="AI202" s="117"/>
      <c r="AJ202" s="117"/>
      <c r="AK202" s="117"/>
      <c r="AL202" s="117"/>
    </row>
    <row r="203" spans="1:38" ht="15.75" customHeight="1">
      <c r="A203" s="117"/>
      <c r="B203" s="117"/>
      <c r="C203" s="117"/>
      <c r="D203" s="276"/>
      <c r="E203" s="276"/>
      <c r="F203" s="276"/>
      <c r="G203" s="117"/>
      <c r="H203" s="117"/>
      <c r="I203" s="279"/>
      <c r="J203" s="117"/>
      <c r="K203" s="117"/>
      <c r="L203" s="117"/>
      <c r="M203" s="117"/>
      <c r="N203" s="117"/>
      <c r="O203" s="117"/>
      <c r="P203" s="117"/>
      <c r="Q203" s="117"/>
      <c r="R203" s="117"/>
      <c r="S203" s="117"/>
      <c r="T203" s="126"/>
      <c r="W203" s="127"/>
      <c r="X203" s="127"/>
      <c r="Y203" s="127"/>
      <c r="Z203" s="127"/>
      <c r="AA203" s="127"/>
      <c r="AB203" s="127"/>
      <c r="AC203" s="127"/>
      <c r="AD203" s="127"/>
      <c r="AE203" s="117"/>
      <c r="AF203" s="117"/>
      <c r="AG203" s="117"/>
      <c r="AH203" s="117"/>
      <c r="AI203" s="117"/>
      <c r="AJ203" s="117"/>
      <c r="AK203" s="117"/>
      <c r="AL203" s="117"/>
    </row>
    <row r="204" spans="1:38" ht="15.75" customHeight="1">
      <c r="A204" s="117"/>
      <c r="B204" s="117"/>
      <c r="C204" s="117"/>
      <c r="D204" s="276"/>
      <c r="E204" s="276"/>
      <c r="F204" s="276"/>
      <c r="G204" s="117"/>
      <c r="H204" s="117"/>
      <c r="I204" s="279"/>
      <c r="J204" s="117"/>
      <c r="K204" s="117"/>
      <c r="L204" s="117"/>
      <c r="M204" s="117"/>
      <c r="N204" s="117"/>
      <c r="O204" s="117"/>
      <c r="P204" s="117"/>
      <c r="Q204" s="117"/>
      <c r="R204" s="117"/>
      <c r="S204" s="117"/>
      <c r="T204" s="126"/>
      <c r="W204" s="127"/>
      <c r="X204" s="127"/>
      <c r="Y204" s="127"/>
      <c r="Z204" s="127"/>
      <c r="AA204" s="127"/>
      <c r="AB204" s="127"/>
      <c r="AC204" s="127"/>
      <c r="AD204" s="127"/>
      <c r="AE204" s="117"/>
      <c r="AF204" s="117"/>
      <c r="AG204" s="117"/>
      <c r="AH204" s="117"/>
      <c r="AI204" s="117"/>
      <c r="AJ204" s="117"/>
      <c r="AK204" s="117"/>
      <c r="AL204" s="117"/>
    </row>
    <row r="205" spans="1:38" ht="15.75" customHeight="1">
      <c r="A205" s="117"/>
      <c r="B205" s="117"/>
      <c r="C205" s="117"/>
      <c r="D205" s="276"/>
      <c r="E205" s="276"/>
      <c r="F205" s="276"/>
      <c r="G205" s="117"/>
      <c r="H205" s="117"/>
      <c r="I205" s="279"/>
      <c r="J205" s="117"/>
      <c r="K205" s="117"/>
      <c r="L205" s="117"/>
      <c r="M205" s="117"/>
      <c r="N205" s="117"/>
      <c r="O205" s="117"/>
      <c r="P205" s="117"/>
      <c r="Q205" s="117"/>
      <c r="R205" s="117"/>
      <c r="S205" s="117"/>
      <c r="T205" s="126"/>
      <c r="W205" s="127"/>
      <c r="X205" s="127"/>
      <c r="Y205" s="127"/>
      <c r="Z205" s="127"/>
      <c r="AA205" s="127"/>
      <c r="AB205" s="127"/>
      <c r="AC205" s="127"/>
      <c r="AD205" s="127"/>
      <c r="AE205" s="117"/>
      <c r="AF205" s="117"/>
      <c r="AG205" s="117"/>
      <c r="AH205" s="117"/>
      <c r="AI205" s="117"/>
      <c r="AJ205" s="117"/>
      <c r="AK205" s="117"/>
      <c r="AL205" s="117"/>
    </row>
    <row r="206" spans="1:38" ht="15.75" customHeight="1">
      <c r="A206" s="117"/>
      <c r="B206" s="117"/>
      <c r="C206" s="117"/>
      <c r="D206" s="276"/>
      <c r="E206" s="276"/>
      <c r="F206" s="276"/>
      <c r="G206" s="117"/>
      <c r="H206" s="117"/>
      <c r="I206" s="279"/>
      <c r="J206" s="117"/>
      <c r="K206" s="117"/>
      <c r="L206" s="117"/>
      <c r="M206" s="117"/>
      <c r="N206" s="117"/>
      <c r="O206" s="117"/>
      <c r="P206" s="117"/>
      <c r="Q206" s="117"/>
      <c r="R206" s="117"/>
      <c r="S206" s="117"/>
      <c r="T206" s="126"/>
      <c r="W206" s="127"/>
      <c r="X206" s="127"/>
      <c r="Y206" s="127"/>
      <c r="Z206" s="127"/>
      <c r="AA206" s="127"/>
      <c r="AB206" s="127"/>
      <c r="AC206" s="127"/>
      <c r="AD206" s="127"/>
      <c r="AE206" s="117"/>
      <c r="AF206" s="117"/>
      <c r="AG206" s="117"/>
      <c r="AH206" s="117"/>
      <c r="AI206" s="117"/>
      <c r="AJ206" s="117"/>
      <c r="AK206" s="117"/>
      <c r="AL206" s="117"/>
    </row>
    <row r="207" spans="1:38" ht="15.75" customHeight="1">
      <c r="A207" s="117"/>
      <c r="B207" s="117"/>
      <c r="C207" s="117"/>
      <c r="D207" s="276"/>
      <c r="E207" s="276"/>
      <c r="F207" s="276"/>
      <c r="G207" s="117"/>
      <c r="H207" s="117"/>
      <c r="I207" s="279"/>
      <c r="J207" s="117"/>
      <c r="K207" s="117"/>
      <c r="L207" s="117"/>
      <c r="M207" s="117"/>
      <c r="N207" s="117"/>
      <c r="O207" s="117"/>
      <c r="P207" s="117"/>
      <c r="Q207" s="117"/>
      <c r="R207" s="117"/>
      <c r="S207" s="117"/>
      <c r="T207" s="126"/>
      <c r="W207" s="127"/>
      <c r="X207" s="127"/>
      <c r="Y207" s="127"/>
      <c r="Z207" s="127"/>
      <c r="AA207" s="127"/>
      <c r="AB207" s="127"/>
      <c r="AC207" s="127"/>
      <c r="AD207" s="127"/>
      <c r="AE207" s="117"/>
      <c r="AF207" s="117"/>
      <c r="AG207" s="117"/>
      <c r="AH207" s="117"/>
      <c r="AI207" s="117"/>
      <c r="AJ207" s="117"/>
      <c r="AK207" s="117"/>
      <c r="AL207" s="117"/>
    </row>
    <row r="208" spans="1:38" ht="15.75" customHeight="1">
      <c r="A208" s="117"/>
      <c r="B208" s="117"/>
      <c r="C208" s="117"/>
      <c r="D208" s="276"/>
      <c r="E208" s="276"/>
      <c r="F208" s="276"/>
      <c r="G208" s="117"/>
      <c r="H208" s="117"/>
      <c r="I208" s="279"/>
      <c r="J208" s="117"/>
      <c r="K208" s="117"/>
      <c r="L208" s="117"/>
      <c r="M208" s="117"/>
      <c r="N208" s="117"/>
      <c r="O208" s="117"/>
      <c r="P208" s="117"/>
      <c r="Q208" s="117"/>
      <c r="R208" s="117"/>
      <c r="S208" s="117"/>
      <c r="T208" s="126"/>
      <c r="W208" s="127"/>
      <c r="X208" s="127"/>
      <c r="Y208" s="127"/>
      <c r="Z208" s="127"/>
      <c r="AA208" s="127"/>
      <c r="AB208" s="127"/>
      <c r="AC208" s="127"/>
      <c r="AD208" s="127"/>
      <c r="AE208" s="117"/>
      <c r="AF208" s="117"/>
      <c r="AG208" s="117"/>
      <c r="AH208" s="117"/>
      <c r="AI208" s="117"/>
      <c r="AJ208" s="117"/>
      <c r="AK208" s="117"/>
      <c r="AL208" s="117"/>
    </row>
    <row r="209" spans="1:38" ht="15.75" customHeight="1">
      <c r="A209" s="117"/>
      <c r="B209" s="117"/>
      <c r="C209" s="117"/>
      <c r="D209" s="276"/>
      <c r="E209" s="276"/>
      <c r="F209" s="276"/>
      <c r="G209" s="117"/>
      <c r="H209" s="117"/>
      <c r="I209" s="279"/>
      <c r="J209" s="117"/>
      <c r="K209" s="117"/>
      <c r="L209" s="117"/>
      <c r="M209" s="117"/>
      <c r="N209" s="117"/>
      <c r="O209" s="117"/>
      <c r="P209" s="117"/>
      <c r="Q209" s="117"/>
      <c r="R209" s="117"/>
      <c r="S209" s="117"/>
      <c r="T209" s="126"/>
      <c r="W209" s="127"/>
      <c r="X209" s="127"/>
      <c r="Y209" s="127"/>
      <c r="Z209" s="127"/>
      <c r="AA209" s="127"/>
      <c r="AB209" s="127"/>
      <c r="AC209" s="127"/>
      <c r="AD209" s="127"/>
      <c r="AE209" s="117"/>
      <c r="AF209" s="117"/>
      <c r="AG209" s="117"/>
      <c r="AH209" s="117"/>
      <c r="AI209" s="117"/>
      <c r="AJ209" s="117"/>
      <c r="AK209" s="117"/>
      <c r="AL209" s="117"/>
    </row>
    <row r="210" spans="1:38" ht="15.75" customHeight="1">
      <c r="A210" s="117"/>
      <c r="B210" s="117"/>
      <c r="C210" s="117"/>
      <c r="D210" s="276"/>
      <c r="E210" s="276"/>
      <c r="F210" s="276"/>
      <c r="G210" s="117"/>
      <c r="H210" s="117"/>
      <c r="I210" s="279"/>
      <c r="J210" s="117"/>
      <c r="K210" s="117"/>
      <c r="L210" s="117"/>
      <c r="M210" s="117"/>
      <c r="N210" s="117"/>
      <c r="O210" s="117"/>
      <c r="P210" s="117"/>
      <c r="Q210" s="117"/>
      <c r="R210" s="117"/>
      <c r="S210" s="117"/>
      <c r="T210" s="126"/>
      <c r="W210" s="127"/>
      <c r="X210" s="127"/>
      <c r="Y210" s="127"/>
      <c r="Z210" s="127"/>
      <c r="AA210" s="127"/>
      <c r="AB210" s="127"/>
      <c r="AC210" s="127"/>
      <c r="AD210" s="127"/>
      <c r="AE210" s="117"/>
      <c r="AF210" s="117"/>
      <c r="AG210" s="117"/>
      <c r="AH210" s="117"/>
      <c r="AI210" s="117"/>
      <c r="AJ210" s="117"/>
      <c r="AK210" s="117"/>
      <c r="AL210" s="117"/>
    </row>
    <row r="211" spans="1:38" ht="15.75" customHeight="1">
      <c r="A211" s="117"/>
      <c r="B211" s="117"/>
      <c r="C211" s="117"/>
      <c r="D211" s="276"/>
      <c r="E211" s="276"/>
      <c r="F211" s="276"/>
      <c r="G211" s="117"/>
      <c r="H211" s="117"/>
      <c r="I211" s="279"/>
      <c r="J211" s="117"/>
      <c r="K211" s="117"/>
      <c r="L211" s="117"/>
      <c r="M211" s="117"/>
      <c r="N211" s="117"/>
      <c r="O211" s="117"/>
      <c r="P211" s="117"/>
      <c r="Q211" s="117"/>
      <c r="R211" s="117"/>
      <c r="S211" s="117"/>
      <c r="T211" s="126"/>
      <c r="W211" s="127"/>
      <c r="X211" s="127"/>
      <c r="Y211" s="127"/>
      <c r="Z211" s="127"/>
      <c r="AA211" s="127"/>
      <c r="AB211" s="127"/>
      <c r="AC211" s="127"/>
      <c r="AD211" s="127"/>
      <c r="AE211" s="117"/>
      <c r="AF211" s="117"/>
      <c r="AG211" s="117"/>
      <c r="AH211" s="117"/>
      <c r="AI211" s="117"/>
      <c r="AJ211" s="117"/>
      <c r="AK211" s="117"/>
      <c r="AL211" s="117"/>
    </row>
    <row r="212" spans="1:38" ht="15.75" customHeight="1">
      <c r="A212" s="117"/>
      <c r="B212" s="117"/>
      <c r="C212" s="117"/>
      <c r="D212" s="276"/>
      <c r="E212" s="276"/>
      <c r="F212" s="276"/>
      <c r="G212" s="117"/>
      <c r="H212" s="117"/>
      <c r="I212" s="279"/>
      <c r="J212" s="117"/>
      <c r="K212" s="117"/>
      <c r="L212" s="117"/>
      <c r="M212" s="117"/>
      <c r="N212" s="117"/>
      <c r="O212" s="117"/>
      <c r="P212" s="117"/>
      <c r="Q212" s="117"/>
      <c r="R212" s="117"/>
      <c r="S212" s="117"/>
      <c r="T212" s="126"/>
      <c r="W212" s="127"/>
      <c r="X212" s="127"/>
      <c r="Y212" s="127"/>
      <c r="Z212" s="127"/>
      <c r="AA212" s="127"/>
      <c r="AB212" s="127"/>
      <c r="AC212" s="127"/>
      <c r="AD212" s="127"/>
      <c r="AE212" s="117"/>
      <c r="AF212" s="117"/>
      <c r="AG212" s="117"/>
      <c r="AH212" s="117"/>
      <c r="AI212" s="117"/>
      <c r="AJ212" s="117"/>
      <c r="AK212" s="117"/>
      <c r="AL212" s="117"/>
    </row>
    <row r="213" spans="1:38" ht="15.75" customHeight="1">
      <c r="A213" s="117"/>
      <c r="B213" s="117"/>
      <c r="C213" s="117"/>
      <c r="D213" s="276"/>
      <c r="E213" s="276"/>
      <c r="F213" s="276"/>
      <c r="G213" s="117"/>
      <c r="H213" s="117"/>
      <c r="I213" s="279"/>
      <c r="J213" s="117"/>
      <c r="K213" s="117"/>
      <c r="L213" s="117"/>
      <c r="M213" s="117"/>
      <c r="N213" s="117"/>
      <c r="O213" s="117"/>
      <c r="P213" s="117"/>
      <c r="Q213" s="117"/>
      <c r="R213" s="117"/>
      <c r="S213" s="117"/>
      <c r="T213" s="126"/>
      <c r="W213" s="127"/>
      <c r="X213" s="127"/>
      <c r="Y213" s="127"/>
      <c r="Z213" s="127"/>
      <c r="AA213" s="127"/>
      <c r="AB213" s="127"/>
      <c r="AC213" s="127"/>
      <c r="AD213" s="127"/>
      <c r="AE213" s="117"/>
      <c r="AF213" s="117"/>
      <c r="AG213" s="117"/>
      <c r="AH213" s="117"/>
      <c r="AI213" s="117"/>
      <c r="AJ213" s="117"/>
      <c r="AK213" s="117"/>
      <c r="AL213" s="117"/>
    </row>
    <row r="214" spans="1:38" ht="15.75" customHeight="1">
      <c r="A214" s="117"/>
      <c r="B214" s="117"/>
      <c r="C214" s="117"/>
      <c r="D214" s="276"/>
      <c r="E214" s="276"/>
      <c r="F214" s="276"/>
      <c r="G214" s="117"/>
      <c r="H214" s="117"/>
      <c r="I214" s="279"/>
      <c r="J214" s="117"/>
      <c r="K214" s="117"/>
      <c r="L214" s="117"/>
      <c r="M214" s="117"/>
      <c r="N214" s="117"/>
      <c r="O214" s="117"/>
      <c r="P214" s="117"/>
      <c r="Q214" s="117"/>
      <c r="R214" s="117"/>
      <c r="S214" s="117"/>
      <c r="T214" s="126"/>
      <c r="W214" s="127"/>
      <c r="X214" s="127"/>
      <c r="Y214" s="127"/>
      <c r="Z214" s="127"/>
      <c r="AA214" s="127"/>
      <c r="AB214" s="127"/>
      <c r="AC214" s="127"/>
      <c r="AD214" s="127"/>
      <c r="AE214" s="117"/>
      <c r="AF214" s="117"/>
      <c r="AG214" s="117"/>
      <c r="AH214" s="117"/>
      <c r="AI214" s="117"/>
      <c r="AJ214" s="117"/>
      <c r="AK214" s="117"/>
      <c r="AL214" s="117"/>
    </row>
    <row r="215" spans="1:38" ht="15.75" customHeight="1">
      <c r="A215" s="117"/>
      <c r="B215" s="117"/>
      <c r="C215" s="117"/>
      <c r="D215" s="276"/>
      <c r="E215" s="276"/>
      <c r="F215" s="276"/>
      <c r="G215" s="117"/>
      <c r="H215" s="117"/>
      <c r="I215" s="279"/>
      <c r="J215" s="117"/>
      <c r="K215" s="117"/>
      <c r="L215" s="117"/>
      <c r="M215" s="117"/>
      <c r="N215" s="117"/>
      <c r="O215" s="117"/>
      <c r="P215" s="117"/>
      <c r="Q215" s="117"/>
      <c r="R215" s="117"/>
      <c r="S215" s="117"/>
      <c r="T215" s="126"/>
      <c r="W215" s="127"/>
      <c r="X215" s="127"/>
      <c r="Y215" s="127"/>
      <c r="Z215" s="127"/>
      <c r="AA215" s="127"/>
      <c r="AB215" s="127"/>
      <c r="AC215" s="127"/>
      <c r="AD215" s="127"/>
      <c r="AE215" s="117"/>
      <c r="AF215" s="117"/>
      <c r="AG215" s="117"/>
      <c r="AH215" s="117"/>
      <c r="AI215" s="117"/>
      <c r="AJ215" s="117"/>
      <c r="AK215" s="117"/>
      <c r="AL215" s="117"/>
    </row>
    <row r="216" spans="1:38" ht="15.75" customHeight="1">
      <c r="A216" s="117"/>
      <c r="B216" s="117"/>
      <c r="C216" s="117"/>
      <c r="D216" s="276"/>
      <c r="E216" s="276"/>
      <c r="F216" s="276"/>
      <c r="G216" s="117"/>
      <c r="H216" s="117"/>
      <c r="I216" s="279"/>
      <c r="J216" s="117"/>
      <c r="K216" s="117"/>
      <c r="L216" s="117"/>
      <c r="M216" s="117"/>
      <c r="N216" s="117"/>
      <c r="O216" s="117"/>
      <c r="P216" s="117"/>
      <c r="Q216" s="117"/>
      <c r="R216" s="117"/>
      <c r="S216" s="117"/>
      <c r="T216" s="126"/>
      <c r="W216" s="127"/>
      <c r="X216" s="127"/>
      <c r="Y216" s="127"/>
      <c r="Z216" s="127"/>
      <c r="AA216" s="127"/>
      <c r="AB216" s="127"/>
      <c r="AC216" s="127"/>
      <c r="AD216" s="127"/>
      <c r="AE216" s="117"/>
      <c r="AF216" s="117"/>
      <c r="AG216" s="117"/>
      <c r="AH216" s="117"/>
      <c r="AI216" s="117"/>
      <c r="AJ216" s="117"/>
      <c r="AK216" s="117"/>
      <c r="AL216" s="117"/>
    </row>
    <row r="217" spans="1:38" ht="15.75" customHeight="1">
      <c r="A217" s="117"/>
      <c r="B217" s="117"/>
      <c r="C217" s="117"/>
      <c r="D217" s="276"/>
      <c r="E217" s="276"/>
      <c r="F217" s="276"/>
      <c r="G217" s="117"/>
      <c r="H217" s="117"/>
      <c r="I217" s="279"/>
      <c r="J217" s="117"/>
      <c r="K217" s="117"/>
      <c r="L217" s="117"/>
      <c r="M217" s="117"/>
      <c r="N217" s="117"/>
      <c r="O217" s="117"/>
      <c r="P217" s="117"/>
      <c r="Q217" s="117"/>
      <c r="R217" s="117"/>
      <c r="S217" s="117"/>
      <c r="T217" s="126"/>
      <c r="W217" s="127"/>
      <c r="X217" s="127"/>
      <c r="Y217" s="127"/>
      <c r="Z217" s="127"/>
      <c r="AA217" s="127"/>
      <c r="AB217" s="127"/>
      <c r="AC217" s="127"/>
      <c r="AD217" s="127"/>
      <c r="AE217" s="117"/>
      <c r="AF217" s="117"/>
      <c r="AG217" s="117"/>
      <c r="AH217" s="117"/>
      <c r="AI217" s="117"/>
      <c r="AJ217" s="117"/>
      <c r="AK217" s="117"/>
      <c r="AL217" s="117"/>
    </row>
    <row r="218" spans="1:38" ht="15.75" customHeight="1">
      <c r="A218" s="117"/>
      <c r="B218" s="117"/>
      <c r="C218" s="117"/>
      <c r="D218" s="276"/>
      <c r="E218" s="276"/>
      <c r="F218" s="276"/>
      <c r="G218" s="117"/>
      <c r="H218" s="117"/>
      <c r="I218" s="279"/>
      <c r="J218" s="117"/>
      <c r="K218" s="117"/>
      <c r="L218" s="117"/>
      <c r="M218" s="117"/>
      <c r="N218" s="117"/>
      <c r="O218" s="117"/>
      <c r="P218" s="117"/>
      <c r="Q218" s="117"/>
      <c r="R218" s="117"/>
      <c r="S218" s="117"/>
      <c r="T218" s="126"/>
      <c r="W218" s="127"/>
      <c r="X218" s="127"/>
      <c r="Y218" s="127"/>
      <c r="Z218" s="127"/>
      <c r="AA218" s="127"/>
      <c r="AB218" s="127"/>
      <c r="AC218" s="127"/>
      <c r="AD218" s="127"/>
      <c r="AE218" s="117"/>
      <c r="AF218" s="117"/>
      <c r="AG218" s="117"/>
      <c r="AH218" s="117"/>
      <c r="AI218" s="117"/>
      <c r="AJ218" s="117"/>
      <c r="AK218" s="117"/>
      <c r="AL218" s="117"/>
    </row>
    <row r="219" spans="1:38" ht="15.75" customHeight="1">
      <c r="A219" s="117"/>
      <c r="B219" s="117"/>
      <c r="C219" s="117"/>
      <c r="D219" s="276"/>
      <c r="E219" s="276"/>
      <c r="F219" s="276"/>
      <c r="G219" s="117"/>
      <c r="H219" s="117"/>
      <c r="I219" s="279"/>
      <c r="J219" s="117"/>
      <c r="K219" s="117"/>
      <c r="L219" s="117"/>
      <c r="M219" s="117"/>
      <c r="N219" s="117"/>
      <c r="O219" s="117"/>
      <c r="P219" s="117"/>
      <c r="Q219" s="117"/>
      <c r="R219" s="117"/>
      <c r="S219" s="117"/>
      <c r="T219" s="126"/>
      <c r="W219" s="127"/>
      <c r="X219" s="127"/>
      <c r="Y219" s="127"/>
      <c r="Z219" s="127"/>
      <c r="AA219" s="127"/>
      <c r="AB219" s="127"/>
      <c r="AC219" s="127"/>
      <c r="AD219" s="127"/>
      <c r="AE219" s="117"/>
      <c r="AF219" s="117"/>
      <c r="AG219" s="117"/>
      <c r="AH219" s="117"/>
      <c r="AI219" s="117"/>
      <c r="AJ219" s="117"/>
      <c r="AK219" s="117"/>
      <c r="AL219" s="117"/>
    </row>
    <row r="220" spans="1:38" ht="15.75" customHeight="1">
      <c r="A220" s="117"/>
      <c r="B220" s="117"/>
      <c r="C220" s="117"/>
      <c r="D220" s="276"/>
      <c r="E220" s="276"/>
      <c r="F220" s="276"/>
      <c r="G220" s="117"/>
      <c r="H220" s="117"/>
      <c r="I220" s="279"/>
      <c r="J220" s="117"/>
      <c r="K220" s="117"/>
      <c r="L220" s="117"/>
      <c r="M220" s="117"/>
      <c r="N220" s="117"/>
      <c r="O220" s="117"/>
      <c r="P220" s="117"/>
      <c r="Q220" s="117"/>
      <c r="R220" s="117"/>
      <c r="S220" s="117"/>
      <c r="T220" s="126"/>
      <c r="W220" s="127"/>
      <c r="X220" s="127"/>
      <c r="Y220" s="127"/>
      <c r="Z220" s="127"/>
      <c r="AA220" s="127"/>
      <c r="AB220" s="127"/>
      <c r="AC220" s="127"/>
      <c r="AD220" s="127"/>
      <c r="AE220" s="117"/>
      <c r="AF220" s="117"/>
      <c r="AG220" s="117"/>
      <c r="AH220" s="117"/>
      <c r="AI220" s="117"/>
      <c r="AJ220" s="117"/>
      <c r="AK220" s="117"/>
      <c r="AL220" s="117"/>
    </row>
    <row r="221" spans="1:38" ht="15.75" customHeight="1">
      <c r="A221" s="117"/>
      <c r="B221" s="117"/>
      <c r="C221" s="117"/>
      <c r="D221" s="276"/>
      <c r="E221" s="276"/>
      <c r="F221" s="276"/>
      <c r="G221" s="117"/>
      <c r="H221" s="117"/>
      <c r="I221" s="279"/>
      <c r="J221" s="117"/>
      <c r="K221" s="117"/>
      <c r="L221" s="117"/>
      <c r="M221" s="117"/>
      <c r="N221" s="117"/>
      <c r="O221" s="117"/>
      <c r="P221" s="117"/>
      <c r="Q221" s="117"/>
      <c r="R221" s="117"/>
      <c r="S221" s="117"/>
      <c r="T221" s="126"/>
      <c r="W221" s="127"/>
      <c r="X221" s="127"/>
      <c r="Y221" s="127"/>
      <c r="Z221" s="127"/>
      <c r="AA221" s="127"/>
      <c r="AB221" s="127"/>
      <c r="AC221" s="127"/>
      <c r="AD221" s="127"/>
      <c r="AE221" s="117"/>
      <c r="AF221" s="117"/>
      <c r="AG221" s="117"/>
      <c r="AH221" s="117"/>
      <c r="AI221" s="117"/>
      <c r="AJ221" s="117"/>
      <c r="AK221" s="117"/>
      <c r="AL221" s="117"/>
    </row>
    <row r="222" spans="1:38" ht="15.75" customHeight="1">
      <c r="A222" s="117"/>
      <c r="B222" s="117"/>
      <c r="C222" s="117"/>
      <c r="D222" s="276"/>
      <c r="E222" s="276"/>
      <c r="F222" s="276"/>
      <c r="G222" s="117"/>
      <c r="H222" s="117"/>
      <c r="I222" s="279"/>
      <c r="J222" s="117"/>
      <c r="K222" s="117"/>
      <c r="L222" s="117"/>
      <c r="M222" s="117"/>
      <c r="N222" s="117"/>
      <c r="O222" s="117"/>
      <c r="P222" s="117"/>
      <c r="Q222" s="117"/>
      <c r="R222" s="117"/>
      <c r="S222" s="117"/>
      <c r="T222" s="126"/>
      <c r="W222" s="127"/>
      <c r="X222" s="127"/>
      <c r="Y222" s="127"/>
      <c r="Z222" s="127"/>
      <c r="AA222" s="127"/>
      <c r="AB222" s="127"/>
      <c r="AC222" s="127"/>
      <c r="AD222" s="127"/>
      <c r="AE222" s="117"/>
      <c r="AF222" s="117"/>
      <c r="AG222" s="117"/>
      <c r="AH222" s="117"/>
      <c r="AI222" s="117"/>
      <c r="AJ222" s="117"/>
      <c r="AK222" s="117"/>
      <c r="AL222" s="117"/>
    </row>
    <row r="223" spans="1:38" ht="15.75" customHeight="1">
      <c r="A223" s="117"/>
      <c r="B223" s="117"/>
      <c r="C223" s="117"/>
      <c r="D223" s="276"/>
      <c r="E223" s="276"/>
      <c r="F223" s="276"/>
      <c r="G223" s="117"/>
      <c r="H223" s="117"/>
      <c r="I223" s="279"/>
      <c r="J223" s="117"/>
      <c r="K223" s="117"/>
      <c r="L223" s="117"/>
      <c r="M223" s="117"/>
      <c r="N223" s="117"/>
      <c r="O223" s="117"/>
      <c r="P223" s="117"/>
      <c r="Q223" s="117"/>
      <c r="R223" s="117"/>
      <c r="S223" s="117"/>
      <c r="T223" s="126"/>
      <c r="W223" s="127"/>
      <c r="X223" s="127"/>
      <c r="Y223" s="127"/>
      <c r="Z223" s="127"/>
      <c r="AA223" s="127"/>
      <c r="AB223" s="127"/>
      <c r="AC223" s="127"/>
      <c r="AD223" s="127"/>
      <c r="AE223" s="117"/>
      <c r="AF223" s="117"/>
      <c r="AG223" s="117"/>
      <c r="AH223" s="117"/>
      <c r="AI223" s="117"/>
      <c r="AJ223" s="117"/>
      <c r="AK223" s="117"/>
      <c r="AL223" s="117"/>
    </row>
    <row r="224" spans="1:38" ht="15.75" customHeight="1">
      <c r="A224" s="117"/>
      <c r="B224" s="117"/>
      <c r="C224" s="117"/>
      <c r="D224" s="276"/>
      <c r="E224" s="276"/>
      <c r="F224" s="276"/>
      <c r="G224" s="117"/>
      <c r="H224" s="117"/>
      <c r="I224" s="279"/>
      <c r="J224" s="117"/>
      <c r="K224" s="117"/>
      <c r="L224" s="117"/>
      <c r="M224" s="117"/>
      <c r="N224" s="117"/>
      <c r="O224" s="117"/>
      <c r="P224" s="117"/>
      <c r="Q224" s="117"/>
      <c r="R224" s="117"/>
      <c r="S224" s="117"/>
      <c r="T224" s="126"/>
      <c r="W224" s="127"/>
      <c r="X224" s="127"/>
      <c r="Y224" s="127"/>
      <c r="Z224" s="127"/>
      <c r="AA224" s="127"/>
      <c r="AB224" s="127"/>
      <c r="AC224" s="127"/>
      <c r="AD224" s="127"/>
      <c r="AE224" s="117"/>
      <c r="AF224" s="117"/>
      <c r="AG224" s="117"/>
      <c r="AH224" s="117"/>
      <c r="AI224" s="117"/>
      <c r="AJ224" s="117"/>
      <c r="AK224" s="117"/>
      <c r="AL224" s="117"/>
    </row>
    <row r="225" spans="1:38" ht="15.75" customHeight="1">
      <c r="A225" s="117"/>
      <c r="B225" s="117"/>
      <c r="C225" s="117"/>
      <c r="D225" s="276"/>
      <c r="E225" s="276"/>
      <c r="F225" s="276"/>
      <c r="G225" s="117"/>
      <c r="H225" s="117"/>
      <c r="I225" s="279"/>
      <c r="J225" s="117"/>
      <c r="K225" s="117"/>
      <c r="L225" s="117"/>
      <c r="M225" s="117"/>
      <c r="N225" s="117"/>
      <c r="O225" s="117"/>
      <c r="P225" s="117"/>
      <c r="Q225" s="117"/>
      <c r="R225" s="117"/>
      <c r="S225" s="117"/>
      <c r="T225" s="126"/>
      <c r="W225" s="127"/>
      <c r="X225" s="127"/>
      <c r="Y225" s="127"/>
      <c r="Z225" s="127"/>
      <c r="AA225" s="127"/>
      <c r="AB225" s="127"/>
      <c r="AC225" s="127"/>
      <c r="AD225" s="127"/>
      <c r="AE225" s="117"/>
      <c r="AF225" s="117"/>
      <c r="AG225" s="117"/>
      <c r="AH225" s="117"/>
      <c r="AI225" s="117"/>
      <c r="AJ225" s="117"/>
      <c r="AK225" s="117"/>
      <c r="AL225" s="117"/>
    </row>
    <row r="226" spans="1:38" ht="15.75" customHeight="1">
      <c r="A226" s="117"/>
      <c r="B226" s="117"/>
      <c r="C226" s="117"/>
      <c r="D226" s="276"/>
      <c r="E226" s="276"/>
      <c r="F226" s="276"/>
      <c r="G226" s="117"/>
      <c r="H226" s="117"/>
      <c r="I226" s="279"/>
      <c r="J226" s="117"/>
      <c r="K226" s="117"/>
      <c r="L226" s="117"/>
      <c r="M226" s="117"/>
      <c r="N226" s="117"/>
      <c r="O226" s="117"/>
      <c r="P226" s="117"/>
      <c r="Q226" s="117"/>
      <c r="R226" s="117"/>
      <c r="S226" s="117"/>
      <c r="T226" s="126"/>
      <c r="W226" s="127"/>
      <c r="X226" s="127"/>
      <c r="Y226" s="127"/>
      <c r="Z226" s="127"/>
      <c r="AA226" s="127"/>
      <c r="AB226" s="127"/>
      <c r="AC226" s="127"/>
      <c r="AD226" s="127"/>
      <c r="AE226" s="117"/>
      <c r="AF226" s="117"/>
      <c r="AG226" s="117"/>
      <c r="AH226" s="117"/>
      <c r="AI226" s="117"/>
      <c r="AJ226" s="117"/>
      <c r="AK226" s="117"/>
      <c r="AL226" s="117"/>
    </row>
    <row r="227" spans="1:38" ht="15.75" customHeight="1">
      <c r="A227" s="117"/>
      <c r="B227" s="117"/>
      <c r="C227" s="117"/>
      <c r="D227" s="276"/>
      <c r="E227" s="276"/>
      <c r="F227" s="276"/>
      <c r="G227" s="117"/>
      <c r="H227" s="117"/>
      <c r="I227" s="279"/>
      <c r="J227" s="117"/>
      <c r="K227" s="117"/>
      <c r="L227" s="117"/>
      <c r="M227" s="117"/>
      <c r="N227" s="117"/>
      <c r="O227" s="117"/>
      <c r="P227" s="117"/>
      <c r="Q227" s="117"/>
      <c r="R227" s="117"/>
      <c r="S227" s="117"/>
      <c r="T227" s="126"/>
      <c r="W227" s="127"/>
      <c r="X227" s="127"/>
      <c r="Y227" s="127"/>
      <c r="Z227" s="127"/>
      <c r="AA227" s="127"/>
      <c r="AB227" s="127"/>
      <c r="AC227" s="127"/>
      <c r="AD227" s="127"/>
      <c r="AE227" s="117"/>
      <c r="AF227" s="117"/>
      <c r="AG227" s="117"/>
      <c r="AH227" s="117"/>
      <c r="AI227" s="117"/>
      <c r="AJ227" s="117"/>
      <c r="AK227" s="117"/>
      <c r="AL227" s="117"/>
    </row>
    <row r="228" spans="1:38" ht="15.75" customHeight="1">
      <c r="A228" s="117"/>
      <c r="B228" s="117"/>
      <c r="C228" s="117"/>
      <c r="D228" s="276"/>
      <c r="E228" s="276"/>
      <c r="F228" s="276"/>
      <c r="G228" s="117"/>
      <c r="H228" s="117"/>
      <c r="I228" s="279"/>
      <c r="J228" s="117"/>
      <c r="K228" s="117"/>
      <c r="L228" s="117"/>
      <c r="M228" s="117"/>
      <c r="N228" s="117"/>
      <c r="O228" s="117"/>
      <c r="P228" s="117"/>
      <c r="Q228" s="117"/>
      <c r="R228" s="117"/>
      <c r="S228" s="117"/>
      <c r="T228" s="126"/>
      <c r="W228" s="127"/>
      <c r="X228" s="127"/>
      <c r="Y228" s="127"/>
      <c r="Z228" s="127"/>
      <c r="AA228" s="127"/>
      <c r="AB228" s="127"/>
      <c r="AC228" s="127"/>
      <c r="AD228" s="127"/>
      <c r="AE228" s="117"/>
      <c r="AF228" s="117"/>
      <c r="AG228" s="117"/>
      <c r="AH228" s="117"/>
      <c r="AI228" s="117"/>
      <c r="AJ228" s="117"/>
      <c r="AK228" s="117"/>
      <c r="AL228" s="117"/>
    </row>
    <row r="229" spans="1:38" ht="15.75" customHeight="1">
      <c r="A229" s="117"/>
      <c r="B229" s="117"/>
      <c r="C229" s="117"/>
      <c r="D229" s="276"/>
      <c r="E229" s="276"/>
      <c r="F229" s="276"/>
      <c r="G229" s="117"/>
      <c r="H229" s="117"/>
      <c r="I229" s="279"/>
      <c r="J229" s="117"/>
      <c r="K229" s="117"/>
      <c r="L229" s="117"/>
      <c r="M229" s="117"/>
      <c r="N229" s="117"/>
      <c r="O229" s="117"/>
      <c r="P229" s="117"/>
      <c r="Q229" s="117"/>
      <c r="R229" s="117"/>
      <c r="S229" s="117"/>
      <c r="T229" s="126"/>
      <c r="W229" s="127"/>
      <c r="X229" s="127"/>
      <c r="Y229" s="127"/>
      <c r="Z229" s="127"/>
      <c r="AA229" s="127"/>
      <c r="AB229" s="127"/>
      <c r="AC229" s="127"/>
      <c r="AD229" s="127"/>
      <c r="AE229" s="117"/>
      <c r="AF229" s="117"/>
      <c r="AG229" s="117"/>
      <c r="AH229" s="117"/>
      <c r="AI229" s="117"/>
      <c r="AJ229" s="117"/>
      <c r="AK229" s="117"/>
      <c r="AL229" s="117"/>
    </row>
    <row r="230" spans="1:38" ht="15.75" customHeight="1">
      <c r="A230" s="117"/>
      <c r="B230" s="117"/>
      <c r="C230" s="117"/>
      <c r="D230" s="276"/>
      <c r="E230" s="276"/>
      <c r="F230" s="276"/>
      <c r="G230" s="117"/>
      <c r="H230" s="117"/>
      <c r="I230" s="279"/>
      <c r="J230" s="117"/>
      <c r="K230" s="117"/>
      <c r="L230" s="117"/>
      <c r="M230" s="117"/>
      <c r="N230" s="117"/>
      <c r="O230" s="117"/>
      <c r="P230" s="117"/>
      <c r="Q230" s="117"/>
      <c r="R230" s="117"/>
      <c r="S230" s="117"/>
      <c r="T230" s="126"/>
      <c r="W230" s="127"/>
      <c r="X230" s="127"/>
      <c r="Y230" s="127"/>
      <c r="Z230" s="127"/>
      <c r="AA230" s="127"/>
      <c r="AB230" s="127"/>
      <c r="AC230" s="127"/>
      <c r="AD230" s="127"/>
      <c r="AE230" s="117"/>
      <c r="AF230" s="117"/>
      <c r="AG230" s="117"/>
      <c r="AH230" s="117"/>
      <c r="AI230" s="117"/>
      <c r="AJ230" s="117"/>
      <c r="AK230" s="117"/>
      <c r="AL230" s="117"/>
    </row>
    <row r="231" spans="1:38" ht="15.75" customHeight="1">
      <c r="A231" s="117"/>
      <c r="B231" s="117"/>
      <c r="C231" s="117"/>
      <c r="D231" s="276"/>
      <c r="E231" s="276"/>
      <c r="F231" s="276"/>
      <c r="G231" s="117"/>
      <c r="H231" s="117"/>
      <c r="I231" s="279"/>
      <c r="J231" s="117"/>
      <c r="K231" s="117"/>
      <c r="L231" s="117"/>
      <c r="M231" s="117"/>
      <c r="N231" s="117"/>
      <c r="O231" s="117"/>
      <c r="P231" s="117"/>
      <c r="Q231" s="117"/>
      <c r="R231" s="117"/>
      <c r="S231" s="117"/>
      <c r="T231" s="126"/>
      <c r="W231" s="127"/>
      <c r="X231" s="127"/>
      <c r="Y231" s="127"/>
      <c r="Z231" s="127"/>
      <c r="AA231" s="127"/>
      <c r="AB231" s="127"/>
      <c r="AC231" s="127"/>
      <c r="AD231" s="127"/>
      <c r="AE231" s="117"/>
      <c r="AF231" s="117"/>
      <c r="AG231" s="117"/>
      <c r="AH231" s="117"/>
      <c r="AI231" s="117"/>
      <c r="AJ231" s="117"/>
      <c r="AK231" s="117"/>
      <c r="AL231" s="117"/>
    </row>
    <row r="232" spans="1:38" ht="15.75" customHeight="1">
      <c r="A232" s="117"/>
      <c r="B232" s="117"/>
      <c r="C232" s="117"/>
      <c r="D232" s="276"/>
      <c r="E232" s="276"/>
      <c r="F232" s="276"/>
      <c r="G232" s="117"/>
      <c r="H232" s="117"/>
      <c r="I232" s="279"/>
      <c r="J232" s="117"/>
      <c r="K232" s="117"/>
      <c r="L232" s="117"/>
      <c r="M232" s="117"/>
      <c r="N232" s="117"/>
      <c r="O232" s="117"/>
      <c r="P232" s="117"/>
      <c r="Q232" s="117"/>
      <c r="R232" s="117"/>
      <c r="S232" s="117"/>
      <c r="T232" s="126"/>
      <c r="W232" s="127"/>
      <c r="X232" s="127"/>
      <c r="Y232" s="127"/>
      <c r="Z232" s="127"/>
      <c r="AA232" s="127"/>
      <c r="AB232" s="127"/>
      <c r="AC232" s="127"/>
      <c r="AD232" s="127"/>
      <c r="AE232" s="117"/>
      <c r="AF232" s="117"/>
      <c r="AG232" s="117"/>
      <c r="AH232" s="117"/>
      <c r="AI232" s="117"/>
      <c r="AJ232" s="117"/>
      <c r="AK232" s="117"/>
      <c r="AL232" s="117"/>
    </row>
    <row r="233" spans="1:38" ht="15.75" customHeight="1">
      <c r="A233" s="117"/>
      <c r="B233" s="117"/>
      <c r="C233" s="117"/>
      <c r="D233" s="276"/>
      <c r="E233" s="276"/>
      <c r="F233" s="276"/>
      <c r="G233" s="117"/>
      <c r="H233" s="117"/>
      <c r="I233" s="279"/>
      <c r="J233" s="117"/>
      <c r="K233" s="117"/>
      <c r="L233" s="117"/>
      <c r="M233" s="117"/>
      <c r="N233" s="117"/>
      <c r="O233" s="117"/>
      <c r="P233" s="117"/>
      <c r="Q233" s="117"/>
      <c r="R233" s="117"/>
      <c r="S233" s="117"/>
      <c r="T233" s="126"/>
      <c r="W233" s="127"/>
      <c r="X233" s="127"/>
      <c r="Y233" s="127"/>
      <c r="Z233" s="127"/>
      <c r="AA233" s="127"/>
      <c r="AB233" s="127"/>
      <c r="AC233" s="127"/>
      <c r="AD233" s="127"/>
      <c r="AE233" s="117"/>
      <c r="AF233" s="117"/>
      <c r="AG233" s="117"/>
      <c r="AH233" s="117"/>
      <c r="AI233" s="117"/>
      <c r="AJ233" s="117"/>
      <c r="AK233" s="117"/>
      <c r="AL233" s="117"/>
    </row>
    <row r="234" spans="1:38" ht="15.75" customHeight="1">
      <c r="A234" s="117"/>
      <c r="B234" s="117"/>
      <c r="C234" s="117"/>
      <c r="D234" s="276"/>
      <c r="E234" s="276"/>
      <c r="F234" s="276"/>
      <c r="G234" s="117"/>
      <c r="H234" s="117"/>
      <c r="I234" s="279"/>
      <c r="J234" s="117"/>
      <c r="K234" s="117"/>
      <c r="L234" s="117"/>
      <c r="M234" s="117"/>
      <c r="N234" s="117"/>
      <c r="O234" s="117"/>
      <c r="P234" s="117"/>
      <c r="Q234" s="117"/>
      <c r="R234" s="117"/>
      <c r="S234" s="117"/>
      <c r="T234" s="126"/>
      <c r="W234" s="127"/>
      <c r="X234" s="127"/>
      <c r="Y234" s="127"/>
      <c r="Z234" s="127"/>
      <c r="AA234" s="127"/>
      <c r="AB234" s="127"/>
      <c r="AC234" s="127"/>
      <c r="AD234" s="127"/>
      <c r="AE234" s="117"/>
      <c r="AF234" s="117"/>
      <c r="AG234" s="117"/>
      <c r="AH234" s="117"/>
      <c r="AI234" s="117"/>
      <c r="AJ234" s="117"/>
      <c r="AK234" s="117"/>
      <c r="AL234" s="117"/>
    </row>
    <row r="235" spans="1:38" ht="15.75" customHeight="1">
      <c r="A235" s="117"/>
      <c r="B235" s="117"/>
      <c r="C235" s="117"/>
      <c r="D235" s="276"/>
      <c r="E235" s="276"/>
      <c r="F235" s="276"/>
      <c r="G235" s="117"/>
      <c r="H235" s="117"/>
      <c r="I235" s="279"/>
      <c r="J235" s="117"/>
      <c r="K235" s="117"/>
      <c r="L235" s="117"/>
      <c r="M235" s="117"/>
      <c r="N235" s="117"/>
      <c r="O235" s="117"/>
      <c r="P235" s="117"/>
      <c r="Q235" s="117"/>
      <c r="R235" s="117"/>
      <c r="S235" s="117"/>
      <c r="T235" s="126"/>
      <c r="W235" s="127"/>
      <c r="X235" s="127"/>
      <c r="Y235" s="127"/>
      <c r="Z235" s="127"/>
      <c r="AA235" s="127"/>
      <c r="AB235" s="127"/>
      <c r="AC235" s="127"/>
      <c r="AD235" s="127"/>
      <c r="AE235" s="117"/>
      <c r="AF235" s="117"/>
      <c r="AG235" s="117"/>
      <c r="AH235" s="117"/>
      <c r="AI235" s="117"/>
      <c r="AJ235" s="117"/>
      <c r="AK235" s="117"/>
      <c r="AL235" s="117"/>
    </row>
    <row r="236" spans="1:38" ht="15.75" customHeight="1">
      <c r="A236" s="117"/>
      <c r="B236" s="117"/>
      <c r="C236" s="117"/>
      <c r="D236" s="276"/>
      <c r="E236" s="276"/>
      <c r="F236" s="276"/>
      <c r="G236" s="117"/>
      <c r="H236" s="117"/>
      <c r="I236" s="279"/>
      <c r="J236" s="117"/>
      <c r="K236" s="117"/>
      <c r="L236" s="117"/>
      <c r="M236" s="117"/>
      <c r="N236" s="117"/>
      <c r="O236" s="117"/>
      <c r="P236" s="117"/>
      <c r="Q236" s="117"/>
      <c r="R236" s="117"/>
      <c r="S236" s="117"/>
      <c r="T236" s="126"/>
      <c r="W236" s="127"/>
      <c r="X236" s="127"/>
      <c r="Y236" s="127"/>
      <c r="Z236" s="127"/>
      <c r="AA236" s="127"/>
      <c r="AB236" s="127"/>
      <c r="AC236" s="127"/>
      <c r="AD236" s="127"/>
      <c r="AE236" s="117"/>
      <c r="AF236" s="117"/>
      <c r="AG236" s="117"/>
      <c r="AH236" s="117"/>
      <c r="AI236" s="117"/>
      <c r="AJ236" s="117"/>
      <c r="AK236" s="117"/>
      <c r="AL236" s="117"/>
    </row>
    <row r="237" spans="1:38" ht="15.75" customHeight="1">
      <c r="A237" s="117"/>
      <c r="B237" s="117"/>
      <c r="C237" s="117"/>
      <c r="D237" s="276"/>
      <c r="E237" s="276"/>
      <c r="F237" s="276"/>
      <c r="G237" s="117"/>
      <c r="H237" s="117"/>
      <c r="I237" s="279"/>
      <c r="J237" s="117"/>
      <c r="K237" s="117"/>
      <c r="L237" s="117"/>
      <c r="M237" s="117"/>
      <c r="N237" s="117"/>
      <c r="O237" s="117"/>
      <c r="P237" s="117"/>
      <c r="Q237" s="117"/>
      <c r="R237" s="117"/>
      <c r="S237" s="117"/>
      <c r="T237" s="126"/>
      <c r="W237" s="127"/>
      <c r="X237" s="127"/>
      <c r="Y237" s="127"/>
      <c r="Z237" s="127"/>
      <c r="AA237" s="127"/>
      <c r="AB237" s="127"/>
      <c r="AC237" s="127"/>
      <c r="AD237" s="127"/>
      <c r="AE237" s="117"/>
      <c r="AF237" s="117"/>
      <c r="AG237" s="117"/>
      <c r="AH237" s="117"/>
      <c r="AI237" s="117"/>
      <c r="AJ237" s="117"/>
      <c r="AK237" s="117"/>
      <c r="AL237" s="117"/>
    </row>
    <row r="238" spans="1:38" ht="15.75" customHeight="1">
      <c r="A238" s="117"/>
      <c r="B238" s="117"/>
      <c r="C238" s="117"/>
      <c r="D238" s="276"/>
      <c r="E238" s="276"/>
      <c r="F238" s="276"/>
      <c r="G238" s="117"/>
      <c r="H238" s="117"/>
      <c r="I238" s="279"/>
      <c r="J238" s="117"/>
      <c r="K238" s="117"/>
      <c r="L238" s="117"/>
      <c r="M238" s="117"/>
      <c r="N238" s="117"/>
      <c r="O238" s="117"/>
      <c r="P238" s="117"/>
      <c r="Q238" s="117"/>
      <c r="R238" s="117"/>
      <c r="S238" s="117"/>
      <c r="T238" s="126"/>
      <c r="W238" s="127"/>
      <c r="X238" s="127"/>
      <c r="Y238" s="127"/>
      <c r="Z238" s="127"/>
      <c r="AA238" s="127"/>
      <c r="AB238" s="127"/>
      <c r="AC238" s="127"/>
      <c r="AD238" s="127"/>
      <c r="AE238" s="117"/>
      <c r="AF238" s="117"/>
      <c r="AG238" s="117"/>
      <c r="AH238" s="117"/>
      <c r="AI238" s="117"/>
      <c r="AJ238" s="117"/>
      <c r="AK238" s="117"/>
      <c r="AL238" s="117"/>
    </row>
    <row r="239" spans="1:38" ht="15.75" customHeight="1">
      <c r="A239" s="117"/>
      <c r="B239" s="117"/>
      <c r="C239" s="117"/>
      <c r="D239" s="276"/>
      <c r="E239" s="276"/>
      <c r="F239" s="276"/>
      <c r="G239" s="117"/>
      <c r="H239" s="117"/>
      <c r="I239" s="279"/>
      <c r="J239" s="117"/>
      <c r="K239" s="117"/>
      <c r="L239" s="117"/>
      <c r="M239" s="117"/>
      <c r="N239" s="117"/>
      <c r="O239" s="117"/>
      <c r="P239" s="117"/>
      <c r="Q239" s="117"/>
      <c r="R239" s="117"/>
      <c r="S239" s="117"/>
      <c r="T239" s="126"/>
      <c r="W239" s="127"/>
      <c r="X239" s="127"/>
      <c r="Y239" s="127"/>
      <c r="Z239" s="127"/>
      <c r="AA239" s="127"/>
      <c r="AB239" s="127"/>
      <c r="AC239" s="127"/>
      <c r="AD239" s="127"/>
      <c r="AE239" s="117"/>
      <c r="AF239" s="117"/>
      <c r="AG239" s="117"/>
      <c r="AH239" s="117"/>
      <c r="AI239" s="117"/>
      <c r="AJ239" s="117"/>
      <c r="AK239" s="117"/>
      <c r="AL239" s="117"/>
    </row>
    <row r="240" spans="1:38" ht="15.75" customHeight="1">
      <c r="A240" s="117"/>
      <c r="B240" s="117"/>
      <c r="C240" s="117"/>
      <c r="D240" s="276"/>
      <c r="E240" s="276"/>
      <c r="F240" s="276"/>
      <c r="G240" s="117"/>
      <c r="H240" s="117"/>
      <c r="I240" s="279"/>
      <c r="J240" s="117"/>
      <c r="K240" s="117"/>
      <c r="L240" s="117"/>
      <c r="M240" s="117"/>
      <c r="N240" s="117"/>
      <c r="O240" s="117"/>
      <c r="P240" s="117"/>
      <c r="Q240" s="117"/>
      <c r="R240" s="117"/>
      <c r="S240" s="117"/>
      <c r="T240" s="126"/>
      <c r="W240" s="127"/>
      <c r="X240" s="127"/>
      <c r="Y240" s="127"/>
      <c r="Z240" s="127"/>
      <c r="AA240" s="127"/>
      <c r="AB240" s="127"/>
      <c r="AC240" s="127"/>
      <c r="AD240" s="127"/>
      <c r="AE240" s="117"/>
      <c r="AF240" s="117"/>
      <c r="AG240" s="117"/>
      <c r="AH240" s="117"/>
      <c r="AI240" s="117"/>
      <c r="AJ240" s="117"/>
      <c r="AK240" s="117"/>
      <c r="AL240" s="117"/>
    </row>
    <row r="241" spans="1:38" ht="15.75" customHeight="1">
      <c r="A241" s="117"/>
      <c r="B241" s="117"/>
      <c r="C241" s="117"/>
      <c r="D241" s="276"/>
      <c r="E241" s="276"/>
      <c r="F241" s="276"/>
      <c r="G241" s="117"/>
      <c r="H241" s="117"/>
      <c r="I241" s="279"/>
      <c r="J241" s="117"/>
      <c r="K241" s="117"/>
      <c r="L241" s="117"/>
      <c r="M241" s="117"/>
      <c r="N241" s="117"/>
      <c r="O241" s="117"/>
      <c r="P241" s="117"/>
      <c r="Q241" s="117"/>
      <c r="R241" s="117"/>
      <c r="S241" s="117"/>
      <c r="T241" s="126"/>
      <c r="W241" s="127"/>
      <c r="X241" s="127"/>
      <c r="Y241" s="127"/>
      <c r="Z241" s="127"/>
      <c r="AA241" s="127"/>
      <c r="AB241" s="127"/>
      <c r="AC241" s="127"/>
      <c r="AD241" s="127"/>
      <c r="AE241" s="117"/>
      <c r="AF241" s="117"/>
      <c r="AG241" s="117"/>
      <c r="AH241" s="117"/>
      <c r="AI241" s="117"/>
      <c r="AJ241" s="117"/>
      <c r="AK241" s="117"/>
      <c r="AL241" s="117"/>
    </row>
    <row r="242" spans="1:38" ht="15.75" customHeight="1">
      <c r="A242" s="117"/>
      <c r="B242" s="117"/>
      <c r="C242" s="117"/>
      <c r="D242" s="276"/>
      <c r="E242" s="276"/>
      <c r="F242" s="276"/>
      <c r="G242" s="117"/>
      <c r="H242" s="117"/>
      <c r="I242" s="279"/>
      <c r="J242" s="117"/>
      <c r="K242" s="117"/>
      <c r="L242" s="117"/>
      <c r="M242" s="117"/>
      <c r="N242" s="117"/>
      <c r="O242" s="117"/>
      <c r="P242" s="117"/>
      <c r="Q242" s="117"/>
      <c r="R242" s="117"/>
      <c r="S242" s="117"/>
      <c r="T242" s="126"/>
      <c r="W242" s="127"/>
      <c r="X242" s="127"/>
      <c r="Y242" s="127"/>
      <c r="Z242" s="127"/>
      <c r="AA242" s="127"/>
      <c r="AB242" s="127"/>
      <c r="AC242" s="127"/>
      <c r="AD242" s="127"/>
      <c r="AE242" s="117"/>
      <c r="AF242" s="117"/>
      <c r="AG242" s="117"/>
      <c r="AH242" s="117"/>
      <c r="AI242" s="117"/>
      <c r="AJ242" s="117"/>
      <c r="AK242" s="117"/>
      <c r="AL242" s="117"/>
    </row>
    <row r="243" spans="1:38" ht="15.75" customHeight="1">
      <c r="A243" s="117"/>
      <c r="B243" s="117"/>
      <c r="C243" s="117"/>
      <c r="D243" s="276"/>
      <c r="E243" s="276"/>
      <c r="F243" s="276"/>
      <c r="G243" s="117"/>
      <c r="H243" s="117"/>
      <c r="I243" s="279"/>
      <c r="J243" s="117"/>
      <c r="K243" s="117"/>
      <c r="L243" s="117"/>
      <c r="M243" s="117"/>
      <c r="N243" s="117"/>
      <c r="O243" s="117"/>
      <c r="P243" s="117"/>
      <c r="Q243" s="117"/>
      <c r="R243" s="117"/>
      <c r="S243" s="117"/>
      <c r="T243" s="126"/>
      <c r="W243" s="127"/>
      <c r="X243" s="127"/>
      <c r="Y243" s="127"/>
      <c r="Z243" s="127"/>
      <c r="AA243" s="127"/>
      <c r="AB243" s="127"/>
      <c r="AC243" s="127"/>
      <c r="AD243" s="127"/>
      <c r="AE243" s="117"/>
      <c r="AF243" s="117"/>
      <c r="AG243" s="117"/>
      <c r="AH243" s="117"/>
      <c r="AI243" s="117"/>
      <c r="AJ243" s="117"/>
      <c r="AK243" s="117"/>
      <c r="AL243" s="117"/>
    </row>
    <row r="244" spans="1:38" ht="15.75" customHeight="1">
      <c r="A244" s="117"/>
      <c r="B244" s="117"/>
      <c r="C244" s="117"/>
      <c r="D244" s="276"/>
      <c r="E244" s="276"/>
      <c r="F244" s="276"/>
      <c r="G244" s="117"/>
      <c r="H244" s="117"/>
      <c r="I244" s="279"/>
      <c r="J244" s="117"/>
      <c r="K244" s="117"/>
      <c r="L244" s="117"/>
      <c r="M244" s="117"/>
      <c r="N244" s="117"/>
      <c r="O244" s="117"/>
      <c r="P244" s="117"/>
      <c r="Q244" s="117"/>
      <c r="R244" s="117"/>
      <c r="S244" s="117"/>
      <c r="T244" s="126"/>
      <c r="W244" s="127"/>
      <c r="X244" s="127"/>
      <c r="Y244" s="127"/>
      <c r="Z244" s="127"/>
      <c r="AA244" s="127"/>
      <c r="AB244" s="127"/>
      <c r="AC244" s="127"/>
      <c r="AD244" s="127"/>
      <c r="AE244" s="117"/>
      <c r="AF244" s="117"/>
      <c r="AG244" s="117"/>
      <c r="AH244" s="117"/>
      <c r="AI244" s="117"/>
      <c r="AJ244" s="117"/>
      <c r="AK244" s="117"/>
      <c r="AL244" s="117"/>
    </row>
    <row r="245" spans="1:38" ht="15.75" customHeight="1">
      <c r="A245" s="117"/>
      <c r="B245" s="117"/>
      <c r="C245" s="117"/>
      <c r="D245" s="276"/>
      <c r="E245" s="276"/>
      <c r="F245" s="276"/>
      <c r="G245" s="117"/>
      <c r="H245" s="117"/>
      <c r="I245" s="279"/>
      <c r="J245" s="117"/>
      <c r="K245" s="117"/>
      <c r="L245" s="117"/>
      <c r="M245" s="117"/>
      <c r="N245" s="117"/>
      <c r="O245" s="117"/>
      <c r="P245" s="117"/>
      <c r="Q245" s="117"/>
      <c r="R245" s="117"/>
      <c r="S245" s="117"/>
      <c r="T245" s="126"/>
      <c r="W245" s="127"/>
      <c r="X245" s="127"/>
      <c r="Y245" s="127"/>
      <c r="Z245" s="127"/>
      <c r="AA245" s="127"/>
      <c r="AB245" s="127"/>
      <c r="AC245" s="127"/>
      <c r="AD245" s="127"/>
      <c r="AE245" s="117"/>
      <c r="AF245" s="117"/>
      <c r="AG245" s="117"/>
      <c r="AH245" s="117"/>
      <c r="AI245" s="117"/>
      <c r="AJ245" s="117"/>
      <c r="AK245" s="117"/>
      <c r="AL245" s="117"/>
    </row>
    <row r="246" spans="1:38" ht="15.75" customHeight="1">
      <c r="A246" s="117"/>
      <c r="B246" s="117"/>
      <c r="C246" s="117"/>
      <c r="D246" s="276"/>
      <c r="E246" s="276"/>
      <c r="F246" s="276"/>
      <c r="G246" s="117"/>
      <c r="H246" s="117"/>
      <c r="I246" s="279"/>
      <c r="J246" s="117"/>
      <c r="K246" s="117"/>
      <c r="L246" s="117"/>
      <c r="M246" s="117"/>
      <c r="N246" s="117"/>
      <c r="O246" s="117"/>
      <c r="P246" s="117"/>
      <c r="Q246" s="117"/>
      <c r="R246" s="117"/>
      <c r="S246" s="117"/>
      <c r="T246" s="126"/>
      <c r="W246" s="127"/>
      <c r="X246" s="127"/>
      <c r="Y246" s="127"/>
      <c r="Z246" s="127"/>
      <c r="AA246" s="127"/>
      <c r="AB246" s="127"/>
      <c r="AC246" s="127"/>
      <c r="AD246" s="127"/>
      <c r="AE246" s="117"/>
      <c r="AF246" s="117"/>
      <c r="AG246" s="117"/>
      <c r="AH246" s="117"/>
      <c r="AI246" s="117"/>
      <c r="AJ246" s="117"/>
      <c r="AK246" s="117"/>
      <c r="AL246" s="117"/>
    </row>
    <row r="247" spans="1:38" ht="15.75" customHeight="1">
      <c r="A247" s="117"/>
      <c r="B247" s="117"/>
      <c r="C247" s="117"/>
      <c r="D247" s="276"/>
      <c r="E247" s="276"/>
      <c r="F247" s="276"/>
      <c r="G247" s="117"/>
      <c r="H247" s="117"/>
      <c r="I247" s="279"/>
      <c r="J247" s="117"/>
      <c r="K247" s="117"/>
      <c r="L247" s="117"/>
      <c r="M247" s="117"/>
      <c r="N247" s="117"/>
      <c r="O247" s="117"/>
      <c r="P247" s="117"/>
      <c r="Q247" s="117"/>
      <c r="R247" s="117"/>
      <c r="S247" s="117"/>
      <c r="T247" s="126"/>
      <c r="W247" s="127"/>
      <c r="X247" s="127"/>
      <c r="Y247" s="127"/>
      <c r="Z247" s="127"/>
      <c r="AA247" s="127"/>
      <c r="AB247" s="127"/>
      <c r="AC247" s="127"/>
      <c r="AD247" s="127"/>
      <c r="AE247" s="117"/>
      <c r="AF247" s="117"/>
      <c r="AG247" s="117"/>
      <c r="AH247" s="117"/>
      <c r="AI247" s="117"/>
      <c r="AJ247" s="117"/>
      <c r="AK247" s="117"/>
      <c r="AL247" s="117"/>
    </row>
    <row r="248" spans="1:38" ht="15.75" customHeight="1">
      <c r="A248" s="117"/>
      <c r="B248" s="117"/>
      <c r="C248" s="117"/>
      <c r="D248" s="276"/>
      <c r="E248" s="276"/>
      <c r="F248" s="276"/>
      <c r="G248" s="117"/>
      <c r="H248" s="117"/>
      <c r="I248" s="279"/>
      <c r="J248" s="117"/>
      <c r="K248" s="117"/>
      <c r="L248" s="117"/>
      <c r="M248" s="117"/>
      <c r="N248" s="117"/>
      <c r="O248" s="117"/>
      <c r="P248" s="117"/>
      <c r="Q248" s="117"/>
      <c r="R248" s="117"/>
      <c r="S248" s="117"/>
      <c r="T248" s="126"/>
      <c r="W248" s="127"/>
      <c r="X248" s="127"/>
      <c r="Y248" s="127"/>
      <c r="Z248" s="127"/>
      <c r="AA248" s="127"/>
      <c r="AB248" s="127"/>
      <c r="AC248" s="127"/>
      <c r="AD248" s="127"/>
      <c r="AE248" s="117"/>
      <c r="AF248" s="117"/>
      <c r="AG248" s="117"/>
      <c r="AH248" s="117"/>
      <c r="AI248" s="117"/>
      <c r="AJ248" s="117"/>
      <c r="AK248" s="117"/>
      <c r="AL248" s="117"/>
    </row>
    <row r="249" spans="1:38" ht="15.75" customHeight="1">
      <c r="A249" s="117"/>
      <c r="B249" s="117"/>
      <c r="C249" s="117"/>
      <c r="D249" s="276"/>
      <c r="E249" s="276"/>
      <c r="F249" s="276"/>
      <c r="G249" s="117"/>
      <c r="H249" s="117"/>
      <c r="I249" s="279"/>
      <c r="J249" s="117"/>
      <c r="K249" s="117"/>
      <c r="L249" s="117"/>
      <c r="M249" s="117"/>
      <c r="N249" s="117"/>
      <c r="O249" s="117"/>
      <c r="P249" s="117"/>
      <c r="Q249" s="117"/>
      <c r="R249" s="117"/>
      <c r="S249" s="117"/>
      <c r="T249" s="126"/>
      <c r="W249" s="127"/>
      <c r="X249" s="127"/>
      <c r="Y249" s="127"/>
      <c r="Z249" s="127"/>
      <c r="AA249" s="127"/>
      <c r="AB249" s="127"/>
      <c r="AC249" s="127"/>
      <c r="AD249" s="127"/>
      <c r="AE249" s="117"/>
      <c r="AF249" s="117"/>
      <c r="AG249" s="117"/>
      <c r="AH249" s="117"/>
      <c r="AI249" s="117"/>
      <c r="AJ249" s="117"/>
      <c r="AK249" s="117"/>
      <c r="AL249" s="117"/>
    </row>
    <row r="250" spans="1:38" ht="15.75" customHeight="1">
      <c r="A250" s="117"/>
      <c r="B250" s="117"/>
      <c r="C250" s="117"/>
      <c r="D250" s="276"/>
      <c r="E250" s="276"/>
      <c r="F250" s="276"/>
      <c r="G250" s="117"/>
      <c r="H250" s="117"/>
      <c r="I250" s="279"/>
      <c r="J250" s="117"/>
      <c r="K250" s="117"/>
      <c r="L250" s="117"/>
      <c r="M250" s="117"/>
      <c r="N250" s="117"/>
      <c r="O250" s="117"/>
      <c r="P250" s="117"/>
      <c r="Q250" s="117"/>
      <c r="R250" s="117"/>
      <c r="S250" s="117"/>
      <c r="T250" s="126"/>
      <c r="W250" s="127"/>
      <c r="X250" s="127"/>
      <c r="Y250" s="127"/>
      <c r="Z250" s="127"/>
      <c r="AA250" s="127"/>
      <c r="AB250" s="127"/>
      <c r="AC250" s="127"/>
      <c r="AD250" s="127"/>
      <c r="AE250" s="117"/>
      <c r="AF250" s="117"/>
      <c r="AG250" s="117"/>
      <c r="AH250" s="117"/>
      <c r="AI250" s="117"/>
      <c r="AJ250" s="117"/>
      <c r="AK250" s="117"/>
      <c r="AL250" s="117"/>
    </row>
    <row r="251" spans="1:38" ht="15.75" customHeight="1">
      <c r="A251" s="117"/>
      <c r="B251" s="117"/>
      <c r="C251" s="117"/>
      <c r="D251" s="276"/>
      <c r="E251" s="276"/>
      <c r="F251" s="276"/>
      <c r="G251" s="117"/>
      <c r="H251" s="117"/>
      <c r="I251" s="279"/>
      <c r="J251" s="117"/>
      <c r="K251" s="117"/>
      <c r="L251" s="117"/>
      <c r="M251" s="117"/>
      <c r="N251" s="117"/>
      <c r="O251" s="117"/>
      <c r="P251" s="117"/>
      <c r="Q251" s="117"/>
      <c r="R251" s="117"/>
      <c r="S251" s="117"/>
      <c r="T251" s="126"/>
      <c r="W251" s="127"/>
      <c r="X251" s="127"/>
      <c r="Y251" s="127"/>
      <c r="Z251" s="127"/>
      <c r="AA251" s="127"/>
      <c r="AB251" s="127"/>
      <c r="AC251" s="127"/>
      <c r="AD251" s="127"/>
      <c r="AE251" s="117"/>
      <c r="AF251" s="117"/>
      <c r="AG251" s="117"/>
      <c r="AH251" s="117"/>
      <c r="AI251" s="117"/>
      <c r="AJ251" s="117"/>
      <c r="AK251" s="117"/>
      <c r="AL251" s="117"/>
    </row>
    <row r="252" spans="1:38" ht="15.75" customHeight="1">
      <c r="A252" s="117"/>
      <c r="B252" s="117"/>
      <c r="C252" s="117"/>
      <c r="D252" s="276"/>
      <c r="E252" s="276"/>
      <c r="F252" s="276"/>
      <c r="G252" s="117"/>
      <c r="H252" s="117"/>
      <c r="I252" s="279"/>
      <c r="J252" s="117"/>
      <c r="K252" s="117"/>
      <c r="L252" s="117"/>
      <c r="M252" s="117"/>
      <c r="N252" s="117"/>
      <c r="O252" s="117"/>
      <c r="P252" s="117"/>
      <c r="Q252" s="117"/>
      <c r="R252" s="117"/>
      <c r="S252" s="117"/>
      <c r="T252" s="126"/>
      <c r="W252" s="127"/>
      <c r="X252" s="127"/>
      <c r="Y252" s="127"/>
      <c r="Z252" s="127"/>
      <c r="AA252" s="127"/>
      <c r="AB252" s="127"/>
      <c r="AC252" s="127"/>
      <c r="AD252" s="127"/>
      <c r="AE252" s="117"/>
      <c r="AF252" s="117"/>
      <c r="AG252" s="117"/>
      <c r="AH252" s="117"/>
      <c r="AI252" s="117"/>
      <c r="AJ252" s="117"/>
      <c r="AK252" s="117"/>
      <c r="AL252" s="117"/>
    </row>
    <row r="253" spans="1:38" ht="15.75" customHeight="1">
      <c r="A253" s="117"/>
      <c r="B253" s="117"/>
      <c r="C253" s="117"/>
      <c r="D253" s="276"/>
      <c r="E253" s="276"/>
      <c r="F253" s="276"/>
      <c r="G253" s="117"/>
      <c r="H253" s="117"/>
      <c r="I253" s="279"/>
      <c r="J253" s="117"/>
      <c r="K253" s="117"/>
      <c r="L253" s="117"/>
      <c r="M253" s="117"/>
      <c r="N253" s="117"/>
      <c r="O253" s="117"/>
      <c r="P253" s="117"/>
      <c r="Q253" s="117"/>
      <c r="R253" s="117"/>
      <c r="S253" s="117"/>
      <c r="T253" s="126"/>
      <c r="W253" s="127"/>
      <c r="X253" s="127"/>
      <c r="Y253" s="127"/>
      <c r="Z253" s="127"/>
      <c r="AA253" s="127"/>
      <c r="AB253" s="127"/>
      <c r="AC253" s="127"/>
      <c r="AD253" s="127"/>
      <c r="AE253" s="117"/>
      <c r="AF253" s="117"/>
      <c r="AG253" s="117"/>
      <c r="AH253" s="117"/>
      <c r="AI253" s="117"/>
      <c r="AJ253" s="117"/>
      <c r="AK253" s="117"/>
      <c r="AL253" s="117"/>
    </row>
    <row r="254" spans="1:38" ht="15.75" customHeight="1">
      <c r="A254" s="117"/>
      <c r="B254" s="117"/>
      <c r="C254" s="117"/>
      <c r="D254" s="276"/>
      <c r="E254" s="276"/>
      <c r="F254" s="276"/>
      <c r="G254" s="117"/>
      <c r="H254" s="117"/>
      <c r="I254" s="279"/>
      <c r="J254" s="117"/>
      <c r="K254" s="117"/>
      <c r="L254" s="117"/>
      <c r="M254" s="117"/>
      <c r="N254" s="117"/>
      <c r="O254" s="117"/>
      <c r="P254" s="117"/>
      <c r="Q254" s="117"/>
      <c r="R254" s="117"/>
      <c r="S254" s="117"/>
      <c r="T254" s="126"/>
      <c r="W254" s="127"/>
      <c r="X254" s="127"/>
      <c r="Y254" s="127"/>
      <c r="Z254" s="127"/>
      <c r="AA254" s="127"/>
      <c r="AB254" s="127"/>
      <c r="AC254" s="127"/>
      <c r="AD254" s="127"/>
      <c r="AE254" s="117"/>
      <c r="AF254" s="117"/>
      <c r="AG254" s="117"/>
      <c r="AH254" s="117"/>
      <c r="AI254" s="117"/>
      <c r="AJ254" s="117"/>
      <c r="AK254" s="117"/>
      <c r="AL254" s="117"/>
    </row>
    <row r="255" spans="1:38" ht="15.75" customHeight="1">
      <c r="A255" s="117"/>
      <c r="B255" s="117"/>
      <c r="C255" s="117"/>
      <c r="D255" s="276"/>
      <c r="E255" s="276"/>
      <c r="F255" s="276"/>
      <c r="G255" s="117"/>
      <c r="H255" s="117"/>
      <c r="I255" s="279"/>
      <c r="J255" s="117"/>
      <c r="K255" s="117"/>
      <c r="L255" s="117"/>
      <c r="M255" s="117"/>
      <c r="N255" s="117"/>
      <c r="O255" s="117"/>
      <c r="P255" s="117"/>
      <c r="Q255" s="117"/>
      <c r="R255" s="117"/>
      <c r="S255" s="117"/>
      <c r="T255" s="126"/>
      <c r="W255" s="127"/>
      <c r="X255" s="127"/>
      <c r="Y255" s="127"/>
      <c r="Z255" s="127"/>
      <c r="AA255" s="127"/>
      <c r="AB255" s="127"/>
      <c r="AC255" s="127"/>
      <c r="AD255" s="127"/>
      <c r="AE255" s="117"/>
      <c r="AF255" s="117"/>
      <c r="AG255" s="117"/>
      <c r="AH255" s="117"/>
      <c r="AI255" s="117"/>
      <c r="AJ255" s="117"/>
      <c r="AK255" s="117"/>
      <c r="AL255" s="117"/>
    </row>
    <row r="256" spans="1:38"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51:B55"/>
    <mergeCell ref="AB1:AG1"/>
    <mergeCell ref="W3:X3"/>
    <mergeCell ref="AB3:AC3"/>
    <mergeCell ref="B6:B10"/>
    <mergeCell ref="B11:B15"/>
    <mergeCell ref="B16:B20"/>
    <mergeCell ref="B21:B25"/>
    <mergeCell ref="B26:B30"/>
    <mergeCell ref="B31:B35"/>
    <mergeCell ref="B36:B40"/>
    <mergeCell ref="B41:B45"/>
    <mergeCell ref="B46:B50"/>
  </mergeCells>
  <pageMargins left="0.31496062992125984" right="0.31496062992125984" top="0.74803149606299213" bottom="0.74803149606299213" header="0" footer="0"/>
  <pageSetup orientation="landscape"/>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11"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47" width="12.42578125" customWidth="1"/>
  </cols>
  <sheetData>
    <row r="1" spans="1:47" ht="12" customHeight="1">
      <c r="A1" s="52"/>
      <c r="B1" s="52"/>
      <c r="C1" s="52"/>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row>
    <row r="2" spans="1:47" ht="12" customHeight="1">
      <c r="A2" s="52"/>
      <c r="B2" s="52"/>
      <c r="C2" s="378"/>
      <c r="D2" s="378"/>
      <c r="E2" s="378"/>
      <c r="F2" s="378" t="s">
        <v>295</v>
      </c>
      <c r="G2" s="378"/>
      <c r="H2" s="378"/>
      <c r="I2" s="378"/>
      <c r="J2" s="378"/>
      <c r="K2" s="378"/>
      <c r="L2" s="378"/>
      <c r="M2" s="378"/>
      <c r="N2" s="378"/>
      <c r="O2" s="378"/>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row>
    <row r="3" spans="1:47" ht="12" customHeight="1">
      <c r="A3" s="52"/>
      <c r="B3" s="52"/>
      <c r="C3" s="378"/>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row>
    <row r="4" spans="1:47" ht="12" customHeight="1">
      <c r="A4" s="52"/>
      <c r="B4" s="52"/>
      <c r="C4" s="52"/>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row>
    <row r="5" spans="1:47" ht="12" customHeight="1">
      <c r="A5" s="52"/>
      <c r="B5" s="52"/>
      <c r="C5" s="52"/>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row>
    <row r="6" spans="1:47" ht="12" customHeight="1">
      <c r="A6" s="52"/>
      <c r="B6" s="320" t="s">
        <v>298</v>
      </c>
      <c r="C6" s="52"/>
      <c r="D6" s="504" t="s">
        <v>224</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row>
    <row r="7" spans="1:47"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row>
    <row r="8" spans="1:47" ht="12" customHeight="1">
      <c r="A8" s="52"/>
      <c r="B8" s="320" t="s">
        <v>299</v>
      </c>
      <c r="C8" s="52"/>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row>
    <row r="9" spans="1:47" ht="12" customHeight="1">
      <c r="A9" s="52"/>
      <c r="B9" s="382"/>
      <c r="C9" s="52"/>
      <c r="D9" s="307" t="s">
        <v>301</v>
      </c>
      <c r="E9" s="307"/>
      <c r="F9" s="385">
        <v>255500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row>
    <row r="10" spans="1:47" ht="12" customHeight="1">
      <c r="A10" s="52"/>
      <c r="B10" s="52"/>
      <c r="C10" s="52"/>
      <c r="D10" s="52"/>
      <c r="E10" s="52"/>
      <c r="F10" s="385">
        <v>1000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row>
    <row r="11" spans="1:47" ht="12" customHeight="1">
      <c r="A11" s="52"/>
      <c r="B11" s="52"/>
      <c r="C11" s="52"/>
      <c r="D11" s="3"/>
      <c r="E11" s="3"/>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
      <c r="AT11" s="3"/>
      <c r="AU11" s="3"/>
    </row>
    <row r="12" spans="1:47" ht="12" customHeight="1">
      <c r="A12" s="52"/>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
      <c r="AT12" s="3"/>
      <c r="AU12" s="3"/>
    </row>
    <row r="13" spans="1:47" ht="12" customHeight="1">
      <c r="A13" s="52"/>
      <c r="B13" s="52"/>
      <c r="C13" s="52"/>
      <c r="D13" s="648" t="s">
        <v>303</v>
      </c>
      <c r="E13" s="310"/>
      <c r="F13" s="388" t="s">
        <v>304</v>
      </c>
      <c r="G13" s="388" t="s">
        <v>305</v>
      </c>
      <c r="H13" s="390" t="s">
        <v>306</v>
      </c>
      <c r="I13" s="52"/>
      <c r="J13" s="388" t="s">
        <v>304</v>
      </c>
      <c r="K13" s="389" t="s">
        <v>305</v>
      </c>
      <c r="L13" s="390" t="s">
        <v>306</v>
      </c>
      <c r="M13" s="52"/>
      <c r="N13" s="646" t="s">
        <v>307</v>
      </c>
      <c r="O13" s="647" t="s">
        <v>308</v>
      </c>
      <c r="P13" s="52"/>
      <c r="Q13" s="388" t="s">
        <v>304</v>
      </c>
      <c r="R13" s="389" t="s">
        <v>305</v>
      </c>
      <c r="S13" s="390" t="s">
        <v>306</v>
      </c>
      <c r="T13" s="52"/>
      <c r="U13" s="646" t="s">
        <v>307</v>
      </c>
      <c r="V13" s="647" t="s">
        <v>308</v>
      </c>
      <c r="W13" s="52"/>
      <c r="X13" s="388" t="s">
        <v>304</v>
      </c>
      <c r="Y13" s="389" t="s">
        <v>305</v>
      </c>
      <c r="Z13" s="390" t="s">
        <v>306</v>
      </c>
      <c r="AA13" s="52"/>
      <c r="AB13" s="646" t="s">
        <v>307</v>
      </c>
      <c r="AC13" s="647" t="s">
        <v>308</v>
      </c>
      <c r="AD13" s="52"/>
      <c r="AE13" s="388" t="s">
        <v>304</v>
      </c>
      <c r="AF13" s="389" t="s">
        <v>305</v>
      </c>
      <c r="AG13" s="390" t="s">
        <v>306</v>
      </c>
      <c r="AH13" s="52"/>
      <c r="AI13" s="646" t="s">
        <v>307</v>
      </c>
      <c r="AJ13" s="647" t="s">
        <v>308</v>
      </c>
      <c r="AK13" s="52"/>
      <c r="AL13" s="388" t="s">
        <v>304</v>
      </c>
      <c r="AM13" s="389" t="s">
        <v>305</v>
      </c>
      <c r="AN13" s="390" t="s">
        <v>306</v>
      </c>
      <c r="AO13" s="52"/>
      <c r="AP13" s="646" t="s">
        <v>307</v>
      </c>
      <c r="AQ13" s="647" t="s">
        <v>308</v>
      </c>
      <c r="AR13" s="310"/>
      <c r="AS13" s="3"/>
      <c r="AT13" s="3"/>
      <c r="AU13" s="3"/>
    </row>
    <row r="14" spans="1:47" ht="12" customHeight="1">
      <c r="A14" s="52"/>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10"/>
      <c r="AS14" s="3"/>
      <c r="AT14" s="3"/>
      <c r="AU14" s="3"/>
    </row>
    <row r="15" spans="1:47" ht="12" customHeight="1">
      <c r="A15" s="52"/>
      <c r="B15" s="321" t="s">
        <v>221</v>
      </c>
      <c r="C15" s="394" t="str">
        <f t="shared" ref="C15:C28" si="0">D$6&amp;"."&amp;B15</f>
        <v>General Service 50 to 1,499 KW.Monthly Service Charge</v>
      </c>
      <c r="D15" s="395" t="s">
        <v>310</v>
      </c>
      <c r="E15" s="321"/>
      <c r="F15" s="396">
        <f>VLOOKUP($C15,'Proposed Rates'!$B:$J,F$11,FALSE)</f>
        <v>200</v>
      </c>
      <c r="G15" s="414">
        <f t="shared" ref="G15:G28" si="1">IF($D15="Monthly",1,IF($D15="per KW",$F$10,IF($D15="per kWh",$F$9,0)))</f>
        <v>1</v>
      </c>
      <c r="H15" s="399">
        <f t="shared" ref="H15:H28" si="2">G15*F15</f>
        <v>200</v>
      </c>
      <c r="I15" s="132"/>
      <c r="J15" s="396">
        <f>VLOOKUP($C15,'Proposed Rates'!$B:$J,J$11,FALSE)</f>
        <v>200</v>
      </c>
      <c r="K15" s="414">
        <f t="shared" ref="K15:K28" si="3">IF($D15="Monthly",1,IF($D15="per KW",$F$10,IF($D15="per kWh",$F$9,0)))</f>
        <v>1</v>
      </c>
      <c r="L15" s="399">
        <f t="shared" ref="L15:L28" si="4">K15*J15</f>
        <v>200</v>
      </c>
      <c r="M15" s="132"/>
      <c r="N15" s="400">
        <f t="shared" ref="N15:N46" si="5">L15-H15</f>
        <v>0</v>
      </c>
      <c r="O15" s="401">
        <f t="shared" ref="O15:O46" si="6">IF((H15)=0,"",(N15/H15))</f>
        <v>0</v>
      </c>
      <c r="P15" s="52"/>
      <c r="Q15" s="396">
        <f>VLOOKUP($C15,'Proposed Rates'!$B:$J,Q$11,FALSE)</f>
        <v>200</v>
      </c>
      <c r="R15" s="414">
        <f t="shared" ref="R15:R28" si="7">IF($D15="Monthly",1,IF($D15="per KW",$F$10,IF($D15="per kWh",$F$9,0)))</f>
        <v>1</v>
      </c>
      <c r="S15" s="399">
        <f t="shared" ref="S15:S28" si="8">R15*Q15</f>
        <v>200</v>
      </c>
      <c r="T15" s="132"/>
      <c r="U15" s="400">
        <f t="shared" ref="U15:U46" si="9">S15-L15</f>
        <v>0</v>
      </c>
      <c r="V15" s="401">
        <f t="shared" ref="V15:V46" si="10">IF((L15)=0,"",(U15/L15))</f>
        <v>0</v>
      </c>
      <c r="W15" s="52"/>
      <c r="X15" s="396">
        <f>VLOOKUP($C15,'Proposed Rates'!$B:$J,X$11,FALSE)</f>
        <v>200</v>
      </c>
      <c r="Y15" s="414">
        <f t="shared" ref="Y15:Y28" si="11">IF($D15="Monthly",1,IF($D15="per KW",$F$10,IF($D15="per kWh",$F$9,0)))</f>
        <v>1</v>
      </c>
      <c r="Z15" s="399">
        <f t="shared" ref="Z15:Z28" si="12">Y15*X15</f>
        <v>200</v>
      </c>
      <c r="AA15" s="132"/>
      <c r="AB15" s="400">
        <f t="shared" ref="AB15:AB46" si="13">Z15-S15</f>
        <v>0</v>
      </c>
      <c r="AC15" s="401">
        <f t="shared" ref="AC15:AC46" si="14">IF((S15)=0,"",(AB15/S15))</f>
        <v>0</v>
      </c>
      <c r="AD15" s="52"/>
      <c r="AE15" s="396">
        <f>VLOOKUP($C15,'Proposed Rates'!$B:$J,AE$11,FALSE)</f>
        <v>200</v>
      </c>
      <c r="AF15" s="414">
        <f t="shared" ref="AF15:AF28" si="15">IF($D15="Monthly",1,IF($D15="per KW",$F$10,IF($D15="per kWh",$F$9,0)))</f>
        <v>1</v>
      </c>
      <c r="AG15" s="399">
        <f t="shared" ref="AG15:AG28" si="16">AF15*AE15</f>
        <v>200</v>
      </c>
      <c r="AH15" s="132"/>
      <c r="AI15" s="400">
        <f t="shared" ref="AI15:AI46" si="17">AG15-Z15</f>
        <v>0</v>
      </c>
      <c r="AJ15" s="401">
        <f t="shared" ref="AJ15:AJ46" si="18">IF((Z15)=0,"",(AI15/Z15))</f>
        <v>0</v>
      </c>
      <c r="AK15" s="52"/>
      <c r="AL15" s="396">
        <f>VLOOKUP($C15,'Proposed Rates'!$B:$J,AL$11,FALSE)</f>
        <v>200</v>
      </c>
      <c r="AM15" s="414">
        <f t="shared" ref="AM15:AM28" si="19">IF($D15="Monthly",1,IF($D15="per KW",$F$10,IF($D15="per kWh",$F$9,0)))</f>
        <v>1</v>
      </c>
      <c r="AN15" s="399">
        <f t="shared" ref="AN15:AN28" si="20">AM15*AL15</f>
        <v>200</v>
      </c>
      <c r="AO15" s="132"/>
      <c r="AP15" s="400">
        <f t="shared" ref="AP15:AP46" si="21">AN15-AG15</f>
        <v>0</v>
      </c>
      <c r="AQ15" s="401">
        <f t="shared" ref="AQ15:AQ46" si="22">IF((AG15)=0,"",(AP15/AG15))</f>
        <v>0</v>
      </c>
      <c r="AR15" s="402"/>
      <c r="AS15" s="3"/>
      <c r="AT15" s="3"/>
      <c r="AU15" s="3"/>
    </row>
    <row r="16" spans="1:47" ht="12" customHeight="1">
      <c r="A16" s="52"/>
      <c r="B16" s="321" t="s">
        <v>311</v>
      </c>
      <c r="C16" s="394" t="str">
        <f t="shared" si="0"/>
        <v>General Service 50 to 1,499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c r="AS16" s="3"/>
      <c r="AT16" s="3"/>
      <c r="AU16" s="3"/>
    </row>
    <row r="17" spans="1:47" ht="12" customHeight="1">
      <c r="A17" s="52"/>
      <c r="B17" s="403" t="str">
        <f>'Proposed Rates'!C115</f>
        <v>Rate Rider Calculation for PILs</v>
      </c>
      <c r="C17" s="394" t="str">
        <f t="shared" si="0"/>
        <v>General Service 50 to 1,499 KW.Rate Rider Calculation for PILs</v>
      </c>
      <c r="D17" s="395" t="s">
        <v>381</v>
      </c>
      <c r="E17" s="321"/>
      <c r="F17" s="396">
        <f>IFERROR(VLOOKUP($C17,'Proposed Rates'!$B:$J,F$11,FALSE),0)</f>
        <v>0</v>
      </c>
      <c r="G17" s="414">
        <f t="shared" si="1"/>
        <v>1000</v>
      </c>
      <c r="H17" s="399">
        <f t="shared" si="2"/>
        <v>0</v>
      </c>
      <c r="I17" s="132"/>
      <c r="J17" s="396">
        <f>IFERROR(VLOOKUP($C17,'Proposed Rates'!$B:$J,J$11,FALSE),0)</f>
        <v>0</v>
      </c>
      <c r="K17" s="414">
        <f t="shared" si="3"/>
        <v>1000</v>
      </c>
      <c r="L17" s="399">
        <f t="shared" si="4"/>
        <v>0</v>
      </c>
      <c r="M17" s="132"/>
      <c r="N17" s="400">
        <f t="shared" si="5"/>
        <v>0</v>
      </c>
      <c r="O17" s="401" t="str">
        <f t="shared" si="6"/>
        <v/>
      </c>
      <c r="P17" s="52"/>
      <c r="Q17" s="396">
        <f>IFERROR(VLOOKUP($C17,'Proposed Rates'!$B:$J,Q$11,FALSE),0)</f>
        <v>0</v>
      </c>
      <c r="R17" s="414">
        <f t="shared" si="7"/>
        <v>1000</v>
      </c>
      <c r="S17" s="399">
        <f t="shared" si="8"/>
        <v>0</v>
      </c>
      <c r="T17" s="132"/>
      <c r="U17" s="400">
        <f t="shared" si="9"/>
        <v>0</v>
      </c>
      <c r="V17" s="401" t="str">
        <f t="shared" si="10"/>
        <v/>
      </c>
      <c r="W17" s="52"/>
      <c r="X17" s="396">
        <f>IFERROR(VLOOKUP($C17,'Proposed Rates'!$B:$J,X$11,FALSE),0)</f>
        <v>0</v>
      </c>
      <c r="Y17" s="414">
        <f t="shared" si="11"/>
        <v>1000</v>
      </c>
      <c r="Z17" s="399">
        <f t="shared" si="12"/>
        <v>0</v>
      </c>
      <c r="AA17" s="132"/>
      <c r="AB17" s="400">
        <f t="shared" si="13"/>
        <v>0</v>
      </c>
      <c r="AC17" s="401" t="str">
        <f t="shared" si="14"/>
        <v/>
      </c>
      <c r="AD17" s="52"/>
      <c r="AE17" s="396">
        <f>IFERROR(VLOOKUP($C17,'Proposed Rates'!$B:$J,AE$11,FALSE),0)</f>
        <v>0</v>
      </c>
      <c r="AF17" s="414">
        <f t="shared" si="15"/>
        <v>1000</v>
      </c>
      <c r="AG17" s="399">
        <f t="shared" si="16"/>
        <v>0</v>
      </c>
      <c r="AH17" s="132"/>
      <c r="AI17" s="400">
        <f t="shared" si="17"/>
        <v>0</v>
      </c>
      <c r="AJ17" s="401" t="str">
        <f t="shared" si="18"/>
        <v/>
      </c>
      <c r="AK17" s="52"/>
      <c r="AL17" s="396">
        <f>IFERROR(VLOOKUP($C17,'Proposed Rates'!$B:$J,AL$11,FALSE),0)</f>
        <v>0</v>
      </c>
      <c r="AM17" s="414">
        <f t="shared" si="19"/>
        <v>1000</v>
      </c>
      <c r="AN17" s="399">
        <f t="shared" si="20"/>
        <v>0</v>
      </c>
      <c r="AO17" s="132"/>
      <c r="AP17" s="400">
        <f t="shared" si="21"/>
        <v>0</v>
      </c>
      <c r="AQ17" s="401" t="str">
        <f t="shared" si="22"/>
        <v/>
      </c>
      <c r="AR17" s="402"/>
      <c r="AS17" s="3"/>
      <c r="AT17" s="3"/>
      <c r="AU17" s="3"/>
    </row>
    <row r="18" spans="1:47" ht="12" customHeight="1">
      <c r="A18" s="52"/>
      <c r="B18" s="403" t="str">
        <f>'Proposed Rates'!C128</f>
        <v>Rate Rider Calculation for Generic</v>
      </c>
      <c r="C18" s="394" t="str">
        <f t="shared" si="0"/>
        <v>General Service 50 to 1,499 KW.Rate Rider Calculation for Generic</v>
      </c>
      <c r="D18" s="395" t="s">
        <v>381</v>
      </c>
      <c r="E18" s="321"/>
      <c r="F18" s="396">
        <f>IFERROR(VLOOKUP($C18,'Proposed Rates'!$B:$J,F$11,FALSE),0)</f>
        <v>0</v>
      </c>
      <c r="G18" s="414">
        <f t="shared" si="1"/>
        <v>1000</v>
      </c>
      <c r="H18" s="399">
        <f t="shared" si="2"/>
        <v>0</v>
      </c>
      <c r="I18" s="132"/>
      <c r="J18" s="396">
        <f>IFERROR(VLOOKUP($C18,'Proposed Rates'!$B:$J,J$11,FALSE),0)</f>
        <v>0</v>
      </c>
      <c r="K18" s="414">
        <f t="shared" si="3"/>
        <v>1000</v>
      </c>
      <c r="L18" s="399">
        <f t="shared" si="4"/>
        <v>0</v>
      </c>
      <c r="M18" s="132"/>
      <c r="N18" s="400">
        <f t="shared" si="5"/>
        <v>0</v>
      </c>
      <c r="O18" s="401" t="str">
        <f t="shared" si="6"/>
        <v/>
      </c>
      <c r="P18" s="52"/>
      <c r="Q18" s="396">
        <f>IFERROR(VLOOKUP($C18,'Proposed Rates'!$B:$J,Q$11,FALSE),0)</f>
        <v>0</v>
      </c>
      <c r="R18" s="414">
        <f t="shared" si="7"/>
        <v>1000</v>
      </c>
      <c r="S18" s="399">
        <f t="shared" si="8"/>
        <v>0</v>
      </c>
      <c r="T18" s="132"/>
      <c r="U18" s="400">
        <f t="shared" si="9"/>
        <v>0</v>
      </c>
      <c r="V18" s="401" t="str">
        <f t="shared" si="10"/>
        <v/>
      </c>
      <c r="W18" s="52"/>
      <c r="X18" s="396">
        <f>IFERROR(VLOOKUP($C18,'Proposed Rates'!$B:$J,X$11,FALSE),0)</f>
        <v>0</v>
      </c>
      <c r="Y18" s="414">
        <f t="shared" si="11"/>
        <v>1000</v>
      </c>
      <c r="Z18" s="399">
        <f t="shared" si="12"/>
        <v>0</v>
      </c>
      <c r="AA18" s="132"/>
      <c r="AB18" s="400">
        <f t="shared" si="13"/>
        <v>0</v>
      </c>
      <c r="AC18" s="401" t="str">
        <f t="shared" si="14"/>
        <v/>
      </c>
      <c r="AD18" s="52"/>
      <c r="AE18" s="396">
        <f>IFERROR(VLOOKUP($C18,'Proposed Rates'!$B:$J,AE$11,FALSE),0)</f>
        <v>0</v>
      </c>
      <c r="AF18" s="414">
        <f t="shared" si="15"/>
        <v>1000</v>
      </c>
      <c r="AG18" s="399">
        <f t="shared" si="16"/>
        <v>0</v>
      </c>
      <c r="AH18" s="132"/>
      <c r="AI18" s="400">
        <f t="shared" si="17"/>
        <v>0</v>
      </c>
      <c r="AJ18" s="401" t="str">
        <f t="shared" si="18"/>
        <v/>
      </c>
      <c r="AK18" s="52"/>
      <c r="AL18" s="396">
        <f>IFERROR(VLOOKUP($C18,'Proposed Rates'!$B:$J,AL$11,FALSE),0)</f>
        <v>0</v>
      </c>
      <c r="AM18" s="414">
        <f t="shared" si="19"/>
        <v>1000</v>
      </c>
      <c r="AN18" s="399">
        <f t="shared" si="20"/>
        <v>0</v>
      </c>
      <c r="AO18" s="132"/>
      <c r="AP18" s="400">
        <f t="shared" si="21"/>
        <v>0</v>
      </c>
      <c r="AQ18" s="401" t="str">
        <f t="shared" si="22"/>
        <v/>
      </c>
      <c r="AR18" s="402"/>
      <c r="AS18" s="3"/>
      <c r="AT18" s="3"/>
      <c r="AU18" s="3"/>
    </row>
    <row r="19" spans="1:47" ht="12" customHeight="1">
      <c r="A19" s="52"/>
      <c r="B19" s="321" t="s">
        <v>59</v>
      </c>
      <c r="C19" s="394" t="str">
        <f t="shared" si="0"/>
        <v>General Service 50 to 1,499 KW.Distribution Volumetric Rate</v>
      </c>
      <c r="D19" s="395" t="s">
        <v>381</v>
      </c>
      <c r="E19" s="321"/>
      <c r="F19" s="413">
        <f>IFERROR(VLOOKUP($C19,'Proposed Rates'!$B:$J,F$11,FALSE),0)</f>
        <v>6.5552999999999999</v>
      </c>
      <c r="G19" s="414">
        <f t="shared" si="1"/>
        <v>1000</v>
      </c>
      <c r="H19" s="399">
        <f t="shared" si="2"/>
        <v>6555.3</v>
      </c>
      <c r="I19" s="132"/>
      <c r="J19" s="413">
        <f>IFERROR(VLOOKUP($C19,'Proposed Rates'!$B:$J,J$11,FALSE),0)</f>
        <v>7.9935999999999998</v>
      </c>
      <c r="K19" s="414">
        <f t="shared" si="3"/>
        <v>1000</v>
      </c>
      <c r="L19" s="399">
        <f t="shared" si="4"/>
        <v>7993.5999999999995</v>
      </c>
      <c r="M19" s="132"/>
      <c r="N19" s="400">
        <f t="shared" si="5"/>
        <v>1438.2999999999993</v>
      </c>
      <c r="O19" s="401">
        <f t="shared" si="6"/>
        <v>0.21941024819611601</v>
      </c>
      <c r="P19" s="52"/>
      <c r="Q19" s="413">
        <f>IFERROR(VLOOKUP($C19,'Proposed Rates'!$B:$J,Q$11,FALSE),0)</f>
        <v>8.4202999999999992</v>
      </c>
      <c r="R19" s="414">
        <f t="shared" si="7"/>
        <v>1000</v>
      </c>
      <c r="S19" s="399">
        <f t="shared" si="8"/>
        <v>8420.2999999999993</v>
      </c>
      <c r="T19" s="132"/>
      <c r="U19" s="400">
        <f t="shared" si="9"/>
        <v>426.69999999999982</v>
      </c>
      <c r="V19" s="401">
        <f t="shared" si="10"/>
        <v>5.3380204163330648E-2</v>
      </c>
      <c r="W19" s="52"/>
      <c r="X19" s="413">
        <f>IFERROR(VLOOKUP($C19,'Proposed Rates'!$B:$J,X$11,FALSE),0)</f>
        <v>9.0498999999999992</v>
      </c>
      <c r="Y19" s="414">
        <f t="shared" si="11"/>
        <v>1000</v>
      </c>
      <c r="Z19" s="399">
        <f t="shared" si="12"/>
        <v>9049.9</v>
      </c>
      <c r="AA19" s="132"/>
      <c r="AB19" s="400">
        <f t="shared" si="13"/>
        <v>629.60000000000036</v>
      </c>
      <c r="AC19" s="401">
        <f t="shared" si="14"/>
        <v>7.4771682719143071E-2</v>
      </c>
      <c r="AD19" s="52"/>
      <c r="AE19" s="413">
        <f>IFERROR(VLOOKUP($C19,'Proposed Rates'!$B:$J,AE$11,FALSE),0)</f>
        <v>9.3849</v>
      </c>
      <c r="AF19" s="414">
        <f t="shared" si="15"/>
        <v>1000</v>
      </c>
      <c r="AG19" s="399">
        <f t="shared" si="16"/>
        <v>9384.9</v>
      </c>
      <c r="AH19" s="132"/>
      <c r="AI19" s="400">
        <f t="shared" si="17"/>
        <v>335</v>
      </c>
      <c r="AJ19" s="401">
        <f t="shared" si="18"/>
        <v>3.7016983613078598E-2</v>
      </c>
      <c r="AK19" s="52"/>
      <c r="AL19" s="413">
        <f>IFERROR(VLOOKUP($C19,'Proposed Rates'!$B:$J,AL$11,FALSE),0)</f>
        <v>9.6918000000000006</v>
      </c>
      <c r="AM19" s="414">
        <f t="shared" si="19"/>
        <v>1000</v>
      </c>
      <c r="AN19" s="399">
        <f t="shared" si="20"/>
        <v>9691.8000000000011</v>
      </c>
      <c r="AO19" s="132"/>
      <c r="AP19" s="400">
        <f t="shared" si="21"/>
        <v>306.90000000000146</v>
      </c>
      <c r="AQ19" s="401">
        <f t="shared" si="22"/>
        <v>3.2701467250583538E-2</v>
      </c>
      <c r="AR19" s="402"/>
      <c r="AS19" s="3"/>
      <c r="AT19" s="3"/>
      <c r="AU19" s="3"/>
    </row>
    <row r="20" spans="1:47" ht="12" customHeight="1">
      <c r="A20" s="52"/>
      <c r="B20" s="321" t="s">
        <v>313</v>
      </c>
      <c r="C20" s="394" t="str">
        <f t="shared" si="0"/>
        <v>General Service 50 to 1,499 KW.Smart Meter Disposition Rider</v>
      </c>
      <c r="D20" s="395" t="s">
        <v>312</v>
      </c>
      <c r="E20" s="321"/>
      <c r="F20" s="396">
        <f>IFERROR(VLOOKUP($C20,'Proposed Rates'!$B:$J,F$11,FALSE),0)</f>
        <v>0</v>
      </c>
      <c r="G20" s="414">
        <f t="shared" si="1"/>
        <v>255500</v>
      </c>
      <c r="H20" s="399">
        <f t="shared" si="2"/>
        <v>0</v>
      </c>
      <c r="I20" s="132"/>
      <c r="J20" s="396">
        <f>IFERROR(VLOOKUP($C20,'Proposed Rates'!$B:$J,J$11,FALSE),0)</f>
        <v>0</v>
      </c>
      <c r="K20" s="414">
        <f t="shared" si="3"/>
        <v>255500</v>
      </c>
      <c r="L20" s="399">
        <f t="shared" si="4"/>
        <v>0</v>
      </c>
      <c r="M20" s="132"/>
      <c r="N20" s="400">
        <f t="shared" si="5"/>
        <v>0</v>
      </c>
      <c r="O20" s="401" t="str">
        <f t="shared" si="6"/>
        <v/>
      </c>
      <c r="P20" s="52"/>
      <c r="Q20" s="396">
        <f>IFERROR(VLOOKUP($C20,'Proposed Rates'!$B:$J,Q$11,FALSE),0)</f>
        <v>0</v>
      </c>
      <c r="R20" s="414">
        <f t="shared" si="7"/>
        <v>255500</v>
      </c>
      <c r="S20" s="399">
        <f t="shared" si="8"/>
        <v>0</v>
      </c>
      <c r="T20" s="132"/>
      <c r="U20" s="400">
        <f t="shared" si="9"/>
        <v>0</v>
      </c>
      <c r="V20" s="401" t="str">
        <f t="shared" si="10"/>
        <v/>
      </c>
      <c r="W20" s="52"/>
      <c r="X20" s="396">
        <f>IFERROR(VLOOKUP($C20,'Proposed Rates'!$B:$J,X$11,FALSE),0)</f>
        <v>0</v>
      </c>
      <c r="Y20" s="414">
        <f t="shared" si="11"/>
        <v>255500</v>
      </c>
      <c r="Z20" s="399">
        <f t="shared" si="12"/>
        <v>0</v>
      </c>
      <c r="AA20" s="132"/>
      <c r="AB20" s="400">
        <f t="shared" si="13"/>
        <v>0</v>
      </c>
      <c r="AC20" s="401" t="str">
        <f t="shared" si="14"/>
        <v/>
      </c>
      <c r="AD20" s="52"/>
      <c r="AE20" s="396">
        <f>IFERROR(VLOOKUP($C20,'Proposed Rates'!$B:$J,AE$11,FALSE),0)</f>
        <v>0</v>
      </c>
      <c r="AF20" s="414">
        <f t="shared" si="15"/>
        <v>255500</v>
      </c>
      <c r="AG20" s="399">
        <f t="shared" si="16"/>
        <v>0</v>
      </c>
      <c r="AH20" s="132"/>
      <c r="AI20" s="400">
        <f t="shared" si="17"/>
        <v>0</v>
      </c>
      <c r="AJ20" s="401" t="str">
        <f t="shared" si="18"/>
        <v/>
      </c>
      <c r="AK20" s="52"/>
      <c r="AL20" s="396">
        <f>IFERROR(VLOOKUP($C20,'Proposed Rates'!$B:$J,AL$11,FALSE),0)</f>
        <v>0</v>
      </c>
      <c r="AM20" s="414">
        <f t="shared" si="19"/>
        <v>255500</v>
      </c>
      <c r="AN20" s="399">
        <f t="shared" si="20"/>
        <v>0</v>
      </c>
      <c r="AO20" s="132"/>
      <c r="AP20" s="400">
        <f t="shared" si="21"/>
        <v>0</v>
      </c>
      <c r="AQ20" s="401" t="str">
        <f t="shared" si="22"/>
        <v/>
      </c>
      <c r="AR20" s="402"/>
      <c r="AS20" s="3"/>
      <c r="AT20" s="3"/>
      <c r="AU20" s="3"/>
    </row>
    <row r="21" spans="1:47" ht="12" customHeight="1">
      <c r="A21" s="52"/>
      <c r="B21" s="321" t="s">
        <v>244</v>
      </c>
      <c r="C21" s="394" t="str">
        <f t="shared" si="0"/>
        <v>General Service 50 to 1,499 KW.LRAM Rate Rider</v>
      </c>
      <c r="D21" s="395" t="s">
        <v>381</v>
      </c>
      <c r="E21" s="321"/>
      <c r="F21" s="413">
        <f>'Proposed Rates'!E79+'Proposed Rates'!E92</f>
        <v>-0.2477</v>
      </c>
      <c r="G21" s="414">
        <f t="shared" si="1"/>
        <v>1000</v>
      </c>
      <c r="H21" s="399">
        <f t="shared" si="2"/>
        <v>-247.70000000000002</v>
      </c>
      <c r="I21" s="132"/>
      <c r="J21" s="413">
        <f>'Proposed Rates'!F79+'Proposed Rates'!F92</f>
        <v>0</v>
      </c>
      <c r="K21" s="414">
        <f t="shared" si="3"/>
        <v>1000</v>
      </c>
      <c r="L21" s="399">
        <f t="shared" si="4"/>
        <v>0</v>
      </c>
      <c r="M21" s="132"/>
      <c r="N21" s="400">
        <f t="shared" si="5"/>
        <v>247.70000000000002</v>
      </c>
      <c r="O21" s="401">
        <f t="shared" si="6"/>
        <v>-1</v>
      </c>
      <c r="P21" s="52"/>
      <c r="Q21" s="413">
        <f>'Proposed Rates'!G79+'Proposed Rates'!G92</f>
        <v>2.7900000000000001E-2</v>
      </c>
      <c r="R21" s="414">
        <f t="shared" si="7"/>
        <v>1000</v>
      </c>
      <c r="S21" s="399">
        <f t="shared" si="8"/>
        <v>27.900000000000002</v>
      </c>
      <c r="T21" s="132"/>
      <c r="U21" s="400">
        <f t="shared" si="9"/>
        <v>27.900000000000002</v>
      </c>
      <c r="V21" s="401" t="str">
        <f t="shared" si="10"/>
        <v/>
      </c>
      <c r="W21" s="52"/>
      <c r="X21" s="413">
        <f>IFERROR(VLOOKUP($C21,'Proposed Rates'!$B:$J,X$11,FALSE),0)</f>
        <v>0</v>
      </c>
      <c r="Y21" s="414">
        <f t="shared" si="11"/>
        <v>1000</v>
      </c>
      <c r="Z21" s="399">
        <f t="shared" si="12"/>
        <v>0</v>
      </c>
      <c r="AA21" s="132"/>
      <c r="AB21" s="400">
        <f t="shared" si="13"/>
        <v>-27.900000000000002</v>
      </c>
      <c r="AC21" s="401">
        <f t="shared" si="14"/>
        <v>-1</v>
      </c>
      <c r="AD21" s="52"/>
      <c r="AE21" s="413">
        <f>IFERROR(VLOOKUP($C21,'Proposed Rates'!$B:$J,AE$11,FALSE),0)</f>
        <v>0</v>
      </c>
      <c r="AF21" s="414">
        <f t="shared" si="15"/>
        <v>1000</v>
      </c>
      <c r="AG21" s="399">
        <f t="shared" si="16"/>
        <v>0</v>
      </c>
      <c r="AH21" s="132"/>
      <c r="AI21" s="400">
        <f t="shared" si="17"/>
        <v>0</v>
      </c>
      <c r="AJ21" s="401" t="str">
        <f t="shared" si="18"/>
        <v/>
      </c>
      <c r="AK21" s="52"/>
      <c r="AL21" s="413">
        <f>IFERROR(VLOOKUP($C21,'Proposed Rates'!$B:$J,AL$11,FALSE),0)</f>
        <v>0</v>
      </c>
      <c r="AM21" s="414">
        <f t="shared" si="19"/>
        <v>1000</v>
      </c>
      <c r="AN21" s="399">
        <f t="shared" si="20"/>
        <v>0</v>
      </c>
      <c r="AO21" s="132"/>
      <c r="AP21" s="400">
        <f t="shared" si="21"/>
        <v>0</v>
      </c>
      <c r="AQ21" s="401" t="str">
        <f t="shared" si="22"/>
        <v/>
      </c>
      <c r="AR21" s="402"/>
      <c r="AS21" s="3"/>
      <c r="AT21" s="3"/>
      <c r="AU21" s="3"/>
    </row>
    <row r="22" spans="1:47" ht="12" customHeight="1">
      <c r="A22" s="52"/>
      <c r="B22" s="403" t="s">
        <v>240</v>
      </c>
      <c r="C22" s="394" t="str">
        <f t="shared" si="0"/>
        <v>General Service 50 to 1,499 KW.Deferral/Variance Account Disposition Rate Rider Group 2</v>
      </c>
      <c r="D22" s="395" t="s">
        <v>381</v>
      </c>
      <c r="E22" s="321"/>
      <c r="F22" s="396">
        <f>IFERROR(VLOOKUP($C22,'Proposed Rates'!$B:$J,F$11,FALSE),0)</f>
        <v>0</v>
      </c>
      <c r="G22" s="414">
        <f t="shared" si="1"/>
        <v>1000</v>
      </c>
      <c r="H22" s="399">
        <f t="shared" si="2"/>
        <v>0</v>
      </c>
      <c r="I22" s="132"/>
      <c r="J22" s="396">
        <f>IFERROR(VLOOKUP($C22,'Proposed Rates'!$B:$J,J$11,FALSE),0)</f>
        <v>-0.15229999999999999</v>
      </c>
      <c r="K22" s="414">
        <f t="shared" si="3"/>
        <v>1000</v>
      </c>
      <c r="L22" s="399">
        <f t="shared" si="4"/>
        <v>-152.29999999999998</v>
      </c>
      <c r="M22" s="132"/>
      <c r="N22" s="400">
        <f t="shared" si="5"/>
        <v>-152.29999999999998</v>
      </c>
      <c r="O22" s="401" t="str">
        <f t="shared" si="6"/>
        <v/>
      </c>
      <c r="P22" s="52"/>
      <c r="Q22" s="396">
        <f>IFERROR(VLOOKUP($C22,'Proposed Rates'!$B:$J,Q$11,FALSE),0)</f>
        <v>0</v>
      </c>
      <c r="R22" s="414">
        <f t="shared" si="7"/>
        <v>1000</v>
      </c>
      <c r="S22" s="399">
        <f t="shared" si="8"/>
        <v>0</v>
      </c>
      <c r="T22" s="132"/>
      <c r="U22" s="400">
        <f t="shared" si="9"/>
        <v>152.29999999999998</v>
      </c>
      <c r="V22" s="401">
        <f t="shared" si="10"/>
        <v>-1</v>
      </c>
      <c r="W22" s="52"/>
      <c r="X22" s="396">
        <f>IFERROR(VLOOKUP($C22,'Proposed Rates'!$B:$J,X$11,FALSE),0)</f>
        <v>0</v>
      </c>
      <c r="Y22" s="414">
        <f t="shared" si="11"/>
        <v>1000</v>
      </c>
      <c r="Z22" s="399">
        <f t="shared" si="12"/>
        <v>0</v>
      </c>
      <c r="AA22" s="132"/>
      <c r="AB22" s="400">
        <f t="shared" si="13"/>
        <v>0</v>
      </c>
      <c r="AC22" s="401" t="str">
        <f t="shared" si="14"/>
        <v/>
      </c>
      <c r="AD22" s="52"/>
      <c r="AE22" s="396">
        <f>IFERROR(VLOOKUP($C22,'Proposed Rates'!$B:$J,AE$11,FALSE),0)</f>
        <v>0</v>
      </c>
      <c r="AF22" s="414">
        <f t="shared" si="15"/>
        <v>1000</v>
      </c>
      <c r="AG22" s="399">
        <f t="shared" si="16"/>
        <v>0</v>
      </c>
      <c r="AH22" s="132"/>
      <c r="AI22" s="400">
        <f t="shared" si="17"/>
        <v>0</v>
      </c>
      <c r="AJ22" s="401" t="str">
        <f t="shared" si="18"/>
        <v/>
      </c>
      <c r="AK22" s="52"/>
      <c r="AL22" s="396">
        <f>IFERROR(VLOOKUP($C22,'Proposed Rates'!$B:$J,AL$11,FALSE),0)</f>
        <v>0</v>
      </c>
      <c r="AM22" s="414">
        <f t="shared" si="19"/>
        <v>1000</v>
      </c>
      <c r="AN22" s="399">
        <f t="shared" si="20"/>
        <v>0</v>
      </c>
      <c r="AO22" s="132"/>
      <c r="AP22" s="400">
        <f t="shared" si="21"/>
        <v>0</v>
      </c>
      <c r="AQ22" s="401" t="str">
        <f t="shared" si="22"/>
        <v/>
      </c>
      <c r="AR22" s="402"/>
      <c r="AS22" s="3"/>
      <c r="AT22" s="3"/>
      <c r="AU22" s="3"/>
    </row>
    <row r="23" spans="1:47" ht="12" customHeight="1">
      <c r="A23" s="52"/>
      <c r="B23" s="403"/>
      <c r="C23" s="394" t="str">
        <f t="shared" si="0"/>
        <v>General Service 50 to 1,499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c r="AS23" s="3"/>
      <c r="AT23" s="3"/>
      <c r="AU23" s="3"/>
    </row>
    <row r="24" spans="1:47" ht="12" customHeight="1">
      <c r="A24" s="52"/>
      <c r="B24" s="403"/>
      <c r="C24" s="394" t="str">
        <f t="shared" si="0"/>
        <v>General Service 50 to 1,499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c r="AS24" s="3"/>
      <c r="AT24" s="3"/>
      <c r="AU24" s="3"/>
    </row>
    <row r="25" spans="1:47" ht="12" customHeight="1">
      <c r="A25" s="52"/>
      <c r="B25" s="403"/>
      <c r="C25" s="394" t="str">
        <f t="shared" si="0"/>
        <v>General Service 50 to 1,499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c r="AS25" s="3"/>
      <c r="AT25" s="3"/>
      <c r="AU25" s="3"/>
    </row>
    <row r="26" spans="1:47" ht="12" customHeight="1">
      <c r="A26" s="52"/>
      <c r="B26" s="403"/>
      <c r="C26" s="394" t="str">
        <f t="shared" si="0"/>
        <v>General Service 50 to 1,499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c r="AS26" s="3"/>
      <c r="AT26" s="3"/>
      <c r="AU26" s="3"/>
    </row>
    <row r="27" spans="1:47" ht="12" customHeight="1">
      <c r="A27" s="52"/>
      <c r="B27" s="403"/>
      <c r="C27" s="394" t="str">
        <f t="shared" si="0"/>
        <v>General Service 50 to 1,499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c r="AS27" s="3"/>
      <c r="AT27" s="3"/>
      <c r="AU27" s="3"/>
    </row>
    <row r="28" spans="1:47" ht="12" customHeight="1">
      <c r="A28" s="52"/>
      <c r="B28" s="403"/>
      <c r="C28" s="394" t="str">
        <f t="shared" si="0"/>
        <v>General Service 50 to 1,499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c r="AS28" s="3"/>
      <c r="AT28" s="3"/>
      <c r="AU28" s="3"/>
    </row>
    <row r="29" spans="1:47" ht="12" customHeight="1">
      <c r="A29" s="307"/>
      <c r="B29" s="404" t="s">
        <v>314</v>
      </c>
      <c r="C29" s="405"/>
      <c r="D29" s="405"/>
      <c r="E29" s="405"/>
      <c r="F29" s="406"/>
      <c r="G29" s="499"/>
      <c r="H29" s="408">
        <f>SUM(H15:H28)</f>
        <v>6507.6</v>
      </c>
      <c r="I29" s="409"/>
      <c r="J29" s="406"/>
      <c r="K29" s="499"/>
      <c r="L29" s="408">
        <f>SUM(L15:L28)</f>
        <v>8041.2999999999984</v>
      </c>
      <c r="M29" s="409"/>
      <c r="N29" s="410">
        <f t="shared" si="5"/>
        <v>1533.699999999998</v>
      </c>
      <c r="O29" s="411">
        <f t="shared" si="6"/>
        <v>0.23567828385272571</v>
      </c>
      <c r="P29" s="307"/>
      <c r="Q29" s="406"/>
      <c r="R29" s="499"/>
      <c r="S29" s="408">
        <f>SUM(S15:S28)</f>
        <v>8648.1999999999989</v>
      </c>
      <c r="T29" s="409"/>
      <c r="U29" s="410">
        <f t="shared" si="9"/>
        <v>606.90000000000055</v>
      </c>
      <c r="V29" s="411">
        <f t="shared" si="10"/>
        <v>7.5472871301903999E-2</v>
      </c>
      <c r="W29" s="307"/>
      <c r="X29" s="406"/>
      <c r="Y29" s="499"/>
      <c r="Z29" s="408">
        <f>SUM(Z15:Z28)</f>
        <v>9249.9</v>
      </c>
      <c r="AA29" s="409"/>
      <c r="AB29" s="410">
        <f t="shared" si="13"/>
        <v>601.70000000000073</v>
      </c>
      <c r="AC29" s="411">
        <f t="shared" si="14"/>
        <v>6.957517171203266E-2</v>
      </c>
      <c r="AD29" s="307"/>
      <c r="AE29" s="406"/>
      <c r="AF29" s="499"/>
      <c r="AG29" s="408">
        <f>SUM(AG15:AG28)</f>
        <v>9584.9</v>
      </c>
      <c r="AH29" s="409"/>
      <c r="AI29" s="410">
        <f t="shared" si="17"/>
        <v>335</v>
      </c>
      <c r="AJ29" s="411">
        <f t="shared" si="18"/>
        <v>3.6216607747110781E-2</v>
      </c>
      <c r="AK29" s="307"/>
      <c r="AL29" s="406"/>
      <c r="AM29" s="499"/>
      <c r="AN29" s="408">
        <f>SUM(AN15:AN28)</f>
        <v>9891.8000000000011</v>
      </c>
      <c r="AO29" s="409"/>
      <c r="AP29" s="410">
        <f t="shared" si="21"/>
        <v>306.90000000000146</v>
      </c>
      <c r="AQ29" s="411">
        <f t="shared" si="22"/>
        <v>3.2019113397114364E-2</v>
      </c>
      <c r="AR29" s="412"/>
      <c r="AS29" s="3"/>
      <c r="AT29" s="3"/>
      <c r="AU29" s="3"/>
    </row>
    <row r="30" spans="1:47" ht="12" customHeight="1">
      <c r="A30" s="52"/>
      <c r="B30" s="403" t="s">
        <v>237</v>
      </c>
      <c r="C30" s="394" t="str">
        <f t="shared" ref="C30:C38" si="23">D$6&amp;"."&amp;B30</f>
        <v>General Service 50 to 1,499 KW.DVA Disposition Rate Rider Group 1 -2025</v>
      </c>
      <c r="D30" s="395" t="s">
        <v>381</v>
      </c>
      <c r="E30" s="321"/>
      <c r="F30" s="413">
        <f>IFERROR(VLOOKUP($C30,'Proposed Rates'!$B:$J,F$11,FALSE),0)</f>
        <v>0.35310000000000002</v>
      </c>
      <c r="G30" s="414">
        <f t="shared" ref="G30:G36" si="24">IF($D30="Monthly",1,IF($D30="per KW",$F$10,IF($D30="per kWh",$F$9,0)))</f>
        <v>1000</v>
      </c>
      <c r="H30" s="399">
        <f t="shared" ref="H30:H38" si="25">G30*F30</f>
        <v>353.1</v>
      </c>
      <c r="I30" s="132"/>
      <c r="J30" s="413">
        <f>IFERROR(VLOOKUP($C30,'Proposed Rates'!$B:$J,J$11,FALSE),0)</f>
        <v>7.3000000000000001E-3</v>
      </c>
      <c r="K30" s="414">
        <f t="shared" ref="K30:K36" si="26">IF($D30="Monthly",1,IF($D30="per KW",$F$10,IF($D30="per kWh",$F$9,0)))</f>
        <v>1000</v>
      </c>
      <c r="L30" s="399">
        <f t="shared" ref="L30:L38" si="27">K30*J30</f>
        <v>7.3</v>
      </c>
      <c r="M30" s="132"/>
      <c r="N30" s="400">
        <f t="shared" si="5"/>
        <v>-345.8</v>
      </c>
      <c r="O30" s="401">
        <f t="shared" si="6"/>
        <v>-0.97932596998017551</v>
      </c>
      <c r="P30" s="52"/>
      <c r="Q30" s="413">
        <f>IFERROR(VLOOKUP($C30,'Proposed Rates'!$B:$J,Q$11,FALSE),0)</f>
        <v>0</v>
      </c>
      <c r="R30" s="414">
        <f t="shared" ref="R30:R36" si="28">IF($D30="Monthly",1,IF($D30="per KW",$F$10,IF($D30="per kWh",$F$9,0)))</f>
        <v>1000</v>
      </c>
      <c r="S30" s="399">
        <f t="shared" ref="S30:S38" si="29">R30*Q30</f>
        <v>0</v>
      </c>
      <c r="T30" s="132"/>
      <c r="U30" s="400">
        <f t="shared" si="9"/>
        <v>-7.3</v>
      </c>
      <c r="V30" s="401">
        <f t="shared" si="10"/>
        <v>-1</v>
      </c>
      <c r="W30" s="52"/>
      <c r="X30" s="413">
        <f>IFERROR(VLOOKUP($C30,'Proposed Rates'!$B:$J,X$11,FALSE),0)</f>
        <v>0</v>
      </c>
      <c r="Y30" s="414">
        <f t="shared" ref="Y30:Y36" si="30">IF($D30="Monthly",1,IF($D30="per KW",$F$10,IF($D30="per kWh",$F$9,0)))</f>
        <v>1000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1000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1000</v>
      </c>
      <c r="AN30" s="399">
        <f t="shared" ref="AN30:AN38" si="35">AM30*AL30</f>
        <v>0</v>
      </c>
      <c r="AO30" s="132"/>
      <c r="AP30" s="400">
        <f t="shared" si="21"/>
        <v>0</v>
      </c>
      <c r="AQ30" s="401" t="str">
        <f t="shared" si="22"/>
        <v/>
      </c>
      <c r="AR30" s="402"/>
      <c r="AS30" s="3"/>
      <c r="AT30" s="3"/>
      <c r="AU30" s="3"/>
    </row>
    <row r="31" spans="1:47" ht="12" customHeight="1">
      <c r="A31" s="52"/>
      <c r="B31" s="403" t="s">
        <v>239</v>
      </c>
      <c r="C31" s="394" t="str">
        <f t="shared" si="23"/>
        <v>General Service 50 to 1,499 KW.DVA Disposition Rate Rider Group 1 - 2024</v>
      </c>
      <c r="D31" s="395" t="s">
        <v>381</v>
      </c>
      <c r="E31" s="321"/>
      <c r="F31" s="413">
        <f>IFERROR(VLOOKUP($C31,'Proposed Rates'!$B:$J,F$11,FALSE),0)</f>
        <v>0</v>
      </c>
      <c r="G31" s="414">
        <f t="shared" si="24"/>
        <v>1000</v>
      </c>
      <c r="H31" s="399">
        <f t="shared" si="25"/>
        <v>0</v>
      </c>
      <c r="I31" s="132"/>
      <c r="J31" s="413">
        <f>IFERROR(VLOOKUP($C31,'Proposed Rates'!$B:$J,J$11,FALSE),0)</f>
        <v>0</v>
      </c>
      <c r="K31" s="414">
        <f t="shared" si="26"/>
        <v>1000</v>
      </c>
      <c r="L31" s="399">
        <f t="shared" si="27"/>
        <v>0</v>
      </c>
      <c r="M31" s="132"/>
      <c r="N31" s="400">
        <f t="shared" si="5"/>
        <v>0</v>
      </c>
      <c r="O31" s="401" t="str">
        <f t="shared" si="6"/>
        <v/>
      </c>
      <c r="P31" s="52"/>
      <c r="Q31" s="413">
        <f>IFERROR(VLOOKUP($C31,'Proposed Rates'!$B:$J,Q$11,FALSE),0)</f>
        <v>0</v>
      </c>
      <c r="R31" s="414">
        <f t="shared" si="28"/>
        <v>1000</v>
      </c>
      <c r="S31" s="399">
        <f t="shared" si="29"/>
        <v>0</v>
      </c>
      <c r="T31" s="132"/>
      <c r="U31" s="400">
        <f t="shared" si="9"/>
        <v>0</v>
      </c>
      <c r="V31" s="401" t="str">
        <f t="shared" si="10"/>
        <v/>
      </c>
      <c r="W31" s="52"/>
      <c r="X31" s="413">
        <f>IFERROR(VLOOKUP($C31,'Proposed Rates'!$B:$J,X$11,FALSE),0)</f>
        <v>0</v>
      </c>
      <c r="Y31" s="414">
        <f t="shared" si="30"/>
        <v>1000</v>
      </c>
      <c r="Z31" s="399">
        <f t="shared" si="31"/>
        <v>0</v>
      </c>
      <c r="AA31" s="132"/>
      <c r="AB31" s="400">
        <f t="shared" si="13"/>
        <v>0</v>
      </c>
      <c r="AC31" s="401" t="str">
        <f t="shared" si="14"/>
        <v/>
      </c>
      <c r="AD31" s="52"/>
      <c r="AE31" s="413">
        <f>IFERROR(VLOOKUP($C31,'Proposed Rates'!$B:$J,AE$11,FALSE),0)</f>
        <v>0</v>
      </c>
      <c r="AF31" s="414">
        <f t="shared" si="32"/>
        <v>1000</v>
      </c>
      <c r="AG31" s="399">
        <f t="shared" si="33"/>
        <v>0</v>
      </c>
      <c r="AH31" s="132"/>
      <c r="AI31" s="400">
        <f t="shared" si="17"/>
        <v>0</v>
      </c>
      <c r="AJ31" s="401" t="str">
        <f t="shared" si="18"/>
        <v/>
      </c>
      <c r="AK31" s="52"/>
      <c r="AL31" s="413">
        <f>IFERROR(VLOOKUP($C31,'Proposed Rates'!$B:$J,AL$11,FALSE),0)</f>
        <v>0</v>
      </c>
      <c r="AM31" s="414">
        <f t="shared" si="34"/>
        <v>1000</v>
      </c>
      <c r="AN31" s="399">
        <f t="shared" si="35"/>
        <v>0</v>
      </c>
      <c r="AO31" s="132"/>
      <c r="AP31" s="400">
        <f t="shared" si="21"/>
        <v>0</v>
      </c>
      <c r="AQ31" s="401" t="str">
        <f t="shared" si="22"/>
        <v/>
      </c>
      <c r="AR31" s="402"/>
      <c r="AS31" s="3"/>
      <c r="AT31" s="3"/>
      <c r="AU31" s="3"/>
    </row>
    <row r="32" spans="1:47" ht="12" customHeight="1">
      <c r="A32" s="52"/>
      <c r="B32" s="403" t="s">
        <v>247</v>
      </c>
      <c r="C32" s="394" t="str">
        <f t="shared" si="23"/>
        <v>General Service 50 to 1,499 KW.CBR Class B Rate Riders</v>
      </c>
      <c r="D32" s="395" t="s">
        <v>312</v>
      </c>
      <c r="E32" s="321"/>
      <c r="F32" s="413">
        <f>IFERROR(VLOOKUP($C32,'Proposed Rates'!$B:$J,F$11,FALSE),0)</f>
        <v>2.0000000000000001E-4</v>
      </c>
      <c r="G32" s="414">
        <f t="shared" si="24"/>
        <v>255500</v>
      </c>
      <c r="H32" s="399">
        <f t="shared" si="25"/>
        <v>51.1</v>
      </c>
      <c r="I32" s="484"/>
      <c r="J32" s="413">
        <f>IFERROR(VLOOKUP($C32,'Proposed Rates'!$B:$J,J$11,FALSE),0)</f>
        <v>4.0000000000000002E-4</v>
      </c>
      <c r="K32" s="414">
        <f t="shared" si="26"/>
        <v>255500</v>
      </c>
      <c r="L32" s="399">
        <f t="shared" si="27"/>
        <v>102.2</v>
      </c>
      <c r="M32" s="416"/>
      <c r="N32" s="400">
        <f t="shared" si="5"/>
        <v>51.1</v>
      </c>
      <c r="O32" s="401">
        <f t="shared" si="6"/>
        <v>1</v>
      </c>
      <c r="P32" s="52"/>
      <c r="Q32" s="413">
        <f>IFERROR(VLOOKUP($C32,'Proposed Rates'!$B:$J,Q$11,FALSE),0)</f>
        <v>0</v>
      </c>
      <c r="R32" s="414">
        <f t="shared" si="28"/>
        <v>255500</v>
      </c>
      <c r="S32" s="399">
        <f t="shared" si="29"/>
        <v>0</v>
      </c>
      <c r="T32" s="416"/>
      <c r="U32" s="400">
        <f t="shared" si="9"/>
        <v>-102.2</v>
      </c>
      <c r="V32" s="401">
        <f t="shared" si="10"/>
        <v>-1</v>
      </c>
      <c r="W32" s="52"/>
      <c r="X32" s="413">
        <f>IFERROR(VLOOKUP($C32,'Proposed Rates'!$B:$J,X$11,FALSE),0)</f>
        <v>0</v>
      </c>
      <c r="Y32" s="414">
        <f t="shared" si="30"/>
        <v>255500</v>
      </c>
      <c r="Z32" s="399">
        <f t="shared" si="31"/>
        <v>0</v>
      </c>
      <c r="AA32" s="132"/>
      <c r="AB32" s="400">
        <f t="shared" si="13"/>
        <v>0</v>
      </c>
      <c r="AC32" s="401" t="str">
        <f t="shared" si="14"/>
        <v/>
      </c>
      <c r="AD32" s="52"/>
      <c r="AE32" s="413">
        <f>IFERROR(VLOOKUP($C32,'Proposed Rates'!$B:$J,AE$11,FALSE),0)</f>
        <v>0</v>
      </c>
      <c r="AF32" s="414">
        <f t="shared" si="32"/>
        <v>255500</v>
      </c>
      <c r="AG32" s="399">
        <f t="shared" si="33"/>
        <v>0</v>
      </c>
      <c r="AH32" s="132"/>
      <c r="AI32" s="400">
        <f t="shared" si="17"/>
        <v>0</v>
      </c>
      <c r="AJ32" s="401" t="str">
        <f t="shared" si="18"/>
        <v/>
      </c>
      <c r="AK32" s="52"/>
      <c r="AL32" s="413">
        <f>IFERROR(VLOOKUP($C32,'Proposed Rates'!$B:$J,AL$11,FALSE),0)</f>
        <v>0</v>
      </c>
      <c r="AM32" s="414">
        <f t="shared" si="34"/>
        <v>255500</v>
      </c>
      <c r="AN32" s="399">
        <f t="shared" si="35"/>
        <v>0</v>
      </c>
      <c r="AO32" s="416"/>
      <c r="AP32" s="400">
        <f t="shared" si="21"/>
        <v>0</v>
      </c>
      <c r="AQ32" s="401" t="str">
        <f t="shared" si="22"/>
        <v/>
      </c>
      <c r="AR32" s="402"/>
      <c r="AS32" s="3"/>
      <c r="AT32" s="3"/>
      <c r="AU32" s="3"/>
    </row>
    <row r="33" spans="1:47" ht="12" customHeight="1">
      <c r="A33" s="52"/>
      <c r="B33" s="403" t="s">
        <v>252</v>
      </c>
      <c r="C33" s="394" t="str">
        <f t="shared" si="23"/>
        <v>General Service 50 to 1,499 KW.GA Rate Riders</v>
      </c>
      <c r="D33" s="395" t="s">
        <v>312</v>
      </c>
      <c r="E33" s="321"/>
      <c r="F33" s="413">
        <f>IFERROR(VLOOKUP($C33,'Proposed Rates'!$B:$J,F$11,FALSE),0)</f>
        <v>3.8999999999999998E-3</v>
      </c>
      <c r="G33" s="414">
        <f t="shared" si="24"/>
        <v>255500</v>
      </c>
      <c r="H33" s="399">
        <f t="shared" si="25"/>
        <v>996.44999999999993</v>
      </c>
      <c r="I33" s="484"/>
      <c r="J33" s="413">
        <f>IFERROR(VLOOKUP($C33,'Proposed Rates'!$B:$J,J$11,FALSE),0)</f>
        <v>4.4000000000000003E-3</v>
      </c>
      <c r="K33" s="414">
        <f t="shared" si="26"/>
        <v>255500</v>
      </c>
      <c r="L33" s="399">
        <f t="shared" si="27"/>
        <v>1124.2</v>
      </c>
      <c r="M33" s="416"/>
      <c r="N33" s="400">
        <f t="shared" si="5"/>
        <v>127.75000000000011</v>
      </c>
      <c r="O33" s="401">
        <f t="shared" si="6"/>
        <v>0.12820512820512833</v>
      </c>
      <c r="P33" s="52"/>
      <c r="Q33" s="413">
        <f>IFERROR(VLOOKUP($C33,'Proposed Rates'!$B:$J,Q$11,FALSE),0)</f>
        <v>0</v>
      </c>
      <c r="R33" s="414">
        <f t="shared" si="28"/>
        <v>255500</v>
      </c>
      <c r="S33" s="399">
        <f t="shared" si="29"/>
        <v>0</v>
      </c>
      <c r="T33" s="416"/>
      <c r="U33" s="400">
        <f t="shared" si="9"/>
        <v>-1124.2</v>
      </c>
      <c r="V33" s="401">
        <f t="shared" si="10"/>
        <v>-1</v>
      </c>
      <c r="W33" s="52"/>
      <c r="X33" s="413">
        <f>IFERROR(VLOOKUP($C33,'Proposed Rates'!$B:$J,X$11,FALSE),0)</f>
        <v>0</v>
      </c>
      <c r="Y33" s="414">
        <f t="shared" si="30"/>
        <v>255500</v>
      </c>
      <c r="Z33" s="399">
        <f t="shared" si="31"/>
        <v>0</v>
      </c>
      <c r="AA33" s="416"/>
      <c r="AB33" s="400">
        <f t="shared" si="13"/>
        <v>0</v>
      </c>
      <c r="AC33" s="401" t="str">
        <f t="shared" si="14"/>
        <v/>
      </c>
      <c r="AD33" s="52"/>
      <c r="AE33" s="413">
        <f>IFERROR(VLOOKUP($C33,'Proposed Rates'!$B:$J,AE$11,FALSE),0)</f>
        <v>0</v>
      </c>
      <c r="AF33" s="414">
        <f t="shared" si="32"/>
        <v>255500</v>
      </c>
      <c r="AG33" s="399">
        <f t="shared" si="33"/>
        <v>0</v>
      </c>
      <c r="AH33" s="416"/>
      <c r="AI33" s="400">
        <f t="shared" si="17"/>
        <v>0</v>
      </c>
      <c r="AJ33" s="401" t="str">
        <f t="shared" si="18"/>
        <v/>
      </c>
      <c r="AK33" s="52"/>
      <c r="AL33" s="413">
        <f>IFERROR(VLOOKUP($C33,'Proposed Rates'!$B:$J,AL$11,FALSE),0)</f>
        <v>0</v>
      </c>
      <c r="AM33" s="414">
        <f t="shared" si="34"/>
        <v>255500</v>
      </c>
      <c r="AN33" s="399">
        <f t="shared" si="35"/>
        <v>0</v>
      </c>
      <c r="AO33" s="416"/>
      <c r="AP33" s="400">
        <f t="shared" si="21"/>
        <v>0</v>
      </c>
      <c r="AQ33" s="401" t="str">
        <f t="shared" si="22"/>
        <v/>
      </c>
      <c r="AR33" s="402"/>
      <c r="AS33" s="3"/>
      <c r="AT33" s="3"/>
      <c r="AU33" s="3"/>
    </row>
    <row r="34" spans="1:47" ht="12" customHeight="1">
      <c r="A34" s="52"/>
      <c r="B34" s="403" t="s">
        <v>255</v>
      </c>
      <c r="C34" s="394" t="str">
        <f t="shared" si="23"/>
        <v>General Service 50 to 1,499 KW.Total Deferral/Variance Account Rate RidersYr2</v>
      </c>
      <c r="D34" s="395" t="s">
        <v>381</v>
      </c>
      <c r="E34" s="321"/>
      <c r="F34" s="413">
        <f>IFERROR(VLOOKUP($C34,'Proposed Rates'!$B:$J,F$11,FALSE),0)</f>
        <v>-0.30499999999999999</v>
      </c>
      <c r="G34" s="414">
        <f t="shared" si="24"/>
        <v>1000</v>
      </c>
      <c r="H34" s="399">
        <f t="shared" si="25"/>
        <v>-305</v>
      </c>
      <c r="I34" s="484"/>
      <c r="J34" s="413">
        <f>IFERROR(VLOOKUP($C34,'Proposed Rates'!$B:$J,J$11,FALSE),0)</f>
        <v>-0.21779999999999999</v>
      </c>
      <c r="K34" s="414">
        <f t="shared" si="26"/>
        <v>1000</v>
      </c>
      <c r="L34" s="399">
        <f t="shared" si="27"/>
        <v>-217.79999999999998</v>
      </c>
      <c r="M34" s="416"/>
      <c r="N34" s="400">
        <f t="shared" si="5"/>
        <v>87.200000000000017</v>
      </c>
      <c r="O34" s="401">
        <f t="shared" si="6"/>
        <v>-0.28590163934426233</v>
      </c>
      <c r="P34" s="52"/>
      <c r="Q34" s="413">
        <f>IFERROR(VLOOKUP($C34,'Proposed Rates'!$B:$J,Q$11,FALSE),0)</f>
        <v>0</v>
      </c>
      <c r="R34" s="414">
        <f t="shared" si="28"/>
        <v>1000</v>
      </c>
      <c r="S34" s="399">
        <f t="shared" si="29"/>
        <v>0</v>
      </c>
      <c r="T34" s="416"/>
      <c r="U34" s="400">
        <f t="shared" si="9"/>
        <v>217.79999999999998</v>
      </c>
      <c r="V34" s="401">
        <f t="shared" si="10"/>
        <v>-1</v>
      </c>
      <c r="W34" s="52"/>
      <c r="X34" s="413">
        <f>IFERROR(VLOOKUP($C34,'Proposed Rates'!$B:$J,X$11,FALSE),0)</f>
        <v>0</v>
      </c>
      <c r="Y34" s="414">
        <f t="shared" si="30"/>
        <v>1000</v>
      </c>
      <c r="Z34" s="399">
        <f t="shared" si="31"/>
        <v>0</v>
      </c>
      <c r="AA34" s="416"/>
      <c r="AB34" s="400">
        <f t="shared" si="13"/>
        <v>0</v>
      </c>
      <c r="AC34" s="401" t="str">
        <f t="shared" si="14"/>
        <v/>
      </c>
      <c r="AD34" s="52"/>
      <c r="AE34" s="413">
        <f>IFERROR(VLOOKUP($C34,'Proposed Rates'!$B:$J,AE$11,FALSE),0)</f>
        <v>0</v>
      </c>
      <c r="AF34" s="414">
        <f t="shared" si="32"/>
        <v>1000</v>
      </c>
      <c r="AG34" s="399">
        <f t="shared" si="33"/>
        <v>0</v>
      </c>
      <c r="AH34" s="416"/>
      <c r="AI34" s="400">
        <f t="shared" si="17"/>
        <v>0</v>
      </c>
      <c r="AJ34" s="401" t="str">
        <f t="shared" si="18"/>
        <v/>
      </c>
      <c r="AK34" s="52"/>
      <c r="AL34" s="413">
        <f>IFERROR(VLOOKUP($C34,'Proposed Rates'!$B:$J,AL$11,FALSE),0)</f>
        <v>0</v>
      </c>
      <c r="AM34" s="414">
        <f t="shared" si="34"/>
        <v>1000</v>
      </c>
      <c r="AN34" s="399">
        <f t="shared" si="35"/>
        <v>0</v>
      </c>
      <c r="AO34" s="416"/>
      <c r="AP34" s="400">
        <f t="shared" si="21"/>
        <v>0</v>
      </c>
      <c r="AQ34" s="401" t="str">
        <f t="shared" si="22"/>
        <v/>
      </c>
      <c r="AR34" s="402"/>
      <c r="AS34" s="3"/>
      <c r="AT34" s="3"/>
      <c r="AU34" s="3"/>
    </row>
    <row r="35" spans="1:47" ht="12" customHeight="1">
      <c r="A35" s="52"/>
      <c r="B35" s="403" t="s">
        <v>257</v>
      </c>
      <c r="C35" s="394" t="str">
        <f t="shared" si="23"/>
        <v>General Service 50 to 1,499 KW.Total Deferral/Variance Account Rate Riders</v>
      </c>
      <c r="D35" s="395" t="s">
        <v>381</v>
      </c>
      <c r="E35" s="321"/>
      <c r="F35" s="413">
        <f>IFERROR(VLOOKUP($C35,'Proposed Rates'!$B:$J,F$11,FALSE),0)</f>
        <v>0</v>
      </c>
      <c r="G35" s="414">
        <f t="shared" si="24"/>
        <v>1000</v>
      </c>
      <c r="H35" s="399">
        <f t="shared" si="25"/>
        <v>0</v>
      </c>
      <c r="I35" s="132"/>
      <c r="J35" s="413">
        <f>IFERROR(VLOOKUP($C35,'Proposed Rates'!$B:$J,J$11,FALSE),0)</f>
        <v>0</v>
      </c>
      <c r="K35" s="414">
        <f t="shared" si="26"/>
        <v>1000</v>
      </c>
      <c r="L35" s="399">
        <f t="shared" si="27"/>
        <v>0</v>
      </c>
      <c r="M35" s="132"/>
      <c r="N35" s="400">
        <f t="shared" si="5"/>
        <v>0</v>
      </c>
      <c r="O35" s="401" t="str">
        <f t="shared" si="6"/>
        <v/>
      </c>
      <c r="P35" s="52"/>
      <c r="Q35" s="413">
        <f>IFERROR(VLOOKUP($C35,'Proposed Rates'!$B:$J,Q$11,FALSE),0)</f>
        <v>0</v>
      </c>
      <c r="R35" s="414">
        <f t="shared" si="28"/>
        <v>1000</v>
      </c>
      <c r="S35" s="399">
        <f t="shared" si="29"/>
        <v>0</v>
      </c>
      <c r="T35" s="132"/>
      <c r="U35" s="400">
        <f t="shared" si="9"/>
        <v>0</v>
      </c>
      <c r="V35" s="401" t="str">
        <f t="shared" si="10"/>
        <v/>
      </c>
      <c r="W35" s="52"/>
      <c r="X35" s="413">
        <f>IFERROR(VLOOKUP($C35,'Proposed Rates'!$B:$J,X$11,FALSE),0)</f>
        <v>0</v>
      </c>
      <c r="Y35" s="414">
        <f t="shared" si="30"/>
        <v>1000</v>
      </c>
      <c r="Z35" s="399">
        <f t="shared" si="31"/>
        <v>0</v>
      </c>
      <c r="AA35" s="132"/>
      <c r="AB35" s="400">
        <f t="shared" si="13"/>
        <v>0</v>
      </c>
      <c r="AC35" s="401" t="str">
        <f t="shared" si="14"/>
        <v/>
      </c>
      <c r="AD35" s="52"/>
      <c r="AE35" s="413">
        <f>IFERROR(VLOOKUP($C35,'Proposed Rates'!$B:$J,AE$11,FALSE),0)</f>
        <v>0</v>
      </c>
      <c r="AF35" s="414">
        <f t="shared" si="32"/>
        <v>1000</v>
      </c>
      <c r="AG35" s="399">
        <f t="shared" si="33"/>
        <v>0</v>
      </c>
      <c r="AH35" s="132"/>
      <c r="AI35" s="400">
        <f t="shared" si="17"/>
        <v>0</v>
      </c>
      <c r="AJ35" s="401" t="str">
        <f t="shared" si="18"/>
        <v/>
      </c>
      <c r="AK35" s="52"/>
      <c r="AL35" s="413">
        <f>IFERROR(VLOOKUP($C35,'Proposed Rates'!$B:$J,AL$11,FALSE),0)</f>
        <v>0</v>
      </c>
      <c r="AM35" s="414">
        <f t="shared" si="34"/>
        <v>1000</v>
      </c>
      <c r="AN35" s="399">
        <f t="shared" si="35"/>
        <v>0</v>
      </c>
      <c r="AO35" s="132"/>
      <c r="AP35" s="400">
        <f t="shared" si="21"/>
        <v>0</v>
      </c>
      <c r="AQ35" s="401" t="str">
        <f t="shared" si="22"/>
        <v/>
      </c>
      <c r="AR35" s="402"/>
      <c r="AS35" s="3"/>
      <c r="AT35" s="3"/>
      <c r="AU35" s="3"/>
    </row>
    <row r="36" spans="1:47" ht="12" customHeight="1">
      <c r="A36" s="52"/>
      <c r="B36" s="321" t="s">
        <v>273</v>
      </c>
      <c r="C36" s="394" t="str">
        <f t="shared" si="23"/>
        <v>General Service 50 to 1,499 KW.Low Voltage Service Charge</v>
      </c>
      <c r="D36" s="395" t="s">
        <v>381</v>
      </c>
      <c r="E36" s="321"/>
      <c r="F36" s="413">
        <f>IFERROR(VLOOKUP($C36,'Proposed Rates'!$B:$J,F$11,FALSE),0)</f>
        <v>2.0629999999999999E-2</v>
      </c>
      <c r="G36" s="414">
        <f t="shared" si="24"/>
        <v>1000</v>
      </c>
      <c r="H36" s="399">
        <f t="shared" si="25"/>
        <v>20.63</v>
      </c>
      <c r="I36" s="132"/>
      <c r="J36" s="413">
        <f>IFERROR(VLOOKUP($C36,'Proposed Rates'!$B:$J,J$11,FALSE),0)</f>
        <v>2.332E-2</v>
      </c>
      <c r="K36" s="414">
        <f t="shared" si="26"/>
        <v>1000</v>
      </c>
      <c r="L36" s="399">
        <f t="shared" si="27"/>
        <v>23.32</v>
      </c>
      <c r="M36" s="132"/>
      <c r="N36" s="400">
        <f t="shared" si="5"/>
        <v>2.6900000000000013</v>
      </c>
      <c r="O36" s="401">
        <f t="shared" si="6"/>
        <v>0.13039263208919058</v>
      </c>
      <c r="P36" s="52"/>
      <c r="Q36" s="413">
        <f>IFERROR(VLOOKUP($C36,'Proposed Rates'!$B:$J,Q$11,FALSE),0)</f>
        <v>2.392E-2</v>
      </c>
      <c r="R36" s="414">
        <f t="shared" si="28"/>
        <v>1000</v>
      </c>
      <c r="S36" s="399">
        <f t="shared" si="29"/>
        <v>23.92</v>
      </c>
      <c r="T36" s="132"/>
      <c r="U36" s="400">
        <f t="shared" si="9"/>
        <v>0.60000000000000142</v>
      </c>
      <c r="V36" s="401">
        <f t="shared" si="10"/>
        <v>2.5728987993138996E-2</v>
      </c>
      <c r="W36" s="52"/>
      <c r="X36" s="413">
        <f>IFERROR(VLOOKUP($C36,'Proposed Rates'!$B:$J,X$11,FALSE),0)</f>
        <v>2.4209999999999999E-2</v>
      </c>
      <c r="Y36" s="414">
        <f t="shared" si="30"/>
        <v>1000</v>
      </c>
      <c r="Z36" s="399">
        <f t="shared" si="31"/>
        <v>24.209999999999997</v>
      </c>
      <c r="AA36" s="132"/>
      <c r="AB36" s="400">
        <f t="shared" si="13"/>
        <v>0.28999999999999559</v>
      </c>
      <c r="AC36" s="401">
        <f t="shared" si="14"/>
        <v>1.2123745819397808E-2</v>
      </c>
      <c r="AD36" s="52"/>
      <c r="AE36" s="413">
        <f>IFERROR(VLOOKUP($C36,'Proposed Rates'!$B:$J,AE$11,FALSE),0)</f>
        <v>2.46E-2</v>
      </c>
      <c r="AF36" s="414">
        <f t="shared" si="32"/>
        <v>1000</v>
      </c>
      <c r="AG36" s="399">
        <f t="shared" si="33"/>
        <v>24.6</v>
      </c>
      <c r="AH36" s="132"/>
      <c r="AI36" s="400">
        <f t="shared" si="17"/>
        <v>0.39000000000000412</v>
      </c>
      <c r="AJ36" s="401">
        <f t="shared" si="18"/>
        <v>1.6109045848822973E-2</v>
      </c>
      <c r="AK36" s="52"/>
      <c r="AL36" s="413">
        <f>IFERROR(VLOOKUP($C36,'Proposed Rates'!$B:$J,AL$11,FALSE),0)</f>
        <v>2.504E-2</v>
      </c>
      <c r="AM36" s="414">
        <f t="shared" si="34"/>
        <v>1000</v>
      </c>
      <c r="AN36" s="399">
        <f t="shared" si="35"/>
        <v>25.04</v>
      </c>
      <c r="AO36" s="132"/>
      <c r="AP36" s="400">
        <f t="shared" si="21"/>
        <v>0.43999999999999773</v>
      </c>
      <c r="AQ36" s="401">
        <f t="shared" si="22"/>
        <v>1.7886178861788525E-2</v>
      </c>
      <c r="AR36" s="402"/>
      <c r="AS36" s="3"/>
      <c r="AT36" s="3"/>
      <c r="AU36" s="3"/>
    </row>
    <row r="37" spans="1:47" ht="12" customHeight="1">
      <c r="A37" s="52"/>
      <c r="B37" s="321" t="s">
        <v>316</v>
      </c>
      <c r="C37" s="394" t="str">
        <f t="shared" si="23"/>
        <v>General Service 50 to 1,499 KW.Line Losses on Cost of Power</v>
      </c>
      <c r="D37" s="395" t="s">
        <v>312</v>
      </c>
      <c r="E37" s="321"/>
      <c r="F37" s="429"/>
      <c r="G37" s="420">
        <f>$F$9*(1+F$65)-$F$9</f>
        <v>8635.9000000000233</v>
      </c>
      <c r="H37" s="399">
        <f t="shared" si="25"/>
        <v>0</v>
      </c>
      <c r="I37" s="132"/>
      <c r="J37" s="429"/>
      <c r="K37" s="420">
        <f>$F$9*(1+J$65)-$F$9</f>
        <v>8482.5999999999767</v>
      </c>
      <c r="L37" s="399">
        <f t="shared" si="27"/>
        <v>0</v>
      </c>
      <c r="M37" s="132"/>
      <c r="N37" s="400">
        <f t="shared" si="5"/>
        <v>0</v>
      </c>
      <c r="O37" s="401" t="str">
        <f t="shared" si="6"/>
        <v/>
      </c>
      <c r="P37" s="52"/>
      <c r="Q37" s="429"/>
      <c r="R37" s="420">
        <f>$F$9*(1+Q$65)-$F$9</f>
        <v>8482.5999999999767</v>
      </c>
      <c r="S37" s="399">
        <f t="shared" si="29"/>
        <v>0</v>
      </c>
      <c r="T37" s="132"/>
      <c r="U37" s="400">
        <f t="shared" si="9"/>
        <v>0</v>
      </c>
      <c r="V37" s="401" t="str">
        <f t="shared" si="10"/>
        <v/>
      </c>
      <c r="W37" s="52"/>
      <c r="X37" s="429"/>
      <c r="Y37" s="420">
        <f>$F$9*(1+X$65)-$F$9</f>
        <v>8482.5999999999767</v>
      </c>
      <c r="Z37" s="399">
        <f t="shared" si="31"/>
        <v>0</v>
      </c>
      <c r="AA37" s="132"/>
      <c r="AB37" s="400">
        <f t="shared" si="13"/>
        <v>0</v>
      </c>
      <c r="AC37" s="401" t="str">
        <f t="shared" si="14"/>
        <v/>
      </c>
      <c r="AD37" s="52"/>
      <c r="AE37" s="429"/>
      <c r="AF37" s="420">
        <f>$F$9*(1+AE$65)-$F$9</f>
        <v>8482.5999999999767</v>
      </c>
      <c r="AG37" s="399">
        <f t="shared" si="33"/>
        <v>0</v>
      </c>
      <c r="AH37" s="132"/>
      <c r="AI37" s="400">
        <f t="shared" si="17"/>
        <v>0</v>
      </c>
      <c r="AJ37" s="401" t="str">
        <f t="shared" si="18"/>
        <v/>
      </c>
      <c r="AK37" s="52"/>
      <c r="AL37" s="429"/>
      <c r="AM37" s="420">
        <f>$F$9*(1+AL$65)-$F$9</f>
        <v>8482.5999999999767</v>
      </c>
      <c r="AN37" s="399">
        <f t="shared" si="35"/>
        <v>0</v>
      </c>
      <c r="AO37" s="132"/>
      <c r="AP37" s="400">
        <f t="shared" si="21"/>
        <v>0</v>
      </c>
      <c r="AQ37" s="401" t="str">
        <f t="shared" si="22"/>
        <v/>
      </c>
      <c r="AR37" s="402"/>
      <c r="AS37" s="3"/>
      <c r="AT37" s="3"/>
      <c r="AU37" s="3"/>
    </row>
    <row r="38" spans="1:47" ht="12" customHeight="1">
      <c r="A38" s="52"/>
      <c r="B38" s="321" t="s">
        <v>275</v>
      </c>
      <c r="C38" s="394" t="str">
        <f t="shared" si="23"/>
        <v>General Service 50 to 1,499 KW.Smart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13"/>
        <v>0</v>
      </c>
      <c r="AC38" s="401" t="str">
        <f t="shared" si="14"/>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c r="AS38" s="3"/>
      <c r="AT38" s="3"/>
      <c r="AU38" s="3"/>
    </row>
    <row r="39" spans="1:47" ht="12" customHeight="1">
      <c r="A39" s="52"/>
      <c r="B39" s="404" t="s">
        <v>317</v>
      </c>
      <c r="C39" s="421"/>
      <c r="D39" s="421"/>
      <c r="E39" s="421"/>
      <c r="F39" s="422"/>
      <c r="G39" s="500"/>
      <c r="H39" s="408">
        <f>SUM(H30:H38)+H29</f>
        <v>7623.880000000001</v>
      </c>
      <c r="I39" s="424"/>
      <c r="J39" s="422"/>
      <c r="K39" s="500"/>
      <c r="L39" s="408">
        <f>SUM(L30:L38)+L29</f>
        <v>9080.5199999999986</v>
      </c>
      <c r="M39" s="424"/>
      <c r="N39" s="410">
        <f t="shared" si="5"/>
        <v>1456.6399999999976</v>
      </c>
      <c r="O39" s="411">
        <f t="shared" si="6"/>
        <v>0.19106281840742476</v>
      </c>
      <c r="P39" s="52"/>
      <c r="Q39" s="422"/>
      <c r="R39" s="500"/>
      <c r="S39" s="408">
        <f>SUM(S30:S38)+S29</f>
        <v>8672.119999999999</v>
      </c>
      <c r="T39" s="424"/>
      <c r="U39" s="410">
        <f t="shared" si="9"/>
        <v>-408.39999999999964</v>
      </c>
      <c r="V39" s="411">
        <f t="shared" si="10"/>
        <v>-4.4975397884702603E-2</v>
      </c>
      <c r="W39" s="52"/>
      <c r="X39" s="422"/>
      <c r="Y39" s="500"/>
      <c r="Z39" s="408">
        <f>SUM(Z30:Z38)+Z29</f>
        <v>9274.1099999999988</v>
      </c>
      <c r="AA39" s="424"/>
      <c r="AB39" s="410">
        <f t="shared" si="13"/>
        <v>601.98999999999978</v>
      </c>
      <c r="AC39" s="411">
        <f t="shared" si="14"/>
        <v>6.9416705488392669E-2</v>
      </c>
      <c r="AD39" s="52"/>
      <c r="AE39" s="422"/>
      <c r="AF39" s="500"/>
      <c r="AG39" s="408">
        <f>SUM(AG30:AG38)+AG29</f>
        <v>9609.5</v>
      </c>
      <c r="AH39" s="424"/>
      <c r="AI39" s="410">
        <f t="shared" si="17"/>
        <v>335.39000000000124</v>
      </c>
      <c r="AJ39" s="411">
        <f t="shared" si="18"/>
        <v>3.616411709587241E-2</v>
      </c>
      <c r="AK39" s="52"/>
      <c r="AL39" s="422"/>
      <c r="AM39" s="500"/>
      <c r="AN39" s="408">
        <f>SUM(AN30:AN38)+AN29</f>
        <v>9916.840000000002</v>
      </c>
      <c r="AO39" s="424"/>
      <c r="AP39" s="410">
        <f t="shared" si="21"/>
        <v>307.34000000000196</v>
      </c>
      <c r="AQ39" s="411">
        <f t="shared" si="22"/>
        <v>3.1982933555336067E-2</v>
      </c>
      <c r="AR39" s="412"/>
      <c r="AS39" s="3"/>
      <c r="AT39" s="3"/>
      <c r="AU39" s="3"/>
    </row>
    <row r="40" spans="1:47" ht="12" customHeight="1">
      <c r="A40" s="52"/>
      <c r="B40" s="132" t="s">
        <v>258</v>
      </c>
      <c r="C40" s="394" t="str">
        <f t="shared" ref="C40:C41" si="36">D$6&amp;"."&amp;B40</f>
        <v>General Service 50 to 1,499 KW.RTSR - Network</v>
      </c>
      <c r="D40" s="425" t="s">
        <v>381</v>
      </c>
      <c r="E40" s="132"/>
      <c r="F40" s="413">
        <f>IFERROR(VLOOKUP($C40,'Proposed Rates'!$B:$J,F$11,FALSE),0)</f>
        <v>4.8479999999999999</v>
      </c>
      <c r="G40" s="414">
        <f t="shared" ref="G40:G41" si="37">IF($D40="Monthly",1,IF($D40="per KW",$F$10,IF($D40="per kWh",$F$9,0)))</f>
        <v>1000</v>
      </c>
      <c r="H40" s="399">
        <f t="shared" ref="H40:H41" si="38">G40*F40</f>
        <v>4848</v>
      </c>
      <c r="I40" s="132"/>
      <c r="J40" s="413">
        <f>IFERROR(VLOOKUP($C40,'Proposed Rates'!$B:$J,J$11,FALSE),0)</f>
        <v>4.5787000000000004</v>
      </c>
      <c r="K40" s="414">
        <f t="shared" ref="K40:K41" si="39">IF($D40="Monthly",1,IF($D40="per KW",$F$10,IF($D40="per kWh",$F$9,0)))</f>
        <v>1000</v>
      </c>
      <c r="L40" s="399">
        <f t="shared" ref="L40:L41" si="40">K40*J40</f>
        <v>4578.7000000000007</v>
      </c>
      <c r="M40" s="132"/>
      <c r="N40" s="400">
        <f t="shared" si="5"/>
        <v>-269.29999999999927</v>
      </c>
      <c r="O40" s="401">
        <f t="shared" si="6"/>
        <v>-5.5548679867986651E-2</v>
      </c>
      <c r="P40" s="52"/>
      <c r="Q40" s="413">
        <f>IFERROR(VLOOKUP($C40,'Proposed Rates'!$B:$J,Q$11,FALSE),0)</f>
        <v>4.5787000000000004</v>
      </c>
      <c r="R40" s="414">
        <f t="shared" ref="R40:R41" si="41">IF($D40="Monthly",1,IF($D40="per KW",$F$10,IF($D40="per kWh",$F$9,0)))</f>
        <v>1000</v>
      </c>
      <c r="S40" s="399">
        <f t="shared" ref="S40:S41" si="42">R40*Q40</f>
        <v>4578.7000000000007</v>
      </c>
      <c r="T40" s="132"/>
      <c r="U40" s="400">
        <f t="shared" si="9"/>
        <v>0</v>
      </c>
      <c r="V40" s="401">
        <f t="shared" si="10"/>
        <v>0</v>
      </c>
      <c r="W40" s="52"/>
      <c r="X40" s="413">
        <f>IFERROR(VLOOKUP($C40,'Proposed Rates'!$B:$J,X$11,FALSE),0)</f>
        <v>4.5787000000000004</v>
      </c>
      <c r="Y40" s="414">
        <f t="shared" ref="Y40:Y41" si="43">IF($D40="Monthly",1,IF($D40="per KW",$F$10,IF($D40="per kWh",$F$9,0)))</f>
        <v>1000</v>
      </c>
      <c r="Z40" s="399">
        <f t="shared" ref="Z40:Z41" si="44">Y40*X40</f>
        <v>4578.7000000000007</v>
      </c>
      <c r="AA40" s="132"/>
      <c r="AB40" s="400">
        <f t="shared" si="13"/>
        <v>0</v>
      </c>
      <c r="AC40" s="401">
        <f t="shared" si="14"/>
        <v>0</v>
      </c>
      <c r="AD40" s="52"/>
      <c r="AE40" s="413">
        <f>IFERROR(VLOOKUP($C40,'Proposed Rates'!$B:$J,AE$11,FALSE),0)</f>
        <v>4.5787000000000004</v>
      </c>
      <c r="AF40" s="414">
        <f t="shared" ref="AF40:AF41" si="45">IF($D40="Monthly",1,IF($D40="per KW",$F$10,IF($D40="per kWh",$F$9,0)))</f>
        <v>1000</v>
      </c>
      <c r="AG40" s="399">
        <f t="shared" ref="AG40:AG41" si="46">AF40*AE40</f>
        <v>4578.7000000000007</v>
      </c>
      <c r="AH40" s="132"/>
      <c r="AI40" s="400">
        <f t="shared" si="17"/>
        <v>0</v>
      </c>
      <c r="AJ40" s="401">
        <f t="shared" si="18"/>
        <v>0</v>
      </c>
      <c r="AK40" s="52"/>
      <c r="AL40" s="413">
        <f>IFERROR(VLOOKUP($C40,'Proposed Rates'!$B:$J,AL$11,FALSE),0)</f>
        <v>4.5787000000000004</v>
      </c>
      <c r="AM40" s="414">
        <f t="shared" ref="AM40:AM41" si="47">IF($D40="Monthly",1,IF($D40="per KW",$F$10,IF($D40="per kWh",$F$9,0)))</f>
        <v>1000</v>
      </c>
      <c r="AN40" s="399">
        <f t="shared" ref="AN40:AN41" si="48">AM40*AL40</f>
        <v>4578.7000000000007</v>
      </c>
      <c r="AO40" s="132"/>
      <c r="AP40" s="400">
        <f t="shared" si="21"/>
        <v>0</v>
      </c>
      <c r="AQ40" s="401">
        <f t="shared" si="22"/>
        <v>0</v>
      </c>
      <c r="AR40" s="402"/>
      <c r="AS40" s="3"/>
      <c r="AT40" s="3"/>
      <c r="AU40" s="3"/>
    </row>
    <row r="41" spans="1:47" ht="12" customHeight="1">
      <c r="A41" s="52"/>
      <c r="B41" s="132" t="s">
        <v>261</v>
      </c>
      <c r="C41" s="394" t="str">
        <f t="shared" si="36"/>
        <v>General Service 50 to 1,499 KW.RTSR - Line and Transformation Connection</v>
      </c>
      <c r="D41" s="425" t="s">
        <v>381</v>
      </c>
      <c r="E41" s="132"/>
      <c r="F41" s="413">
        <f>IFERROR(VLOOKUP($C41,'Proposed Rates'!$B:$J,F$11,FALSE),0)</f>
        <v>2.8187000000000002</v>
      </c>
      <c r="G41" s="414">
        <f t="shared" si="37"/>
        <v>1000</v>
      </c>
      <c r="H41" s="399">
        <f t="shared" si="38"/>
        <v>2818.7000000000003</v>
      </c>
      <c r="I41" s="132"/>
      <c r="J41" s="413">
        <f>IFERROR(VLOOKUP($C41,'Proposed Rates'!$B:$J,J$11,FALSE),0)</f>
        <v>2.5918000000000001</v>
      </c>
      <c r="K41" s="414">
        <f t="shared" si="39"/>
        <v>1000</v>
      </c>
      <c r="L41" s="399">
        <f t="shared" si="40"/>
        <v>2591.8000000000002</v>
      </c>
      <c r="M41" s="132"/>
      <c r="N41" s="400">
        <f t="shared" si="5"/>
        <v>-226.90000000000009</v>
      </c>
      <c r="O41" s="401">
        <f t="shared" si="6"/>
        <v>-8.0498101961897356E-2</v>
      </c>
      <c r="P41" s="52"/>
      <c r="Q41" s="413">
        <f>IFERROR(VLOOKUP($C41,'Proposed Rates'!$B:$J,Q$11,FALSE),0)</f>
        <v>2.5918000000000001</v>
      </c>
      <c r="R41" s="414">
        <f t="shared" si="41"/>
        <v>1000</v>
      </c>
      <c r="S41" s="399">
        <f t="shared" si="42"/>
        <v>2591.8000000000002</v>
      </c>
      <c r="T41" s="132"/>
      <c r="U41" s="400">
        <f t="shared" si="9"/>
        <v>0</v>
      </c>
      <c r="V41" s="401">
        <f t="shared" si="10"/>
        <v>0</v>
      </c>
      <c r="W41" s="52"/>
      <c r="X41" s="413">
        <f>IFERROR(VLOOKUP($C41,'Proposed Rates'!$B:$J,X$11,FALSE),0)</f>
        <v>2.5918000000000001</v>
      </c>
      <c r="Y41" s="414">
        <f t="shared" si="43"/>
        <v>1000</v>
      </c>
      <c r="Z41" s="399">
        <f t="shared" si="44"/>
        <v>2591.8000000000002</v>
      </c>
      <c r="AA41" s="132"/>
      <c r="AB41" s="400">
        <f t="shared" si="13"/>
        <v>0</v>
      </c>
      <c r="AC41" s="401">
        <f t="shared" si="14"/>
        <v>0</v>
      </c>
      <c r="AD41" s="52"/>
      <c r="AE41" s="413">
        <f>IFERROR(VLOOKUP($C41,'Proposed Rates'!$B:$J,AE$11,FALSE),0)</f>
        <v>2.5918000000000001</v>
      </c>
      <c r="AF41" s="414">
        <f t="shared" si="45"/>
        <v>1000</v>
      </c>
      <c r="AG41" s="399">
        <f t="shared" si="46"/>
        <v>2591.8000000000002</v>
      </c>
      <c r="AH41" s="132"/>
      <c r="AI41" s="400">
        <f t="shared" si="17"/>
        <v>0</v>
      </c>
      <c r="AJ41" s="401">
        <f t="shared" si="18"/>
        <v>0</v>
      </c>
      <c r="AK41" s="52"/>
      <c r="AL41" s="413">
        <f>IFERROR(VLOOKUP($C41,'Proposed Rates'!$B:$J,AL$11,FALSE),0)</f>
        <v>2.5918000000000001</v>
      </c>
      <c r="AM41" s="414">
        <f t="shared" si="47"/>
        <v>1000</v>
      </c>
      <c r="AN41" s="399">
        <f t="shared" si="48"/>
        <v>2591.8000000000002</v>
      </c>
      <c r="AO41" s="132"/>
      <c r="AP41" s="400">
        <f t="shared" si="21"/>
        <v>0</v>
      </c>
      <c r="AQ41" s="401">
        <f t="shared" si="22"/>
        <v>0</v>
      </c>
      <c r="AR41" s="402"/>
      <c r="AS41" s="3"/>
      <c r="AT41" s="3"/>
      <c r="AU41" s="3"/>
    </row>
    <row r="42" spans="1:47" ht="12" customHeight="1">
      <c r="A42" s="52"/>
      <c r="B42" s="404" t="s">
        <v>318</v>
      </c>
      <c r="C42" s="426"/>
      <c r="D42" s="426"/>
      <c r="E42" s="426"/>
      <c r="F42" s="427"/>
      <c r="G42" s="500"/>
      <c r="H42" s="408">
        <f>SUM(H39:H41)</f>
        <v>15290.580000000002</v>
      </c>
      <c r="I42" s="409"/>
      <c r="J42" s="427"/>
      <c r="K42" s="500"/>
      <c r="L42" s="408">
        <f>SUM(L39:L41)</f>
        <v>16251.02</v>
      </c>
      <c r="M42" s="409"/>
      <c r="N42" s="410">
        <f t="shared" si="5"/>
        <v>960.43999999999869</v>
      </c>
      <c r="O42" s="411">
        <f t="shared" si="6"/>
        <v>6.2812529021135793E-2</v>
      </c>
      <c r="P42" s="52"/>
      <c r="Q42" s="427"/>
      <c r="R42" s="500"/>
      <c r="S42" s="408">
        <f>SUM(S39:S41)</f>
        <v>15842.619999999999</v>
      </c>
      <c r="T42" s="409"/>
      <c r="U42" s="410">
        <f t="shared" si="9"/>
        <v>-408.40000000000146</v>
      </c>
      <c r="V42" s="411">
        <f t="shared" si="10"/>
        <v>-2.5130730255700961E-2</v>
      </c>
      <c r="W42" s="52"/>
      <c r="X42" s="427"/>
      <c r="Y42" s="500"/>
      <c r="Z42" s="408">
        <f>SUM(Z39:Z41)</f>
        <v>16444.61</v>
      </c>
      <c r="AA42" s="409"/>
      <c r="AB42" s="410">
        <f t="shared" si="13"/>
        <v>601.9900000000016</v>
      </c>
      <c r="AC42" s="411">
        <f t="shared" si="14"/>
        <v>3.7998134147003565E-2</v>
      </c>
      <c r="AD42" s="52"/>
      <c r="AE42" s="427"/>
      <c r="AF42" s="500"/>
      <c r="AG42" s="408">
        <f>SUM(AG39:AG41)</f>
        <v>16780</v>
      </c>
      <c r="AH42" s="409"/>
      <c r="AI42" s="410">
        <f t="shared" si="17"/>
        <v>335.38999999999942</v>
      </c>
      <c r="AJ42" s="411">
        <f t="shared" si="18"/>
        <v>2.0395132508463223E-2</v>
      </c>
      <c r="AK42" s="52"/>
      <c r="AL42" s="427"/>
      <c r="AM42" s="500"/>
      <c r="AN42" s="408">
        <f>SUM(AN39:AN41)</f>
        <v>17087.340000000004</v>
      </c>
      <c r="AO42" s="409"/>
      <c r="AP42" s="410">
        <f t="shared" si="21"/>
        <v>307.34000000000378</v>
      </c>
      <c r="AQ42" s="411">
        <f t="shared" si="22"/>
        <v>1.8315852205006186E-2</v>
      </c>
      <c r="AR42" s="412"/>
      <c r="AS42" s="3"/>
      <c r="AT42" s="3"/>
      <c r="AU42" s="3"/>
    </row>
    <row r="43" spans="1:47" ht="12" customHeight="1">
      <c r="A43" s="52"/>
      <c r="B43" s="321" t="s">
        <v>262</v>
      </c>
      <c r="C43" s="394" t="str">
        <f t="shared" ref="C43:C45" si="49">D$6&amp;"."&amp;B43</f>
        <v>General Service 50 to 1,499 KW.Wholesale Market Service Charge (WMSC)</v>
      </c>
      <c r="D43" s="395" t="s">
        <v>312</v>
      </c>
      <c r="E43" s="321"/>
      <c r="F43" s="413">
        <f>IFERROR(VLOOKUP($C43,'Proposed Rates'!$B:$J,F$11,FALSE),0)</f>
        <v>4.4999999999999997E-3</v>
      </c>
      <c r="G43" s="420">
        <f t="shared" ref="G43:G44" si="50">$F$9+G$37</f>
        <v>264135.90000000002</v>
      </c>
      <c r="H43" s="399">
        <f t="shared" ref="H43:H46" si="51">G43*F43</f>
        <v>1188.6115500000001</v>
      </c>
      <c r="I43" s="132"/>
      <c r="J43" s="413">
        <f>IFERROR(VLOOKUP($C43,'Proposed Rates'!$B:$J,J$11,FALSE),0)</f>
        <v>4.7000000000000002E-3</v>
      </c>
      <c r="K43" s="420">
        <f t="shared" ref="K43:K44" si="52">$F$9+K$37</f>
        <v>263982.59999999998</v>
      </c>
      <c r="L43" s="399">
        <f t="shared" ref="L43:L46" si="53">K43*J43</f>
        <v>1240.71822</v>
      </c>
      <c r="M43" s="132"/>
      <c r="N43" s="400">
        <f t="shared" si="5"/>
        <v>52.106669999999895</v>
      </c>
      <c r="O43" s="401">
        <f t="shared" si="6"/>
        <v>4.3838266589282165E-2</v>
      </c>
      <c r="P43" s="52"/>
      <c r="Q43" s="413">
        <f>IFERROR(VLOOKUP($C43,'Proposed Rates'!$B:$J,Q$11,FALSE),0)</f>
        <v>4.7000000000000002E-3</v>
      </c>
      <c r="R43" s="420">
        <f t="shared" ref="R43:R44" si="54">$F$9+R$37</f>
        <v>263982.59999999998</v>
      </c>
      <c r="S43" s="399">
        <f t="shared" ref="S43:S46" si="55">R43*Q43</f>
        <v>1240.71822</v>
      </c>
      <c r="T43" s="132"/>
      <c r="U43" s="400">
        <f t="shared" si="9"/>
        <v>0</v>
      </c>
      <c r="V43" s="401">
        <f t="shared" si="10"/>
        <v>0</v>
      </c>
      <c r="W43" s="52"/>
      <c r="X43" s="413">
        <f>IFERROR(VLOOKUP($C43,'Proposed Rates'!$B:$J,X$11,FALSE),0)</f>
        <v>4.7000000000000002E-3</v>
      </c>
      <c r="Y43" s="420">
        <f t="shared" ref="Y43:Y44" si="56">$F$9+Y$37</f>
        <v>263982.59999999998</v>
      </c>
      <c r="Z43" s="399">
        <f t="shared" ref="Z43:Z46" si="57">Y43*X43</f>
        <v>1240.71822</v>
      </c>
      <c r="AA43" s="132"/>
      <c r="AB43" s="400">
        <f t="shared" si="13"/>
        <v>0</v>
      </c>
      <c r="AC43" s="401">
        <f t="shared" si="14"/>
        <v>0</v>
      </c>
      <c r="AD43" s="52"/>
      <c r="AE43" s="413">
        <f>IFERROR(VLOOKUP($C43,'Proposed Rates'!$B:$J,AE$11,FALSE),0)</f>
        <v>4.7000000000000002E-3</v>
      </c>
      <c r="AF43" s="420">
        <f t="shared" ref="AF43:AF44" si="58">$F$9+AF$37</f>
        <v>263982.59999999998</v>
      </c>
      <c r="AG43" s="399">
        <f t="shared" ref="AG43:AG46" si="59">AF43*AE43</f>
        <v>1240.71822</v>
      </c>
      <c r="AH43" s="132"/>
      <c r="AI43" s="400">
        <f t="shared" si="17"/>
        <v>0</v>
      </c>
      <c r="AJ43" s="401">
        <f t="shared" si="18"/>
        <v>0</v>
      </c>
      <c r="AK43" s="52"/>
      <c r="AL43" s="413">
        <f>IFERROR(VLOOKUP($C43,'Proposed Rates'!$B:$J,AL$11,FALSE),0)</f>
        <v>4.7000000000000002E-3</v>
      </c>
      <c r="AM43" s="420">
        <f t="shared" ref="AM43:AM44" si="60">$F$9+AM$37</f>
        <v>263982.59999999998</v>
      </c>
      <c r="AN43" s="399">
        <f t="shared" ref="AN43:AN46" si="61">AM43*AL43</f>
        <v>1240.71822</v>
      </c>
      <c r="AO43" s="132"/>
      <c r="AP43" s="400">
        <f t="shared" si="21"/>
        <v>0</v>
      </c>
      <c r="AQ43" s="401">
        <f t="shared" si="22"/>
        <v>0</v>
      </c>
      <c r="AR43" s="402"/>
      <c r="AS43" s="3"/>
      <c r="AT43" s="3"/>
      <c r="AU43" s="3"/>
    </row>
    <row r="44" spans="1:47" ht="12" customHeight="1">
      <c r="A44" s="52"/>
      <c r="B44" s="321" t="s">
        <v>263</v>
      </c>
      <c r="C44" s="394" t="str">
        <f t="shared" si="49"/>
        <v>General Service 50 to 1,499 KW.Rural and Remote Rate Protection (RRRP)</v>
      </c>
      <c r="D44" s="395" t="s">
        <v>312</v>
      </c>
      <c r="E44" s="321"/>
      <c r="F44" s="413">
        <f>IFERROR(VLOOKUP($C44,'Proposed Rates'!$B:$J,F$11,FALSE),0)</f>
        <v>1.5E-3</v>
      </c>
      <c r="G44" s="420">
        <f t="shared" si="50"/>
        <v>264135.90000000002</v>
      </c>
      <c r="H44" s="399">
        <f t="shared" si="51"/>
        <v>396.20385000000005</v>
      </c>
      <c r="I44" s="132"/>
      <c r="J44" s="413">
        <f>IFERROR(VLOOKUP($C44,'Proposed Rates'!$B:$J,J$11,FALSE),0)</f>
        <v>5.9999999999999995E-4</v>
      </c>
      <c r="K44" s="420">
        <f t="shared" si="52"/>
        <v>263982.59999999998</v>
      </c>
      <c r="L44" s="399">
        <f t="shared" si="53"/>
        <v>158.38955999999996</v>
      </c>
      <c r="M44" s="132"/>
      <c r="N44" s="400">
        <f t="shared" si="5"/>
        <v>-237.81429000000009</v>
      </c>
      <c r="O44" s="401">
        <f t="shared" si="6"/>
        <v>-0.60023215322112611</v>
      </c>
      <c r="P44" s="52"/>
      <c r="Q44" s="413">
        <f>IFERROR(VLOOKUP($C44,'Proposed Rates'!$B:$J,Q$11,FALSE),0)</f>
        <v>5.9999999999999995E-4</v>
      </c>
      <c r="R44" s="420">
        <f t="shared" si="54"/>
        <v>263982.59999999998</v>
      </c>
      <c r="S44" s="399">
        <f t="shared" si="55"/>
        <v>158.38955999999996</v>
      </c>
      <c r="T44" s="132"/>
      <c r="U44" s="400">
        <f t="shared" si="9"/>
        <v>0</v>
      </c>
      <c r="V44" s="401">
        <f t="shared" si="10"/>
        <v>0</v>
      </c>
      <c r="W44" s="52"/>
      <c r="X44" s="413">
        <f>IFERROR(VLOOKUP($C44,'Proposed Rates'!$B:$J,X$11,FALSE),0)</f>
        <v>5.9999999999999995E-4</v>
      </c>
      <c r="Y44" s="420">
        <f t="shared" si="56"/>
        <v>263982.59999999998</v>
      </c>
      <c r="Z44" s="399">
        <f t="shared" si="57"/>
        <v>158.38955999999996</v>
      </c>
      <c r="AA44" s="132"/>
      <c r="AB44" s="400">
        <f t="shared" si="13"/>
        <v>0</v>
      </c>
      <c r="AC44" s="401">
        <f t="shared" si="14"/>
        <v>0</v>
      </c>
      <c r="AD44" s="52"/>
      <c r="AE44" s="413">
        <f>IFERROR(VLOOKUP($C44,'Proposed Rates'!$B:$J,AE$11,FALSE),0)</f>
        <v>5.9999999999999995E-4</v>
      </c>
      <c r="AF44" s="420">
        <f t="shared" si="58"/>
        <v>263982.59999999998</v>
      </c>
      <c r="AG44" s="399">
        <f t="shared" si="59"/>
        <v>158.38955999999996</v>
      </c>
      <c r="AH44" s="132"/>
      <c r="AI44" s="400">
        <f t="shared" si="17"/>
        <v>0</v>
      </c>
      <c r="AJ44" s="401">
        <f t="shared" si="18"/>
        <v>0</v>
      </c>
      <c r="AK44" s="52"/>
      <c r="AL44" s="413">
        <f>IFERROR(VLOOKUP($C44,'Proposed Rates'!$B:$J,AL$11,FALSE),0)</f>
        <v>5.9999999999999995E-4</v>
      </c>
      <c r="AM44" s="420">
        <f t="shared" si="60"/>
        <v>263982.59999999998</v>
      </c>
      <c r="AN44" s="399">
        <f t="shared" si="61"/>
        <v>158.38955999999996</v>
      </c>
      <c r="AO44" s="132"/>
      <c r="AP44" s="400">
        <f t="shared" si="21"/>
        <v>0</v>
      </c>
      <c r="AQ44" s="401">
        <f t="shared" si="22"/>
        <v>0</v>
      </c>
      <c r="AR44" s="402"/>
      <c r="AS44" s="3"/>
      <c r="AT44" s="3"/>
      <c r="AU44" s="3"/>
    </row>
    <row r="45" spans="1:47" ht="12" customHeight="1">
      <c r="A45" s="52"/>
      <c r="B45" s="321" t="s">
        <v>264</v>
      </c>
      <c r="C45" s="394" t="str">
        <f t="shared" si="49"/>
        <v>General Service 50 to 1,499 KW.Standard Supply Service Charge</v>
      </c>
      <c r="D45" s="395" t="s">
        <v>310</v>
      </c>
      <c r="E45" s="321"/>
      <c r="F45" s="396">
        <f>IFERROR(VLOOKUP($C45,'Proposed Rates'!$B:$J,F$11,FALSE),0)</f>
        <v>0.25</v>
      </c>
      <c r="G45" s="414">
        <f>IF($D45="Monthly",1,IF($D45="per KW",$F$10,IF($D45="per kWh",$F$9,0)))</f>
        <v>1</v>
      </c>
      <c r="H45" s="399">
        <f t="shared" si="51"/>
        <v>0.25</v>
      </c>
      <c r="I45" s="132"/>
      <c r="J45" s="396">
        <f>IFERROR(VLOOKUP($C45,'Proposed Rates'!$B:$J,J$11,FALSE),0)</f>
        <v>0.25</v>
      </c>
      <c r="K45" s="414">
        <f>IF($D45="Monthly",1,IF($D45="per KW",$F$10,IF($D45="per kWh",$F$9,0)))</f>
        <v>1</v>
      </c>
      <c r="L45" s="399">
        <f t="shared" si="53"/>
        <v>0.25</v>
      </c>
      <c r="M45" s="132"/>
      <c r="N45" s="400">
        <f t="shared" si="5"/>
        <v>0</v>
      </c>
      <c r="O45" s="401">
        <f t="shared" si="6"/>
        <v>0</v>
      </c>
      <c r="P45" s="52"/>
      <c r="Q45" s="396">
        <f>IFERROR(VLOOKUP($C45,'Proposed Rates'!$B:$J,Q$11,FALSE),0)</f>
        <v>0.25</v>
      </c>
      <c r="R45" s="414">
        <f>IF($D45="Monthly",1,IF($D45="per KW",$F$10,IF($D45="per kWh",$F$9,0)))</f>
        <v>1</v>
      </c>
      <c r="S45" s="399">
        <f t="shared" si="55"/>
        <v>0.25</v>
      </c>
      <c r="T45" s="132"/>
      <c r="U45" s="400">
        <f t="shared" si="9"/>
        <v>0</v>
      </c>
      <c r="V45" s="401">
        <f t="shared" si="10"/>
        <v>0</v>
      </c>
      <c r="W45" s="52"/>
      <c r="X45" s="396">
        <f>IFERROR(VLOOKUP($C45,'Proposed Rates'!$B:$J,X$11,FALSE),0)</f>
        <v>0.25</v>
      </c>
      <c r="Y45" s="414">
        <f>IF($D45="Monthly",1,IF($D45="per KW",$F$10,IF($D45="per kWh",$F$9,0)))</f>
        <v>1</v>
      </c>
      <c r="Z45" s="399">
        <f t="shared" si="57"/>
        <v>0.25</v>
      </c>
      <c r="AA45" s="132"/>
      <c r="AB45" s="400">
        <f t="shared" si="13"/>
        <v>0</v>
      </c>
      <c r="AC45" s="401">
        <f t="shared" si="14"/>
        <v>0</v>
      </c>
      <c r="AD45" s="52"/>
      <c r="AE45" s="396">
        <f>IFERROR(VLOOKUP($C45,'Proposed Rates'!$B:$J,AE$11,FALSE),0)</f>
        <v>0.25</v>
      </c>
      <c r="AF45" s="414">
        <f>IF($D45="Monthly",1,IF($D45="per KW",$F$10,IF($D45="per kWh",$F$9,0)))</f>
        <v>1</v>
      </c>
      <c r="AG45" s="399">
        <f t="shared" si="59"/>
        <v>0.25</v>
      </c>
      <c r="AH45" s="132"/>
      <c r="AI45" s="400">
        <f t="shared" si="17"/>
        <v>0</v>
      </c>
      <c r="AJ45" s="401">
        <f t="shared" si="18"/>
        <v>0</v>
      </c>
      <c r="AK45" s="52"/>
      <c r="AL45" s="396">
        <f>IFERROR(VLOOKUP($C45,'Proposed Rates'!$B:$J,AL$11,FALSE),0)</f>
        <v>0.25</v>
      </c>
      <c r="AM45" s="414">
        <f>IF($D45="Monthly",1,IF($D45="per KW",$F$10,IF($D45="per kWh",$F$9,0)))</f>
        <v>1</v>
      </c>
      <c r="AN45" s="399">
        <f t="shared" si="61"/>
        <v>0.25</v>
      </c>
      <c r="AO45" s="132"/>
      <c r="AP45" s="400">
        <f t="shared" si="21"/>
        <v>0</v>
      </c>
      <c r="AQ45" s="401">
        <f t="shared" si="22"/>
        <v>0</v>
      </c>
      <c r="AR45" s="402"/>
      <c r="AS45" s="3"/>
      <c r="AT45" s="3"/>
      <c r="AU45" s="3"/>
    </row>
    <row r="46" spans="1:47" ht="12" customHeight="1">
      <c r="A46" s="52"/>
      <c r="B46" s="321" t="s">
        <v>271</v>
      </c>
      <c r="C46" s="394" t="str">
        <f>B46</f>
        <v>Average IESO Wholesale Market Price</v>
      </c>
      <c r="D46" s="395" t="s">
        <v>312</v>
      </c>
      <c r="E46" s="321"/>
      <c r="F46" s="413">
        <f>IFERROR(VLOOKUP($C46,'Proposed Rates'!$B:$J,F$11,FALSE),0)</f>
        <v>0.10453</v>
      </c>
      <c r="G46" s="420">
        <f>$F$9+G$37</f>
        <v>264135.90000000002</v>
      </c>
      <c r="H46" s="399">
        <f t="shared" si="51"/>
        <v>27610.125627000001</v>
      </c>
      <c r="I46" s="132"/>
      <c r="J46" s="413">
        <f>IFERROR(VLOOKUP($C46,'Proposed Rates'!$B:$J,J$11,FALSE),0)</f>
        <v>0.10453</v>
      </c>
      <c r="K46" s="420">
        <f>$F$9+K$37</f>
        <v>263982.59999999998</v>
      </c>
      <c r="L46" s="399">
        <f t="shared" si="53"/>
        <v>27594.101177999997</v>
      </c>
      <c r="M46" s="132"/>
      <c r="N46" s="400">
        <f t="shared" si="5"/>
        <v>-16.024449000004097</v>
      </c>
      <c r="O46" s="401">
        <f t="shared" si="6"/>
        <v>-5.8038305281500613E-4</v>
      </c>
      <c r="P46" s="52"/>
      <c r="Q46" s="413">
        <f>IFERROR(VLOOKUP($C46,'Proposed Rates'!$B:$J,Q$11,FALSE),0)</f>
        <v>0.10453</v>
      </c>
      <c r="R46" s="420">
        <f>$F$9+R$37</f>
        <v>263982.59999999998</v>
      </c>
      <c r="S46" s="399">
        <f t="shared" si="55"/>
        <v>27594.101177999997</v>
      </c>
      <c r="T46" s="132"/>
      <c r="U46" s="400">
        <f t="shared" si="9"/>
        <v>0</v>
      </c>
      <c r="V46" s="401">
        <f t="shared" si="10"/>
        <v>0</v>
      </c>
      <c r="W46" s="52"/>
      <c r="X46" s="413">
        <f>IFERROR(VLOOKUP($C46,'Proposed Rates'!$B:$J,X$11,FALSE),0)</f>
        <v>0.10453</v>
      </c>
      <c r="Y46" s="420">
        <f>$F$9+Y$37</f>
        <v>263982.59999999998</v>
      </c>
      <c r="Z46" s="399">
        <f t="shared" si="57"/>
        <v>27594.101177999997</v>
      </c>
      <c r="AA46" s="132"/>
      <c r="AB46" s="400">
        <f t="shared" si="13"/>
        <v>0</v>
      </c>
      <c r="AC46" s="401">
        <f t="shared" si="14"/>
        <v>0</v>
      </c>
      <c r="AD46" s="52"/>
      <c r="AE46" s="413">
        <f>IFERROR(VLOOKUP($C46,'Proposed Rates'!$B:$J,AE$11,FALSE),0)</f>
        <v>0.10453</v>
      </c>
      <c r="AF46" s="420">
        <f>$F$9+AF$37</f>
        <v>263982.59999999998</v>
      </c>
      <c r="AG46" s="399">
        <f t="shared" si="59"/>
        <v>27594.101177999997</v>
      </c>
      <c r="AH46" s="132"/>
      <c r="AI46" s="400">
        <f t="shared" si="17"/>
        <v>0</v>
      </c>
      <c r="AJ46" s="401">
        <f t="shared" si="18"/>
        <v>0</v>
      </c>
      <c r="AK46" s="52"/>
      <c r="AL46" s="413">
        <f>IFERROR(VLOOKUP($C46,'Proposed Rates'!$B:$J,AL$11,FALSE),0)</f>
        <v>0.10453</v>
      </c>
      <c r="AM46" s="420">
        <f>$F$9+AM$37</f>
        <v>263982.59999999998</v>
      </c>
      <c r="AN46" s="399">
        <f t="shared" si="61"/>
        <v>27594.101177999997</v>
      </c>
      <c r="AO46" s="132"/>
      <c r="AP46" s="400">
        <f t="shared" si="21"/>
        <v>0</v>
      </c>
      <c r="AQ46" s="401">
        <f t="shared" si="22"/>
        <v>0</v>
      </c>
      <c r="AR46" s="402"/>
      <c r="AS46" s="3"/>
      <c r="AT46" s="3"/>
      <c r="AU46" s="3"/>
    </row>
    <row r="47" spans="1:47" ht="12" customHeight="1">
      <c r="A47" s="52"/>
      <c r="B47" s="321"/>
      <c r="C47" s="394" t="str">
        <f t="shared" ref="C47:C50" si="62">D$6&amp;"."&amp;B47</f>
        <v>General Service 50 to 1,499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c r="AS47" s="3"/>
      <c r="AT47" s="3"/>
      <c r="AU47" s="3"/>
    </row>
    <row r="48" spans="1:47" ht="12" customHeight="1">
      <c r="A48" s="52"/>
      <c r="B48" s="52"/>
      <c r="C48" s="394" t="str">
        <f t="shared" si="62"/>
        <v>General Service 50 to 1,499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c r="AS48" s="3"/>
      <c r="AT48" s="3"/>
      <c r="AU48" s="3"/>
    </row>
    <row r="49" spans="1:47" ht="12" customHeight="1">
      <c r="A49" s="52"/>
      <c r="B49" s="321"/>
      <c r="C49" s="394" t="str">
        <f t="shared" si="62"/>
        <v>General Service 50 to 1,499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c r="AS49" s="3"/>
      <c r="AT49" s="3"/>
      <c r="AU49" s="3"/>
    </row>
    <row r="50" spans="1:47" ht="12" customHeight="1">
      <c r="A50" s="52"/>
      <c r="B50" s="321"/>
      <c r="C50" s="394" t="str">
        <f t="shared" si="62"/>
        <v>General Service 50 to 1,499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c r="AS50" s="3"/>
      <c r="AT50" s="3"/>
      <c r="AU50" s="3"/>
    </row>
    <row r="51" spans="1:47" ht="12" customHeight="1">
      <c r="A51" s="52"/>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3"/>
      <c r="AT51" s="3"/>
      <c r="AU51" s="3"/>
    </row>
    <row r="52" spans="1:47" ht="12" customHeight="1">
      <c r="A52" s="52"/>
      <c r="B52" s="443" t="s">
        <v>319</v>
      </c>
      <c r="C52" s="321"/>
      <c r="D52" s="321"/>
      <c r="E52" s="321"/>
      <c r="F52" s="444"/>
      <c r="G52" s="488"/>
      <c r="H52" s="446">
        <f>SUM(H43:H48,H42)</f>
        <v>44485.771027000003</v>
      </c>
      <c r="I52" s="481"/>
      <c r="J52" s="445"/>
      <c r="K52" s="445"/>
      <c r="L52" s="446">
        <f>SUM(L43:L48,L42)</f>
        <v>45244.478957999992</v>
      </c>
      <c r="M52" s="448"/>
      <c r="N52" s="447">
        <f t="shared" ref="N52:N56" si="63">L52-H52</f>
        <v>758.70793099998991</v>
      </c>
      <c r="O52" s="449">
        <f t="shared" ref="O52:O56" si="64">IF((H52)=0,"",(N52/H52))</f>
        <v>1.7055069823101482E-2</v>
      </c>
      <c r="P52" s="52"/>
      <c r="Q52" s="445"/>
      <c r="R52" s="445"/>
      <c r="S52" s="446">
        <f>SUM(S43:S48,S42)</f>
        <v>44836.078957999998</v>
      </c>
      <c r="T52" s="448"/>
      <c r="U52" s="447">
        <f t="shared" ref="U52:U56" si="65">S52-L52</f>
        <v>-408.39999999999418</v>
      </c>
      <c r="V52" s="449">
        <f t="shared" ref="V52:V56" si="66">IF((L52)=0,"",(U52/L52))</f>
        <v>-9.0265157076758005E-3</v>
      </c>
      <c r="W52" s="52"/>
      <c r="X52" s="445"/>
      <c r="Y52" s="445"/>
      <c r="Z52" s="446">
        <f>SUM(Z43:Z48,Z42)</f>
        <v>45438.068957999996</v>
      </c>
      <c r="AA52" s="448"/>
      <c r="AB52" s="447">
        <f t="shared" ref="AB52:AB56" si="67">Z52-S52</f>
        <v>601.98999999999796</v>
      </c>
      <c r="AC52" s="449">
        <f t="shared" ref="AC52:AC56" si="68">IF((S52)=0,"",(AB52/S52))</f>
        <v>1.3426463999314246E-2</v>
      </c>
      <c r="AD52" s="52"/>
      <c r="AE52" s="445"/>
      <c r="AF52" s="445"/>
      <c r="AG52" s="446">
        <f>SUM(AG43:AG48,AG42)</f>
        <v>45773.458957999996</v>
      </c>
      <c r="AH52" s="448"/>
      <c r="AI52" s="447">
        <f t="shared" ref="AI52:AI56" si="69">AG52-Z52</f>
        <v>335.38999999999942</v>
      </c>
      <c r="AJ52" s="449">
        <f t="shared" ref="AJ52:AJ56" si="70">IF((Z52)=0,"",(AI52/Z52))</f>
        <v>7.3812555791050935E-3</v>
      </c>
      <c r="AK52" s="52"/>
      <c r="AL52" s="445"/>
      <c r="AM52" s="445"/>
      <c r="AN52" s="446">
        <f>SUM(AN43:AN48,AN42)</f>
        <v>46080.798957999999</v>
      </c>
      <c r="AO52" s="448"/>
      <c r="AP52" s="447">
        <f t="shared" ref="AP52:AP56" si="71">AN52-AG52</f>
        <v>307.34000000000378</v>
      </c>
      <c r="AQ52" s="449">
        <f t="shared" ref="AQ52:AQ56" si="72">IF((AG52)=0,"",(AP52/AG52))</f>
        <v>6.7143713190215186E-3</v>
      </c>
      <c r="AR52" s="450"/>
      <c r="AS52" s="3"/>
      <c r="AT52" s="3"/>
      <c r="AU52" s="3"/>
    </row>
    <row r="53" spans="1:47" ht="12" customHeight="1">
      <c r="A53" s="52"/>
      <c r="B53" s="451" t="s">
        <v>320</v>
      </c>
      <c r="C53" s="321"/>
      <c r="D53" s="321"/>
      <c r="E53" s="321"/>
      <c r="F53" s="444">
        <v>0.13</v>
      </c>
      <c r="G53" s="132"/>
      <c r="H53" s="489">
        <f>H52*F53</f>
        <v>5783.1502335100004</v>
      </c>
      <c r="I53" s="416"/>
      <c r="J53" s="452">
        <v>0.13</v>
      </c>
      <c r="K53" s="416"/>
      <c r="L53" s="399">
        <f>L52*J53</f>
        <v>5881.7822645399992</v>
      </c>
      <c r="M53" s="132"/>
      <c r="N53" s="400">
        <f t="shared" si="63"/>
        <v>98.632031029998871</v>
      </c>
      <c r="O53" s="401">
        <f t="shared" si="64"/>
        <v>1.7055069823101513E-2</v>
      </c>
      <c r="P53" s="52"/>
      <c r="Q53" s="452">
        <v>0.13</v>
      </c>
      <c r="R53" s="416"/>
      <c r="S53" s="399">
        <f>S52*Q53</f>
        <v>5828.6902645399996</v>
      </c>
      <c r="T53" s="132"/>
      <c r="U53" s="400">
        <f t="shared" si="65"/>
        <v>-53.091999999999643</v>
      </c>
      <c r="V53" s="401">
        <f t="shared" si="66"/>
        <v>-9.0265157076758681E-3</v>
      </c>
      <c r="W53" s="52"/>
      <c r="X53" s="452">
        <v>0.13</v>
      </c>
      <c r="Y53" s="416"/>
      <c r="Z53" s="399">
        <f>Z52*X53</f>
        <v>5906.9489645399999</v>
      </c>
      <c r="AA53" s="132"/>
      <c r="AB53" s="400">
        <f t="shared" si="67"/>
        <v>78.258700000000317</v>
      </c>
      <c r="AC53" s="401">
        <f t="shared" si="68"/>
        <v>1.3426463999314346E-2</v>
      </c>
      <c r="AD53" s="52"/>
      <c r="AE53" s="452">
        <v>0.13</v>
      </c>
      <c r="AF53" s="416"/>
      <c r="AG53" s="399">
        <f>AG52*AE53</f>
        <v>5950.5496645399999</v>
      </c>
      <c r="AH53" s="132"/>
      <c r="AI53" s="400">
        <f t="shared" si="69"/>
        <v>43.600699999999961</v>
      </c>
      <c r="AJ53" s="401">
        <f t="shared" si="70"/>
        <v>7.3812555791050987E-3</v>
      </c>
      <c r="AK53" s="52"/>
      <c r="AL53" s="452">
        <v>0.13</v>
      </c>
      <c r="AM53" s="416"/>
      <c r="AN53" s="399">
        <f>AN52*AL53</f>
        <v>5990.50386454</v>
      </c>
      <c r="AO53" s="132"/>
      <c r="AP53" s="400">
        <f t="shared" si="71"/>
        <v>39.954200000000128</v>
      </c>
      <c r="AQ53" s="401">
        <f t="shared" si="72"/>
        <v>6.714371319021457E-3</v>
      </c>
      <c r="AR53" s="402"/>
      <c r="AS53" s="3"/>
      <c r="AT53" s="3"/>
      <c r="AU53" s="3"/>
    </row>
    <row r="54" spans="1:47" ht="12" customHeight="1">
      <c r="A54" s="52"/>
      <c r="B54" s="453" t="s">
        <v>397</v>
      </c>
      <c r="C54" s="321"/>
      <c r="D54" s="321"/>
      <c r="E54" s="321"/>
      <c r="F54" s="454"/>
      <c r="G54" s="132"/>
      <c r="H54" s="489">
        <f>H52+H53</f>
        <v>50268.921260510004</v>
      </c>
      <c r="I54" s="416"/>
      <c r="J54" s="416"/>
      <c r="K54" s="416"/>
      <c r="L54" s="399">
        <f>L52+L53</f>
        <v>51126.261222539993</v>
      </c>
      <c r="M54" s="132"/>
      <c r="N54" s="400">
        <f t="shared" si="63"/>
        <v>857.33996202998969</v>
      </c>
      <c r="O54" s="401">
        <f t="shared" si="64"/>
        <v>1.7055069823101503E-2</v>
      </c>
      <c r="P54" s="52"/>
      <c r="Q54" s="416"/>
      <c r="R54" s="416"/>
      <c r="S54" s="399">
        <f>S52+S53</f>
        <v>50664.769222539995</v>
      </c>
      <c r="T54" s="132"/>
      <c r="U54" s="400">
        <f t="shared" si="65"/>
        <v>-461.49199999999837</v>
      </c>
      <c r="V54" s="401">
        <f t="shared" si="66"/>
        <v>-9.0265157076758976E-3</v>
      </c>
      <c r="W54" s="52"/>
      <c r="X54" s="416"/>
      <c r="Y54" s="416"/>
      <c r="Z54" s="399">
        <f>Z52+Z53</f>
        <v>51345.017922539999</v>
      </c>
      <c r="AA54" s="132"/>
      <c r="AB54" s="400">
        <f t="shared" si="67"/>
        <v>680.24870000000374</v>
      </c>
      <c r="AC54" s="401">
        <f t="shared" si="68"/>
        <v>1.3426463999314365E-2</v>
      </c>
      <c r="AD54" s="52"/>
      <c r="AE54" s="416"/>
      <c r="AF54" s="416"/>
      <c r="AG54" s="399">
        <f>AG52+AG53</f>
        <v>51724.008622539994</v>
      </c>
      <c r="AH54" s="132"/>
      <c r="AI54" s="400">
        <f t="shared" si="69"/>
        <v>378.99069999999483</v>
      </c>
      <c r="AJ54" s="401">
        <f t="shared" si="70"/>
        <v>7.381255579105005E-3</v>
      </c>
      <c r="AK54" s="52"/>
      <c r="AL54" s="416"/>
      <c r="AM54" s="416"/>
      <c r="AN54" s="399">
        <f>AN52+AN53</f>
        <v>52071.302822539998</v>
      </c>
      <c r="AO54" s="132"/>
      <c r="AP54" s="400">
        <f t="shared" si="71"/>
        <v>347.29420000000391</v>
      </c>
      <c r="AQ54" s="401">
        <f t="shared" si="72"/>
        <v>6.7143713190215117E-3</v>
      </c>
      <c r="AR54" s="402"/>
      <c r="AS54" s="3"/>
      <c r="AT54" s="3"/>
      <c r="AU54" s="3"/>
    </row>
    <row r="55" spans="1:47" ht="12" customHeight="1">
      <c r="A55" s="52"/>
      <c r="B55" s="649" t="s">
        <v>277</v>
      </c>
      <c r="C55" s="623"/>
      <c r="D55" s="623"/>
      <c r="E55" s="321"/>
      <c r="F55" s="454"/>
      <c r="G55" s="132"/>
      <c r="H55" s="491">
        <f>F55*H52</f>
        <v>0</v>
      </c>
      <c r="I55" s="416"/>
      <c r="J55" s="416"/>
      <c r="K55" s="416"/>
      <c r="L55" s="511">
        <f>J55*L52</f>
        <v>0</v>
      </c>
      <c r="M55" s="132"/>
      <c r="N55" s="456">
        <f t="shared" si="63"/>
        <v>0</v>
      </c>
      <c r="O55" s="458" t="str">
        <f t="shared" si="64"/>
        <v/>
      </c>
      <c r="P55" s="52"/>
      <c r="Q55" s="416"/>
      <c r="R55" s="416"/>
      <c r="S55" s="511">
        <f>Q55*S52</f>
        <v>0</v>
      </c>
      <c r="T55" s="132"/>
      <c r="U55" s="456">
        <f t="shared" si="65"/>
        <v>0</v>
      </c>
      <c r="V55" s="458" t="str">
        <f t="shared" si="66"/>
        <v/>
      </c>
      <c r="W55" s="52"/>
      <c r="X55" s="416"/>
      <c r="Y55" s="416"/>
      <c r="Z55" s="511">
        <f>X55*Z52</f>
        <v>0</v>
      </c>
      <c r="AA55" s="132"/>
      <c r="AB55" s="456">
        <f t="shared" si="67"/>
        <v>0</v>
      </c>
      <c r="AC55" s="458" t="str">
        <f t="shared" si="68"/>
        <v/>
      </c>
      <c r="AD55" s="52"/>
      <c r="AE55" s="416"/>
      <c r="AF55" s="416"/>
      <c r="AG55" s="511">
        <f>AE55*AG52</f>
        <v>0</v>
      </c>
      <c r="AH55" s="132"/>
      <c r="AI55" s="456">
        <f t="shared" si="69"/>
        <v>0</v>
      </c>
      <c r="AJ55" s="458" t="str">
        <f t="shared" si="70"/>
        <v/>
      </c>
      <c r="AK55" s="52"/>
      <c r="AL55" s="416"/>
      <c r="AM55" s="416"/>
      <c r="AN55" s="511">
        <f>AL55*AN52</f>
        <v>0</v>
      </c>
      <c r="AO55" s="132"/>
      <c r="AP55" s="456">
        <f t="shared" si="71"/>
        <v>0</v>
      </c>
      <c r="AQ55" s="458" t="str">
        <f t="shared" si="72"/>
        <v/>
      </c>
      <c r="AR55" s="459"/>
      <c r="AS55" s="3"/>
      <c r="AT55" s="3"/>
      <c r="AU55" s="3"/>
    </row>
    <row r="56" spans="1:47" ht="12" customHeight="1">
      <c r="A56" s="52"/>
      <c r="B56" s="650" t="s">
        <v>322</v>
      </c>
      <c r="C56" s="615"/>
      <c r="D56" s="615"/>
      <c r="E56" s="460"/>
      <c r="F56" s="461"/>
      <c r="G56" s="492"/>
      <c r="H56" s="493">
        <f>H54-H55</f>
        <v>50268.921260510004</v>
      </c>
      <c r="I56" s="462"/>
      <c r="J56" s="462"/>
      <c r="K56" s="462"/>
      <c r="L56" s="463">
        <f>L54-L55</f>
        <v>51126.261222539993</v>
      </c>
      <c r="M56" s="464"/>
      <c r="N56" s="465">
        <f t="shared" si="63"/>
        <v>857.33996202998969</v>
      </c>
      <c r="O56" s="466">
        <f t="shared" si="64"/>
        <v>1.7055069823101503E-2</v>
      </c>
      <c r="P56" s="52"/>
      <c r="Q56" s="462"/>
      <c r="R56" s="462"/>
      <c r="S56" s="463">
        <f>S54-S55</f>
        <v>50664.769222539995</v>
      </c>
      <c r="T56" s="464"/>
      <c r="U56" s="465">
        <f t="shared" si="65"/>
        <v>-461.49199999999837</v>
      </c>
      <c r="V56" s="466">
        <f t="shared" si="66"/>
        <v>-9.0265157076758976E-3</v>
      </c>
      <c r="W56" s="52"/>
      <c r="X56" s="462"/>
      <c r="Y56" s="462"/>
      <c r="Z56" s="463">
        <f>Z54-Z55</f>
        <v>51345.017922539999</v>
      </c>
      <c r="AA56" s="464"/>
      <c r="AB56" s="465">
        <f t="shared" si="67"/>
        <v>680.24870000000374</v>
      </c>
      <c r="AC56" s="466">
        <f t="shared" si="68"/>
        <v>1.3426463999314365E-2</v>
      </c>
      <c r="AD56" s="52"/>
      <c r="AE56" s="462"/>
      <c r="AF56" s="462"/>
      <c r="AG56" s="463">
        <f>AG54-AG55</f>
        <v>51724.008622539994</v>
      </c>
      <c r="AH56" s="464"/>
      <c r="AI56" s="465">
        <f t="shared" si="69"/>
        <v>378.99069999999483</v>
      </c>
      <c r="AJ56" s="466">
        <f t="shared" si="70"/>
        <v>7.381255579105005E-3</v>
      </c>
      <c r="AK56" s="52"/>
      <c r="AL56" s="462"/>
      <c r="AM56" s="462"/>
      <c r="AN56" s="463">
        <f>AN54-AN55</f>
        <v>52071.302822539998</v>
      </c>
      <c r="AO56" s="464"/>
      <c r="AP56" s="465">
        <f t="shared" si="71"/>
        <v>347.29420000000391</v>
      </c>
      <c r="AQ56" s="466">
        <f t="shared" si="72"/>
        <v>6.7143713190215117E-3</v>
      </c>
      <c r="AR56" s="467"/>
      <c r="AS56" s="3"/>
      <c r="AT56" s="3"/>
      <c r="AU56" s="3"/>
    </row>
    <row r="57" spans="1:47" ht="12" customHeight="1">
      <c r="A57" s="52"/>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3"/>
      <c r="AT57" s="3"/>
      <c r="AU57" s="3"/>
    </row>
    <row r="58" spans="1:47" ht="12" customHeight="1">
      <c r="A58" s="512"/>
      <c r="B58" s="513" t="s">
        <v>323</v>
      </c>
      <c r="C58" s="514"/>
      <c r="D58" s="514"/>
      <c r="E58" s="514"/>
      <c r="F58" s="515"/>
      <c r="G58" s="516"/>
      <c r="H58" s="517">
        <f>SUM(H49:H50,H42,H43:H45)</f>
        <v>16875.645400000005</v>
      </c>
      <c r="I58" s="518"/>
      <c r="J58" s="519"/>
      <c r="K58" s="519"/>
      <c r="L58" s="517">
        <f>SUM(L49:L50,L42,L43:L45)</f>
        <v>17650.377779999999</v>
      </c>
      <c r="M58" s="520"/>
      <c r="N58" s="521">
        <f t="shared" ref="N58:N62" si="73">L58-H58</f>
        <v>774.73237999999401</v>
      </c>
      <c r="O58" s="522">
        <f t="shared" ref="O58:O62" si="74">IF((H58)=0,"",(N58/H58))</f>
        <v>4.5908311157094699E-2</v>
      </c>
      <c r="P58" s="512"/>
      <c r="Q58" s="519"/>
      <c r="R58" s="519"/>
      <c r="S58" s="517">
        <f>SUM(S49:S50,S42,S43:S45)</f>
        <v>17241.977779999997</v>
      </c>
      <c r="T58" s="520"/>
      <c r="U58" s="521">
        <f t="shared" ref="U58:U62" si="75">S58-L58</f>
        <v>-408.40000000000146</v>
      </c>
      <c r="V58" s="522">
        <f t="shared" ref="V58:V62" si="76">IF((L58)=0,"",(U58/L58))</f>
        <v>-2.3138314946593821E-2</v>
      </c>
      <c r="W58" s="512"/>
      <c r="X58" s="519"/>
      <c r="Y58" s="519"/>
      <c r="Z58" s="517">
        <f>SUM(Z49:Z50,Z42,Z43:Z45)</f>
        <v>17843.967779999999</v>
      </c>
      <c r="AA58" s="520"/>
      <c r="AB58" s="521">
        <f t="shared" ref="AB58:AB62" si="77">Z58-S58</f>
        <v>601.9900000000016</v>
      </c>
      <c r="AC58" s="522">
        <f t="shared" ref="AC58:AC62" si="78">IF((S58)=0,"",(AB58/S58))</f>
        <v>3.4914208084543867E-2</v>
      </c>
      <c r="AD58" s="512"/>
      <c r="AE58" s="519"/>
      <c r="AF58" s="519"/>
      <c r="AG58" s="517">
        <f>SUM(AG49:AG50,AG42,AG43:AG45)</f>
        <v>18179.357779999998</v>
      </c>
      <c r="AH58" s="520"/>
      <c r="AI58" s="521">
        <f t="shared" ref="AI58:AI62" si="79">AG58-Z58</f>
        <v>335.38999999999942</v>
      </c>
      <c r="AJ58" s="522">
        <f t="shared" ref="AJ58:AJ62" si="80">IF((Z58)=0,"",(AI58/Z58))</f>
        <v>1.8795707554230937E-2</v>
      </c>
      <c r="AK58" s="512"/>
      <c r="AL58" s="519"/>
      <c r="AM58" s="519"/>
      <c r="AN58" s="517">
        <f>SUM(AN49:AN50,AN42,AN43:AN45)</f>
        <v>18486.697780000002</v>
      </c>
      <c r="AO58" s="520"/>
      <c r="AP58" s="521">
        <f t="shared" ref="AP58:AP62" si="81">AN58-AG58</f>
        <v>307.34000000000378</v>
      </c>
      <c r="AQ58" s="522">
        <f t="shared" ref="AQ58:AQ62" si="82">IF((AG58)=0,"",(AP58/AG58))</f>
        <v>1.6905987753765624E-2</v>
      </c>
      <c r="AR58" s="523"/>
      <c r="AS58" s="3"/>
      <c r="AT58" s="3"/>
      <c r="AU58" s="3"/>
    </row>
    <row r="59" spans="1:47" ht="12" customHeight="1">
      <c r="A59" s="512"/>
      <c r="B59" s="524" t="s">
        <v>320</v>
      </c>
      <c r="C59" s="514"/>
      <c r="D59" s="514"/>
      <c r="E59" s="514"/>
      <c r="F59" s="515">
        <v>0.13</v>
      </c>
      <c r="G59" s="516"/>
      <c r="H59" s="525">
        <f>H58*F59</f>
        <v>2193.8339020000008</v>
      </c>
      <c r="I59" s="526"/>
      <c r="J59" s="515">
        <v>0.13</v>
      </c>
      <c r="K59" s="527"/>
      <c r="L59" s="528">
        <f>L58*J59</f>
        <v>2294.5491114000001</v>
      </c>
      <c r="M59" s="529"/>
      <c r="N59" s="530">
        <f t="shared" si="73"/>
        <v>100.71520939999937</v>
      </c>
      <c r="O59" s="531">
        <f t="shared" si="74"/>
        <v>4.5908311157094761E-2</v>
      </c>
      <c r="P59" s="512"/>
      <c r="Q59" s="515">
        <v>0.13</v>
      </c>
      <c r="R59" s="527"/>
      <c r="S59" s="528">
        <f>S58*Q59</f>
        <v>2241.4571113999996</v>
      </c>
      <c r="T59" s="529"/>
      <c r="U59" s="530">
        <f t="shared" si="75"/>
        <v>-53.092000000000553</v>
      </c>
      <c r="V59" s="531">
        <f t="shared" si="76"/>
        <v>-2.3138314946593977E-2</v>
      </c>
      <c r="W59" s="512"/>
      <c r="X59" s="515">
        <v>0.13</v>
      </c>
      <c r="Y59" s="527"/>
      <c r="Z59" s="528">
        <f>Z58*X59</f>
        <v>2319.7158113999999</v>
      </c>
      <c r="AA59" s="529"/>
      <c r="AB59" s="530">
        <f t="shared" si="77"/>
        <v>78.258700000000317</v>
      </c>
      <c r="AC59" s="531">
        <f t="shared" si="78"/>
        <v>3.4914208084543916E-2</v>
      </c>
      <c r="AD59" s="512"/>
      <c r="AE59" s="515">
        <v>0.13</v>
      </c>
      <c r="AF59" s="527"/>
      <c r="AG59" s="528">
        <f>AG58*AE59</f>
        <v>2363.3165113999999</v>
      </c>
      <c r="AH59" s="529"/>
      <c r="AI59" s="530">
        <f t="shared" si="79"/>
        <v>43.600699999999961</v>
      </c>
      <c r="AJ59" s="531">
        <f t="shared" si="80"/>
        <v>1.8795707554230951E-2</v>
      </c>
      <c r="AK59" s="512"/>
      <c r="AL59" s="515">
        <v>0.13</v>
      </c>
      <c r="AM59" s="527"/>
      <c r="AN59" s="528">
        <f>AN58*AL59</f>
        <v>2403.2707114000004</v>
      </c>
      <c r="AO59" s="529"/>
      <c r="AP59" s="530">
        <f t="shared" si="81"/>
        <v>39.954200000000583</v>
      </c>
      <c r="AQ59" s="531">
        <f t="shared" si="82"/>
        <v>1.6905987753765662E-2</v>
      </c>
      <c r="AR59" s="532"/>
      <c r="AS59" s="3"/>
      <c r="AT59" s="3"/>
      <c r="AU59" s="3"/>
    </row>
    <row r="60" spans="1:47" ht="12" customHeight="1">
      <c r="A60" s="512"/>
      <c r="B60" s="533" t="s">
        <v>398</v>
      </c>
      <c r="C60" s="514"/>
      <c r="D60" s="514"/>
      <c r="E60" s="514"/>
      <c r="F60" s="534"/>
      <c r="G60" s="529"/>
      <c r="H60" s="525">
        <f>H58+H59</f>
        <v>19069.479302000007</v>
      </c>
      <c r="I60" s="526"/>
      <c r="J60" s="526"/>
      <c r="K60" s="526"/>
      <c r="L60" s="528">
        <f>L58+L59</f>
        <v>19944.926891399999</v>
      </c>
      <c r="M60" s="529"/>
      <c r="N60" s="530">
        <f t="shared" si="73"/>
        <v>875.44758939999156</v>
      </c>
      <c r="O60" s="531">
        <f t="shared" si="74"/>
        <v>4.5908311157094601E-2</v>
      </c>
      <c r="P60" s="512"/>
      <c r="Q60" s="526"/>
      <c r="R60" s="526"/>
      <c r="S60" s="528">
        <f>S58+S59</f>
        <v>19483.434891399997</v>
      </c>
      <c r="T60" s="529"/>
      <c r="U60" s="530">
        <f t="shared" si="75"/>
        <v>-461.49200000000201</v>
      </c>
      <c r="V60" s="531">
        <f t="shared" si="76"/>
        <v>-2.3138314946593842E-2</v>
      </c>
      <c r="W60" s="512"/>
      <c r="X60" s="526"/>
      <c r="Y60" s="526"/>
      <c r="Z60" s="528">
        <f>Z58+Z59</f>
        <v>20163.6835914</v>
      </c>
      <c r="AA60" s="529"/>
      <c r="AB60" s="530">
        <f t="shared" si="77"/>
        <v>680.24870000000374</v>
      </c>
      <c r="AC60" s="531">
        <f t="shared" si="78"/>
        <v>3.4914208084543964E-2</v>
      </c>
      <c r="AD60" s="512"/>
      <c r="AE60" s="526"/>
      <c r="AF60" s="526"/>
      <c r="AG60" s="528">
        <f>AG58+AG59</f>
        <v>20542.674291399999</v>
      </c>
      <c r="AH60" s="529"/>
      <c r="AI60" s="530">
        <f t="shared" si="79"/>
        <v>378.99069999999847</v>
      </c>
      <c r="AJ60" s="531">
        <f t="shared" si="80"/>
        <v>1.8795707554230892E-2</v>
      </c>
      <c r="AK60" s="512"/>
      <c r="AL60" s="526"/>
      <c r="AM60" s="526"/>
      <c r="AN60" s="528">
        <f>AN58+AN59</f>
        <v>20889.968491400003</v>
      </c>
      <c r="AO60" s="529"/>
      <c r="AP60" s="530">
        <f t="shared" si="81"/>
        <v>347.29420000000391</v>
      </c>
      <c r="AQ60" s="531">
        <f t="shared" si="82"/>
        <v>1.6905987753765606E-2</v>
      </c>
      <c r="AR60" s="532"/>
      <c r="AS60" s="3"/>
      <c r="AT60" s="3"/>
      <c r="AU60" s="3"/>
    </row>
    <row r="61" spans="1:47" ht="12" customHeight="1">
      <c r="A61" s="512"/>
      <c r="B61" s="651" t="s">
        <v>277</v>
      </c>
      <c r="C61" s="623"/>
      <c r="D61" s="623"/>
      <c r="E61" s="514"/>
      <c r="F61" s="534"/>
      <c r="G61" s="529"/>
      <c r="H61" s="535">
        <f>F61*H58</f>
        <v>0</v>
      </c>
      <c r="I61" s="526"/>
      <c r="J61" s="526"/>
      <c r="K61" s="526"/>
      <c r="L61" s="536">
        <f>J61*L58</f>
        <v>0</v>
      </c>
      <c r="M61" s="529"/>
      <c r="N61" s="537">
        <f t="shared" si="73"/>
        <v>0</v>
      </c>
      <c r="O61" s="538" t="str">
        <f t="shared" si="74"/>
        <v/>
      </c>
      <c r="P61" s="512"/>
      <c r="Q61" s="526"/>
      <c r="R61" s="526"/>
      <c r="S61" s="536">
        <f>Q61*S58</f>
        <v>0</v>
      </c>
      <c r="T61" s="529"/>
      <c r="U61" s="537">
        <f t="shared" si="75"/>
        <v>0</v>
      </c>
      <c r="V61" s="538" t="str">
        <f t="shared" si="76"/>
        <v/>
      </c>
      <c r="W61" s="512"/>
      <c r="X61" s="526"/>
      <c r="Y61" s="526"/>
      <c r="Z61" s="536">
        <f>X61*Z58</f>
        <v>0</v>
      </c>
      <c r="AA61" s="529"/>
      <c r="AB61" s="537">
        <f t="shared" si="77"/>
        <v>0</v>
      </c>
      <c r="AC61" s="538" t="str">
        <f t="shared" si="78"/>
        <v/>
      </c>
      <c r="AD61" s="512"/>
      <c r="AE61" s="526"/>
      <c r="AF61" s="526"/>
      <c r="AG61" s="536">
        <f>AE61*AG58</f>
        <v>0</v>
      </c>
      <c r="AH61" s="529"/>
      <c r="AI61" s="537">
        <f t="shared" si="79"/>
        <v>0</v>
      </c>
      <c r="AJ61" s="538" t="str">
        <f t="shared" si="80"/>
        <v/>
      </c>
      <c r="AK61" s="512"/>
      <c r="AL61" s="526"/>
      <c r="AM61" s="526"/>
      <c r="AN61" s="536">
        <f>AL61*AN58</f>
        <v>0</v>
      </c>
      <c r="AO61" s="529"/>
      <c r="AP61" s="537">
        <f t="shared" si="81"/>
        <v>0</v>
      </c>
      <c r="AQ61" s="538" t="str">
        <f t="shared" si="82"/>
        <v/>
      </c>
      <c r="AR61" s="539"/>
      <c r="AS61" s="3"/>
      <c r="AT61" s="3"/>
      <c r="AU61" s="3"/>
    </row>
    <row r="62" spans="1:47" ht="12" customHeight="1">
      <c r="A62" s="512"/>
      <c r="B62" s="645" t="s">
        <v>325</v>
      </c>
      <c r="C62" s="615"/>
      <c r="D62" s="615"/>
      <c r="E62" s="540"/>
      <c r="F62" s="541"/>
      <c r="G62" s="542"/>
      <c r="H62" s="543">
        <f>H60-H61</f>
        <v>19069.479302000007</v>
      </c>
      <c r="I62" s="544"/>
      <c r="J62" s="544"/>
      <c r="K62" s="544"/>
      <c r="L62" s="545">
        <f>L60-L61</f>
        <v>19944.926891399999</v>
      </c>
      <c r="M62" s="546"/>
      <c r="N62" s="547">
        <f t="shared" si="73"/>
        <v>875.44758939999156</v>
      </c>
      <c r="O62" s="548">
        <f t="shared" si="74"/>
        <v>4.5908311157094601E-2</v>
      </c>
      <c r="P62" s="512"/>
      <c r="Q62" s="544"/>
      <c r="R62" s="544"/>
      <c r="S62" s="545">
        <f>S60-S61</f>
        <v>19483.434891399997</v>
      </c>
      <c r="T62" s="546"/>
      <c r="U62" s="547">
        <f t="shared" si="75"/>
        <v>-461.49200000000201</v>
      </c>
      <c r="V62" s="548">
        <f t="shared" si="76"/>
        <v>-2.3138314946593842E-2</v>
      </c>
      <c r="W62" s="512"/>
      <c r="X62" s="544"/>
      <c r="Y62" s="544"/>
      <c r="Z62" s="545">
        <f>Z60-Z61</f>
        <v>20163.6835914</v>
      </c>
      <c r="AA62" s="546"/>
      <c r="AB62" s="547">
        <f t="shared" si="77"/>
        <v>680.24870000000374</v>
      </c>
      <c r="AC62" s="548">
        <f t="shared" si="78"/>
        <v>3.4914208084543964E-2</v>
      </c>
      <c r="AD62" s="512"/>
      <c r="AE62" s="544"/>
      <c r="AF62" s="544"/>
      <c r="AG62" s="545">
        <f>AG60-AG61</f>
        <v>20542.674291399999</v>
      </c>
      <c r="AH62" s="546"/>
      <c r="AI62" s="547">
        <f t="shared" si="79"/>
        <v>378.99069999999847</v>
      </c>
      <c r="AJ62" s="548">
        <f t="shared" si="80"/>
        <v>1.8795707554230892E-2</v>
      </c>
      <c r="AK62" s="512"/>
      <c r="AL62" s="544"/>
      <c r="AM62" s="544"/>
      <c r="AN62" s="545">
        <f>AN60-AN61</f>
        <v>20889.968491400003</v>
      </c>
      <c r="AO62" s="546"/>
      <c r="AP62" s="547">
        <f t="shared" si="81"/>
        <v>347.29420000000391</v>
      </c>
      <c r="AQ62" s="548">
        <f t="shared" si="82"/>
        <v>1.6905987753765606E-2</v>
      </c>
      <c r="AR62" s="549"/>
      <c r="AS62" s="3"/>
      <c r="AT62" s="3"/>
      <c r="AU62" s="3"/>
    </row>
    <row r="63" spans="1:47" ht="12" customHeight="1">
      <c r="A63" s="52"/>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3"/>
      <c r="AT63" s="3"/>
      <c r="AU63" s="3"/>
    </row>
    <row r="64" spans="1:47" ht="12" customHeight="1">
      <c r="A64" s="52"/>
      <c r="B64" s="52"/>
      <c r="C64" s="52"/>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3"/>
      <c r="AT64" s="3"/>
      <c r="AU64" s="3"/>
    </row>
    <row r="65" spans="1:47" ht="12" customHeight="1">
      <c r="A65" s="52"/>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3"/>
      <c r="AT65" s="3"/>
      <c r="AU65" s="3"/>
    </row>
    <row r="66" spans="1:47"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row>
    <row r="67" spans="1:47" ht="12" customHeight="1">
      <c r="A67" s="478" t="s">
        <v>399</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row>
    <row r="68" spans="1:47"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row>
    <row r="69" spans="1:47" ht="12" customHeight="1">
      <c r="A69" s="52" t="s">
        <v>328</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row>
    <row r="70" spans="1:47" ht="12" customHeight="1">
      <c r="A70" s="52" t="s">
        <v>329</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row>
    <row r="71" spans="1:47"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row>
    <row r="72" spans="1:47" ht="12" customHeight="1">
      <c r="A72" s="52" t="s">
        <v>330</v>
      </c>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row>
    <row r="73" spans="1:47" ht="12" customHeight="1">
      <c r="A73" s="52" t="s">
        <v>331</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row>
    <row r="74" spans="1:47"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row>
    <row r="75" spans="1:47" ht="12" customHeight="1">
      <c r="A75" s="52" t="s">
        <v>332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row>
    <row r="76" spans="1:47" ht="12" customHeight="1">
      <c r="A76" s="52" t="s">
        <v>333</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row>
    <row r="77" spans="1:47" ht="12" customHeight="1">
      <c r="A77" s="52" t="s">
        <v>334</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row>
    <row r="78" spans="1:47" ht="12" customHeight="1">
      <c r="A78" s="52" t="s">
        <v>335</v>
      </c>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row>
    <row r="79" spans="1:47" ht="12" customHeight="1">
      <c r="A79" s="52" t="s">
        <v>336</v>
      </c>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row>
    <row r="80" spans="1:47"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row>
    <row r="81" spans="1:47"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row>
    <row r="82" spans="1:47"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row>
    <row r="83" spans="1:47"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row>
    <row r="84" spans="1:47"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row>
    <row r="85" spans="1:47"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row>
    <row r="86" spans="1:47"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row>
    <row r="87" spans="1:47"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row>
    <row r="88" spans="1:47"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row>
    <row r="89" spans="1:47"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row>
    <row r="90" spans="1:47"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row>
    <row r="91" spans="1:47"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row>
    <row r="92" spans="1:47"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row>
    <row r="93" spans="1:47"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row>
    <row r="94" spans="1:47"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row>
    <row r="95" spans="1:47"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row>
    <row r="96" spans="1:47"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row>
    <row r="97" spans="1:47"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row>
    <row r="98" spans="1:47"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row>
    <row r="99" spans="1:47"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row>
    <row r="100" spans="1:47"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row>
    <row r="101" spans="1:47"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row>
    <row r="102" spans="1:47"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row>
    <row r="103" spans="1:47"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row>
    <row r="104" spans="1:47"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row>
    <row r="105" spans="1:47"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row>
    <row r="106" spans="1:47"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row>
    <row r="107" spans="1:47"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row>
    <row r="108" spans="1:47"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row>
    <row r="109" spans="1:47"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row>
    <row r="110" spans="1:47"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row>
    <row r="111" spans="1:47"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row>
    <row r="112" spans="1:47"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row>
    <row r="113" spans="1:47"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row>
    <row r="114" spans="1:47"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row>
    <row r="115" spans="1:47"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row>
    <row r="116" spans="1:47"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row>
    <row r="117" spans="1:47"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row>
    <row r="118" spans="1:47"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row>
    <row r="119" spans="1:47"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row>
    <row r="120" spans="1:47"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row>
    <row r="121" spans="1:47"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row>
    <row r="122" spans="1:47"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row>
    <row r="123" spans="1:47"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row>
    <row r="124" spans="1:47"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row>
    <row r="125" spans="1:47"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row>
    <row r="126" spans="1:47"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row>
    <row r="127" spans="1:47"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row>
    <row r="128" spans="1:47"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row>
    <row r="129" spans="1:47"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row>
    <row r="130" spans="1:47"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row>
    <row r="131" spans="1:47"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row>
    <row r="132" spans="1:47"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row>
    <row r="133" spans="1:47"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row>
    <row r="134" spans="1:47"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row>
    <row r="135" spans="1:47"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row>
    <row r="136" spans="1:47"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row>
    <row r="137" spans="1:47"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row>
    <row r="138" spans="1:47"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row>
    <row r="139" spans="1:47"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row>
    <row r="140" spans="1:47"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row>
    <row r="141" spans="1:47"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row>
    <row r="142" spans="1:47"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row>
    <row r="143" spans="1:47"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row>
    <row r="144" spans="1:47"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row>
    <row r="145" spans="1:47"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row>
    <row r="146" spans="1:47"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row>
    <row r="147" spans="1:47"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row>
    <row r="148" spans="1:47"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row>
    <row r="149" spans="1:47"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row>
    <row r="150" spans="1:47"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row>
    <row r="151" spans="1:47"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row>
    <row r="152" spans="1:47"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row>
    <row r="153" spans="1:47"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row>
    <row r="154" spans="1:47"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row>
    <row r="155" spans="1:47"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row>
    <row r="156" spans="1:47"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row>
    <row r="157" spans="1:47"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row>
    <row r="158" spans="1:47"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row>
    <row r="159" spans="1:47"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row>
    <row r="160" spans="1:47"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row>
    <row r="161" spans="1:47"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row>
    <row r="162" spans="1:47"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row>
    <row r="163" spans="1:47"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row>
    <row r="164" spans="1:47"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row>
    <row r="165" spans="1:47"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row>
    <row r="166" spans="1:47"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row>
    <row r="167" spans="1:47"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row>
    <row r="168" spans="1:47"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row>
    <row r="169" spans="1:47"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row>
    <row r="170" spans="1:47"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row>
    <row r="171" spans="1:47"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row>
    <row r="172" spans="1:47"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row>
    <row r="173" spans="1:47"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row>
    <row r="174" spans="1:47"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row>
    <row r="175" spans="1:47"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row>
    <row r="176" spans="1:47"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row>
    <row r="177" spans="1:47"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row>
    <row r="178" spans="1:47"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row>
    <row r="179" spans="1:47"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row>
    <row r="180" spans="1:47"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row>
    <row r="181" spans="1:47"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row>
    <row r="182" spans="1:47"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row>
    <row r="183" spans="1:47"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row>
    <row r="184" spans="1:47"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row>
    <row r="185" spans="1:47"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row>
    <row r="186" spans="1:47"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row>
    <row r="187" spans="1:47"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row>
    <row r="188" spans="1:47"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row>
    <row r="189" spans="1:47"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row>
    <row r="190" spans="1:47"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row>
    <row r="191" spans="1:47"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row>
    <row r="192" spans="1:47"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row>
    <row r="193" spans="1:47"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row>
    <row r="194" spans="1:47"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row>
    <row r="195" spans="1:47"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row>
    <row r="196" spans="1:47"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row>
    <row r="197" spans="1:47"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row>
    <row r="198" spans="1:47"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row>
    <row r="199" spans="1:47"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row>
    <row r="200" spans="1:47"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row>
    <row r="201" spans="1:47"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row>
    <row r="202" spans="1:47"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row>
    <row r="203" spans="1:47"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row>
    <row r="204" spans="1:47"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row>
    <row r="205" spans="1:47"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row>
    <row r="206" spans="1:47"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row>
    <row r="207" spans="1:47"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row>
    <row r="208" spans="1:47"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row>
    <row r="209" spans="1:47"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row>
    <row r="210" spans="1:47"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row>
    <row r="211" spans="1:47"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row>
    <row r="212" spans="1:47"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row>
    <row r="213" spans="1:47"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row>
    <row r="214" spans="1:47"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row>
    <row r="215" spans="1:47"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row>
    <row r="216" spans="1:47"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row>
    <row r="217" spans="1:47"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row>
    <row r="218" spans="1:47"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row>
    <row r="219" spans="1:47"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row>
    <row r="220" spans="1:47"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row>
    <row r="221" spans="1:47"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row>
    <row r="222" spans="1:47"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row>
    <row r="223" spans="1:47"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row>
    <row r="224" spans="1:47"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row>
    <row r="225" spans="1:47"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row>
    <row r="226" spans="1:47"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row>
    <row r="227" spans="1:47"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row>
    <row r="228" spans="1:47"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row>
    <row r="229" spans="1:47"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row>
    <row r="230" spans="1:47"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row>
    <row r="231" spans="1:47"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row>
    <row r="232" spans="1:47"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row>
    <row r="233" spans="1:47"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row>
    <row r="234" spans="1:47"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row>
    <row r="235" spans="1:47"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row>
    <row r="236" spans="1:47"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row>
    <row r="237" spans="1:47"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row>
    <row r="238" spans="1:47"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row>
    <row r="239" spans="1:47"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row>
    <row r="240" spans="1:47"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row>
    <row r="241" spans="1:47"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row>
    <row r="242" spans="1:47"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row>
    <row r="243" spans="1:47"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row>
    <row r="244" spans="1:47"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row>
    <row r="245" spans="1:47"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row>
    <row r="246" spans="1:47"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row>
    <row r="247" spans="1:47"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row>
    <row r="248" spans="1:47"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row>
    <row r="249" spans="1:47"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row>
    <row r="250" spans="1:47"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row>
    <row r="251" spans="1:47"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row>
    <row r="252" spans="1:47"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row>
    <row r="253" spans="1:47"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row>
    <row r="254" spans="1:47"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row>
    <row r="255" spans="1:47"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row>
    <row r="256" spans="1:47"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row>
    <row r="257" spans="1:47"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row>
    <row r="258" spans="1:47"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row>
    <row r="259" spans="1:47"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row>
    <row r="260" spans="1:47"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row>
    <row r="261" spans="1:47"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row>
    <row r="262" spans="1:47"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row>
    <row r="263" spans="1:47"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row>
    <row r="264" spans="1:47"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row>
    <row r="265" spans="1:47"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row>
    <row r="266" spans="1:47"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row>
    <row r="267" spans="1:47"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row>
    <row r="268" spans="1:47"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row>
    <row r="269" spans="1:47"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row>
    <row r="270" spans="1:47"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row>
    <row r="271" spans="1:47"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row>
    <row r="272" spans="1:47"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row>
    <row r="273" spans="1:47"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row>
    <row r="274" spans="1:47"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row>
    <row r="275" spans="1:47"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row>
    <row r="276" spans="1:47"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row>
    <row r="277" spans="1:47"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row>
    <row r="278" spans="1:47"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row>
    <row r="279" spans="1:47"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row>
    <row r="280" spans="1:47"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row>
    <row r="281" spans="1:47"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row>
    <row r="282" spans="1:47"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row>
    <row r="283" spans="1:47"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row>
    <row r="284" spans="1:47" ht="15.75" customHeight="1"/>
    <row r="285" spans="1:47" ht="15.75" customHeight="1"/>
    <row r="286" spans="1:47" ht="15.75" customHeight="1"/>
    <row r="287" spans="1:47" ht="15.75" customHeight="1"/>
    <row r="288" spans="1:4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D00-000000000000}">
      <formula1>"TOU,non-TOU"</formula1>
    </dataValidation>
    <dataValidation type="list" allowBlank="1" showErrorMessage="1" sqref="E15:E28 E30:E38 E40:E41 E43:E51 E57 E63" xr:uid="{00000000-0002-0000-1D00-000001000000}">
      <formula1>#REF!</formula1>
    </dataValidation>
    <dataValidation type="list" allowBlank="1" showInputMessage="1" showErrorMessage="1" prompt="Select Charge Unit - monthly, per kWh, per kW" sqref="D15:D28 D30:D38 D40:D41 D43:D51 D57 D63" xr:uid="{00000000-0002-0000-1D00-000002000000}">
      <formula1>"Monthly,per kWh,per kW"</formula1>
    </dataValidation>
  </dataValidations>
  <pageMargins left="0.74803149606299213" right="0.74803149606299213" top="0.98425196850393704" bottom="0.98425196850393704"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3" customWidth="1"/>
    <col min="9" max="9" width="1.42578125" customWidth="1"/>
    <col min="10" max="10" width="11" customWidth="1"/>
    <col min="11" max="11" width="10.28515625" customWidth="1"/>
    <col min="12" max="12" width="13" customWidth="1"/>
    <col min="13" max="13" width="1.42578125" customWidth="1"/>
    <col min="14" max="14" width="11" customWidth="1"/>
    <col min="15" max="15" width="10" customWidth="1"/>
    <col min="16" max="16" width="1.7109375" customWidth="1"/>
    <col min="17" max="17" width="11" customWidth="1"/>
    <col min="18" max="18" width="10.28515625" customWidth="1"/>
    <col min="19" max="19" width="13" customWidth="1"/>
    <col min="20" max="20" width="0.42578125" customWidth="1"/>
    <col min="21" max="21" width="11" customWidth="1"/>
    <col min="22" max="22" width="10" customWidth="1"/>
    <col min="23" max="23" width="2.28515625" customWidth="1"/>
    <col min="24" max="24" width="11" customWidth="1"/>
    <col min="25" max="25" width="10.28515625" customWidth="1"/>
    <col min="26" max="26" width="13" customWidth="1"/>
    <col min="27" max="27" width="0.42578125" customWidth="1"/>
    <col min="28" max="28" width="11" customWidth="1"/>
    <col min="29" max="29" width="10" customWidth="1"/>
    <col min="30" max="30" width="2.140625" customWidth="1"/>
    <col min="31" max="31" width="11" customWidth="1"/>
    <col min="32" max="32" width="10.28515625" customWidth="1"/>
    <col min="33" max="33" width="13" customWidth="1"/>
    <col min="34" max="34" width="0.42578125" customWidth="1"/>
    <col min="35" max="35" width="11" customWidth="1"/>
    <col min="36" max="36" width="10" customWidth="1"/>
    <col min="37" max="37" width="0.7109375" customWidth="1"/>
    <col min="38" max="38" width="11" customWidth="1"/>
    <col min="39" max="39" width="10.28515625"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2"/>
      <c r="B1" s="52"/>
      <c r="C1" s="554"/>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3"/>
      <c r="AT1" s="3"/>
      <c r="AU1" s="3"/>
      <c r="AV1" s="3"/>
    </row>
    <row r="2" spans="1:48" ht="18.75" customHeight="1">
      <c r="A2" s="52"/>
      <c r="B2" s="52"/>
      <c r="C2" s="555"/>
      <c r="D2" s="378"/>
      <c r="E2" s="378"/>
      <c r="F2" s="378" t="s">
        <v>295</v>
      </c>
      <c r="G2" s="378"/>
      <c r="H2" s="378"/>
      <c r="I2" s="378"/>
      <c r="J2" s="378"/>
      <c r="K2" s="378"/>
      <c r="L2" s="378"/>
      <c r="M2" s="378"/>
      <c r="N2" s="378"/>
      <c r="O2" s="378"/>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3"/>
      <c r="AT2" s="3"/>
      <c r="AU2" s="3"/>
      <c r="AV2" s="3"/>
    </row>
    <row r="3" spans="1:48" ht="18.75" customHeight="1">
      <c r="A3" s="52"/>
      <c r="B3" s="52"/>
      <c r="C3" s="555"/>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row>
    <row r="4" spans="1:48" ht="7.5" customHeight="1">
      <c r="A4" s="52"/>
      <c r="B4" s="52"/>
      <c r="C4" s="554"/>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row>
    <row r="5" spans="1:48" ht="7.5" customHeight="1">
      <c r="A5" s="52"/>
      <c r="B5" s="52"/>
      <c r="C5" s="554"/>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row>
    <row r="6" spans="1:48" ht="12.75" customHeight="1">
      <c r="A6" s="52"/>
      <c r="B6" s="320" t="s">
        <v>298</v>
      </c>
      <c r="C6" s="554"/>
      <c r="D6" s="504" t="s">
        <v>225</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row>
    <row r="7" spans="1:48" ht="7.5" customHeight="1">
      <c r="A7" s="52"/>
      <c r="B7" s="382"/>
      <c r="C7" s="554"/>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row>
    <row r="8" spans="1:48" ht="12.75" customHeight="1">
      <c r="A8" s="52"/>
      <c r="B8" s="320" t="s">
        <v>299</v>
      </c>
      <c r="C8" s="554"/>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3"/>
      <c r="AT8" s="3"/>
      <c r="AU8" s="3"/>
      <c r="AV8" s="3"/>
    </row>
    <row r="9" spans="1:48" ht="12.75" customHeight="1">
      <c r="A9" s="52"/>
      <c r="B9" s="382"/>
      <c r="C9" s="554"/>
      <c r="D9" s="307" t="s">
        <v>301</v>
      </c>
      <c r="E9" s="307"/>
      <c r="F9" s="385">
        <v>891400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3"/>
      <c r="AT9" s="3"/>
      <c r="AU9" s="3"/>
      <c r="AV9" s="3"/>
    </row>
    <row r="10" spans="1:48" ht="12.75" customHeight="1">
      <c r="A10" s="52"/>
      <c r="B10" s="52"/>
      <c r="C10" s="554"/>
      <c r="D10" s="52"/>
      <c r="E10" s="52"/>
      <c r="F10" s="385">
        <v>1925</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3"/>
      <c r="AT10" s="3"/>
      <c r="AU10" s="3"/>
      <c r="AV10" s="3"/>
    </row>
    <row r="11" spans="1:48" ht="12.75" customHeight="1">
      <c r="A11" s="52"/>
      <c r="B11" s="52"/>
      <c r="C11" s="554"/>
      <c r="D11" s="3"/>
      <c r="E11" s="3"/>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
      <c r="AT11" s="3"/>
      <c r="AU11" s="3"/>
      <c r="AV11" s="3"/>
    </row>
    <row r="12" spans="1:48"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3"/>
      <c r="AT12" s="3"/>
      <c r="AU12" s="3"/>
      <c r="AV12" s="3"/>
    </row>
    <row r="13" spans="1:48"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
      <c r="AT13" s="3"/>
      <c r="AU13" s="3"/>
      <c r="AV13" s="3"/>
    </row>
    <row r="14" spans="1:48"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
      <c r="AT14" s="3"/>
      <c r="AU14" s="3"/>
      <c r="AV14" s="3"/>
    </row>
    <row r="15" spans="1:48" ht="12.75" customHeight="1">
      <c r="A15" s="52"/>
      <c r="B15" s="321" t="s">
        <v>221</v>
      </c>
      <c r="C15" s="394" t="str">
        <f t="shared" ref="C15:C28" si="0">D$6&amp;"."&amp;B15</f>
        <v>General Service 1,500 to 4,999 KW.Monthly Service Charge</v>
      </c>
      <c r="D15" s="395" t="s">
        <v>310</v>
      </c>
      <c r="E15" s="321"/>
      <c r="F15" s="396">
        <f>IFERROR(VLOOKUP($C15,'Proposed Rates'!$B:$J,F$11,FALSE),0)</f>
        <v>4126.75</v>
      </c>
      <c r="G15" s="414">
        <f t="shared" ref="G15:G28" si="1">IF($D15="Monthly",1,IF($D15="per KW",$F$10,IF($D15="per kWh",$F$9,0)))</f>
        <v>1</v>
      </c>
      <c r="H15" s="399">
        <f t="shared" ref="H15:H28" si="2">G15*F15</f>
        <v>4126.75</v>
      </c>
      <c r="I15" s="132"/>
      <c r="J15" s="396">
        <f>IFERROR(VLOOKUP($C15,'Proposed Rates'!$B:$J,J$11,FALSE),0)</f>
        <v>4126.75</v>
      </c>
      <c r="K15" s="414">
        <f t="shared" ref="K15:K28" si="3">IF($D15="Monthly",1,IF($D15="per KW",$F$10,IF($D15="per kWh",$F$9,0)))</f>
        <v>1</v>
      </c>
      <c r="L15" s="399">
        <f t="shared" ref="L15:L28" si="4">K15*J15</f>
        <v>4126.75</v>
      </c>
      <c r="M15" s="132"/>
      <c r="N15" s="400">
        <f t="shared" ref="N15:N46" si="5">L15-H15</f>
        <v>0</v>
      </c>
      <c r="O15" s="401">
        <f t="shared" ref="O15:O46" si="6">IF((H15)=0,"",(N15/H15))</f>
        <v>0</v>
      </c>
      <c r="P15" s="52"/>
      <c r="Q15" s="396">
        <f>IFERROR(VLOOKUP($C15,'Proposed Rates'!$B:$J,Q$11,FALSE),0)</f>
        <v>4126.75</v>
      </c>
      <c r="R15" s="414">
        <f t="shared" ref="R15:R28" si="7">IF($D15="Monthly",1,IF($D15="per KW",$F$10,IF($D15="per kWh",$F$9,0)))</f>
        <v>1</v>
      </c>
      <c r="S15" s="399">
        <f t="shared" ref="S15:S28" si="8">R15*Q15</f>
        <v>4126.75</v>
      </c>
      <c r="T15" s="132"/>
      <c r="U15" s="400">
        <f t="shared" ref="U15:U31" si="9">S15-L15</f>
        <v>0</v>
      </c>
      <c r="V15" s="401">
        <f t="shared" ref="V15:V31" si="10">IF((L15)=0,"",(U15/L15))</f>
        <v>0</v>
      </c>
      <c r="W15" s="52"/>
      <c r="X15" s="396">
        <f>IFERROR(VLOOKUP($C15,'Proposed Rates'!$B:$J,X$11,FALSE),0)</f>
        <v>4126.75</v>
      </c>
      <c r="Y15" s="414">
        <f t="shared" ref="Y15:Y28" si="11">IF($D15="Monthly",1,IF($D15="per KW",$F$10,IF($D15="per kWh",$F$9,0)))</f>
        <v>1</v>
      </c>
      <c r="Z15" s="399">
        <f t="shared" ref="Z15:Z28" si="12">Y15*X15</f>
        <v>4126.75</v>
      </c>
      <c r="AA15" s="132"/>
      <c r="AB15" s="400">
        <f t="shared" ref="AB15:AB46" si="13">Z15-S15</f>
        <v>0</v>
      </c>
      <c r="AC15" s="401">
        <f t="shared" ref="AC15:AC46" si="14">IF((S15)=0,"",(AB15/S15))</f>
        <v>0</v>
      </c>
      <c r="AD15" s="52"/>
      <c r="AE15" s="396">
        <f>IFERROR(VLOOKUP($C15,'Proposed Rates'!$B:$J,AE$11,FALSE),0)</f>
        <v>4126.75</v>
      </c>
      <c r="AF15" s="414">
        <f t="shared" ref="AF15:AF28" si="15">IF($D15="Monthly",1,IF($D15="per KW",$F$10,IF($D15="per kWh",$F$9,0)))</f>
        <v>1</v>
      </c>
      <c r="AG15" s="399">
        <f t="shared" ref="AG15:AG28" si="16">AF15*AE15</f>
        <v>4126.75</v>
      </c>
      <c r="AH15" s="132"/>
      <c r="AI15" s="400">
        <f t="shared" ref="AI15:AI46" si="17">AG15-Z15</f>
        <v>0</v>
      </c>
      <c r="AJ15" s="401">
        <f t="shared" ref="AJ15:AJ46" si="18">IF((Z15)=0,"",(AI15/Z15))</f>
        <v>0</v>
      </c>
      <c r="AK15" s="52"/>
      <c r="AL15" s="396">
        <f>IFERROR(VLOOKUP($C15,'Proposed Rates'!$B:$J,AL$11,FALSE),0)</f>
        <v>4126.75</v>
      </c>
      <c r="AM15" s="414">
        <f t="shared" ref="AM15:AM28" si="19">IF($D15="Monthly",1,IF($D15="per KW",$F$10,IF($D15="per kWh",$F$9,0)))</f>
        <v>1</v>
      </c>
      <c r="AN15" s="399">
        <f t="shared" ref="AN15:AN28" si="20">AM15*AL15</f>
        <v>4126.75</v>
      </c>
      <c r="AO15" s="132"/>
      <c r="AP15" s="400">
        <f t="shared" ref="AP15:AP46" si="21">AN15-AG15</f>
        <v>0</v>
      </c>
      <c r="AQ15" s="401">
        <f t="shared" ref="AQ15:AQ46" si="22">IF((AG15)=0,"",(AP15/AG15))</f>
        <v>0</v>
      </c>
      <c r="AR15" s="402"/>
      <c r="AS15" s="3"/>
      <c r="AT15" s="3"/>
      <c r="AU15" s="3"/>
      <c r="AV15" s="3"/>
    </row>
    <row r="16" spans="1:48" ht="12.75" customHeight="1">
      <c r="A16" s="52"/>
      <c r="B16" s="321" t="s">
        <v>311</v>
      </c>
      <c r="C16" s="394" t="str">
        <f t="shared" si="0"/>
        <v>General Service 1,500 to 4,999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c r="AS16" s="3"/>
      <c r="AT16" s="3"/>
      <c r="AU16" s="3"/>
      <c r="AV16" s="3"/>
    </row>
    <row r="17" spans="1:48" ht="12.75" customHeight="1">
      <c r="A17" s="52"/>
      <c r="B17" s="403" t="str">
        <f>'Proposed Rates'!C115</f>
        <v>Rate Rider Calculation for PILs</v>
      </c>
      <c r="C17" s="394" t="str">
        <f t="shared" si="0"/>
        <v>General Service 1,500 to 4,999 KW.Rate Rider Calculation for PILs</v>
      </c>
      <c r="D17" s="395" t="s">
        <v>381</v>
      </c>
      <c r="E17" s="321"/>
      <c r="F17" s="396">
        <f>IFERROR(VLOOKUP($C17,'Proposed Rates'!$B:$J,F$11,FALSE),0)</f>
        <v>0</v>
      </c>
      <c r="G17" s="414">
        <f t="shared" si="1"/>
        <v>1925</v>
      </c>
      <c r="H17" s="399">
        <f t="shared" si="2"/>
        <v>0</v>
      </c>
      <c r="I17" s="132"/>
      <c r="J17" s="396">
        <f>IFERROR(VLOOKUP($C17,'Proposed Rates'!$B:$J,J$11,FALSE),0)</f>
        <v>0</v>
      </c>
      <c r="K17" s="414">
        <f t="shared" si="3"/>
        <v>1925</v>
      </c>
      <c r="L17" s="399">
        <f t="shared" si="4"/>
        <v>0</v>
      </c>
      <c r="M17" s="132"/>
      <c r="N17" s="400">
        <f t="shared" si="5"/>
        <v>0</v>
      </c>
      <c r="O17" s="401" t="str">
        <f t="shared" si="6"/>
        <v/>
      </c>
      <c r="P17" s="52"/>
      <c r="Q17" s="396">
        <f>IFERROR(VLOOKUP($C17,'Proposed Rates'!$B:$J,Q$11,FALSE),0)</f>
        <v>0</v>
      </c>
      <c r="R17" s="414">
        <f t="shared" si="7"/>
        <v>1925</v>
      </c>
      <c r="S17" s="399">
        <f t="shared" si="8"/>
        <v>0</v>
      </c>
      <c r="T17" s="132"/>
      <c r="U17" s="400">
        <f t="shared" si="9"/>
        <v>0</v>
      </c>
      <c r="V17" s="401" t="str">
        <f t="shared" si="10"/>
        <v/>
      </c>
      <c r="W17" s="52"/>
      <c r="X17" s="396">
        <f>IFERROR(VLOOKUP($C17,'Proposed Rates'!$B:$J,X$11,FALSE),0)</f>
        <v>0</v>
      </c>
      <c r="Y17" s="414">
        <f t="shared" si="11"/>
        <v>1925</v>
      </c>
      <c r="Z17" s="399">
        <f t="shared" si="12"/>
        <v>0</v>
      </c>
      <c r="AA17" s="132"/>
      <c r="AB17" s="400">
        <f t="shared" si="13"/>
        <v>0</v>
      </c>
      <c r="AC17" s="401" t="str">
        <f t="shared" si="14"/>
        <v/>
      </c>
      <c r="AD17" s="52"/>
      <c r="AE17" s="396">
        <f>IFERROR(VLOOKUP($C17,'Proposed Rates'!$B:$J,AE$11,FALSE),0)</f>
        <v>0</v>
      </c>
      <c r="AF17" s="414">
        <f t="shared" si="15"/>
        <v>1925</v>
      </c>
      <c r="AG17" s="399">
        <f t="shared" si="16"/>
        <v>0</v>
      </c>
      <c r="AH17" s="132"/>
      <c r="AI17" s="400">
        <f t="shared" si="17"/>
        <v>0</v>
      </c>
      <c r="AJ17" s="401" t="str">
        <f t="shared" si="18"/>
        <v/>
      </c>
      <c r="AK17" s="52"/>
      <c r="AL17" s="396">
        <f>IFERROR(VLOOKUP($C17,'Proposed Rates'!$B:$J,AL$11,FALSE),0)</f>
        <v>0</v>
      </c>
      <c r="AM17" s="414">
        <f t="shared" si="19"/>
        <v>1925</v>
      </c>
      <c r="AN17" s="399">
        <f t="shared" si="20"/>
        <v>0</v>
      </c>
      <c r="AO17" s="132"/>
      <c r="AP17" s="400">
        <f t="shared" si="21"/>
        <v>0</v>
      </c>
      <c r="AQ17" s="401" t="str">
        <f t="shared" si="22"/>
        <v/>
      </c>
      <c r="AR17" s="402"/>
      <c r="AS17" s="3"/>
      <c r="AT17" s="3"/>
      <c r="AU17" s="3"/>
      <c r="AV17" s="3"/>
    </row>
    <row r="18" spans="1:48" ht="12.75" customHeight="1">
      <c r="A18" s="52"/>
      <c r="B18" s="403" t="str">
        <f>'Proposed Rates'!C128</f>
        <v>Rate Rider Calculation for Generic</v>
      </c>
      <c r="C18" s="394" t="str">
        <f t="shared" si="0"/>
        <v>General Service 1,500 to 4,999 KW.Rate Rider Calculation for Generic</v>
      </c>
      <c r="D18" s="395" t="s">
        <v>381</v>
      </c>
      <c r="E18" s="321"/>
      <c r="F18" s="396">
        <f>IFERROR(VLOOKUP($C18,'Proposed Rates'!$B:$J,F$11,FALSE),0)</f>
        <v>0</v>
      </c>
      <c r="G18" s="414">
        <f t="shared" si="1"/>
        <v>1925</v>
      </c>
      <c r="H18" s="399">
        <f t="shared" si="2"/>
        <v>0</v>
      </c>
      <c r="I18" s="132"/>
      <c r="J18" s="396">
        <f>IFERROR(VLOOKUP($C18,'Proposed Rates'!$B:$J,J$11,FALSE),0)</f>
        <v>0</v>
      </c>
      <c r="K18" s="414">
        <f t="shared" si="3"/>
        <v>1925</v>
      </c>
      <c r="L18" s="399">
        <f t="shared" si="4"/>
        <v>0</v>
      </c>
      <c r="M18" s="132"/>
      <c r="N18" s="400">
        <f t="shared" si="5"/>
        <v>0</v>
      </c>
      <c r="O18" s="401" t="str">
        <f t="shared" si="6"/>
        <v/>
      </c>
      <c r="P18" s="52"/>
      <c r="Q18" s="396">
        <f>IFERROR(VLOOKUP($C18,'Proposed Rates'!$B:$J,Q$11,FALSE),0)</f>
        <v>0</v>
      </c>
      <c r="R18" s="414">
        <f t="shared" si="7"/>
        <v>1925</v>
      </c>
      <c r="S18" s="399">
        <f t="shared" si="8"/>
        <v>0</v>
      </c>
      <c r="T18" s="132"/>
      <c r="U18" s="400">
        <f t="shared" si="9"/>
        <v>0</v>
      </c>
      <c r="V18" s="401" t="str">
        <f t="shared" si="10"/>
        <v/>
      </c>
      <c r="W18" s="52"/>
      <c r="X18" s="396">
        <f>IFERROR(VLOOKUP($C18,'Proposed Rates'!$B:$J,X$11,FALSE),0)</f>
        <v>0</v>
      </c>
      <c r="Y18" s="414">
        <f t="shared" si="11"/>
        <v>1925</v>
      </c>
      <c r="Z18" s="399">
        <f t="shared" si="12"/>
        <v>0</v>
      </c>
      <c r="AA18" s="132"/>
      <c r="AB18" s="400">
        <f t="shared" si="13"/>
        <v>0</v>
      </c>
      <c r="AC18" s="401" t="str">
        <f t="shared" si="14"/>
        <v/>
      </c>
      <c r="AD18" s="52"/>
      <c r="AE18" s="396">
        <f>IFERROR(VLOOKUP($C18,'Proposed Rates'!$B:$J,AE$11,FALSE),0)</f>
        <v>0</v>
      </c>
      <c r="AF18" s="414">
        <f t="shared" si="15"/>
        <v>1925</v>
      </c>
      <c r="AG18" s="399">
        <f t="shared" si="16"/>
        <v>0</v>
      </c>
      <c r="AH18" s="132"/>
      <c r="AI18" s="400">
        <f t="shared" si="17"/>
        <v>0</v>
      </c>
      <c r="AJ18" s="401" t="str">
        <f t="shared" si="18"/>
        <v/>
      </c>
      <c r="AK18" s="52"/>
      <c r="AL18" s="396">
        <f>IFERROR(VLOOKUP($C18,'Proposed Rates'!$B:$J,AL$11,FALSE),0)</f>
        <v>0</v>
      </c>
      <c r="AM18" s="414">
        <f t="shared" si="19"/>
        <v>1925</v>
      </c>
      <c r="AN18" s="399">
        <f t="shared" si="20"/>
        <v>0</v>
      </c>
      <c r="AO18" s="132"/>
      <c r="AP18" s="400">
        <f t="shared" si="21"/>
        <v>0</v>
      </c>
      <c r="AQ18" s="401" t="str">
        <f t="shared" si="22"/>
        <v/>
      </c>
      <c r="AR18" s="402"/>
      <c r="AS18" s="3"/>
      <c r="AT18" s="3"/>
      <c r="AU18" s="3"/>
      <c r="AV18" s="3"/>
    </row>
    <row r="19" spans="1:48" ht="12.75" customHeight="1">
      <c r="A19" s="52"/>
      <c r="B19" s="321" t="s">
        <v>59</v>
      </c>
      <c r="C19" s="394" t="str">
        <f t="shared" si="0"/>
        <v>General Service 1,500 to 4,999 KW.Distribution Volumetric Rate</v>
      </c>
      <c r="D19" s="395" t="s">
        <v>381</v>
      </c>
      <c r="E19" s="321"/>
      <c r="F19" s="396">
        <f>IFERROR(VLOOKUP($C19,'Proposed Rates'!$B:$J,F$11,FALSE),0)</f>
        <v>6.0796000000000001</v>
      </c>
      <c r="G19" s="414">
        <f t="shared" si="1"/>
        <v>1925</v>
      </c>
      <c r="H19" s="399">
        <f t="shared" si="2"/>
        <v>11703.23</v>
      </c>
      <c r="I19" s="132"/>
      <c r="J19" s="396">
        <f>IFERROR(VLOOKUP($C19,'Proposed Rates'!$B:$J,J$11,FALSE),0)</f>
        <v>7.6669</v>
      </c>
      <c r="K19" s="414">
        <f t="shared" si="3"/>
        <v>1925</v>
      </c>
      <c r="L19" s="399">
        <f t="shared" si="4"/>
        <v>14758.782499999999</v>
      </c>
      <c r="M19" s="132"/>
      <c r="N19" s="400">
        <f t="shared" si="5"/>
        <v>3055.5524999999998</v>
      </c>
      <c r="O19" s="401">
        <f t="shared" si="6"/>
        <v>0.26108625567471544</v>
      </c>
      <c r="P19" s="52"/>
      <c r="Q19" s="396">
        <f>IFERROR(VLOOKUP($C19,'Proposed Rates'!$B:$J,Q$11,FALSE),0)</f>
        <v>8.1407000000000007</v>
      </c>
      <c r="R19" s="414">
        <f t="shared" si="7"/>
        <v>1925</v>
      </c>
      <c r="S19" s="399">
        <f t="shared" si="8"/>
        <v>15670.847500000002</v>
      </c>
      <c r="T19" s="132"/>
      <c r="U19" s="400">
        <f t="shared" si="9"/>
        <v>912.06500000000233</v>
      </c>
      <c r="V19" s="401">
        <f t="shared" si="10"/>
        <v>6.179811918767706E-2</v>
      </c>
      <c r="W19" s="52"/>
      <c r="X19" s="396">
        <f>IFERROR(VLOOKUP($C19,'Proposed Rates'!$B:$J,X$11,FALSE),0)</f>
        <v>8.8402999999999992</v>
      </c>
      <c r="Y19" s="414">
        <f t="shared" si="11"/>
        <v>1925</v>
      </c>
      <c r="Z19" s="399">
        <f t="shared" si="12"/>
        <v>17017.577499999999</v>
      </c>
      <c r="AA19" s="132"/>
      <c r="AB19" s="400">
        <f t="shared" si="13"/>
        <v>1346.7299999999977</v>
      </c>
      <c r="AC19" s="401">
        <f t="shared" si="14"/>
        <v>8.5938555652462167E-2</v>
      </c>
      <c r="AD19" s="52"/>
      <c r="AE19" s="396">
        <f>IFERROR(VLOOKUP($C19,'Proposed Rates'!$B:$J,AE$11,FALSE),0)</f>
        <v>9.2126999999999999</v>
      </c>
      <c r="AF19" s="414">
        <f t="shared" si="15"/>
        <v>1925</v>
      </c>
      <c r="AG19" s="399">
        <f t="shared" si="16"/>
        <v>17734.447499999998</v>
      </c>
      <c r="AH19" s="132"/>
      <c r="AI19" s="400">
        <f t="shared" si="17"/>
        <v>716.86999999999898</v>
      </c>
      <c r="AJ19" s="401">
        <f t="shared" si="18"/>
        <v>4.2125267242061865E-2</v>
      </c>
      <c r="AK19" s="52"/>
      <c r="AL19" s="396">
        <f>IFERROR(VLOOKUP($C19,'Proposed Rates'!$B:$J,AL$11,FALSE),0)</f>
        <v>9.5539000000000005</v>
      </c>
      <c r="AM19" s="414">
        <f t="shared" si="19"/>
        <v>1925</v>
      </c>
      <c r="AN19" s="399">
        <f t="shared" si="20"/>
        <v>18391.2575</v>
      </c>
      <c r="AO19" s="132"/>
      <c r="AP19" s="400">
        <f t="shared" si="21"/>
        <v>656.81000000000131</v>
      </c>
      <c r="AQ19" s="401">
        <f t="shared" si="22"/>
        <v>3.7035830972462006E-2</v>
      </c>
      <c r="AR19" s="402"/>
      <c r="AS19" s="3"/>
      <c r="AT19" s="3"/>
      <c r="AU19" s="3"/>
      <c r="AV19" s="3"/>
    </row>
    <row r="20" spans="1:48" ht="12.75" customHeight="1">
      <c r="A20" s="52"/>
      <c r="B20" s="321" t="s">
        <v>313</v>
      </c>
      <c r="C20" s="394" t="str">
        <f t="shared" si="0"/>
        <v>General Service 1,500 to 4,999 KW.Smart Meter Disposition Rider</v>
      </c>
      <c r="D20" s="395" t="s">
        <v>312</v>
      </c>
      <c r="E20" s="321"/>
      <c r="F20" s="396">
        <f>IFERROR(VLOOKUP($C20,'Proposed Rates'!$B:$J,F$11,FALSE),0)</f>
        <v>0</v>
      </c>
      <c r="G20" s="414">
        <f t="shared" si="1"/>
        <v>891400</v>
      </c>
      <c r="H20" s="399">
        <f t="shared" si="2"/>
        <v>0</v>
      </c>
      <c r="I20" s="132"/>
      <c r="J20" s="396">
        <f>IFERROR(VLOOKUP($C20,'Proposed Rates'!$B:$J,J$11,FALSE),0)</f>
        <v>0</v>
      </c>
      <c r="K20" s="414">
        <f t="shared" si="3"/>
        <v>891400</v>
      </c>
      <c r="L20" s="399">
        <f t="shared" si="4"/>
        <v>0</v>
      </c>
      <c r="M20" s="132"/>
      <c r="N20" s="400">
        <f t="shared" si="5"/>
        <v>0</v>
      </c>
      <c r="O20" s="401" t="str">
        <f t="shared" si="6"/>
        <v/>
      </c>
      <c r="P20" s="52"/>
      <c r="Q20" s="396">
        <f>IFERROR(VLOOKUP($C20,'Proposed Rates'!$B:$J,Q$11,FALSE),0)</f>
        <v>0</v>
      </c>
      <c r="R20" s="414">
        <f t="shared" si="7"/>
        <v>891400</v>
      </c>
      <c r="S20" s="399">
        <f t="shared" si="8"/>
        <v>0</v>
      </c>
      <c r="T20" s="132"/>
      <c r="U20" s="400">
        <f t="shared" si="9"/>
        <v>0</v>
      </c>
      <c r="V20" s="401" t="str">
        <f t="shared" si="10"/>
        <v/>
      </c>
      <c r="W20" s="52"/>
      <c r="X20" s="396">
        <f>IFERROR(VLOOKUP($C20,'Proposed Rates'!$B:$J,X$11,FALSE),0)</f>
        <v>0</v>
      </c>
      <c r="Y20" s="414">
        <f t="shared" si="11"/>
        <v>891400</v>
      </c>
      <c r="Z20" s="399">
        <f t="shared" si="12"/>
        <v>0</v>
      </c>
      <c r="AA20" s="132"/>
      <c r="AB20" s="400">
        <f t="shared" si="13"/>
        <v>0</v>
      </c>
      <c r="AC20" s="401" t="str">
        <f t="shared" si="14"/>
        <v/>
      </c>
      <c r="AD20" s="52"/>
      <c r="AE20" s="396">
        <f>IFERROR(VLOOKUP($C20,'Proposed Rates'!$B:$J,AE$11,FALSE),0)</f>
        <v>0</v>
      </c>
      <c r="AF20" s="414">
        <f t="shared" si="15"/>
        <v>891400</v>
      </c>
      <c r="AG20" s="399">
        <f t="shared" si="16"/>
        <v>0</v>
      </c>
      <c r="AH20" s="132"/>
      <c r="AI20" s="400">
        <f t="shared" si="17"/>
        <v>0</v>
      </c>
      <c r="AJ20" s="401" t="str">
        <f t="shared" si="18"/>
        <v/>
      </c>
      <c r="AK20" s="52"/>
      <c r="AL20" s="396">
        <f>IFERROR(VLOOKUP($C20,'Proposed Rates'!$B:$J,AL$11,FALSE),0)</f>
        <v>0</v>
      </c>
      <c r="AM20" s="414">
        <f t="shared" si="19"/>
        <v>891400</v>
      </c>
      <c r="AN20" s="399">
        <f t="shared" si="20"/>
        <v>0</v>
      </c>
      <c r="AO20" s="132"/>
      <c r="AP20" s="400">
        <f t="shared" si="21"/>
        <v>0</v>
      </c>
      <c r="AQ20" s="401" t="str">
        <f t="shared" si="22"/>
        <v/>
      </c>
      <c r="AR20" s="402"/>
      <c r="AS20" s="3"/>
      <c r="AT20" s="3"/>
      <c r="AU20" s="3"/>
      <c r="AV20" s="3"/>
    </row>
    <row r="21" spans="1:48" ht="12.75" customHeight="1">
      <c r="A21" s="52"/>
      <c r="B21" s="321" t="s">
        <v>244</v>
      </c>
      <c r="C21" s="394" t="str">
        <f t="shared" si="0"/>
        <v>General Service 1,500 to 4,999 KW.LRAM Rate Rider</v>
      </c>
      <c r="D21" s="395" t="s">
        <v>381</v>
      </c>
      <c r="E21" s="321"/>
      <c r="F21" s="413">
        <f>'Proposed Rates'!E80+'Proposed Rates'!E93</f>
        <v>0.2021</v>
      </c>
      <c r="G21" s="414">
        <f t="shared" si="1"/>
        <v>1925</v>
      </c>
      <c r="H21" s="399">
        <f t="shared" si="2"/>
        <v>389.04250000000002</v>
      </c>
      <c r="I21" s="132"/>
      <c r="J21" s="413">
        <f>'Proposed Rates'!F80+'Proposed Rates'!F93</f>
        <v>-0.36930000000000002</v>
      </c>
      <c r="K21" s="414">
        <f t="shared" si="3"/>
        <v>1925</v>
      </c>
      <c r="L21" s="399">
        <f t="shared" si="4"/>
        <v>-710.90250000000003</v>
      </c>
      <c r="M21" s="132"/>
      <c r="N21" s="400">
        <f t="shared" si="5"/>
        <v>-1099.9450000000002</v>
      </c>
      <c r="O21" s="401">
        <f t="shared" si="6"/>
        <v>-2.827313211281544</v>
      </c>
      <c r="P21" s="52"/>
      <c r="Q21" s="413">
        <f>'Proposed Rates'!G80+'Proposed Rates'!G93</f>
        <v>0</v>
      </c>
      <c r="R21" s="414">
        <f t="shared" si="7"/>
        <v>1925</v>
      </c>
      <c r="S21" s="399">
        <f t="shared" si="8"/>
        <v>0</v>
      </c>
      <c r="T21" s="132"/>
      <c r="U21" s="400">
        <f t="shared" si="9"/>
        <v>710.90250000000003</v>
      </c>
      <c r="V21" s="401">
        <f t="shared" si="10"/>
        <v>-1</v>
      </c>
      <c r="W21" s="52"/>
      <c r="X21" s="396">
        <f>IFERROR(VLOOKUP($C21,'Proposed Rates'!$B:$J,X$11,FALSE),0)</f>
        <v>0</v>
      </c>
      <c r="Y21" s="414">
        <f t="shared" si="11"/>
        <v>1925</v>
      </c>
      <c r="Z21" s="399">
        <f t="shared" si="12"/>
        <v>0</v>
      </c>
      <c r="AA21" s="132"/>
      <c r="AB21" s="400">
        <f t="shared" si="13"/>
        <v>0</v>
      </c>
      <c r="AC21" s="401" t="str">
        <f t="shared" si="14"/>
        <v/>
      </c>
      <c r="AD21" s="52"/>
      <c r="AE21" s="396">
        <f>IFERROR(VLOOKUP($C21,'Proposed Rates'!$B:$J,AE$11,FALSE),0)</f>
        <v>0</v>
      </c>
      <c r="AF21" s="414">
        <f t="shared" si="15"/>
        <v>1925</v>
      </c>
      <c r="AG21" s="399">
        <f t="shared" si="16"/>
        <v>0</v>
      </c>
      <c r="AH21" s="132"/>
      <c r="AI21" s="400">
        <f t="shared" si="17"/>
        <v>0</v>
      </c>
      <c r="AJ21" s="401" t="str">
        <f t="shared" si="18"/>
        <v/>
      </c>
      <c r="AK21" s="52"/>
      <c r="AL21" s="396">
        <f>IFERROR(VLOOKUP($C21,'Proposed Rates'!$B:$J,AL$11,FALSE),0)</f>
        <v>0</v>
      </c>
      <c r="AM21" s="414">
        <f t="shared" si="19"/>
        <v>1925</v>
      </c>
      <c r="AN21" s="399">
        <f t="shared" si="20"/>
        <v>0</v>
      </c>
      <c r="AO21" s="132"/>
      <c r="AP21" s="400">
        <f t="shared" si="21"/>
        <v>0</v>
      </c>
      <c r="AQ21" s="401" t="str">
        <f t="shared" si="22"/>
        <v/>
      </c>
      <c r="AR21" s="402"/>
      <c r="AS21" s="3"/>
      <c r="AT21" s="3"/>
      <c r="AU21" s="3"/>
      <c r="AV21" s="3"/>
    </row>
    <row r="22" spans="1:48" ht="12.75" customHeight="1">
      <c r="A22" s="52"/>
      <c r="B22" s="483" t="s">
        <v>240</v>
      </c>
      <c r="C22" s="394" t="str">
        <f t="shared" si="0"/>
        <v>General Service 1,500 to 4,999 KW.Deferral/Variance Account Disposition Rate Rider Group 2</v>
      </c>
      <c r="D22" s="395" t="s">
        <v>381</v>
      </c>
      <c r="E22" s="321"/>
      <c r="F22" s="396">
        <f>IFERROR(VLOOKUP($C22,'Proposed Rates'!$B:$J,F$11,FALSE),0)</f>
        <v>0</v>
      </c>
      <c r="G22" s="414">
        <f t="shared" si="1"/>
        <v>1925</v>
      </c>
      <c r="H22" s="399">
        <f t="shared" si="2"/>
        <v>0</v>
      </c>
      <c r="I22" s="132"/>
      <c r="J22" s="396">
        <f>IFERROR(VLOOKUP($C22,'Proposed Rates'!$B:$J,J$11,FALSE),0)</f>
        <v>-0.1694</v>
      </c>
      <c r="K22" s="414">
        <f t="shared" si="3"/>
        <v>1925</v>
      </c>
      <c r="L22" s="399">
        <f t="shared" si="4"/>
        <v>-326.09499999999997</v>
      </c>
      <c r="M22" s="132"/>
      <c r="N22" s="400">
        <f t="shared" si="5"/>
        <v>-326.09499999999997</v>
      </c>
      <c r="O22" s="401" t="str">
        <f t="shared" si="6"/>
        <v/>
      </c>
      <c r="P22" s="52"/>
      <c r="Q22" s="396">
        <f>IFERROR(VLOOKUP($C22,'Proposed Rates'!$B:$J,Q$11,FALSE),0)</f>
        <v>0</v>
      </c>
      <c r="R22" s="414">
        <f t="shared" si="7"/>
        <v>1925</v>
      </c>
      <c r="S22" s="399">
        <f t="shared" si="8"/>
        <v>0</v>
      </c>
      <c r="T22" s="132"/>
      <c r="U22" s="400">
        <f t="shared" si="9"/>
        <v>326.09499999999997</v>
      </c>
      <c r="V22" s="401">
        <f t="shared" si="10"/>
        <v>-1</v>
      </c>
      <c r="W22" s="52"/>
      <c r="X22" s="396">
        <f>IFERROR(VLOOKUP($C22,'Proposed Rates'!$B:$J,X$11,FALSE),0)</f>
        <v>0</v>
      </c>
      <c r="Y22" s="414">
        <f t="shared" si="11"/>
        <v>1925</v>
      </c>
      <c r="Z22" s="399">
        <f t="shared" si="12"/>
        <v>0</v>
      </c>
      <c r="AA22" s="132"/>
      <c r="AB22" s="400">
        <f t="shared" si="13"/>
        <v>0</v>
      </c>
      <c r="AC22" s="401" t="str">
        <f t="shared" si="14"/>
        <v/>
      </c>
      <c r="AD22" s="52"/>
      <c r="AE22" s="396">
        <f>IFERROR(VLOOKUP($C22,'Proposed Rates'!$B:$J,AE$11,FALSE),0)</f>
        <v>0</v>
      </c>
      <c r="AF22" s="414">
        <f t="shared" si="15"/>
        <v>1925</v>
      </c>
      <c r="AG22" s="399">
        <f t="shared" si="16"/>
        <v>0</v>
      </c>
      <c r="AH22" s="132"/>
      <c r="AI22" s="400">
        <f t="shared" si="17"/>
        <v>0</v>
      </c>
      <c r="AJ22" s="401" t="str">
        <f t="shared" si="18"/>
        <v/>
      </c>
      <c r="AK22" s="52"/>
      <c r="AL22" s="396">
        <f>IFERROR(VLOOKUP($C22,'Proposed Rates'!$B:$J,AL$11,FALSE),0)</f>
        <v>0</v>
      </c>
      <c r="AM22" s="414">
        <f t="shared" si="19"/>
        <v>1925</v>
      </c>
      <c r="AN22" s="399">
        <f t="shared" si="20"/>
        <v>0</v>
      </c>
      <c r="AO22" s="132"/>
      <c r="AP22" s="400">
        <f t="shared" si="21"/>
        <v>0</v>
      </c>
      <c r="AQ22" s="401" t="str">
        <f t="shared" si="22"/>
        <v/>
      </c>
      <c r="AR22" s="402"/>
      <c r="AS22" s="3"/>
      <c r="AT22" s="3"/>
      <c r="AU22" s="3"/>
      <c r="AV22" s="3"/>
    </row>
    <row r="23" spans="1:48" ht="12.75" customHeight="1">
      <c r="A23" s="52"/>
      <c r="B23" s="403"/>
      <c r="C23" s="394" t="str">
        <f t="shared" si="0"/>
        <v>General Service 1,500 to 4,999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c r="AS23" s="3"/>
      <c r="AT23" s="3"/>
      <c r="AU23" s="3"/>
      <c r="AV23" s="3"/>
    </row>
    <row r="24" spans="1:48" ht="12.75" customHeight="1">
      <c r="A24" s="52"/>
      <c r="B24" s="403"/>
      <c r="C24" s="394" t="str">
        <f t="shared" si="0"/>
        <v>General Service 1,500 to 4,999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c r="AS24" s="3"/>
      <c r="AT24" s="3"/>
      <c r="AU24" s="3"/>
      <c r="AV24" s="3"/>
    </row>
    <row r="25" spans="1:48" ht="12.75" customHeight="1">
      <c r="A25" s="52"/>
      <c r="B25" s="403"/>
      <c r="C25" s="394" t="str">
        <f t="shared" si="0"/>
        <v>General Service 1,500 to 4,999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c r="AS25" s="3"/>
      <c r="AT25" s="3"/>
      <c r="AU25" s="3"/>
      <c r="AV25" s="3"/>
    </row>
    <row r="26" spans="1:48" ht="12.75" customHeight="1">
      <c r="A26" s="52"/>
      <c r="B26" s="483"/>
      <c r="C26" s="394" t="str">
        <f t="shared" si="0"/>
        <v>General Service 1,500 to 4,999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c r="AS26" s="3"/>
      <c r="AT26" s="3"/>
      <c r="AU26" s="3"/>
      <c r="AV26" s="3"/>
    </row>
    <row r="27" spans="1:48" ht="12.75" customHeight="1">
      <c r="A27" s="52"/>
      <c r="B27" s="403"/>
      <c r="C27" s="394" t="str">
        <f t="shared" si="0"/>
        <v>General Service 1,500 to 4,999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c r="AS27" s="3"/>
      <c r="AT27" s="3"/>
      <c r="AU27" s="3"/>
      <c r="AV27" s="3"/>
    </row>
    <row r="28" spans="1:48" ht="12.75" customHeight="1">
      <c r="A28" s="52"/>
      <c r="B28" s="403"/>
      <c r="C28" s="394" t="str">
        <f t="shared" si="0"/>
        <v>General Service 1,500 to 4,999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c r="AS28" s="3"/>
      <c r="AT28" s="3"/>
      <c r="AU28" s="3"/>
      <c r="AV28" s="3"/>
    </row>
    <row r="29" spans="1:48" ht="12.75" customHeight="1">
      <c r="A29" s="307"/>
      <c r="B29" s="404" t="s">
        <v>314</v>
      </c>
      <c r="C29" s="556"/>
      <c r="D29" s="405"/>
      <c r="E29" s="405"/>
      <c r="F29" s="406"/>
      <c r="G29" s="499"/>
      <c r="H29" s="408">
        <f>SUM(H15:H28)</f>
        <v>16219.022499999999</v>
      </c>
      <c r="I29" s="409"/>
      <c r="J29" s="406"/>
      <c r="K29" s="499"/>
      <c r="L29" s="408">
        <f>SUM(L15:L28)</f>
        <v>17848.535</v>
      </c>
      <c r="M29" s="409"/>
      <c r="N29" s="410">
        <f t="shared" si="5"/>
        <v>1629.5125000000007</v>
      </c>
      <c r="O29" s="411">
        <f t="shared" si="6"/>
        <v>0.10046921754994796</v>
      </c>
      <c r="P29" s="307"/>
      <c r="Q29" s="406"/>
      <c r="R29" s="499"/>
      <c r="S29" s="408">
        <f>SUM(S15:S28)</f>
        <v>19797.597500000003</v>
      </c>
      <c r="T29" s="409"/>
      <c r="U29" s="410">
        <f t="shared" si="9"/>
        <v>1949.0625000000036</v>
      </c>
      <c r="V29" s="411">
        <f t="shared" si="10"/>
        <v>0.10920013883492419</v>
      </c>
      <c r="W29" s="307"/>
      <c r="X29" s="406"/>
      <c r="Y29" s="499"/>
      <c r="Z29" s="408">
        <f>SUM(Z15:Z28)</f>
        <v>21144.327499999999</v>
      </c>
      <c r="AA29" s="409"/>
      <c r="AB29" s="410">
        <f t="shared" si="13"/>
        <v>1346.7299999999959</v>
      </c>
      <c r="AC29" s="411">
        <f t="shared" si="14"/>
        <v>6.8024920700604993E-2</v>
      </c>
      <c r="AD29" s="307"/>
      <c r="AE29" s="406"/>
      <c r="AF29" s="499"/>
      <c r="AG29" s="408">
        <f>SUM(AG15:AG28)</f>
        <v>21861.197499999998</v>
      </c>
      <c r="AH29" s="409"/>
      <c r="AI29" s="410">
        <f t="shared" si="17"/>
        <v>716.86999999999898</v>
      </c>
      <c r="AJ29" s="411">
        <f t="shared" si="18"/>
        <v>3.3903655720428992E-2</v>
      </c>
      <c r="AK29" s="307"/>
      <c r="AL29" s="406"/>
      <c r="AM29" s="499"/>
      <c r="AN29" s="408">
        <f>SUM(AN15:AN28)</f>
        <v>22518.0075</v>
      </c>
      <c r="AO29" s="409"/>
      <c r="AP29" s="410">
        <f t="shared" si="21"/>
        <v>656.81000000000131</v>
      </c>
      <c r="AQ29" s="411">
        <f t="shared" si="22"/>
        <v>3.0044557257213441E-2</v>
      </c>
      <c r="AR29" s="412"/>
      <c r="AS29" s="3"/>
      <c r="AT29" s="3"/>
      <c r="AU29" s="3"/>
      <c r="AV29" s="3"/>
    </row>
    <row r="30" spans="1:48" ht="12.75" customHeight="1">
      <c r="A30" s="52"/>
      <c r="B30" s="403" t="s">
        <v>237</v>
      </c>
      <c r="C30" s="394" t="str">
        <f t="shared" ref="C30:C38" si="23">D$6&amp;"."&amp;B30</f>
        <v>General Service 1,500 to 4,999 KW.DVA Disposition Rate Rider Group 1 -2025</v>
      </c>
      <c r="D30" s="395" t="s">
        <v>381</v>
      </c>
      <c r="E30" s="321"/>
      <c r="F30" s="413">
        <f>IFERROR(VLOOKUP($C30,'Proposed Rates'!$B:$J,F$11,FALSE),0)</f>
        <v>5.3600000000000002E-2</v>
      </c>
      <c r="G30" s="414">
        <f t="shared" ref="G30:G36" si="24">IF($D30="Monthly",1,IF($D30="per KW",$F$10,IF($D30="per kWh",$F$9,0)))</f>
        <v>1925</v>
      </c>
      <c r="H30" s="399">
        <f t="shared" ref="H30:H38" si="25">G30*F30</f>
        <v>103.18</v>
      </c>
      <c r="I30" s="132"/>
      <c r="J30" s="413">
        <f>IFERROR(VLOOKUP($C30,'Proposed Rates'!$B:$J,J$11,FALSE),0)</f>
        <v>-0.22289999999999999</v>
      </c>
      <c r="K30" s="414">
        <f t="shared" ref="K30:K36" si="26">IF($D30="Monthly",1,IF($D30="per KW",$F$10,IF($D30="per kWh",$F$9,0)))</f>
        <v>1925</v>
      </c>
      <c r="L30" s="399">
        <f t="shared" ref="L30:L38" si="27">K30*J30</f>
        <v>-429.08249999999998</v>
      </c>
      <c r="M30" s="132"/>
      <c r="N30" s="400">
        <f t="shared" si="5"/>
        <v>-532.26250000000005</v>
      </c>
      <c r="O30" s="401">
        <f t="shared" si="6"/>
        <v>-5.1585820895522385</v>
      </c>
      <c r="P30" s="52"/>
      <c r="Q30" s="413">
        <f>IFERROR(VLOOKUP($C30,'Proposed Rates'!$B:$J,Q$11,FALSE),0)</f>
        <v>0</v>
      </c>
      <c r="R30" s="414">
        <f t="shared" ref="R30:R36" si="28">IF($D30="Monthly",1,IF($D30="per KW",$F$10,IF($D30="per kWh",$F$9,0)))</f>
        <v>1925</v>
      </c>
      <c r="S30" s="399">
        <f t="shared" ref="S30:S38" si="29">R30*Q30</f>
        <v>0</v>
      </c>
      <c r="T30" s="132"/>
      <c r="U30" s="400">
        <f t="shared" si="9"/>
        <v>429.08249999999998</v>
      </c>
      <c r="V30" s="401">
        <f t="shared" si="10"/>
        <v>-1</v>
      </c>
      <c r="W30" s="52"/>
      <c r="X30" s="413">
        <f>IFERROR(VLOOKUP($C30,'Proposed Rates'!$B:$J,X$11,FALSE),0)</f>
        <v>0</v>
      </c>
      <c r="Y30" s="414">
        <f t="shared" ref="Y30:Y36" si="30">IF($D30="Monthly",1,IF($D30="per KW",$F$10,IF($D30="per kWh",$F$9,0)))</f>
        <v>1925</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1925</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1925</v>
      </c>
      <c r="AN30" s="399">
        <f t="shared" ref="AN30:AN38" si="35">AM30*AL30</f>
        <v>0</v>
      </c>
      <c r="AO30" s="132"/>
      <c r="AP30" s="400">
        <f t="shared" si="21"/>
        <v>0</v>
      </c>
      <c r="AQ30" s="401" t="str">
        <f t="shared" si="22"/>
        <v/>
      </c>
      <c r="AR30" s="402"/>
      <c r="AS30" s="3"/>
      <c r="AT30" s="3"/>
      <c r="AU30" s="3"/>
      <c r="AV30" s="3"/>
    </row>
    <row r="31" spans="1:48" ht="12.75" customHeight="1">
      <c r="A31" s="52"/>
      <c r="B31" s="483" t="s">
        <v>239</v>
      </c>
      <c r="C31" s="394" t="str">
        <f t="shared" si="23"/>
        <v>General Service 1,500 to 4,999 KW.DVA Disposition Rate Rider Group 1 - 2024</v>
      </c>
      <c r="D31" s="395" t="s">
        <v>381</v>
      </c>
      <c r="E31" s="321"/>
      <c r="F31" s="413">
        <f>IFERROR(VLOOKUP($C31,'Proposed Rates'!$B:$J,F$11,FALSE),0)</f>
        <v>0</v>
      </c>
      <c r="G31" s="414">
        <f t="shared" si="24"/>
        <v>1925</v>
      </c>
      <c r="H31" s="399">
        <f t="shared" si="25"/>
        <v>0</v>
      </c>
      <c r="I31" s="132"/>
      <c r="J31" s="413">
        <f>IFERROR(VLOOKUP($C31,'Proposed Rates'!$B:$J,J$11,FALSE),0)</f>
        <v>0</v>
      </c>
      <c r="K31" s="414">
        <f t="shared" si="26"/>
        <v>1925</v>
      </c>
      <c r="L31" s="399">
        <f t="shared" si="27"/>
        <v>0</v>
      </c>
      <c r="M31" s="132"/>
      <c r="N31" s="400">
        <f t="shared" si="5"/>
        <v>0</v>
      </c>
      <c r="O31" s="401" t="str">
        <f t="shared" si="6"/>
        <v/>
      </c>
      <c r="P31" s="52"/>
      <c r="Q31" s="413">
        <f>IFERROR(VLOOKUP($C31,'Proposed Rates'!$B:$J,Q$11,FALSE),0)</f>
        <v>0</v>
      </c>
      <c r="R31" s="414">
        <f t="shared" si="28"/>
        <v>1925</v>
      </c>
      <c r="S31" s="399">
        <f t="shared" si="29"/>
        <v>0</v>
      </c>
      <c r="T31" s="132"/>
      <c r="U31" s="400">
        <f t="shared" si="9"/>
        <v>0</v>
      </c>
      <c r="V31" s="401" t="str">
        <f t="shared" si="10"/>
        <v/>
      </c>
      <c r="W31" s="52"/>
      <c r="X31" s="413">
        <f>IFERROR(VLOOKUP($C31,'Proposed Rates'!$B:$J,X$11,FALSE),0)</f>
        <v>0</v>
      </c>
      <c r="Y31" s="414">
        <f t="shared" si="30"/>
        <v>1925</v>
      </c>
      <c r="Z31" s="399">
        <f t="shared" si="31"/>
        <v>0</v>
      </c>
      <c r="AA31" s="132"/>
      <c r="AB31" s="400">
        <f t="shared" si="13"/>
        <v>0</v>
      </c>
      <c r="AC31" s="401" t="str">
        <f t="shared" si="14"/>
        <v/>
      </c>
      <c r="AD31" s="52"/>
      <c r="AE31" s="413">
        <f>IFERROR(VLOOKUP($C31,'Proposed Rates'!$B:$J,AE$11,FALSE),0)</f>
        <v>0</v>
      </c>
      <c r="AF31" s="414">
        <f t="shared" si="32"/>
        <v>1925</v>
      </c>
      <c r="AG31" s="399">
        <f t="shared" si="33"/>
        <v>0</v>
      </c>
      <c r="AH31" s="132"/>
      <c r="AI31" s="400">
        <f t="shared" si="17"/>
        <v>0</v>
      </c>
      <c r="AJ31" s="401" t="str">
        <f t="shared" si="18"/>
        <v/>
      </c>
      <c r="AK31" s="52"/>
      <c r="AL31" s="413">
        <f>IFERROR(VLOOKUP($C31,'Proposed Rates'!$B:$J,AL$11,FALSE),0)</f>
        <v>0</v>
      </c>
      <c r="AM31" s="414">
        <f t="shared" si="34"/>
        <v>1925</v>
      </c>
      <c r="AN31" s="399">
        <f t="shared" si="35"/>
        <v>0</v>
      </c>
      <c r="AO31" s="132"/>
      <c r="AP31" s="400">
        <f t="shared" si="21"/>
        <v>0</v>
      </c>
      <c r="AQ31" s="401" t="str">
        <f t="shared" si="22"/>
        <v/>
      </c>
      <c r="AR31" s="402"/>
      <c r="AS31" s="3"/>
      <c r="AT31" s="3"/>
      <c r="AU31" s="3"/>
      <c r="AV31" s="3"/>
    </row>
    <row r="32" spans="1:48" ht="12.75" customHeight="1">
      <c r="A32" s="52"/>
      <c r="B32" s="483" t="s">
        <v>247</v>
      </c>
      <c r="C32" s="394" t="str">
        <f t="shared" si="23"/>
        <v>General Service 1,500 to 4,999 KW.CBR Class B Rate Riders</v>
      </c>
      <c r="D32" s="395" t="s">
        <v>312</v>
      </c>
      <c r="E32" s="321"/>
      <c r="F32" s="413">
        <f>IFERROR(VLOOKUP($C32,'Proposed Rates'!$B:$J,F$11,FALSE),0)</f>
        <v>2.0000000000000001E-4</v>
      </c>
      <c r="G32" s="414">
        <f t="shared" si="24"/>
        <v>891400</v>
      </c>
      <c r="H32" s="399">
        <f t="shared" si="25"/>
        <v>178.28</v>
      </c>
      <c r="I32" s="484"/>
      <c r="J32" s="413">
        <f>IFERROR(VLOOKUP($C32,'Proposed Rates'!$B:$J,J$11,FALSE),0)</f>
        <v>4.0000000000000002E-4</v>
      </c>
      <c r="K32" s="414">
        <f t="shared" si="26"/>
        <v>891400</v>
      </c>
      <c r="L32" s="399">
        <f t="shared" si="27"/>
        <v>356.56</v>
      </c>
      <c r="M32" s="416"/>
      <c r="N32" s="400">
        <f t="shared" si="5"/>
        <v>178.28</v>
      </c>
      <c r="O32" s="401">
        <f t="shared" si="6"/>
        <v>1</v>
      </c>
      <c r="P32" s="52"/>
      <c r="Q32" s="413">
        <f>IFERROR(VLOOKUP($C32,'Proposed Rates'!$B:$J,Q$11,FALSE),0)</f>
        <v>0</v>
      </c>
      <c r="R32" s="414">
        <f t="shared" si="28"/>
        <v>891400</v>
      </c>
      <c r="S32" s="399">
        <f t="shared" si="29"/>
        <v>0</v>
      </c>
      <c r="T32" s="416"/>
      <c r="U32" s="400"/>
      <c r="V32" s="401"/>
      <c r="W32" s="52"/>
      <c r="X32" s="413">
        <f>IFERROR(VLOOKUP($C32,'Proposed Rates'!$B:$J,X$11,FALSE),0)</f>
        <v>0</v>
      </c>
      <c r="Y32" s="414">
        <f t="shared" si="30"/>
        <v>891400</v>
      </c>
      <c r="Z32" s="399">
        <f t="shared" si="31"/>
        <v>0</v>
      </c>
      <c r="AA32" s="132"/>
      <c r="AB32" s="400">
        <f t="shared" si="13"/>
        <v>0</v>
      </c>
      <c r="AC32" s="401" t="str">
        <f t="shared" si="14"/>
        <v/>
      </c>
      <c r="AD32" s="52"/>
      <c r="AE32" s="413">
        <f>IFERROR(VLOOKUP($C32,'Proposed Rates'!$B:$J,AE$11,FALSE),0)</f>
        <v>0</v>
      </c>
      <c r="AF32" s="414">
        <f t="shared" si="32"/>
        <v>891400</v>
      </c>
      <c r="AG32" s="399">
        <f t="shared" si="33"/>
        <v>0</v>
      </c>
      <c r="AH32" s="132"/>
      <c r="AI32" s="400">
        <f t="shared" si="17"/>
        <v>0</v>
      </c>
      <c r="AJ32" s="401" t="str">
        <f t="shared" si="18"/>
        <v/>
      </c>
      <c r="AK32" s="52"/>
      <c r="AL32" s="413">
        <f>IFERROR(VLOOKUP($C32,'Proposed Rates'!$B:$J,AL$11,FALSE),0)</f>
        <v>0</v>
      </c>
      <c r="AM32" s="414">
        <f t="shared" si="34"/>
        <v>891400</v>
      </c>
      <c r="AN32" s="399">
        <f t="shared" si="35"/>
        <v>0</v>
      </c>
      <c r="AO32" s="416"/>
      <c r="AP32" s="400">
        <f t="shared" si="21"/>
        <v>0</v>
      </c>
      <c r="AQ32" s="401" t="str">
        <f t="shared" si="22"/>
        <v/>
      </c>
      <c r="AR32" s="402"/>
      <c r="AS32" s="3"/>
      <c r="AT32" s="3"/>
      <c r="AU32" s="3"/>
      <c r="AV32" s="3"/>
    </row>
    <row r="33" spans="1:48" ht="12.75" customHeight="1">
      <c r="A33" s="52"/>
      <c r="B33" s="483" t="s">
        <v>252</v>
      </c>
      <c r="C33" s="394" t="str">
        <f t="shared" si="23"/>
        <v>General Service 1,500 to 4,999 KW.GA Rate Riders</v>
      </c>
      <c r="D33" s="395" t="s">
        <v>312</v>
      </c>
      <c r="E33" s="321"/>
      <c r="F33" s="413">
        <f>IFERROR(VLOOKUP($C33,'Proposed Rates'!$B:$J,F$11,FALSE),0)</f>
        <v>3.8999999999999998E-3</v>
      </c>
      <c r="G33" s="414">
        <f t="shared" si="24"/>
        <v>891400</v>
      </c>
      <c r="H33" s="399">
        <f t="shared" si="25"/>
        <v>3476.46</v>
      </c>
      <c r="I33" s="484"/>
      <c r="J33" s="413">
        <f>IFERROR(VLOOKUP($C33,'Proposed Rates'!$B:$J,J$11,FALSE),0)</f>
        <v>4.4000000000000003E-3</v>
      </c>
      <c r="K33" s="414">
        <f t="shared" si="26"/>
        <v>891400</v>
      </c>
      <c r="L33" s="399">
        <f t="shared" si="27"/>
        <v>3922.1600000000003</v>
      </c>
      <c r="M33" s="416"/>
      <c r="N33" s="400">
        <f t="shared" si="5"/>
        <v>445.70000000000027</v>
      </c>
      <c r="O33" s="401">
        <f t="shared" si="6"/>
        <v>0.12820512820512828</v>
      </c>
      <c r="P33" s="52"/>
      <c r="Q33" s="413">
        <f>IFERROR(VLOOKUP($C33,'Proposed Rates'!$B:$J,Q$11,FALSE),0)</f>
        <v>0</v>
      </c>
      <c r="R33" s="414">
        <f t="shared" si="28"/>
        <v>891400</v>
      </c>
      <c r="S33" s="399">
        <f t="shared" si="29"/>
        <v>0</v>
      </c>
      <c r="T33" s="416"/>
      <c r="U33" s="400">
        <f t="shared" ref="U33:U34" si="36">S33-L33</f>
        <v>-3922.1600000000003</v>
      </c>
      <c r="V33" s="401">
        <f t="shared" ref="V33:V34" si="37">IF((L33)=0,"",(U33/L33))</f>
        <v>-1</v>
      </c>
      <c r="W33" s="52"/>
      <c r="X33" s="413">
        <f>IFERROR(VLOOKUP($C33,'Proposed Rates'!$B:$J,X$11,FALSE),0)</f>
        <v>0</v>
      </c>
      <c r="Y33" s="414">
        <f t="shared" si="30"/>
        <v>891400</v>
      </c>
      <c r="Z33" s="399">
        <f t="shared" si="31"/>
        <v>0</v>
      </c>
      <c r="AA33" s="416"/>
      <c r="AB33" s="400">
        <f t="shared" si="13"/>
        <v>0</v>
      </c>
      <c r="AC33" s="401" t="str">
        <f t="shared" si="14"/>
        <v/>
      </c>
      <c r="AD33" s="52"/>
      <c r="AE33" s="413">
        <f>IFERROR(VLOOKUP($C33,'Proposed Rates'!$B:$J,AE$11,FALSE),0)</f>
        <v>0</v>
      </c>
      <c r="AF33" s="414">
        <f t="shared" si="32"/>
        <v>891400</v>
      </c>
      <c r="AG33" s="399">
        <f t="shared" si="33"/>
        <v>0</v>
      </c>
      <c r="AH33" s="416"/>
      <c r="AI33" s="400">
        <f t="shared" si="17"/>
        <v>0</v>
      </c>
      <c r="AJ33" s="401" t="str">
        <f t="shared" si="18"/>
        <v/>
      </c>
      <c r="AK33" s="52"/>
      <c r="AL33" s="413">
        <f>IFERROR(VLOOKUP($C33,'Proposed Rates'!$B:$J,AL$11,FALSE),0)</f>
        <v>0</v>
      </c>
      <c r="AM33" s="414">
        <f t="shared" si="34"/>
        <v>891400</v>
      </c>
      <c r="AN33" s="399">
        <f t="shared" si="35"/>
        <v>0</v>
      </c>
      <c r="AO33" s="416"/>
      <c r="AP33" s="400">
        <f t="shared" si="21"/>
        <v>0</v>
      </c>
      <c r="AQ33" s="401" t="str">
        <f t="shared" si="22"/>
        <v/>
      </c>
      <c r="AR33" s="402"/>
      <c r="AS33" s="3"/>
      <c r="AT33" s="3"/>
      <c r="AU33" s="3"/>
      <c r="AV33" s="3"/>
    </row>
    <row r="34" spans="1:48" ht="12.75" customHeight="1">
      <c r="A34" s="52"/>
      <c r="B34" s="483" t="s">
        <v>255</v>
      </c>
      <c r="C34" s="394" t="str">
        <f t="shared" si="23"/>
        <v>General Service 1,500 to 4,999 KW.Total Deferral/Variance Account Rate RidersYr2</v>
      </c>
      <c r="D34" s="395" t="s">
        <v>381</v>
      </c>
      <c r="E34" s="321"/>
      <c r="F34" s="413">
        <f>IFERROR(VLOOKUP($C34,'Proposed Rates'!$B:$J,F$11,FALSE),0)</f>
        <v>0</v>
      </c>
      <c r="G34" s="414">
        <f t="shared" si="24"/>
        <v>1925</v>
      </c>
      <c r="H34" s="399">
        <f t="shared" si="25"/>
        <v>0</v>
      </c>
      <c r="I34" s="484"/>
      <c r="J34" s="413">
        <f>IFERROR(VLOOKUP($C34,'Proposed Rates'!$B:$J,J$11,FALSE),0)</f>
        <v>0</v>
      </c>
      <c r="K34" s="414">
        <f t="shared" si="26"/>
        <v>1925</v>
      </c>
      <c r="L34" s="399">
        <f t="shared" si="27"/>
        <v>0</v>
      </c>
      <c r="M34" s="416"/>
      <c r="N34" s="400">
        <f t="shared" si="5"/>
        <v>0</v>
      </c>
      <c r="O34" s="401" t="str">
        <f t="shared" si="6"/>
        <v/>
      </c>
      <c r="P34" s="52"/>
      <c r="Q34" s="413">
        <f>IFERROR(VLOOKUP($C34,'Proposed Rates'!$B:$J,Q$11,FALSE),0)</f>
        <v>0</v>
      </c>
      <c r="R34" s="414">
        <f t="shared" si="28"/>
        <v>1925</v>
      </c>
      <c r="S34" s="399">
        <f t="shared" si="29"/>
        <v>0</v>
      </c>
      <c r="T34" s="416"/>
      <c r="U34" s="400">
        <f t="shared" si="36"/>
        <v>0</v>
      </c>
      <c r="V34" s="401" t="str">
        <f t="shared" si="37"/>
        <v/>
      </c>
      <c r="W34" s="52"/>
      <c r="X34" s="413">
        <f>IFERROR(VLOOKUP($C34,'Proposed Rates'!$B:$J,X$11,FALSE),0)</f>
        <v>0</v>
      </c>
      <c r="Y34" s="414">
        <f t="shared" si="30"/>
        <v>1925</v>
      </c>
      <c r="Z34" s="399">
        <f t="shared" si="31"/>
        <v>0</v>
      </c>
      <c r="AA34" s="416"/>
      <c r="AB34" s="400">
        <f t="shared" si="13"/>
        <v>0</v>
      </c>
      <c r="AC34" s="401" t="str">
        <f t="shared" si="14"/>
        <v/>
      </c>
      <c r="AD34" s="52"/>
      <c r="AE34" s="413">
        <f>IFERROR(VLOOKUP($C34,'Proposed Rates'!$B:$J,AE$11,FALSE),0)</f>
        <v>0</v>
      </c>
      <c r="AF34" s="414">
        <f t="shared" si="32"/>
        <v>1925</v>
      </c>
      <c r="AG34" s="399">
        <f t="shared" si="33"/>
        <v>0</v>
      </c>
      <c r="AH34" s="416"/>
      <c r="AI34" s="400">
        <f t="shared" si="17"/>
        <v>0</v>
      </c>
      <c r="AJ34" s="401" t="str">
        <f t="shared" si="18"/>
        <v/>
      </c>
      <c r="AK34" s="52"/>
      <c r="AL34" s="413">
        <f>IFERROR(VLOOKUP($C34,'Proposed Rates'!$B:$J,AL$11,FALSE),0)</f>
        <v>0</v>
      </c>
      <c r="AM34" s="414">
        <f t="shared" si="34"/>
        <v>1925</v>
      </c>
      <c r="AN34" s="399">
        <f t="shared" si="35"/>
        <v>0</v>
      </c>
      <c r="AO34" s="416"/>
      <c r="AP34" s="400">
        <f t="shared" si="21"/>
        <v>0</v>
      </c>
      <c r="AQ34" s="401" t="str">
        <f t="shared" si="22"/>
        <v/>
      </c>
      <c r="AR34" s="402"/>
      <c r="AS34" s="3"/>
      <c r="AT34" s="3"/>
      <c r="AU34" s="3"/>
      <c r="AV34" s="3"/>
    </row>
    <row r="35" spans="1:48" ht="12.75" customHeight="1">
      <c r="A35" s="52"/>
      <c r="B35" s="483" t="s">
        <v>257</v>
      </c>
      <c r="C35" s="394" t="str">
        <f t="shared" si="23"/>
        <v>General Service 1,500 to 4,999 KW.Total Deferral/Variance Account Rate Riders</v>
      </c>
      <c r="D35" s="395" t="s">
        <v>381</v>
      </c>
      <c r="E35" s="321"/>
      <c r="F35" s="413">
        <f>IFERROR(VLOOKUP($C35,'Proposed Rates'!$B:$J,F$11,FALSE),0)</f>
        <v>0</v>
      </c>
      <c r="G35" s="414">
        <f t="shared" si="24"/>
        <v>1925</v>
      </c>
      <c r="H35" s="399">
        <f t="shared" si="25"/>
        <v>0</v>
      </c>
      <c r="I35" s="132"/>
      <c r="J35" s="413">
        <f>IFERROR(VLOOKUP($C35,'Proposed Rates'!$B:$J,J$11,FALSE),0)</f>
        <v>0</v>
      </c>
      <c r="K35" s="414">
        <f t="shared" si="26"/>
        <v>1925</v>
      </c>
      <c r="L35" s="399">
        <f t="shared" si="27"/>
        <v>0</v>
      </c>
      <c r="M35" s="132"/>
      <c r="N35" s="400">
        <f t="shared" si="5"/>
        <v>0</v>
      </c>
      <c r="O35" s="401" t="str">
        <f t="shared" si="6"/>
        <v/>
      </c>
      <c r="P35" s="52"/>
      <c r="Q35" s="413">
        <f>IFERROR(VLOOKUP($C35,'Proposed Rates'!$B:$J,Q$11,FALSE),0)</f>
        <v>0</v>
      </c>
      <c r="R35" s="414">
        <f t="shared" si="28"/>
        <v>1925</v>
      </c>
      <c r="S35" s="399">
        <f t="shared" si="29"/>
        <v>0</v>
      </c>
      <c r="T35" s="132"/>
      <c r="U35" s="400"/>
      <c r="V35" s="401"/>
      <c r="W35" s="52"/>
      <c r="X35" s="413">
        <f>IFERROR(VLOOKUP($C35,'Proposed Rates'!$B:$J,X$11,FALSE),0)</f>
        <v>0</v>
      </c>
      <c r="Y35" s="414">
        <f t="shared" si="30"/>
        <v>1925</v>
      </c>
      <c r="Z35" s="399">
        <f t="shared" si="31"/>
        <v>0</v>
      </c>
      <c r="AA35" s="132"/>
      <c r="AB35" s="400">
        <f t="shared" si="13"/>
        <v>0</v>
      </c>
      <c r="AC35" s="401" t="str">
        <f t="shared" si="14"/>
        <v/>
      </c>
      <c r="AD35" s="52"/>
      <c r="AE35" s="413">
        <f>IFERROR(VLOOKUP($C35,'Proposed Rates'!$B:$J,AE$11,FALSE),0)</f>
        <v>0</v>
      </c>
      <c r="AF35" s="414">
        <f t="shared" si="32"/>
        <v>1925</v>
      </c>
      <c r="AG35" s="399">
        <f t="shared" si="33"/>
        <v>0</v>
      </c>
      <c r="AH35" s="132"/>
      <c r="AI35" s="400">
        <f t="shared" si="17"/>
        <v>0</v>
      </c>
      <c r="AJ35" s="401" t="str">
        <f t="shared" si="18"/>
        <v/>
      </c>
      <c r="AK35" s="52"/>
      <c r="AL35" s="413">
        <f>IFERROR(VLOOKUP($C35,'Proposed Rates'!$B:$J,AL$11,FALSE),0)</f>
        <v>0</v>
      </c>
      <c r="AM35" s="414">
        <f t="shared" si="34"/>
        <v>1925</v>
      </c>
      <c r="AN35" s="399">
        <f t="shared" si="35"/>
        <v>0</v>
      </c>
      <c r="AO35" s="132"/>
      <c r="AP35" s="400">
        <f t="shared" si="21"/>
        <v>0</v>
      </c>
      <c r="AQ35" s="401" t="str">
        <f t="shared" si="22"/>
        <v/>
      </c>
      <c r="AR35" s="402"/>
      <c r="AS35" s="3"/>
      <c r="AT35" s="3"/>
      <c r="AU35" s="3"/>
      <c r="AV35" s="3"/>
    </row>
    <row r="36" spans="1:48" ht="12.75" customHeight="1">
      <c r="A36" s="52"/>
      <c r="B36" s="321" t="s">
        <v>273</v>
      </c>
      <c r="C36" s="394" t="str">
        <f t="shared" si="23"/>
        <v>General Service 1,500 to 4,999 KW.Low Voltage Service Charge</v>
      </c>
      <c r="D36" s="395" t="s">
        <v>381</v>
      </c>
      <c r="E36" s="321"/>
      <c r="F36" s="417">
        <f>IFERROR(VLOOKUP($C36,'Proposed Rates'!$B:$J,F$11,FALSE),0)</f>
        <v>2.2040000000000001E-2</v>
      </c>
      <c r="G36" s="414">
        <f t="shared" si="24"/>
        <v>1925</v>
      </c>
      <c r="H36" s="399">
        <f t="shared" si="25"/>
        <v>42.427</v>
      </c>
      <c r="I36" s="132"/>
      <c r="J36" s="417">
        <f>IFERROR(VLOOKUP($C36,'Proposed Rates'!$B:$J,J$11,FALSE),0)</f>
        <v>2.3130000000000001E-2</v>
      </c>
      <c r="K36" s="414">
        <f t="shared" si="26"/>
        <v>1925</v>
      </c>
      <c r="L36" s="399">
        <f t="shared" si="27"/>
        <v>44.52525</v>
      </c>
      <c r="M36" s="132"/>
      <c r="N36" s="400">
        <f t="shared" si="5"/>
        <v>2.0982500000000002</v>
      </c>
      <c r="O36" s="401">
        <f t="shared" si="6"/>
        <v>4.9455535390199638E-2</v>
      </c>
      <c r="P36" s="52"/>
      <c r="Q36" s="417">
        <f>IFERROR(VLOOKUP($C36,'Proposed Rates'!$B:$J,Q$11,FALSE),0)</f>
        <v>2.3730000000000001E-2</v>
      </c>
      <c r="R36" s="414">
        <f t="shared" si="28"/>
        <v>1925</v>
      </c>
      <c r="S36" s="399">
        <f t="shared" si="29"/>
        <v>45.680250000000001</v>
      </c>
      <c r="T36" s="132"/>
      <c r="U36" s="400">
        <f t="shared" ref="U36:U37" si="38">S36-L36</f>
        <v>1.1550000000000011</v>
      </c>
      <c r="V36" s="401">
        <f t="shared" ref="V36:V37" si="39">IF((L36)=0,"",(U36/L36))</f>
        <v>2.5940337224383943E-2</v>
      </c>
      <c r="W36" s="52"/>
      <c r="X36" s="417">
        <f>IFERROR(VLOOKUP($C36,'Proposed Rates'!$B:$J,X$11,FALSE),0)</f>
        <v>2.402E-2</v>
      </c>
      <c r="Y36" s="414">
        <f t="shared" si="30"/>
        <v>1925</v>
      </c>
      <c r="Z36" s="399">
        <f t="shared" si="31"/>
        <v>46.238500000000002</v>
      </c>
      <c r="AA36" s="132"/>
      <c r="AB36" s="400">
        <f t="shared" si="13"/>
        <v>0.55825000000000102</v>
      </c>
      <c r="AC36" s="401">
        <f t="shared" si="14"/>
        <v>1.2220817530552066E-2</v>
      </c>
      <c r="AD36" s="52"/>
      <c r="AE36" s="417">
        <f>IFERROR(VLOOKUP($C36,'Proposed Rates'!$B:$J,AE$11,FALSE),0)</f>
        <v>2.4410000000000001E-2</v>
      </c>
      <c r="AF36" s="414">
        <f t="shared" si="32"/>
        <v>1925</v>
      </c>
      <c r="AG36" s="399">
        <f t="shared" si="33"/>
        <v>46.989250000000006</v>
      </c>
      <c r="AH36" s="132"/>
      <c r="AI36" s="400">
        <f t="shared" si="17"/>
        <v>0.75075000000000358</v>
      </c>
      <c r="AJ36" s="401">
        <f t="shared" si="18"/>
        <v>1.6236469608659529E-2</v>
      </c>
      <c r="AK36" s="52"/>
      <c r="AL36" s="417">
        <f>IFERROR(VLOOKUP($C36,'Proposed Rates'!$B:$J,AL$11,FALSE),0)</f>
        <v>2.4840000000000001E-2</v>
      </c>
      <c r="AM36" s="414">
        <f t="shared" si="34"/>
        <v>1925</v>
      </c>
      <c r="AN36" s="399">
        <f t="shared" si="35"/>
        <v>47.817</v>
      </c>
      <c r="AO36" s="132"/>
      <c r="AP36" s="400">
        <f t="shared" si="21"/>
        <v>0.82774999999999466</v>
      </c>
      <c r="AQ36" s="401">
        <f t="shared" si="22"/>
        <v>1.7615731257681164E-2</v>
      </c>
      <c r="AR36" s="402"/>
      <c r="AS36" s="3"/>
      <c r="AT36" s="3"/>
      <c r="AU36" s="3"/>
      <c r="AV36" s="3"/>
    </row>
    <row r="37" spans="1:48" ht="12.75" customHeight="1">
      <c r="A37" s="52"/>
      <c r="B37" s="321" t="s">
        <v>316</v>
      </c>
      <c r="C37" s="394" t="str">
        <f t="shared" si="23"/>
        <v>General Service 1,500 to 4,999 KW.Line Losses on Cost of Power</v>
      </c>
      <c r="D37" s="395" t="s">
        <v>312</v>
      </c>
      <c r="E37" s="321"/>
      <c r="F37" s="557"/>
      <c r="G37" s="506">
        <f>$F$9*(1+F65)-$F$9</f>
        <v>30129.320000000065</v>
      </c>
      <c r="H37" s="399">
        <f t="shared" si="25"/>
        <v>0</v>
      </c>
      <c r="I37" s="132"/>
      <c r="J37" s="557"/>
      <c r="K37" s="506">
        <f>$F$9*(1+J65)-$F$9</f>
        <v>29594.479999999865</v>
      </c>
      <c r="L37" s="399">
        <f t="shared" si="27"/>
        <v>0</v>
      </c>
      <c r="M37" s="132"/>
      <c r="N37" s="400">
        <f t="shared" si="5"/>
        <v>0</v>
      </c>
      <c r="O37" s="401" t="str">
        <f t="shared" si="6"/>
        <v/>
      </c>
      <c r="P37" s="52"/>
      <c r="Q37" s="557"/>
      <c r="R37" s="506">
        <f>$F$9*(1+Q65)-$F$9</f>
        <v>29594.479999999865</v>
      </c>
      <c r="S37" s="399">
        <f t="shared" si="29"/>
        <v>0</v>
      </c>
      <c r="T37" s="132"/>
      <c r="U37" s="400">
        <f t="shared" si="38"/>
        <v>0</v>
      </c>
      <c r="V37" s="401" t="str">
        <f t="shared" si="39"/>
        <v/>
      </c>
      <c r="W37" s="52"/>
      <c r="X37" s="557"/>
      <c r="Y37" s="506">
        <f>$F$9*(1+X65)-$F$9</f>
        <v>29594.479999999865</v>
      </c>
      <c r="Z37" s="399">
        <f t="shared" si="31"/>
        <v>0</v>
      </c>
      <c r="AA37" s="132"/>
      <c r="AB37" s="400">
        <f t="shared" si="13"/>
        <v>0</v>
      </c>
      <c r="AC37" s="401" t="str">
        <f t="shared" si="14"/>
        <v/>
      </c>
      <c r="AD37" s="52"/>
      <c r="AE37" s="557"/>
      <c r="AF37" s="506">
        <f>$F$9*(1+AE65)-$F$9</f>
        <v>29594.479999999865</v>
      </c>
      <c r="AG37" s="399">
        <f t="shared" si="33"/>
        <v>0</v>
      </c>
      <c r="AH37" s="132"/>
      <c r="AI37" s="400">
        <f t="shared" si="17"/>
        <v>0</v>
      </c>
      <c r="AJ37" s="401" t="str">
        <f t="shared" si="18"/>
        <v/>
      </c>
      <c r="AK37" s="52"/>
      <c r="AL37" s="557"/>
      <c r="AM37" s="506">
        <f>$F$9*(1+AL65)-$F$9</f>
        <v>29594.479999999865</v>
      </c>
      <c r="AN37" s="399">
        <f t="shared" si="35"/>
        <v>0</v>
      </c>
      <c r="AO37" s="132"/>
      <c r="AP37" s="400">
        <f t="shared" si="21"/>
        <v>0</v>
      </c>
      <c r="AQ37" s="401" t="str">
        <f t="shared" si="22"/>
        <v/>
      </c>
      <c r="AR37" s="402"/>
      <c r="AS37" s="3"/>
      <c r="AT37" s="3"/>
      <c r="AU37" s="3"/>
      <c r="AV37" s="3"/>
    </row>
    <row r="38" spans="1:48" ht="12.75" customHeight="1">
      <c r="A38" s="52"/>
      <c r="B38" s="321" t="s">
        <v>275</v>
      </c>
      <c r="C38" s="394" t="str">
        <f t="shared" si="23"/>
        <v>General Service 1,500 to 4,999 KW.Smart Meter Entity Charge</v>
      </c>
      <c r="D38" s="395" t="s">
        <v>310</v>
      </c>
      <c r="E38" s="321"/>
      <c r="F38" s="417">
        <f>IFERROR(VLOOKUP($C38,'Proposed Rates'!$B:$J,F$11,FALSE),0)</f>
        <v>0</v>
      </c>
      <c r="G38" s="414">
        <f>IF($D38="Monthly",1,IF($D38="per KW",$F$10,IF($D38="per kWh",$F$9,0)))</f>
        <v>1</v>
      </c>
      <c r="H38" s="399">
        <f t="shared" si="25"/>
        <v>0</v>
      </c>
      <c r="I38" s="132"/>
      <c r="J38" s="417">
        <f>IFERROR(VLOOKUP($C38,'Proposed Rates'!$B:$J,J$11,FALSE),0)</f>
        <v>0</v>
      </c>
      <c r="K38" s="414">
        <f>IF($D38="Monthly",1,IF($D38="per KW",$F$10,IF($D38="per kWh",$F$9,0)))</f>
        <v>1</v>
      </c>
      <c r="L38" s="399">
        <f t="shared" si="27"/>
        <v>0</v>
      </c>
      <c r="M38" s="132"/>
      <c r="N38" s="400">
        <f t="shared" si="5"/>
        <v>0</v>
      </c>
      <c r="O38" s="401" t="str">
        <f t="shared" si="6"/>
        <v/>
      </c>
      <c r="P38" s="52"/>
      <c r="Q38" s="417">
        <f>IFERROR(VLOOKUP($C38,'Proposed Rates'!$B:$J,Q$11,FALSE),0)</f>
        <v>0</v>
      </c>
      <c r="R38" s="414">
        <f>IF($D38="Monthly",1,IF($D38="per KW",$F$10,IF($D38="per kWh",$F$9,0)))</f>
        <v>1</v>
      </c>
      <c r="S38" s="399">
        <f t="shared" si="29"/>
        <v>0</v>
      </c>
      <c r="T38" s="132"/>
      <c r="U38" s="400"/>
      <c r="V38" s="401"/>
      <c r="W38" s="52"/>
      <c r="X38" s="417">
        <f>IFERROR(VLOOKUP($C38,'Proposed Rates'!$B:$J,X$11,FALSE),0)</f>
        <v>0</v>
      </c>
      <c r="Y38" s="414">
        <f>IF($D38="Monthly",1,IF($D38="per KW",$F$10,IF($D38="per kWh",$F$9,0)))</f>
        <v>1</v>
      </c>
      <c r="Z38" s="399">
        <f t="shared" si="31"/>
        <v>0</v>
      </c>
      <c r="AA38" s="132"/>
      <c r="AB38" s="400">
        <f t="shared" si="13"/>
        <v>0</v>
      </c>
      <c r="AC38" s="401" t="str">
        <f t="shared" si="14"/>
        <v/>
      </c>
      <c r="AD38" s="52"/>
      <c r="AE38" s="417">
        <f>IFERROR(VLOOKUP($C38,'Proposed Rates'!$B:$J,AE$11,FALSE),0)</f>
        <v>0</v>
      </c>
      <c r="AF38" s="414">
        <f>IF($D38="Monthly",1,IF($D38="per KW",$F$10,IF($D38="per kWh",$F$9,0)))</f>
        <v>1</v>
      </c>
      <c r="AG38" s="399">
        <f t="shared" si="33"/>
        <v>0</v>
      </c>
      <c r="AH38" s="132"/>
      <c r="AI38" s="400">
        <f t="shared" si="17"/>
        <v>0</v>
      </c>
      <c r="AJ38" s="401" t="str">
        <f t="shared" si="18"/>
        <v/>
      </c>
      <c r="AK38" s="52"/>
      <c r="AL38" s="417">
        <f>IFERROR(VLOOKUP($C38,'Proposed Rates'!$B:$J,AL$11,FALSE),0)</f>
        <v>0</v>
      </c>
      <c r="AM38" s="414">
        <f>IF($D38="Monthly",1,IF($D38="per KW",$F$10,IF($D38="per kWh",$F$9,0)))</f>
        <v>1</v>
      </c>
      <c r="AN38" s="399">
        <f t="shared" si="35"/>
        <v>0</v>
      </c>
      <c r="AO38" s="132"/>
      <c r="AP38" s="400">
        <f t="shared" si="21"/>
        <v>0</v>
      </c>
      <c r="AQ38" s="401" t="str">
        <f t="shared" si="22"/>
        <v/>
      </c>
      <c r="AR38" s="402"/>
      <c r="AS38" s="3"/>
      <c r="AT38" s="3"/>
      <c r="AU38" s="3"/>
      <c r="AV38" s="3"/>
    </row>
    <row r="39" spans="1:48" ht="12.75" customHeight="1">
      <c r="A39" s="52"/>
      <c r="B39" s="485" t="s">
        <v>317</v>
      </c>
      <c r="C39" s="558"/>
      <c r="D39" s="421"/>
      <c r="E39" s="421"/>
      <c r="F39" s="422"/>
      <c r="G39" s="500"/>
      <c r="H39" s="408">
        <f>SUM(H30:H38)+H29</f>
        <v>20019.369500000001</v>
      </c>
      <c r="I39" s="424"/>
      <c r="J39" s="422"/>
      <c r="K39" s="500"/>
      <c r="L39" s="408">
        <f>SUM(L30:L38)+L29</f>
        <v>21742.697749999999</v>
      </c>
      <c r="M39" s="424"/>
      <c r="N39" s="410">
        <f t="shared" si="5"/>
        <v>1723.3282499999987</v>
      </c>
      <c r="O39" s="411">
        <f t="shared" si="6"/>
        <v>8.6083043224712871E-2</v>
      </c>
      <c r="P39" s="52"/>
      <c r="Q39" s="422"/>
      <c r="R39" s="500"/>
      <c r="S39" s="408">
        <f>SUM(S30:S38)+S29</f>
        <v>19843.277750000005</v>
      </c>
      <c r="T39" s="424"/>
      <c r="U39" s="410">
        <f t="shared" ref="U39:U46" si="40">S39-L39</f>
        <v>-1899.4199999999946</v>
      </c>
      <c r="V39" s="411">
        <f t="shared" ref="V39:V46" si="41">IF((L39)=0,"",(U39/L39))</f>
        <v>-8.7358984696367534E-2</v>
      </c>
      <c r="W39" s="52"/>
      <c r="X39" s="422"/>
      <c r="Y39" s="500"/>
      <c r="Z39" s="408">
        <f>SUM(Z30:Z38)+Z29</f>
        <v>21190.565999999999</v>
      </c>
      <c r="AA39" s="424"/>
      <c r="AB39" s="410">
        <f t="shared" si="13"/>
        <v>1347.2882499999942</v>
      </c>
      <c r="AC39" s="411">
        <f t="shared" si="14"/>
        <v>6.7896456773629238E-2</v>
      </c>
      <c r="AD39" s="52"/>
      <c r="AE39" s="422"/>
      <c r="AF39" s="500"/>
      <c r="AG39" s="408">
        <f>SUM(AG30:AG38)+AG29</f>
        <v>21908.186749999997</v>
      </c>
      <c r="AH39" s="424"/>
      <c r="AI39" s="410">
        <f t="shared" si="17"/>
        <v>717.62074999999822</v>
      </c>
      <c r="AJ39" s="411">
        <f t="shared" si="18"/>
        <v>3.3865105349238818E-2</v>
      </c>
      <c r="AK39" s="52"/>
      <c r="AL39" s="422"/>
      <c r="AM39" s="500"/>
      <c r="AN39" s="408">
        <f>SUM(AN30:AN38)+AN29</f>
        <v>22565.824499999999</v>
      </c>
      <c r="AO39" s="424"/>
      <c r="AP39" s="410">
        <f t="shared" si="21"/>
        <v>657.63775000000169</v>
      </c>
      <c r="AQ39" s="411">
        <f t="shared" si="22"/>
        <v>3.0017899587239997E-2</v>
      </c>
      <c r="AR39" s="412"/>
      <c r="AS39" s="3"/>
      <c r="AT39" s="3"/>
      <c r="AU39" s="3"/>
      <c r="AV39" s="3"/>
    </row>
    <row r="40" spans="1:48" ht="12.75" customHeight="1">
      <c r="A40" s="52"/>
      <c r="B40" s="132" t="s">
        <v>258</v>
      </c>
      <c r="C40" s="394" t="str">
        <f t="shared" ref="C40:C41" si="42">D$6&amp;"."&amp;B40</f>
        <v>General Service 1,500 to 4,999 KW.RTSR - Network</v>
      </c>
      <c r="D40" s="425" t="s">
        <v>381</v>
      </c>
      <c r="E40" s="132"/>
      <c r="F40" s="413">
        <f>IFERROR(VLOOKUP($C40,'Proposed Rates'!$B:$J,F$11,FALSE),0)</f>
        <v>5.0336999999999996</v>
      </c>
      <c r="G40" s="414">
        <f t="shared" ref="G40:G41" si="43">IF($D40="Monthly",1,IF($D40="per KW",$F$10,IF($D40="per kWh",$F$9,0)))</f>
        <v>1925</v>
      </c>
      <c r="H40" s="399">
        <f t="shared" ref="H40:H41" si="44">G40*F40</f>
        <v>9689.8724999999995</v>
      </c>
      <c r="I40" s="132"/>
      <c r="J40" s="413">
        <f>IFERROR(VLOOKUP($C40,'Proposed Rates'!$B:$J,J$11,FALSE),0)</f>
        <v>4.5423999999999998</v>
      </c>
      <c r="K40" s="414">
        <f t="shared" ref="K40:K41" si="45">IF($D40="Monthly",1,IF($D40="per KW",$F$10,IF($D40="per kWh",$F$9,0)))</f>
        <v>1925</v>
      </c>
      <c r="L40" s="399">
        <f t="shared" ref="L40:L41" si="46">K40*J40</f>
        <v>8744.119999999999</v>
      </c>
      <c r="M40" s="132"/>
      <c r="N40" s="400">
        <f t="shared" si="5"/>
        <v>-945.75250000000051</v>
      </c>
      <c r="O40" s="401">
        <f t="shared" si="6"/>
        <v>-9.760216143194872E-2</v>
      </c>
      <c r="P40" s="52"/>
      <c r="Q40" s="413">
        <f>IFERROR(VLOOKUP($C40,'Proposed Rates'!$B:$J,Q$11,FALSE),0)</f>
        <v>4.5423999999999998</v>
      </c>
      <c r="R40" s="414">
        <f t="shared" ref="R40:R41" si="47">IF($D40="Monthly",1,IF($D40="per KW",$F$10,IF($D40="per kWh",$F$9,0)))</f>
        <v>1925</v>
      </c>
      <c r="S40" s="399">
        <f t="shared" ref="S40:S41" si="48">R40*Q40</f>
        <v>8744.119999999999</v>
      </c>
      <c r="T40" s="132"/>
      <c r="U40" s="400">
        <f t="shared" si="40"/>
        <v>0</v>
      </c>
      <c r="V40" s="401">
        <f t="shared" si="41"/>
        <v>0</v>
      </c>
      <c r="W40" s="52"/>
      <c r="X40" s="413">
        <f>IFERROR(VLOOKUP($C40,'Proposed Rates'!$B:$J,X$11,FALSE),0)</f>
        <v>4.5423999999999998</v>
      </c>
      <c r="Y40" s="414">
        <f t="shared" ref="Y40:Y41" si="49">IF($D40="Monthly",1,IF($D40="per KW",$F$10,IF($D40="per kWh",$F$9,0)))</f>
        <v>1925</v>
      </c>
      <c r="Z40" s="399">
        <f t="shared" ref="Z40:Z41" si="50">Y40*X40</f>
        <v>8744.119999999999</v>
      </c>
      <c r="AA40" s="132"/>
      <c r="AB40" s="400">
        <f t="shared" si="13"/>
        <v>0</v>
      </c>
      <c r="AC40" s="401">
        <f t="shared" si="14"/>
        <v>0</v>
      </c>
      <c r="AD40" s="52"/>
      <c r="AE40" s="413">
        <f>IFERROR(VLOOKUP($C40,'Proposed Rates'!$B:$J,AE$11,FALSE),0)</f>
        <v>4.5423999999999998</v>
      </c>
      <c r="AF40" s="414">
        <f t="shared" ref="AF40:AF41" si="51">IF($D40="Monthly",1,IF($D40="per KW",$F$10,IF($D40="per kWh",$F$9,0)))</f>
        <v>1925</v>
      </c>
      <c r="AG40" s="399">
        <f t="shared" ref="AG40:AG41" si="52">AF40*AE40</f>
        <v>8744.119999999999</v>
      </c>
      <c r="AH40" s="132"/>
      <c r="AI40" s="400">
        <f t="shared" si="17"/>
        <v>0</v>
      </c>
      <c r="AJ40" s="401">
        <f t="shared" si="18"/>
        <v>0</v>
      </c>
      <c r="AK40" s="52"/>
      <c r="AL40" s="413">
        <f>IFERROR(VLOOKUP($C40,'Proposed Rates'!$B:$J,AL$11,FALSE),0)</f>
        <v>4.5423999999999998</v>
      </c>
      <c r="AM40" s="414">
        <f t="shared" ref="AM40:AM41" si="53">IF($D40="Monthly",1,IF($D40="per KW",$F$10,IF($D40="per kWh",$F$9,0)))</f>
        <v>1925</v>
      </c>
      <c r="AN40" s="399">
        <f t="shared" ref="AN40:AN41" si="54">AM40*AL40</f>
        <v>8744.119999999999</v>
      </c>
      <c r="AO40" s="132"/>
      <c r="AP40" s="400">
        <f t="shared" si="21"/>
        <v>0</v>
      </c>
      <c r="AQ40" s="401">
        <f t="shared" si="22"/>
        <v>0</v>
      </c>
      <c r="AR40" s="402"/>
      <c r="AS40" s="3"/>
      <c r="AT40" s="3"/>
      <c r="AU40" s="3"/>
      <c r="AV40" s="3"/>
    </row>
    <row r="41" spans="1:48" ht="12.75" customHeight="1">
      <c r="A41" s="52"/>
      <c r="B41" s="486" t="s">
        <v>261</v>
      </c>
      <c r="C41" s="394" t="str">
        <f t="shared" si="42"/>
        <v>General Service 1,500 to 4,999 KW.RTSR - Line and Transformation Connection</v>
      </c>
      <c r="D41" s="425" t="s">
        <v>381</v>
      </c>
      <c r="E41" s="132"/>
      <c r="F41" s="413">
        <f>IFERROR(VLOOKUP($C41,'Proposed Rates'!$B:$J,F$11,FALSE),0)</f>
        <v>3.0125999999999999</v>
      </c>
      <c r="G41" s="414">
        <f t="shared" si="43"/>
        <v>1925</v>
      </c>
      <c r="H41" s="399">
        <f t="shared" si="44"/>
        <v>5799.2550000000001</v>
      </c>
      <c r="I41" s="132"/>
      <c r="J41" s="413">
        <f>IFERROR(VLOOKUP($C41,'Proposed Rates'!$B:$J,J$11,FALSE),0)</f>
        <v>2.5712000000000002</v>
      </c>
      <c r="K41" s="414">
        <f t="shared" si="45"/>
        <v>1925</v>
      </c>
      <c r="L41" s="399">
        <f t="shared" si="46"/>
        <v>4949.5600000000004</v>
      </c>
      <c r="M41" s="132"/>
      <c r="N41" s="400">
        <f t="shared" si="5"/>
        <v>-849.69499999999971</v>
      </c>
      <c r="O41" s="401">
        <f t="shared" si="6"/>
        <v>-0.14651795791011082</v>
      </c>
      <c r="P41" s="52"/>
      <c r="Q41" s="413">
        <f>IFERROR(VLOOKUP($C41,'Proposed Rates'!$B:$J,Q$11,FALSE),0)</f>
        <v>2.5712000000000002</v>
      </c>
      <c r="R41" s="414">
        <f t="shared" si="47"/>
        <v>1925</v>
      </c>
      <c r="S41" s="399">
        <f t="shared" si="48"/>
        <v>4949.5600000000004</v>
      </c>
      <c r="T41" s="132"/>
      <c r="U41" s="400">
        <f t="shared" si="40"/>
        <v>0</v>
      </c>
      <c r="V41" s="401">
        <f t="shared" si="41"/>
        <v>0</v>
      </c>
      <c r="W41" s="52"/>
      <c r="X41" s="413">
        <f>IFERROR(VLOOKUP($C41,'Proposed Rates'!$B:$J,X$11,FALSE),0)</f>
        <v>2.5712000000000002</v>
      </c>
      <c r="Y41" s="414">
        <f t="shared" si="49"/>
        <v>1925</v>
      </c>
      <c r="Z41" s="399">
        <f t="shared" si="50"/>
        <v>4949.5600000000004</v>
      </c>
      <c r="AA41" s="132"/>
      <c r="AB41" s="400">
        <f t="shared" si="13"/>
        <v>0</v>
      </c>
      <c r="AC41" s="401">
        <f t="shared" si="14"/>
        <v>0</v>
      </c>
      <c r="AD41" s="52"/>
      <c r="AE41" s="413">
        <f>IFERROR(VLOOKUP($C41,'Proposed Rates'!$B:$J,AE$11,FALSE),0)</f>
        <v>2.5712000000000002</v>
      </c>
      <c r="AF41" s="414">
        <f t="shared" si="51"/>
        <v>1925</v>
      </c>
      <c r="AG41" s="399">
        <f t="shared" si="52"/>
        <v>4949.5600000000004</v>
      </c>
      <c r="AH41" s="132"/>
      <c r="AI41" s="400">
        <f t="shared" si="17"/>
        <v>0</v>
      </c>
      <c r="AJ41" s="401">
        <f t="shared" si="18"/>
        <v>0</v>
      </c>
      <c r="AK41" s="52"/>
      <c r="AL41" s="413">
        <f>IFERROR(VLOOKUP($C41,'Proposed Rates'!$B:$J,AL$11,FALSE),0)</f>
        <v>2.5712000000000002</v>
      </c>
      <c r="AM41" s="414">
        <f t="shared" si="53"/>
        <v>1925</v>
      </c>
      <c r="AN41" s="399">
        <f t="shared" si="54"/>
        <v>4949.5600000000004</v>
      </c>
      <c r="AO41" s="132"/>
      <c r="AP41" s="400">
        <f t="shared" si="21"/>
        <v>0</v>
      </c>
      <c r="AQ41" s="401">
        <f t="shared" si="22"/>
        <v>0</v>
      </c>
      <c r="AR41" s="402"/>
      <c r="AS41" s="3"/>
      <c r="AT41" s="3"/>
      <c r="AU41" s="3"/>
      <c r="AV41" s="3"/>
    </row>
    <row r="42" spans="1:48" ht="12.75" customHeight="1">
      <c r="A42" s="52"/>
      <c r="B42" s="485" t="s">
        <v>318</v>
      </c>
      <c r="C42" s="559"/>
      <c r="D42" s="426"/>
      <c r="E42" s="426"/>
      <c r="F42" s="427"/>
      <c r="G42" s="500"/>
      <c r="H42" s="408">
        <f>SUM(H39:H41)</f>
        <v>35508.496999999996</v>
      </c>
      <c r="I42" s="409"/>
      <c r="J42" s="427"/>
      <c r="K42" s="500"/>
      <c r="L42" s="408">
        <f>SUM(L39:L41)</f>
        <v>35436.37775</v>
      </c>
      <c r="M42" s="409"/>
      <c r="N42" s="410">
        <f t="shared" si="5"/>
        <v>-72.1192499999961</v>
      </c>
      <c r="O42" s="411">
        <f t="shared" si="6"/>
        <v>-2.0310420348120086E-3</v>
      </c>
      <c r="P42" s="52"/>
      <c r="Q42" s="427"/>
      <c r="R42" s="500"/>
      <c r="S42" s="408">
        <f>SUM(S39:S41)</f>
        <v>33536.957750000001</v>
      </c>
      <c r="T42" s="409"/>
      <c r="U42" s="410">
        <f t="shared" si="40"/>
        <v>-1899.4199999999983</v>
      </c>
      <c r="V42" s="411">
        <f t="shared" si="41"/>
        <v>-5.360085089396583E-2</v>
      </c>
      <c r="W42" s="52"/>
      <c r="X42" s="427"/>
      <c r="Y42" s="500"/>
      <c r="Z42" s="408">
        <f>SUM(Z39:Z41)</f>
        <v>34884.245999999999</v>
      </c>
      <c r="AA42" s="409"/>
      <c r="AB42" s="410">
        <f t="shared" si="13"/>
        <v>1347.2882499999978</v>
      </c>
      <c r="AC42" s="411">
        <f t="shared" si="14"/>
        <v>4.0173239923648046E-2</v>
      </c>
      <c r="AD42" s="52"/>
      <c r="AE42" s="427"/>
      <c r="AF42" s="500"/>
      <c r="AG42" s="408">
        <f>SUM(AG39:AG41)</f>
        <v>35601.866749999994</v>
      </c>
      <c r="AH42" s="409"/>
      <c r="AI42" s="410">
        <f t="shared" si="17"/>
        <v>717.62074999999459</v>
      </c>
      <c r="AJ42" s="411">
        <f t="shared" si="18"/>
        <v>2.0571485191338078E-2</v>
      </c>
      <c r="AK42" s="52"/>
      <c r="AL42" s="427"/>
      <c r="AM42" s="500"/>
      <c r="AN42" s="408">
        <f>SUM(AN39:AN41)</f>
        <v>36259.504499999995</v>
      </c>
      <c r="AO42" s="409"/>
      <c r="AP42" s="410">
        <f t="shared" si="21"/>
        <v>657.63775000000169</v>
      </c>
      <c r="AQ42" s="411">
        <f t="shared" si="22"/>
        <v>1.8472001892990676E-2</v>
      </c>
      <c r="AR42" s="412"/>
      <c r="AS42" s="3"/>
      <c r="AT42" s="3"/>
      <c r="AU42" s="3"/>
      <c r="AV42" s="3"/>
    </row>
    <row r="43" spans="1:48" ht="12.75" customHeight="1">
      <c r="A43" s="52"/>
      <c r="B43" s="487" t="s">
        <v>262</v>
      </c>
      <c r="C43" s="394" t="str">
        <f t="shared" ref="C43:C45" si="55">D$6&amp;"."&amp;B43</f>
        <v>General Service 1,500 to 4,999 KW.Wholesale Market Service Charge (WMSC)</v>
      </c>
      <c r="D43" s="395" t="s">
        <v>312</v>
      </c>
      <c r="E43" s="321"/>
      <c r="F43" s="413">
        <f>IFERROR(VLOOKUP($C43,'Proposed Rates'!$B:$J,F$11,FALSE),0)</f>
        <v>4.4999999999999997E-3</v>
      </c>
      <c r="G43" s="507">
        <f t="shared" ref="G43:G44" si="56">$F$9+G$37</f>
        <v>921529.32000000007</v>
      </c>
      <c r="H43" s="399">
        <f t="shared" ref="H43:H46" si="57">G43*F43</f>
        <v>4146.8819400000002</v>
      </c>
      <c r="I43" s="132"/>
      <c r="J43" s="413">
        <f>IFERROR(VLOOKUP($C43,'Proposed Rates'!$B:$J,J$11,FALSE),0)</f>
        <v>4.7000000000000002E-3</v>
      </c>
      <c r="K43" s="507">
        <f t="shared" ref="K43:K44" si="58">$F$9+K$37</f>
        <v>920994.47999999986</v>
      </c>
      <c r="L43" s="399">
        <f t="shared" ref="L43:L46" si="59">K43*J43</f>
        <v>4328.6740559999998</v>
      </c>
      <c r="M43" s="132"/>
      <c r="N43" s="400">
        <f t="shared" si="5"/>
        <v>181.79211599999962</v>
      </c>
      <c r="O43" s="401">
        <f t="shared" si="6"/>
        <v>4.3838266589282165E-2</v>
      </c>
      <c r="P43" s="52"/>
      <c r="Q43" s="413">
        <f>IFERROR(VLOOKUP($C43,'Proposed Rates'!$B:$J,Q$11,FALSE),0)</f>
        <v>4.7000000000000002E-3</v>
      </c>
      <c r="R43" s="507">
        <f t="shared" ref="R43:R44" si="60">$F$9+R$37</f>
        <v>920994.47999999986</v>
      </c>
      <c r="S43" s="399">
        <f t="shared" ref="S43:S46" si="61">R43*Q43</f>
        <v>4328.6740559999998</v>
      </c>
      <c r="T43" s="132"/>
      <c r="U43" s="400">
        <f t="shared" si="40"/>
        <v>0</v>
      </c>
      <c r="V43" s="401">
        <f t="shared" si="41"/>
        <v>0</v>
      </c>
      <c r="W43" s="52"/>
      <c r="X43" s="413">
        <f>IFERROR(VLOOKUP($C43,'Proposed Rates'!$B:$J,X$11,FALSE),0)</f>
        <v>4.7000000000000002E-3</v>
      </c>
      <c r="Y43" s="507">
        <f t="shared" ref="Y43:Y44" si="62">$F$9+Y$37</f>
        <v>920994.47999999986</v>
      </c>
      <c r="Z43" s="399">
        <f t="shared" ref="Z43:Z46" si="63">Y43*X43</f>
        <v>4328.6740559999998</v>
      </c>
      <c r="AA43" s="132"/>
      <c r="AB43" s="400">
        <f t="shared" si="13"/>
        <v>0</v>
      </c>
      <c r="AC43" s="401">
        <f t="shared" si="14"/>
        <v>0</v>
      </c>
      <c r="AD43" s="52"/>
      <c r="AE43" s="413">
        <f>IFERROR(VLOOKUP($C43,'Proposed Rates'!$B:$J,AE$11,FALSE),0)</f>
        <v>4.7000000000000002E-3</v>
      </c>
      <c r="AF43" s="507">
        <f t="shared" ref="AF43:AF44" si="64">$F$9+AF$37</f>
        <v>920994.47999999986</v>
      </c>
      <c r="AG43" s="399">
        <f t="shared" ref="AG43:AG46" si="65">AF43*AE43</f>
        <v>4328.6740559999998</v>
      </c>
      <c r="AH43" s="132"/>
      <c r="AI43" s="400">
        <f t="shared" si="17"/>
        <v>0</v>
      </c>
      <c r="AJ43" s="401">
        <f t="shared" si="18"/>
        <v>0</v>
      </c>
      <c r="AK43" s="52"/>
      <c r="AL43" s="413">
        <f>IFERROR(VLOOKUP($C43,'Proposed Rates'!$B:$J,AL$11,FALSE),0)</f>
        <v>4.7000000000000002E-3</v>
      </c>
      <c r="AM43" s="507">
        <f t="shared" ref="AM43:AM44" si="66">$F$9+AM$37</f>
        <v>920994.47999999986</v>
      </c>
      <c r="AN43" s="399">
        <f t="shared" ref="AN43:AN46" si="67">AM43*AL43</f>
        <v>4328.6740559999998</v>
      </c>
      <c r="AO43" s="132"/>
      <c r="AP43" s="400">
        <f t="shared" si="21"/>
        <v>0</v>
      </c>
      <c r="AQ43" s="401">
        <f t="shared" si="22"/>
        <v>0</v>
      </c>
      <c r="AR43" s="402"/>
      <c r="AS43" s="3"/>
      <c r="AT43" s="3"/>
      <c r="AU43" s="3"/>
      <c r="AV43" s="3"/>
    </row>
    <row r="44" spans="1:48" ht="12.75" customHeight="1">
      <c r="A44" s="52"/>
      <c r="B44" s="487" t="s">
        <v>263</v>
      </c>
      <c r="C44" s="394" t="str">
        <f t="shared" si="55"/>
        <v>General Service 1,500 to 4,999 KW.Rural and Remote Rate Protection (RRRP)</v>
      </c>
      <c r="D44" s="395" t="s">
        <v>312</v>
      </c>
      <c r="E44" s="321"/>
      <c r="F44" s="413">
        <f>IFERROR(VLOOKUP($C44,'Proposed Rates'!$B:$J,F$11,FALSE),0)</f>
        <v>1.5E-3</v>
      </c>
      <c r="G44" s="507">
        <f t="shared" si="56"/>
        <v>921529.32000000007</v>
      </c>
      <c r="H44" s="399">
        <f t="shared" si="57"/>
        <v>1382.2939800000001</v>
      </c>
      <c r="I44" s="132"/>
      <c r="J44" s="413">
        <f>IFERROR(VLOOKUP($C44,'Proposed Rates'!$B:$J,J$11,FALSE),0)</f>
        <v>5.9999999999999995E-4</v>
      </c>
      <c r="K44" s="507">
        <f t="shared" si="58"/>
        <v>920994.47999999986</v>
      </c>
      <c r="L44" s="399">
        <f t="shared" si="59"/>
        <v>552.59668799999986</v>
      </c>
      <c r="M44" s="132"/>
      <c r="N44" s="400">
        <f t="shared" si="5"/>
        <v>-829.69729200000029</v>
      </c>
      <c r="O44" s="401">
        <f t="shared" si="6"/>
        <v>-0.60023215322112611</v>
      </c>
      <c r="P44" s="52"/>
      <c r="Q44" s="413">
        <f>IFERROR(VLOOKUP($C44,'Proposed Rates'!$B:$J,Q$11,FALSE),0)</f>
        <v>5.9999999999999995E-4</v>
      </c>
      <c r="R44" s="507">
        <f t="shared" si="60"/>
        <v>920994.47999999986</v>
      </c>
      <c r="S44" s="399">
        <f t="shared" si="61"/>
        <v>552.59668799999986</v>
      </c>
      <c r="T44" s="132"/>
      <c r="U44" s="400">
        <f t="shared" si="40"/>
        <v>0</v>
      </c>
      <c r="V44" s="401">
        <f t="shared" si="41"/>
        <v>0</v>
      </c>
      <c r="W44" s="52"/>
      <c r="X44" s="413">
        <f>IFERROR(VLOOKUP($C44,'Proposed Rates'!$B:$J,X$11,FALSE),0)</f>
        <v>5.9999999999999995E-4</v>
      </c>
      <c r="Y44" s="507">
        <f t="shared" si="62"/>
        <v>920994.47999999986</v>
      </c>
      <c r="Z44" s="399">
        <f t="shared" si="63"/>
        <v>552.59668799999986</v>
      </c>
      <c r="AA44" s="132"/>
      <c r="AB44" s="400">
        <f t="shared" si="13"/>
        <v>0</v>
      </c>
      <c r="AC44" s="401">
        <f t="shared" si="14"/>
        <v>0</v>
      </c>
      <c r="AD44" s="52"/>
      <c r="AE44" s="413">
        <f>IFERROR(VLOOKUP($C44,'Proposed Rates'!$B:$J,AE$11,FALSE),0)</f>
        <v>5.9999999999999995E-4</v>
      </c>
      <c r="AF44" s="507">
        <f t="shared" si="64"/>
        <v>920994.47999999986</v>
      </c>
      <c r="AG44" s="399">
        <f t="shared" si="65"/>
        <v>552.59668799999986</v>
      </c>
      <c r="AH44" s="132"/>
      <c r="AI44" s="400">
        <f t="shared" si="17"/>
        <v>0</v>
      </c>
      <c r="AJ44" s="401">
        <f t="shared" si="18"/>
        <v>0</v>
      </c>
      <c r="AK44" s="52"/>
      <c r="AL44" s="413">
        <f>IFERROR(VLOOKUP($C44,'Proposed Rates'!$B:$J,AL$11,FALSE),0)</f>
        <v>5.9999999999999995E-4</v>
      </c>
      <c r="AM44" s="507">
        <f t="shared" si="66"/>
        <v>920994.47999999986</v>
      </c>
      <c r="AN44" s="399">
        <f t="shared" si="67"/>
        <v>552.59668799999986</v>
      </c>
      <c r="AO44" s="132"/>
      <c r="AP44" s="400">
        <f t="shared" si="21"/>
        <v>0</v>
      </c>
      <c r="AQ44" s="401">
        <f t="shared" si="22"/>
        <v>0</v>
      </c>
      <c r="AR44" s="402"/>
      <c r="AS44" s="3"/>
      <c r="AT44" s="3"/>
      <c r="AU44" s="3"/>
      <c r="AV44" s="3"/>
    </row>
    <row r="45" spans="1:48" ht="12.75" customHeight="1">
      <c r="A45" s="52"/>
      <c r="B45" s="321" t="s">
        <v>264</v>
      </c>
      <c r="C45" s="394" t="str">
        <f t="shared" si="55"/>
        <v>General Service 1,500 to 4,999 KW.Standard Supply Service Charge</v>
      </c>
      <c r="D45" s="395" t="s">
        <v>310</v>
      </c>
      <c r="E45" s="321"/>
      <c r="F45" s="413">
        <f>IFERROR(VLOOKUP($C45,'Proposed Rates'!$B:$J,F$11,FALSE),0)</f>
        <v>0.25</v>
      </c>
      <c r="G45" s="414">
        <f>IF($D45="Monthly",1,IF($D45="per KW",$F$10,IF($D45="per kWh",$F$9,0)))</f>
        <v>1</v>
      </c>
      <c r="H45" s="399">
        <f t="shared" si="57"/>
        <v>0.25</v>
      </c>
      <c r="I45" s="132"/>
      <c r="J45" s="413">
        <f>IFERROR(VLOOKUP($C45,'Proposed Rates'!$B:$J,J$11,FALSE),0)</f>
        <v>0.25</v>
      </c>
      <c r="K45" s="414">
        <f>IF($D45="Monthly",1,IF($D45="per KW",$F$10,IF($D45="per kWh",$F$9,0)))</f>
        <v>1</v>
      </c>
      <c r="L45" s="399">
        <f t="shared" si="59"/>
        <v>0.25</v>
      </c>
      <c r="M45" s="132"/>
      <c r="N45" s="400">
        <f t="shared" si="5"/>
        <v>0</v>
      </c>
      <c r="O45" s="401">
        <f t="shared" si="6"/>
        <v>0</v>
      </c>
      <c r="P45" s="52"/>
      <c r="Q45" s="413">
        <f>IFERROR(VLOOKUP($C45,'Proposed Rates'!$B:$J,Q$11,FALSE),0)</f>
        <v>0.25</v>
      </c>
      <c r="R45" s="414">
        <f>IF($D45="Monthly",1,IF($D45="per KW",$F$10,IF($D45="per kWh",$F$9,0)))</f>
        <v>1</v>
      </c>
      <c r="S45" s="399">
        <f t="shared" si="61"/>
        <v>0.25</v>
      </c>
      <c r="T45" s="132"/>
      <c r="U45" s="400">
        <f t="shared" si="40"/>
        <v>0</v>
      </c>
      <c r="V45" s="401">
        <f t="shared" si="41"/>
        <v>0</v>
      </c>
      <c r="W45" s="52"/>
      <c r="X45" s="413">
        <f>IFERROR(VLOOKUP($C45,'Proposed Rates'!$B:$J,X$11,FALSE),0)</f>
        <v>0.25</v>
      </c>
      <c r="Y45" s="414">
        <f>IF($D45="Monthly",1,IF($D45="per KW",$F$10,IF($D45="per kWh",$F$9,0)))</f>
        <v>1</v>
      </c>
      <c r="Z45" s="399">
        <f t="shared" si="63"/>
        <v>0.25</v>
      </c>
      <c r="AA45" s="132"/>
      <c r="AB45" s="400">
        <f t="shared" si="13"/>
        <v>0</v>
      </c>
      <c r="AC45" s="401">
        <f t="shared" si="14"/>
        <v>0</v>
      </c>
      <c r="AD45" s="52"/>
      <c r="AE45" s="413">
        <f>IFERROR(VLOOKUP($C45,'Proposed Rates'!$B:$J,AE$11,FALSE),0)</f>
        <v>0.25</v>
      </c>
      <c r="AF45" s="414">
        <f>IF($D45="Monthly",1,IF($D45="per KW",$F$10,IF($D45="per kWh",$F$9,0)))</f>
        <v>1</v>
      </c>
      <c r="AG45" s="399">
        <f t="shared" si="65"/>
        <v>0.25</v>
      </c>
      <c r="AH45" s="132"/>
      <c r="AI45" s="400">
        <f t="shared" si="17"/>
        <v>0</v>
      </c>
      <c r="AJ45" s="401">
        <f t="shared" si="18"/>
        <v>0</v>
      </c>
      <c r="AK45" s="52"/>
      <c r="AL45" s="413">
        <f>IFERROR(VLOOKUP($C45,'Proposed Rates'!$B:$J,AL$11,FALSE),0)</f>
        <v>0.25</v>
      </c>
      <c r="AM45" s="414">
        <f>IF($D45="Monthly",1,IF($D45="per KW",$F$10,IF($D45="per kWh",$F$9,0)))</f>
        <v>1</v>
      </c>
      <c r="AN45" s="399">
        <f t="shared" si="67"/>
        <v>0.25</v>
      </c>
      <c r="AO45" s="132"/>
      <c r="AP45" s="400">
        <f t="shared" si="21"/>
        <v>0</v>
      </c>
      <c r="AQ45" s="401">
        <f t="shared" si="22"/>
        <v>0</v>
      </c>
      <c r="AR45" s="402"/>
      <c r="AS45" s="3"/>
      <c r="AT45" s="3"/>
      <c r="AU45" s="3"/>
      <c r="AV45" s="3"/>
    </row>
    <row r="46" spans="1:48" ht="12.75" customHeight="1">
      <c r="A46" s="52"/>
      <c r="B46" s="321" t="s">
        <v>271</v>
      </c>
      <c r="C46" s="394" t="str">
        <f>B46</f>
        <v>Average IESO Wholesale Market Price</v>
      </c>
      <c r="D46" s="395" t="s">
        <v>312</v>
      </c>
      <c r="E46" s="321"/>
      <c r="F46" s="413">
        <f>IFERROR(VLOOKUP($C46,'Proposed Rates'!$B:$J,F$11,FALSE),0)</f>
        <v>0.10453</v>
      </c>
      <c r="G46" s="507">
        <f>$F$9+G$37</f>
        <v>921529.32000000007</v>
      </c>
      <c r="H46" s="399">
        <f t="shared" si="57"/>
        <v>96327.459819600001</v>
      </c>
      <c r="I46" s="132"/>
      <c r="J46" s="413">
        <f>IFERROR(VLOOKUP($C46,'Proposed Rates'!$B:$J,J$11,FALSE),0)</f>
        <v>0.10453</v>
      </c>
      <c r="K46" s="507">
        <f>$F$9+K$37</f>
        <v>920994.47999999986</v>
      </c>
      <c r="L46" s="399">
        <f t="shared" si="59"/>
        <v>96271.552994399986</v>
      </c>
      <c r="M46" s="132"/>
      <c r="N46" s="400">
        <f t="shared" si="5"/>
        <v>-55.906825200014282</v>
      </c>
      <c r="O46" s="401">
        <f t="shared" si="6"/>
        <v>-5.8038305281500602E-4</v>
      </c>
      <c r="P46" s="52"/>
      <c r="Q46" s="413">
        <f>IFERROR(VLOOKUP($C46,'Proposed Rates'!$B:$J,Q$11,FALSE),0)</f>
        <v>0.10453</v>
      </c>
      <c r="R46" s="507">
        <f>$F$9+R$37</f>
        <v>920994.47999999986</v>
      </c>
      <c r="S46" s="399">
        <f t="shared" si="61"/>
        <v>96271.552994399986</v>
      </c>
      <c r="T46" s="132"/>
      <c r="U46" s="400">
        <f t="shared" si="40"/>
        <v>0</v>
      </c>
      <c r="V46" s="401">
        <f t="shared" si="41"/>
        <v>0</v>
      </c>
      <c r="W46" s="52"/>
      <c r="X46" s="413">
        <f>IFERROR(VLOOKUP($C46,'Proposed Rates'!$B:$J,X$11,FALSE),0)</f>
        <v>0.10453</v>
      </c>
      <c r="Y46" s="507">
        <f>$F$9+Y$37</f>
        <v>920994.47999999986</v>
      </c>
      <c r="Z46" s="399">
        <f t="shared" si="63"/>
        <v>96271.552994399986</v>
      </c>
      <c r="AA46" s="132"/>
      <c r="AB46" s="400">
        <f t="shared" si="13"/>
        <v>0</v>
      </c>
      <c r="AC46" s="401">
        <f t="shared" si="14"/>
        <v>0</v>
      </c>
      <c r="AD46" s="52"/>
      <c r="AE46" s="413">
        <f>IFERROR(VLOOKUP($C46,'Proposed Rates'!$B:$J,AE$11,FALSE),0)</f>
        <v>0.10453</v>
      </c>
      <c r="AF46" s="507">
        <f>$F$9+AF$37</f>
        <v>920994.47999999986</v>
      </c>
      <c r="AG46" s="399">
        <f t="shared" si="65"/>
        <v>96271.552994399986</v>
      </c>
      <c r="AH46" s="132"/>
      <c r="AI46" s="400">
        <f t="shared" si="17"/>
        <v>0</v>
      </c>
      <c r="AJ46" s="401">
        <f t="shared" si="18"/>
        <v>0</v>
      </c>
      <c r="AK46" s="52"/>
      <c r="AL46" s="413">
        <f>IFERROR(VLOOKUP($C46,'Proposed Rates'!$B:$J,AL$11,FALSE),0)</f>
        <v>0.10453</v>
      </c>
      <c r="AM46" s="507">
        <f>$F$9+AM$37</f>
        <v>920994.47999999986</v>
      </c>
      <c r="AN46" s="399">
        <f t="shared" si="67"/>
        <v>96271.552994399986</v>
      </c>
      <c r="AO46" s="132"/>
      <c r="AP46" s="400">
        <f t="shared" si="21"/>
        <v>0</v>
      </c>
      <c r="AQ46" s="401">
        <f t="shared" si="22"/>
        <v>0</v>
      </c>
      <c r="AR46" s="402"/>
      <c r="AS46" s="3"/>
      <c r="AT46" s="3"/>
      <c r="AU46" s="3"/>
      <c r="AV46" s="3"/>
    </row>
    <row r="47" spans="1:48" ht="7.5" customHeight="1">
      <c r="A47" s="52"/>
      <c r="B47" s="321"/>
      <c r="C47" s="394" t="str">
        <f t="shared" ref="C47:C50" si="68">D$6&amp;"."&amp;B47</f>
        <v>General Service 1,500 to 4,999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c r="AS47" s="3"/>
      <c r="AT47" s="3"/>
      <c r="AU47" s="3"/>
      <c r="AV47" s="3"/>
    </row>
    <row r="48" spans="1:48" ht="7.5" customHeight="1">
      <c r="A48" s="52"/>
      <c r="B48" s="52"/>
      <c r="C48" s="394" t="str">
        <f t="shared" si="68"/>
        <v>General Service 1,500 to 4,999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c r="AS48" s="3"/>
      <c r="AT48" s="3"/>
      <c r="AU48" s="3"/>
      <c r="AV48" s="3"/>
    </row>
    <row r="49" spans="1:48" ht="7.5" customHeight="1">
      <c r="A49" s="52"/>
      <c r="B49" s="321"/>
      <c r="C49" s="394" t="str">
        <f t="shared" si="68"/>
        <v>General Service 1,500 to 4,999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c r="AS49" s="3"/>
      <c r="AT49" s="3"/>
      <c r="AU49" s="3"/>
      <c r="AV49" s="3"/>
    </row>
    <row r="50" spans="1:48" ht="7.5" customHeight="1">
      <c r="A50" s="52"/>
      <c r="B50" s="321"/>
      <c r="C50" s="394" t="str">
        <f t="shared" si="68"/>
        <v>General Service 1,500 to 4,999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c r="AS50" s="3"/>
      <c r="AT50" s="3"/>
      <c r="AU50" s="3"/>
      <c r="AV50" s="3"/>
    </row>
    <row r="51" spans="1:48" ht="8.2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3"/>
      <c r="AT51" s="3"/>
      <c r="AU51" s="3"/>
      <c r="AV51" s="3"/>
    </row>
    <row r="52" spans="1:48" ht="12.75" customHeight="1">
      <c r="A52" s="52"/>
      <c r="B52" s="443" t="s">
        <v>319</v>
      </c>
      <c r="C52" s="561"/>
      <c r="D52" s="321"/>
      <c r="E52" s="321"/>
      <c r="F52" s="444"/>
      <c r="G52" s="488"/>
      <c r="H52" s="446">
        <f>SUM(H43:H48,H42)</f>
        <v>137365.3827396</v>
      </c>
      <c r="I52" s="481"/>
      <c r="J52" s="445"/>
      <c r="K52" s="445"/>
      <c r="L52" s="446">
        <f>SUM(L43:L48,L42)</f>
        <v>136589.45148839999</v>
      </c>
      <c r="M52" s="448"/>
      <c r="N52" s="447">
        <f t="shared" ref="N52:N56" si="69">L52-H52</f>
        <v>-775.93125120000332</v>
      </c>
      <c r="O52" s="449">
        <f t="shared" ref="O52:O56" si="70">IF((H52)=0,"",(N52/H52))</f>
        <v>-5.648666612540338E-3</v>
      </c>
      <c r="P52" s="52"/>
      <c r="Q52" s="445"/>
      <c r="R52" s="445"/>
      <c r="S52" s="446">
        <f>SUM(S43:S48,S42)</f>
        <v>134690.03148839998</v>
      </c>
      <c r="T52" s="448"/>
      <c r="U52" s="447">
        <f t="shared" ref="U52:U56" si="71">S52-L52</f>
        <v>-1899.4200000000128</v>
      </c>
      <c r="V52" s="449">
        <f t="shared" ref="V52:V56" si="72">IF((L52)=0,"",(U52/L52))</f>
        <v>-1.3906051889821983E-2</v>
      </c>
      <c r="W52" s="52"/>
      <c r="X52" s="445"/>
      <c r="Y52" s="445"/>
      <c r="Z52" s="446">
        <f>SUM(Z43:Z48,Z42)</f>
        <v>136037.31973839999</v>
      </c>
      <c r="AA52" s="448"/>
      <c r="AB52" s="447">
        <f t="shared" ref="AB52:AB56" si="73">Z52-S52</f>
        <v>1347.2882500000123</v>
      </c>
      <c r="AC52" s="449">
        <f t="shared" ref="AC52:AC56" si="74">IF((S52)=0,"",(AB52/S52))</f>
        <v>1.0002880206587864E-2</v>
      </c>
      <c r="AD52" s="52"/>
      <c r="AE52" s="445"/>
      <c r="AF52" s="445"/>
      <c r="AG52" s="446">
        <f>SUM(AG43:AG48,AG42)</f>
        <v>136754.94048839997</v>
      </c>
      <c r="AH52" s="448"/>
      <c r="AI52" s="447">
        <f t="shared" ref="AI52:AI56" si="75">AG52-Z52</f>
        <v>717.62074999997276</v>
      </c>
      <c r="AJ52" s="449">
        <f t="shared" ref="AJ52:AJ56" si="76">IF((Z52)=0,"",(AI52/Z52))</f>
        <v>5.2751756016654744E-3</v>
      </c>
      <c r="AK52" s="52"/>
      <c r="AL52" s="445"/>
      <c r="AM52" s="445"/>
      <c r="AN52" s="446">
        <f>SUM(AN43:AN48,AN42)</f>
        <v>137412.57823839999</v>
      </c>
      <c r="AO52" s="448"/>
      <c r="AP52" s="447">
        <f t="shared" ref="AP52:AP56" si="77">AN52-AG52</f>
        <v>657.63775000002352</v>
      </c>
      <c r="AQ52" s="449">
        <f t="shared" ref="AQ52:AQ56" si="78">IF((AG52)=0,"",(AP52/AG52))</f>
        <v>4.8088774537239235E-3</v>
      </c>
      <c r="AR52" s="450"/>
      <c r="AS52" s="3"/>
      <c r="AT52" s="3"/>
      <c r="AU52" s="3"/>
      <c r="AV52" s="3"/>
    </row>
    <row r="53" spans="1:48" ht="12.75" customHeight="1">
      <c r="A53" s="52"/>
      <c r="B53" s="451" t="s">
        <v>320</v>
      </c>
      <c r="C53" s="561"/>
      <c r="D53" s="321"/>
      <c r="E53" s="321"/>
      <c r="F53" s="444">
        <v>0.13</v>
      </c>
      <c r="G53" s="132"/>
      <c r="H53" s="489">
        <f>H52*F53</f>
        <v>17857.499756148001</v>
      </c>
      <c r="I53" s="416"/>
      <c r="J53" s="452">
        <v>0.13</v>
      </c>
      <c r="K53" s="416"/>
      <c r="L53" s="399">
        <f>L52*J53</f>
        <v>17756.628693491999</v>
      </c>
      <c r="M53" s="132"/>
      <c r="N53" s="400">
        <f t="shared" si="69"/>
        <v>-100.87106265600232</v>
      </c>
      <c r="O53" s="401">
        <f t="shared" si="70"/>
        <v>-5.648666612540443E-3</v>
      </c>
      <c r="P53" s="52"/>
      <c r="Q53" s="452">
        <v>0.13</v>
      </c>
      <c r="R53" s="416"/>
      <c r="S53" s="399">
        <f>S52*Q53</f>
        <v>17509.704093491997</v>
      </c>
      <c r="T53" s="132"/>
      <c r="U53" s="400">
        <f t="shared" si="71"/>
        <v>-246.9246000000021</v>
      </c>
      <c r="V53" s="401">
        <f t="shared" si="72"/>
        <v>-1.3906051889822009E-2</v>
      </c>
      <c r="W53" s="52"/>
      <c r="X53" s="452">
        <v>0.13</v>
      </c>
      <c r="Y53" s="416"/>
      <c r="Z53" s="399">
        <f>Z52*X53</f>
        <v>17684.851565992001</v>
      </c>
      <c r="AA53" s="132"/>
      <c r="AB53" s="400">
        <f t="shared" si="73"/>
        <v>175.14747250000437</v>
      </c>
      <c r="AC53" s="401">
        <f t="shared" si="74"/>
        <v>1.0002880206588023E-2</v>
      </c>
      <c r="AD53" s="52"/>
      <c r="AE53" s="452">
        <v>0.13</v>
      </c>
      <c r="AF53" s="416"/>
      <c r="AG53" s="399">
        <f>AG52*AE53</f>
        <v>17778.142263491995</v>
      </c>
      <c r="AH53" s="132"/>
      <c r="AI53" s="400">
        <f t="shared" si="75"/>
        <v>93.290697499993257</v>
      </c>
      <c r="AJ53" s="401">
        <f t="shared" si="76"/>
        <v>5.2751756016652931E-3</v>
      </c>
      <c r="AK53" s="52"/>
      <c r="AL53" s="452">
        <v>0.13</v>
      </c>
      <c r="AM53" s="416"/>
      <c r="AN53" s="399">
        <f>AN52*AL53</f>
        <v>17863.635170991998</v>
      </c>
      <c r="AO53" s="132"/>
      <c r="AP53" s="400">
        <f t="shared" si="77"/>
        <v>85.492907500003639</v>
      </c>
      <c r="AQ53" s="401">
        <f t="shared" si="78"/>
        <v>4.8088774537239564E-3</v>
      </c>
      <c r="AR53" s="402"/>
      <c r="AS53" s="3"/>
      <c r="AT53" s="3"/>
      <c r="AU53" s="3"/>
      <c r="AV53" s="3"/>
    </row>
    <row r="54" spans="1:48" ht="12.75" customHeight="1">
      <c r="A54" s="52"/>
      <c r="B54" s="490" t="s">
        <v>400</v>
      </c>
      <c r="C54" s="561"/>
      <c r="D54" s="321"/>
      <c r="E54" s="321"/>
      <c r="F54" s="454"/>
      <c r="G54" s="132"/>
      <c r="H54" s="489">
        <f>H52+H53</f>
        <v>155222.882495748</v>
      </c>
      <c r="I54" s="416"/>
      <c r="J54" s="416"/>
      <c r="K54" s="416"/>
      <c r="L54" s="399">
        <f>L52+L53</f>
        <v>154346.080181892</v>
      </c>
      <c r="M54" s="132"/>
      <c r="N54" s="400">
        <f t="shared" si="69"/>
        <v>-876.80231385599473</v>
      </c>
      <c r="O54" s="401">
        <f t="shared" si="70"/>
        <v>-5.6486666125402799E-3</v>
      </c>
      <c r="P54" s="52"/>
      <c r="Q54" s="416"/>
      <c r="R54" s="416"/>
      <c r="S54" s="399">
        <f>S52+S53</f>
        <v>152199.73558189199</v>
      </c>
      <c r="T54" s="132"/>
      <c r="U54" s="400">
        <f t="shared" si="71"/>
        <v>-2146.3446000000113</v>
      </c>
      <c r="V54" s="401">
        <f t="shared" si="72"/>
        <v>-1.3906051889821962E-2</v>
      </c>
      <c r="W54" s="52"/>
      <c r="X54" s="416"/>
      <c r="Y54" s="416"/>
      <c r="Z54" s="399">
        <f>Z52+Z53</f>
        <v>153722.17130439199</v>
      </c>
      <c r="AA54" s="132"/>
      <c r="AB54" s="400">
        <f t="shared" si="73"/>
        <v>1522.4357224999985</v>
      </c>
      <c r="AC54" s="401">
        <f t="shared" si="74"/>
        <v>1.0002880206587763E-2</v>
      </c>
      <c r="AD54" s="52"/>
      <c r="AE54" s="416"/>
      <c r="AF54" s="416"/>
      <c r="AG54" s="399">
        <f>AG52+AG53</f>
        <v>154533.08275189195</v>
      </c>
      <c r="AH54" s="132"/>
      <c r="AI54" s="400">
        <f t="shared" si="75"/>
        <v>810.91144749996602</v>
      </c>
      <c r="AJ54" s="401">
        <f t="shared" si="76"/>
        <v>5.2751756016654544E-3</v>
      </c>
      <c r="AK54" s="52"/>
      <c r="AL54" s="416"/>
      <c r="AM54" s="416"/>
      <c r="AN54" s="399">
        <f>AN52+AN53</f>
        <v>155276.21340939199</v>
      </c>
      <c r="AO54" s="132"/>
      <c r="AP54" s="400">
        <f t="shared" si="77"/>
        <v>743.13065750003443</v>
      </c>
      <c r="AQ54" s="401">
        <f t="shared" si="78"/>
        <v>4.8088774537239747E-3</v>
      </c>
      <c r="AR54" s="402"/>
      <c r="AS54" s="3"/>
      <c r="AT54" s="3"/>
      <c r="AU54" s="3"/>
      <c r="AV54" s="3"/>
    </row>
    <row r="55" spans="1:48" ht="15.75" customHeight="1">
      <c r="A55" s="52"/>
      <c r="B55" s="632" t="s">
        <v>277</v>
      </c>
      <c r="C55" s="623"/>
      <c r="D55" s="623"/>
      <c r="E55" s="321"/>
      <c r="F55" s="454"/>
      <c r="G55" s="132"/>
      <c r="H55" s="491">
        <f>F55*H52</f>
        <v>0</v>
      </c>
      <c r="I55" s="416"/>
      <c r="J55" s="416"/>
      <c r="K55" s="416"/>
      <c r="L55" s="511">
        <f>J55*L52</f>
        <v>0</v>
      </c>
      <c r="M55" s="132"/>
      <c r="N55" s="456">
        <f t="shared" si="69"/>
        <v>0</v>
      </c>
      <c r="O55" s="458" t="str">
        <f t="shared" si="70"/>
        <v/>
      </c>
      <c r="P55" s="52"/>
      <c r="Q55" s="416"/>
      <c r="R55" s="416"/>
      <c r="S55" s="511">
        <f>Q55*S52</f>
        <v>0</v>
      </c>
      <c r="T55" s="132"/>
      <c r="U55" s="456">
        <f t="shared" si="71"/>
        <v>0</v>
      </c>
      <c r="V55" s="458" t="str">
        <f t="shared" si="72"/>
        <v/>
      </c>
      <c r="W55" s="52"/>
      <c r="X55" s="416"/>
      <c r="Y55" s="416"/>
      <c r="Z55" s="511">
        <f>X55*Z52</f>
        <v>0</v>
      </c>
      <c r="AA55" s="132"/>
      <c r="AB55" s="456">
        <f t="shared" si="73"/>
        <v>0</v>
      </c>
      <c r="AC55" s="458" t="str">
        <f t="shared" si="74"/>
        <v/>
      </c>
      <c r="AD55" s="52"/>
      <c r="AE55" s="416"/>
      <c r="AF55" s="416"/>
      <c r="AG55" s="511">
        <f>AE55*AG52</f>
        <v>0</v>
      </c>
      <c r="AH55" s="132"/>
      <c r="AI55" s="456">
        <f t="shared" si="75"/>
        <v>0</v>
      </c>
      <c r="AJ55" s="458" t="str">
        <f t="shared" si="76"/>
        <v/>
      </c>
      <c r="AK55" s="52"/>
      <c r="AL55" s="416"/>
      <c r="AM55" s="416"/>
      <c r="AN55" s="511">
        <f>AL55*AN52</f>
        <v>0</v>
      </c>
      <c r="AO55" s="132"/>
      <c r="AP55" s="456">
        <f t="shared" si="77"/>
        <v>0</v>
      </c>
      <c r="AQ55" s="458" t="str">
        <f t="shared" si="78"/>
        <v/>
      </c>
      <c r="AR55" s="459"/>
      <c r="AS55" s="3"/>
      <c r="AT55" s="3"/>
      <c r="AU55" s="3"/>
      <c r="AV55" s="3"/>
    </row>
    <row r="56" spans="1:48" ht="13.5" customHeight="1">
      <c r="A56" s="52"/>
      <c r="B56" s="634" t="s">
        <v>322</v>
      </c>
      <c r="C56" s="615"/>
      <c r="D56" s="615"/>
      <c r="E56" s="460"/>
      <c r="F56" s="461"/>
      <c r="G56" s="492"/>
      <c r="H56" s="493">
        <f>H54-H55</f>
        <v>155222.882495748</v>
      </c>
      <c r="I56" s="462"/>
      <c r="J56" s="462"/>
      <c r="K56" s="462"/>
      <c r="L56" s="463">
        <f>L54-L55</f>
        <v>154346.080181892</v>
      </c>
      <c r="M56" s="464"/>
      <c r="N56" s="465">
        <f t="shared" si="69"/>
        <v>-876.80231385599473</v>
      </c>
      <c r="O56" s="466">
        <f t="shared" si="70"/>
        <v>-5.6486666125402799E-3</v>
      </c>
      <c r="P56" s="52"/>
      <c r="Q56" s="462"/>
      <c r="R56" s="462"/>
      <c r="S56" s="463">
        <f>S54-S55</f>
        <v>152199.73558189199</v>
      </c>
      <c r="T56" s="464"/>
      <c r="U56" s="465">
        <f t="shared" si="71"/>
        <v>-2146.3446000000113</v>
      </c>
      <c r="V56" s="466">
        <f t="shared" si="72"/>
        <v>-1.3906051889821962E-2</v>
      </c>
      <c r="W56" s="52"/>
      <c r="X56" s="462"/>
      <c r="Y56" s="462"/>
      <c r="Z56" s="463">
        <f>Z54-Z55</f>
        <v>153722.17130439199</v>
      </c>
      <c r="AA56" s="464"/>
      <c r="AB56" s="465">
        <f t="shared" si="73"/>
        <v>1522.4357224999985</v>
      </c>
      <c r="AC56" s="466">
        <f t="shared" si="74"/>
        <v>1.0002880206587763E-2</v>
      </c>
      <c r="AD56" s="52"/>
      <c r="AE56" s="462"/>
      <c r="AF56" s="462"/>
      <c r="AG56" s="463">
        <f>AG54-AG55</f>
        <v>154533.08275189195</v>
      </c>
      <c r="AH56" s="464"/>
      <c r="AI56" s="465">
        <f t="shared" si="75"/>
        <v>810.91144749996602</v>
      </c>
      <c r="AJ56" s="466">
        <f t="shared" si="76"/>
        <v>5.2751756016654544E-3</v>
      </c>
      <c r="AK56" s="52"/>
      <c r="AL56" s="462"/>
      <c r="AM56" s="462"/>
      <c r="AN56" s="463">
        <f>AN54-AN55</f>
        <v>155276.21340939199</v>
      </c>
      <c r="AO56" s="464"/>
      <c r="AP56" s="465">
        <f t="shared" si="77"/>
        <v>743.13065750003443</v>
      </c>
      <c r="AQ56" s="466">
        <f t="shared" si="78"/>
        <v>4.8088774537239747E-3</v>
      </c>
      <c r="AR56" s="467"/>
      <c r="AS56" s="3"/>
      <c r="AT56" s="3"/>
      <c r="AU56" s="3"/>
      <c r="AV56" s="3"/>
    </row>
    <row r="57" spans="1:48"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3"/>
      <c r="AT57" s="3"/>
      <c r="AU57" s="3"/>
      <c r="AV57" s="3"/>
    </row>
    <row r="58" spans="1:48" ht="12.75" customHeight="1">
      <c r="A58" s="512"/>
      <c r="B58" s="513" t="s">
        <v>323</v>
      </c>
      <c r="C58" s="562"/>
      <c r="D58" s="514"/>
      <c r="E58" s="514"/>
      <c r="F58" s="515"/>
      <c r="G58" s="516"/>
      <c r="H58" s="517">
        <f>SUM(H49:H50,H42,H43:H45)</f>
        <v>41037.922919999997</v>
      </c>
      <c r="I58" s="518"/>
      <c r="J58" s="519"/>
      <c r="K58" s="519"/>
      <c r="L58" s="517">
        <f>SUM(L49:L50,L42,L43:L45)</f>
        <v>40317.898494000001</v>
      </c>
      <c r="M58" s="520"/>
      <c r="N58" s="521">
        <f t="shared" ref="N58:N62" si="79">L58-H58</f>
        <v>-720.02442599999631</v>
      </c>
      <c r="O58" s="522">
        <f t="shared" ref="O58:O62" si="80">IF((H58)=0,"",(N58/H58))</f>
        <v>-1.754534281385595E-2</v>
      </c>
      <c r="P58" s="512"/>
      <c r="Q58" s="519"/>
      <c r="R58" s="519"/>
      <c r="S58" s="517">
        <f>SUM(S49:S50,S42,S43:S45)</f>
        <v>38418.478494000003</v>
      </c>
      <c r="T58" s="520"/>
      <c r="U58" s="521">
        <f t="shared" ref="U58:U62" si="81">S58-L58</f>
        <v>-1899.4199999999983</v>
      </c>
      <c r="V58" s="522">
        <f t="shared" ref="V58:V62" si="82">IF((L58)=0,"",(U58/L58))</f>
        <v>-4.7111086414453489E-2</v>
      </c>
      <c r="W58" s="512"/>
      <c r="X58" s="519"/>
      <c r="Y58" s="519"/>
      <c r="Z58" s="517">
        <f>SUM(Z49:Z50,Z42,Z43:Z45)</f>
        <v>39765.766744</v>
      </c>
      <c r="AA58" s="520"/>
      <c r="AB58" s="521">
        <f t="shared" ref="AB58:AB62" si="83">Z58-S58</f>
        <v>1347.2882499999978</v>
      </c>
      <c r="AC58" s="522">
        <f t="shared" ref="AC58:AC62" si="84">IF((S58)=0,"",(AB58/S58))</f>
        <v>3.5068756046921799E-2</v>
      </c>
      <c r="AD58" s="512"/>
      <c r="AE58" s="519"/>
      <c r="AF58" s="519"/>
      <c r="AG58" s="517">
        <f>SUM(AG49:AG50,AG42,AG43:AG45)</f>
        <v>40483.387493999988</v>
      </c>
      <c r="AH58" s="520"/>
      <c r="AI58" s="521">
        <f t="shared" ref="AI58:AI62" si="85">AG58-Z58</f>
        <v>717.62074999998731</v>
      </c>
      <c r="AJ58" s="522">
        <f t="shared" ref="AJ58:AJ62" si="86">IF((Z58)=0,"",(AI58/Z58))</f>
        <v>1.8046194220768155E-2</v>
      </c>
      <c r="AK58" s="512"/>
      <c r="AL58" s="519"/>
      <c r="AM58" s="519"/>
      <c r="AN58" s="517">
        <f>SUM(AN49:AN50,AN42,AN43:AN45)</f>
        <v>41141.025243999997</v>
      </c>
      <c r="AO58" s="520"/>
      <c r="AP58" s="521">
        <f t="shared" ref="AP58:AP62" si="87">AN58-AG58</f>
        <v>657.63775000000896</v>
      </c>
      <c r="AQ58" s="522">
        <f t="shared" ref="AQ58:AQ62" si="88">IF((AG58)=0,"",(AP58/AG58))</f>
        <v>1.6244632445777344E-2</v>
      </c>
      <c r="AR58" s="523"/>
      <c r="AS58" s="3"/>
      <c r="AT58" s="3"/>
      <c r="AU58" s="3"/>
      <c r="AV58" s="3"/>
    </row>
    <row r="59" spans="1:48" ht="12.75" customHeight="1">
      <c r="A59" s="512"/>
      <c r="B59" s="524" t="s">
        <v>320</v>
      </c>
      <c r="C59" s="562"/>
      <c r="D59" s="514"/>
      <c r="E59" s="514"/>
      <c r="F59" s="515">
        <v>0.13</v>
      </c>
      <c r="G59" s="516"/>
      <c r="H59" s="525">
        <f>H58*F59</f>
        <v>5334.9299795999996</v>
      </c>
      <c r="I59" s="526"/>
      <c r="J59" s="515">
        <v>0.13</v>
      </c>
      <c r="K59" s="527"/>
      <c r="L59" s="528">
        <f>L58*J59</f>
        <v>5241.3268042200007</v>
      </c>
      <c r="M59" s="529"/>
      <c r="N59" s="530">
        <f t="shared" si="79"/>
        <v>-93.603175379998902</v>
      </c>
      <c r="O59" s="531">
        <f t="shared" si="80"/>
        <v>-1.7545342813855835E-2</v>
      </c>
      <c r="P59" s="512"/>
      <c r="Q59" s="515">
        <v>0.13</v>
      </c>
      <c r="R59" s="527"/>
      <c r="S59" s="528">
        <f>S58*Q59</f>
        <v>4994.4022042200004</v>
      </c>
      <c r="T59" s="529"/>
      <c r="U59" s="530">
        <f t="shared" si="81"/>
        <v>-246.92460000000028</v>
      </c>
      <c r="V59" s="531">
        <f t="shared" si="82"/>
        <v>-4.7111086414453579E-2</v>
      </c>
      <c r="W59" s="512"/>
      <c r="X59" s="515">
        <v>0.13</v>
      </c>
      <c r="Y59" s="527"/>
      <c r="Z59" s="528">
        <f>Z58*X59</f>
        <v>5169.5496767200002</v>
      </c>
      <c r="AA59" s="529"/>
      <c r="AB59" s="530">
        <f t="shared" si="83"/>
        <v>175.14747249999982</v>
      </c>
      <c r="AC59" s="531">
        <f t="shared" si="84"/>
        <v>3.506875604692182E-2</v>
      </c>
      <c r="AD59" s="512"/>
      <c r="AE59" s="515">
        <v>0.13</v>
      </c>
      <c r="AF59" s="527"/>
      <c r="AG59" s="528">
        <f>AG58*AE59</f>
        <v>5262.8403742199989</v>
      </c>
      <c r="AH59" s="529"/>
      <c r="AI59" s="530">
        <f t="shared" si="85"/>
        <v>93.290697499998714</v>
      </c>
      <c r="AJ59" s="531">
        <f t="shared" si="86"/>
        <v>1.8046194220768225E-2</v>
      </c>
      <c r="AK59" s="512"/>
      <c r="AL59" s="515">
        <v>0.13</v>
      </c>
      <c r="AM59" s="527"/>
      <c r="AN59" s="528">
        <f>AN58*AL59</f>
        <v>5348.3332817199998</v>
      </c>
      <c r="AO59" s="529"/>
      <c r="AP59" s="530">
        <f t="shared" si="87"/>
        <v>85.492907500000911</v>
      </c>
      <c r="AQ59" s="531">
        <f t="shared" si="88"/>
        <v>1.6244632445777295E-2</v>
      </c>
      <c r="AR59" s="532"/>
      <c r="AS59" s="3"/>
      <c r="AT59" s="3"/>
      <c r="AU59" s="3"/>
      <c r="AV59" s="3"/>
    </row>
    <row r="60" spans="1:48" ht="12.75" customHeight="1">
      <c r="A60" s="512"/>
      <c r="B60" s="553" t="s">
        <v>401</v>
      </c>
      <c r="C60" s="562"/>
      <c r="D60" s="514"/>
      <c r="E60" s="514"/>
      <c r="F60" s="534"/>
      <c r="G60" s="529"/>
      <c r="H60" s="525">
        <f>H58+H59</f>
        <v>46372.852899599995</v>
      </c>
      <c r="I60" s="526"/>
      <c r="J60" s="526"/>
      <c r="K60" s="526"/>
      <c r="L60" s="528">
        <f>L58+L59</f>
        <v>45559.225298220001</v>
      </c>
      <c r="M60" s="529"/>
      <c r="N60" s="530">
        <f t="shared" si="79"/>
        <v>-813.6276013799943</v>
      </c>
      <c r="O60" s="531">
        <f t="shared" si="80"/>
        <v>-1.7545342813855919E-2</v>
      </c>
      <c r="P60" s="512"/>
      <c r="Q60" s="526"/>
      <c r="R60" s="526"/>
      <c r="S60" s="528">
        <f>S58+S59</f>
        <v>43412.880698220004</v>
      </c>
      <c r="T60" s="529"/>
      <c r="U60" s="530">
        <f t="shared" si="81"/>
        <v>-2146.3445999999967</v>
      </c>
      <c r="V60" s="531">
        <f t="shared" si="82"/>
        <v>-4.7111086414453461E-2</v>
      </c>
      <c r="W60" s="512"/>
      <c r="X60" s="526"/>
      <c r="Y60" s="526"/>
      <c r="Z60" s="528">
        <f>Z58+Z59</f>
        <v>44935.316420720002</v>
      </c>
      <c r="AA60" s="529"/>
      <c r="AB60" s="530">
        <f t="shared" si="83"/>
        <v>1522.4357224999985</v>
      </c>
      <c r="AC60" s="531">
        <f t="shared" si="84"/>
        <v>3.5068756046921827E-2</v>
      </c>
      <c r="AD60" s="512"/>
      <c r="AE60" s="526"/>
      <c r="AF60" s="526"/>
      <c r="AG60" s="528">
        <f>AG58+AG59</f>
        <v>45746.227868219983</v>
      </c>
      <c r="AH60" s="529"/>
      <c r="AI60" s="530">
        <f t="shared" si="85"/>
        <v>810.91144749998057</v>
      </c>
      <c r="AJ60" s="531">
        <f t="shared" si="86"/>
        <v>1.8046194220768041E-2</v>
      </c>
      <c r="AK60" s="512"/>
      <c r="AL60" s="526"/>
      <c r="AM60" s="526"/>
      <c r="AN60" s="528">
        <f>AN58+AN59</f>
        <v>46489.358525719996</v>
      </c>
      <c r="AO60" s="529"/>
      <c r="AP60" s="530">
        <f t="shared" si="87"/>
        <v>743.1306575000126</v>
      </c>
      <c r="AQ60" s="531">
        <f t="shared" si="88"/>
        <v>1.62446324457774E-2</v>
      </c>
      <c r="AR60" s="532"/>
      <c r="AS60" s="3"/>
      <c r="AT60" s="3"/>
      <c r="AU60" s="3"/>
      <c r="AV60" s="3"/>
    </row>
    <row r="61" spans="1:48" ht="15.75" customHeight="1">
      <c r="A61" s="512"/>
      <c r="B61" s="644" t="s">
        <v>277</v>
      </c>
      <c r="C61" s="623"/>
      <c r="D61" s="623"/>
      <c r="E61" s="514"/>
      <c r="F61" s="534"/>
      <c r="G61" s="529"/>
      <c r="H61" s="535">
        <f>F61*H58</f>
        <v>0</v>
      </c>
      <c r="I61" s="526"/>
      <c r="J61" s="526"/>
      <c r="K61" s="526"/>
      <c r="L61" s="536">
        <f>J61*L58</f>
        <v>0</v>
      </c>
      <c r="M61" s="529"/>
      <c r="N61" s="537">
        <f t="shared" si="79"/>
        <v>0</v>
      </c>
      <c r="O61" s="538" t="str">
        <f t="shared" si="80"/>
        <v/>
      </c>
      <c r="P61" s="512"/>
      <c r="Q61" s="526"/>
      <c r="R61" s="526"/>
      <c r="S61" s="536">
        <f>Q61*S58</f>
        <v>0</v>
      </c>
      <c r="T61" s="529"/>
      <c r="U61" s="537">
        <f t="shared" si="81"/>
        <v>0</v>
      </c>
      <c r="V61" s="538" t="str">
        <f t="shared" si="82"/>
        <v/>
      </c>
      <c r="W61" s="512"/>
      <c r="X61" s="526"/>
      <c r="Y61" s="526"/>
      <c r="Z61" s="536">
        <f>X61*Z58</f>
        <v>0</v>
      </c>
      <c r="AA61" s="529"/>
      <c r="AB61" s="537">
        <f t="shared" si="83"/>
        <v>0</v>
      </c>
      <c r="AC61" s="538" t="str">
        <f t="shared" si="84"/>
        <v/>
      </c>
      <c r="AD61" s="512"/>
      <c r="AE61" s="526"/>
      <c r="AF61" s="526"/>
      <c r="AG61" s="536">
        <f>AE61*AG58</f>
        <v>0</v>
      </c>
      <c r="AH61" s="529"/>
      <c r="AI61" s="537">
        <f t="shared" si="85"/>
        <v>0</v>
      </c>
      <c r="AJ61" s="538" t="str">
        <f t="shared" si="86"/>
        <v/>
      </c>
      <c r="AK61" s="512"/>
      <c r="AL61" s="526"/>
      <c r="AM61" s="526"/>
      <c r="AN61" s="536">
        <f>AL61*AN58</f>
        <v>0</v>
      </c>
      <c r="AO61" s="529"/>
      <c r="AP61" s="537">
        <f t="shared" si="87"/>
        <v>0</v>
      </c>
      <c r="AQ61" s="538" t="str">
        <f t="shared" si="88"/>
        <v/>
      </c>
      <c r="AR61" s="539"/>
      <c r="AS61" s="3"/>
      <c r="AT61" s="3"/>
      <c r="AU61" s="3"/>
      <c r="AV61" s="3"/>
    </row>
    <row r="62" spans="1:48" ht="13.5" customHeight="1">
      <c r="A62" s="512"/>
      <c r="B62" s="643" t="s">
        <v>325</v>
      </c>
      <c r="C62" s="615"/>
      <c r="D62" s="615"/>
      <c r="E62" s="540"/>
      <c r="F62" s="541"/>
      <c r="G62" s="542"/>
      <c r="H62" s="543">
        <f>H60-H61</f>
        <v>46372.852899599995</v>
      </c>
      <c r="I62" s="544"/>
      <c r="J62" s="544"/>
      <c r="K62" s="544"/>
      <c r="L62" s="545">
        <f>L60-L61</f>
        <v>45559.225298220001</v>
      </c>
      <c r="M62" s="546"/>
      <c r="N62" s="547">
        <f t="shared" si="79"/>
        <v>-813.6276013799943</v>
      </c>
      <c r="O62" s="548">
        <f t="shared" si="80"/>
        <v>-1.7545342813855919E-2</v>
      </c>
      <c r="P62" s="512"/>
      <c r="Q62" s="544"/>
      <c r="R62" s="544"/>
      <c r="S62" s="545">
        <f>S60-S61</f>
        <v>43412.880698220004</v>
      </c>
      <c r="T62" s="546"/>
      <c r="U62" s="547">
        <f t="shared" si="81"/>
        <v>-2146.3445999999967</v>
      </c>
      <c r="V62" s="548">
        <f t="shared" si="82"/>
        <v>-4.7111086414453461E-2</v>
      </c>
      <c r="W62" s="512"/>
      <c r="X62" s="544"/>
      <c r="Y62" s="544"/>
      <c r="Z62" s="545">
        <f>Z60-Z61</f>
        <v>44935.316420720002</v>
      </c>
      <c r="AA62" s="546"/>
      <c r="AB62" s="547">
        <f t="shared" si="83"/>
        <v>1522.4357224999985</v>
      </c>
      <c r="AC62" s="548">
        <f t="shared" si="84"/>
        <v>3.5068756046921827E-2</v>
      </c>
      <c r="AD62" s="512"/>
      <c r="AE62" s="544"/>
      <c r="AF62" s="544"/>
      <c r="AG62" s="545">
        <f>AG60-AG61</f>
        <v>45746.227868219983</v>
      </c>
      <c r="AH62" s="546"/>
      <c r="AI62" s="547">
        <f t="shared" si="85"/>
        <v>810.91144749998057</v>
      </c>
      <c r="AJ62" s="548">
        <f t="shared" si="86"/>
        <v>1.8046194220768041E-2</v>
      </c>
      <c r="AK62" s="512"/>
      <c r="AL62" s="544"/>
      <c r="AM62" s="544"/>
      <c r="AN62" s="545">
        <f>AN60-AN61</f>
        <v>46489.358525719996</v>
      </c>
      <c r="AO62" s="546"/>
      <c r="AP62" s="547">
        <f t="shared" si="87"/>
        <v>743.1306575000126</v>
      </c>
      <c r="AQ62" s="548">
        <f t="shared" si="88"/>
        <v>1.62446324457774E-2</v>
      </c>
      <c r="AR62" s="549"/>
      <c r="AS62" s="3"/>
      <c r="AT62" s="3"/>
      <c r="AU62" s="3"/>
      <c r="AV62" s="3"/>
    </row>
    <row r="63" spans="1:48"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3"/>
      <c r="AT63" s="3"/>
      <c r="AU63" s="3"/>
      <c r="AV63" s="3"/>
    </row>
    <row r="64" spans="1:48"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3"/>
      <c r="AT64" s="3"/>
      <c r="AU64" s="3"/>
      <c r="AV64" s="3"/>
    </row>
    <row r="65" spans="1:48" ht="12.75" customHeight="1">
      <c r="A65" s="52"/>
      <c r="B65" s="307" t="s">
        <v>326</v>
      </c>
      <c r="C65" s="554"/>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3"/>
      <c r="AT65" s="3"/>
      <c r="AU65" s="3"/>
      <c r="AV65" s="3"/>
    </row>
    <row r="66" spans="1:48"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3"/>
      <c r="AT66" s="3"/>
      <c r="AU66" s="3"/>
      <c r="AV66" s="3"/>
    </row>
    <row r="67" spans="1:48" ht="15.75" customHeight="1">
      <c r="A67" s="478" t="s">
        <v>402</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3"/>
      <c r="AT67" s="3"/>
      <c r="AU67" s="3"/>
      <c r="AV67" s="3"/>
    </row>
    <row r="68" spans="1:48"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3"/>
      <c r="AT68" s="3"/>
      <c r="AU68" s="3"/>
      <c r="AV68" s="3"/>
    </row>
    <row r="69" spans="1:48"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3"/>
      <c r="AT69" s="3"/>
      <c r="AU69" s="3"/>
      <c r="AV69" s="3"/>
    </row>
    <row r="70" spans="1:48"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3"/>
      <c r="AT70" s="3"/>
      <c r="AU70" s="3"/>
      <c r="AV70" s="3"/>
    </row>
    <row r="71" spans="1:48"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3"/>
      <c r="AT71" s="3"/>
      <c r="AU71" s="3"/>
      <c r="AV71" s="3"/>
    </row>
    <row r="72" spans="1:48"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3"/>
      <c r="AT72" s="3"/>
      <c r="AU72" s="3"/>
      <c r="AV72" s="3"/>
    </row>
    <row r="73" spans="1:48"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3"/>
      <c r="AT73" s="3"/>
      <c r="AU73" s="3"/>
      <c r="AV73" s="3"/>
    </row>
    <row r="74" spans="1:48"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3"/>
      <c r="AT74" s="3"/>
      <c r="AU74" s="3"/>
      <c r="AV74" s="3"/>
    </row>
    <row r="75" spans="1:48"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3"/>
      <c r="AT75" s="3"/>
      <c r="AU75" s="3"/>
      <c r="AV75" s="3"/>
    </row>
    <row r="76" spans="1:48"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3"/>
      <c r="AT76" s="3"/>
      <c r="AU76" s="3"/>
      <c r="AV76" s="3"/>
    </row>
    <row r="77" spans="1:48"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3"/>
      <c r="AT77" s="3"/>
      <c r="AU77" s="3"/>
      <c r="AV77" s="3"/>
    </row>
    <row r="78" spans="1:48"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3"/>
      <c r="AT78" s="3"/>
      <c r="AU78" s="3"/>
      <c r="AV78" s="3"/>
    </row>
    <row r="79" spans="1:48"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3"/>
      <c r="AT79" s="3"/>
      <c r="AU79" s="3"/>
      <c r="AV79" s="3"/>
    </row>
    <row r="80" spans="1:48"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3"/>
      <c r="AT80" s="3"/>
      <c r="AU80" s="3"/>
      <c r="AV80" s="3"/>
    </row>
    <row r="81" spans="1:48"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3"/>
      <c r="AT81" s="3"/>
      <c r="AU81" s="3"/>
      <c r="AV81" s="3"/>
    </row>
    <row r="82" spans="1:48"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3"/>
      <c r="AT82" s="3"/>
      <c r="AU82" s="3"/>
      <c r="AV82" s="3"/>
    </row>
    <row r="83" spans="1:48"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3"/>
      <c r="AT83" s="3"/>
      <c r="AU83" s="3"/>
      <c r="AV83" s="3"/>
    </row>
    <row r="84" spans="1:48"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3"/>
      <c r="AT84" s="3"/>
      <c r="AU84" s="3"/>
      <c r="AV84" s="3"/>
    </row>
    <row r="85" spans="1:48"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3"/>
      <c r="AT85" s="3"/>
      <c r="AU85" s="3"/>
      <c r="AV85" s="3"/>
    </row>
    <row r="86" spans="1:48"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3"/>
      <c r="AT86" s="3"/>
      <c r="AU86" s="3"/>
      <c r="AV86" s="3"/>
    </row>
    <row r="87" spans="1:48"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3"/>
      <c r="AT87" s="3"/>
      <c r="AU87" s="3"/>
      <c r="AV87" s="3"/>
    </row>
    <row r="88" spans="1:48"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3"/>
      <c r="AT88" s="3"/>
      <c r="AU88" s="3"/>
      <c r="AV88" s="3"/>
    </row>
    <row r="89" spans="1:48"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3"/>
      <c r="AT89" s="3"/>
      <c r="AU89" s="3"/>
      <c r="AV89" s="3"/>
    </row>
    <row r="90" spans="1:48"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3"/>
      <c r="AT90" s="3"/>
      <c r="AU90" s="3"/>
      <c r="AV90" s="3"/>
    </row>
    <row r="91" spans="1:48"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3"/>
      <c r="AT91" s="3"/>
      <c r="AU91" s="3"/>
      <c r="AV91" s="3"/>
    </row>
    <row r="92" spans="1:48"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3"/>
      <c r="AT92" s="3"/>
      <c r="AU92" s="3"/>
      <c r="AV92" s="3"/>
    </row>
    <row r="93" spans="1:48"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3"/>
      <c r="AT93" s="3"/>
      <c r="AU93" s="3"/>
      <c r="AV93" s="3"/>
    </row>
    <row r="94" spans="1:48"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3"/>
      <c r="AT94" s="3"/>
      <c r="AU94" s="3"/>
      <c r="AV94" s="3"/>
    </row>
    <row r="95" spans="1:48"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3"/>
      <c r="AT95" s="3"/>
      <c r="AU95" s="3"/>
      <c r="AV95" s="3"/>
    </row>
    <row r="96" spans="1:48"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3"/>
      <c r="AT96" s="3"/>
      <c r="AU96" s="3"/>
      <c r="AV96" s="3"/>
    </row>
    <row r="97" spans="1:48"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3"/>
      <c r="AT97" s="3"/>
      <c r="AU97" s="3"/>
      <c r="AV97" s="3"/>
    </row>
    <row r="98" spans="1:48"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3"/>
      <c r="AT98" s="3"/>
      <c r="AU98" s="3"/>
      <c r="AV98" s="3"/>
    </row>
    <row r="99" spans="1:48"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3"/>
      <c r="AT99" s="3"/>
      <c r="AU99" s="3"/>
      <c r="AV99" s="3"/>
    </row>
    <row r="100" spans="1:48"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3"/>
      <c r="AT100" s="3"/>
      <c r="AU100" s="3"/>
      <c r="AV100" s="3"/>
    </row>
    <row r="101" spans="1:48"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3"/>
      <c r="AT101" s="3"/>
      <c r="AU101" s="3"/>
      <c r="AV101" s="3"/>
    </row>
    <row r="102" spans="1:48"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3"/>
      <c r="AT102" s="3"/>
      <c r="AU102" s="3"/>
      <c r="AV102" s="3"/>
    </row>
    <row r="103" spans="1:48"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3"/>
      <c r="AT103" s="3"/>
      <c r="AU103" s="3"/>
      <c r="AV103" s="3"/>
    </row>
    <row r="104" spans="1:48"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3"/>
      <c r="AT104" s="3"/>
      <c r="AU104" s="3"/>
      <c r="AV104" s="3"/>
    </row>
    <row r="105" spans="1:48"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3"/>
      <c r="AT105" s="3"/>
      <c r="AU105" s="3"/>
      <c r="AV105" s="3"/>
    </row>
    <row r="106" spans="1:48"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3"/>
      <c r="AT106" s="3"/>
      <c r="AU106" s="3"/>
      <c r="AV106" s="3"/>
    </row>
    <row r="107" spans="1:48"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3"/>
      <c r="AT107" s="3"/>
      <c r="AU107" s="3"/>
      <c r="AV107" s="3"/>
    </row>
    <row r="108" spans="1:48"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3"/>
      <c r="AT108" s="3"/>
      <c r="AU108" s="3"/>
      <c r="AV108" s="3"/>
    </row>
    <row r="109" spans="1:48"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3"/>
      <c r="AT109" s="3"/>
      <c r="AU109" s="3"/>
      <c r="AV109" s="3"/>
    </row>
    <row r="110" spans="1:48"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3"/>
      <c r="AT110" s="3"/>
      <c r="AU110" s="3"/>
      <c r="AV110" s="3"/>
    </row>
    <row r="111" spans="1:48"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3"/>
      <c r="AT111" s="3"/>
      <c r="AU111" s="3"/>
      <c r="AV111" s="3"/>
    </row>
    <row r="112" spans="1:48"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3"/>
      <c r="AT112" s="3"/>
      <c r="AU112" s="3"/>
      <c r="AV112" s="3"/>
    </row>
    <row r="113" spans="1:48"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3"/>
      <c r="AT113" s="3"/>
      <c r="AU113" s="3"/>
      <c r="AV113" s="3"/>
    </row>
    <row r="114" spans="1:48"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3"/>
      <c r="AT114" s="3"/>
      <c r="AU114" s="3"/>
      <c r="AV114" s="3"/>
    </row>
    <row r="115" spans="1:48"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3"/>
      <c r="AT115" s="3"/>
      <c r="AU115" s="3"/>
      <c r="AV115" s="3"/>
    </row>
    <row r="116" spans="1:48"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3"/>
      <c r="AT116" s="3"/>
      <c r="AU116" s="3"/>
      <c r="AV116" s="3"/>
    </row>
    <row r="117" spans="1:48"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3"/>
      <c r="AT117" s="3"/>
      <c r="AU117" s="3"/>
      <c r="AV117" s="3"/>
    </row>
    <row r="118" spans="1:48"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3"/>
      <c r="AT118" s="3"/>
      <c r="AU118" s="3"/>
      <c r="AV118" s="3"/>
    </row>
    <row r="119" spans="1:48"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3"/>
      <c r="AT119" s="3"/>
      <c r="AU119" s="3"/>
      <c r="AV119" s="3"/>
    </row>
    <row r="120" spans="1:48"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3"/>
      <c r="AT120" s="3"/>
      <c r="AU120" s="3"/>
      <c r="AV120" s="3"/>
    </row>
    <row r="121" spans="1:48"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3"/>
      <c r="AT121" s="3"/>
      <c r="AU121" s="3"/>
      <c r="AV121" s="3"/>
    </row>
    <row r="122" spans="1:48"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3"/>
      <c r="AT122" s="3"/>
      <c r="AU122" s="3"/>
      <c r="AV122" s="3"/>
    </row>
    <row r="123" spans="1:48"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3"/>
      <c r="AT123" s="3"/>
      <c r="AU123" s="3"/>
      <c r="AV123" s="3"/>
    </row>
    <row r="124" spans="1:48"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3"/>
      <c r="AT124" s="3"/>
      <c r="AU124" s="3"/>
      <c r="AV124" s="3"/>
    </row>
    <row r="125" spans="1:48"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3"/>
      <c r="AT125" s="3"/>
      <c r="AU125" s="3"/>
      <c r="AV125" s="3"/>
    </row>
    <row r="126" spans="1:48"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3"/>
      <c r="AT126" s="3"/>
      <c r="AU126" s="3"/>
      <c r="AV126" s="3"/>
    </row>
    <row r="127" spans="1:48"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3"/>
      <c r="AT127" s="3"/>
      <c r="AU127" s="3"/>
      <c r="AV127" s="3"/>
    </row>
    <row r="128" spans="1:48"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3"/>
      <c r="AT128" s="3"/>
      <c r="AU128" s="3"/>
      <c r="AV128" s="3"/>
    </row>
    <row r="129" spans="1:48"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3"/>
      <c r="AT129" s="3"/>
      <c r="AU129" s="3"/>
      <c r="AV129" s="3"/>
    </row>
    <row r="130" spans="1:48"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3"/>
      <c r="AT130" s="3"/>
      <c r="AU130" s="3"/>
      <c r="AV130" s="3"/>
    </row>
    <row r="131" spans="1:48"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3"/>
      <c r="AT131" s="3"/>
      <c r="AU131" s="3"/>
      <c r="AV131" s="3"/>
    </row>
    <row r="132" spans="1:48"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3"/>
      <c r="AT132" s="3"/>
      <c r="AU132" s="3"/>
      <c r="AV132" s="3"/>
    </row>
    <row r="133" spans="1:48"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3"/>
      <c r="AT133" s="3"/>
      <c r="AU133" s="3"/>
      <c r="AV133" s="3"/>
    </row>
    <row r="134" spans="1:48"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3"/>
      <c r="AT134" s="3"/>
      <c r="AU134" s="3"/>
      <c r="AV134" s="3"/>
    </row>
    <row r="135" spans="1:48"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3"/>
      <c r="AT135" s="3"/>
      <c r="AU135" s="3"/>
      <c r="AV135" s="3"/>
    </row>
    <row r="136" spans="1:48"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3"/>
      <c r="AT136" s="3"/>
      <c r="AU136" s="3"/>
      <c r="AV136" s="3"/>
    </row>
    <row r="137" spans="1:48"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3"/>
      <c r="AT137" s="3"/>
      <c r="AU137" s="3"/>
      <c r="AV137" s="3"/>
    </row>
    <row r="138" spans="1:48"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3"/>
      <c r="AT138" s="3"/>
      <c r="AU138" s="3"/>
      <c r="AV138" s="3"/>
    </row>
    <row r="139" spans="1:48"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3"/>
      <c r="AT139" s="3"/>
      <c r="AU139" s="3"/>
      <c r="AV139" s="3"/>
    </row>
    <row r="140" spans="1:48"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3"/>
      <c r="AT140" s="3"/>
      <c r="AU140" s="3"/>
      <c r="AV140" s="3"/>
    </row>
    <row r="141" spans="1:48"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3"/>
      <c r="AT141" s="3"/>
      <c r="AU141" s="3"/>
      <c r="AV141" s="3"/>
    </row>
    <row r="142" spans="1:48"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3"/>
      <c r="AT142" s="3"/>
      <c r="AU142" s="3"/>
      <c r="AV142" s="3"/>
    </row>
    <row r="143" spans="1:48"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3"/>
      <c r="AT143" s="3"/>
      <c r="AU143" s="3"/>
      <c r="AV143" s="3"/>
    </row>
    <row r="144" spans="1:48"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3"/>
      <c r="AT144" s="3"/>
      <c r="AU144" s="3"/>
      <c r="AV144" s="3"/>
    </row>
    <row r="145" spans="1:48"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3"/>
      <c r="AT145" s="3"/>
      <c r="AU145" s="3"/>
      <c r="AV145" s="3"/>
    </row>
    <row r="146" spans="1:48"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3"/>
      <c r="AT146" s="3"/>
      <c r="AU146" s="3"/>
      <c r="AV146" s="3"/>
    </row>
    <row r="147" spans="1:48"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3"/>
      <c r="AT147" s="3"/>
      <c r="AU147" s="3"/>
      <c r="AV147" s="3"/>
    </row>
    <row r="148" spans="1:48"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3"/>
      <c r="AT148" s="3"/>
      <c r="AU148" s="3"/>
      <c r="AV148" s="3"/>
    </row>
    <row r="149" spans="1:48"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3"/>
      <c r="AT149" s="3"/>
      <c r="AU149" s="3"/>
      <c r="AV149" s="3"/>
    </row>
    <row r="150" spans="1:48"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3"/>
      <c r="AT150" s="3"/>
      <c r="AU150" s="3"/>
      <c r="AV150" s="3"/>
    </row>
    <row r="151" spans="1:48"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3"/>
      <c r="AT151" s="3"/>
      <c r="AU151" s="3"/>
      <c r="AV151" s="3"/>
    </row>
    <row r="152" spans="1:48"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3"/>
      <c r="AT152" s="3"/>
      <c r="AU152" s="3"/>
      <c r="AV152" s="3"/>
    </row>
    <row r="153" spans="1:48"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3"/>
      <c r="AT153" s="3"/>
      <c r="AU153" s="3"/>
      <c r="AV153" s="3"/>
    </row>
    <row r="154" spans="1:48"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3"/>
      <c r="AT154" s="3"/>
      <c r="AU154" s="3"/>
      <c r="AV154" s="3"/>
    </row>
    <row r="155" spans="1:48"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3"/>
      <c r="AT155" s="3"/>
      <c r="AU155" s="3"/>
      <c r="AV155" s="3"/>
    </row>
    <row r="156" spans="1:48"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3"/>
      <c r="AT156" s="3"/>
      <c r="AU156" s="3"/>
      <c r="AV156" s="3"/>
    </row>
    <row r="157" spans="1:48"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3"/>
      <c r="AT157" s="3"/>
      <c r="AU157" s="3"/>
      <c r="AV157" s="3"/>
    </row>
    <row r="158" spans="1:48"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3"/>
      <c r="AT158" s="3"/>
      <c r="AU158" s="3"/>
      <c r="AV158" s="3"/>
    </row>
    <row r="159" spans="1:48"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3"/>
      <c r="AT159" s="3"/>
      <c r="AU159" s="3"/>
      <c r="AV159" s="3"/>
    </row>
    <row r="160" spans="1:48"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3"/>
      <c r="AT160" s="3"/>
      <c r="AU160" s="3"/>
      <c r="AV160" s="3"/>
    </row>
    <row r="161" spans="1:48"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3"/>
      <c r="AT161" s="3"/>
      <c r="AU161" s="3"/>
      <c r="AV161" s="3"/>
    </row>
    <row r="162" spans="1:48"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3"/>
      <c r="AT162" s="3"/>
      <c r="AU162" s="3"/>
      <c r="AV162" s="3"/>
    </row>
    <row r="163" spans="1:48"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3"/>
      <c r="AT163" s="3"/>
      <c r="AU163" s="3"/>
      <c r="AV163" s="3"/>
    </row>
    <row r="164" spans="1:48"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3"/>
      <c r="AT164" s="3"/>
      <c r="AU164" s="3"/>
      <c r="AV164" s="3"/>
    </row>
    <row r="165" spans="1:48"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3"/>
      <c r="AT165" s="3"/>
      <c r="AU165" s="3"/>
      <c r="AV165" s="3"/>
    </row>
    <row r="166" spans="1:48"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3"/>
      <c r="AT166" s="3"/>
      <c r="AU166" s="3"/>
      <c r="AV166" s="3"/>
    </row>
    <row r="167" spans="1:48"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3"/>
      <c r="AT167" s="3"/>
      <c r="AU167" s="3"/>
      <c r="AV167" s="3"/>
    </row>
    <row r="168" spans="1:48"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3"/>
      <c r="AT168" s="3"/>
      <c r="AU168" s="3"/>
      <c r="AV168" s="3"/>
    </row>
    <row r="169" spans="1:48"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3"/>
      <c r="AT169" s="3"/>
      <c r="AU169" s="3"/>
      <c r="AV169" s="3"/>
    </row>
    <row r="170" spans="1:48"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3"/>
      <c r="AT170" s="3"/>
      <c r="AU170" s="3"/>
      <c r="AV170" s="3"/>
    </row>
    <row r="171" spans="1:48"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3"/>
      <c r="AT171" s="3"/>
      <c r="AU171" s="3"/>
      <c r="AV171" s="3"/>
    </row>
    <row r="172" spans="1:48"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3"/>
      <c r="AT172" s="3"/>
      <c r="AU172" s="3"/>
      <c r="AV172" s="3"/>
    </row>
    <row r="173" spans="1:48"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3"/>
      <c r="AT173" s="3"/>
      <c r="AU173" s="3"/>
      <c r="AV173" s="3"/>
    </row>
    <row r="174" spans="1:48"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3"/>
      <c r="AT174" s="3"/>
      <c r="AU174" s="3"/>
      <c r="AV174" s="3"/>
    </row>
    <row r="175" spans="1:48"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3"/>
      <c r="AT175" s="3"/>
      <c r="AU175" s="3"/>
      <c r="AV175" s="3"/>
    </row>
    <row r="176" spans="1:48"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3"/>
      <c r="AT176" s="3"/>
      <c r="AU176" s="3"/>
      <c r="AV176" s="3"/>
    </row>
    <row r="177" spans="1:48"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3"/>
      <c r="AT177" s="3"/>
      <c r="AU177" s="3"/>
      <c r="AV177" s="3"/>
    </row>
    <row r="178" spans="1:48"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3"/>
      <c r="AT178" s="3"/>
      <c r="AU178" s="3"/>
      <c r="AV178" s="3"/>
    </row>
    <row r="179" spans="1:48"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3"/>
      <c r="AT179" s="3"/>
      <c r="AU179" s="3"/>
      <c r="AV179" s="3"/>
    </row>
    <row r="180" spans="1:48"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3"/>
      <c r="AT180" s="3"/>
      <c r="AU180" s="3"/>
      <c r="AV180" s="3"/>
    </row>
    <row r="181" spans="1:48"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3"/>
      <c r="AT181" s="3"/>
      <c r="AU181" s="3"/>
      <c r="AV181" s="3"/>
    </row>
    <row r="182" spans="1:48"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3"/>
      <c r="AT182" s="3"/>
      <c r="AU182" s="3"/>
      <c r="AV182" s="3"/>
    </row>
    <row r="183" spans="1:48"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3"/>
      <c r="AT183" s="3"/>
      <c r="AU183" s="3"/>
      <c r="AV183" s="3"/>
    </row>
    <row r="184" spans="1:48"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3"/>
      <c r="AT184" s="3"/>
      <c r="AU184" s="3"/>
      <c r="AV184" s="3"/>
    </row>
    <row r="185" spans="1:48"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3"/>
      <c r="AT185" s="3"/>
      <c r="AU185" s="3"/>
      <c r="AV185" s="3"/>
    </row>
    <row r="186" spans="1:48"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3"/>
      <c r="AT186" s="3"/>
      <c r="AU186" s="3"/>
      <c r="AV186" s="3"/>
    </row>
    <row r="187" spans="1:48"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3"/>
      <c r="AT187" s="3"/>
      <c r="AU187" s="3"/>
      <c r="AV187" s="3"/>
    </row>
    <row r="188" spans="1:48"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3"/>
      <c r="AT188" s="3"/>
      <c r="AU188" s="3"/>
      <c r="AV188" s="3"/>
    </row>
    <row r="189" spans="1:48"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3"/>
      <c r="AT189" s="3"/>
      <c r="AU189" s="3"/>
      <c r="AV189" s="3"/>
    </row>
    <row r="190" spans="1:48"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3"/>
      <c r="AT190" s="3"/>
      <c r="AU190" s="3"/>
      <c r="AV190" s="3"/>
    </row>
    <row r="191" spans="1:48"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3"/>
      <c r="AT191" s="3"/>
      <c r="AU191" s="3"/>
      <c r="AV191" s="3"/>
    </row>
    <row r="192" spans="1:48"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c r="AS192" s="3"/>
      <c r="AT192" s="3"/>
      <c r="AU192" s="3"/>
      <c r="AV192" s="3"/>
    </row>
    <row r="193" spans="1:48"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c r="AS193" s="3"/>
      <c r="AT193" s="3"/>
      <c r="AU193" s="3"/>
      <c r="AV193" s="3"/>
    </row>
    <row r="194" spans="1:48"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c r="AS194" s="3"/>
      <c r="AT194" s="3"/>
      <c r="AU194" s="3"/>
      <c r="AV194" s="3"/>
    </row>
    <row r="195" spans="1:48"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c r="AS195" s="3"/>
      <c r="AT195" s="3"/>
      <c r="AU195" s="3"/>
      <c r="AV195" s="3"/>
    </row>
    <row r="196" spans="1:48"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c r="AS196" s="3"/>
      <c r="AT196" s="3"/>
      <c r="AU196" s="3"/>
      <c r="AV196" s="3"/>
    </row>
    <row r="197" spans="1:48"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c r="AS197" s="3"/>
      <c r="AT197" s="3"/>
      <c r="AU197" s="3"/>
      <c r="AV197" s="3"/>
    </row>
    <row r="198" spans="1:48"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c r="AS198" s="3"/>
      <c r="AT198" s="3"/>
      <c r="AU198" s="3"/>
      <c r="AV198" s="3"/>
    </row>
    <row r="199" spans="1:48"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c r="AS199" s="3"/>
      <c r="AT199" s="3"/>
      <c r="AU199" s="3"/>
      <c r="AV199" s="3"/>
    </row>
    <row r="200" spans="1:48"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c r="AS200" s="3"/>
      <c r="AT200" s="3"/>
      <c r="AU200" s="3"/>
      <c r="AV200" s="3"/>
    </row>
    <row r="201" spans="1:48"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c r="AS201" s="3"/>
      <c r="AT201" s="3"/>
      <c r="AU201" s="3"/>
      <c r="AV201" s="3"/>
    </row>
    <row r="202" spans="1:48"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c r="AS202" s="3"/>
      <c r="AT202" s="3"/>
      <c r="AU202" s="3"/>
      <c r="AV202" s="3"/>
    </row>
    <row r="203" spans="1:48"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c r="AS203" s="3"/>
      <c r="AT203" s="3"/>
      <c r="AU203" s="3"/>
      <c r="AV203" s="3"/>
    </row>
    <row r="204" spans="1:48"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c r="AS204" s="3"/>
      <c r="AT204" s="3"/>
      <c r="AU204" s="3"/>
      <c r="AV204" s="3"/>
    </row>
    <row r="205" spans="1:48"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c r="AS205" s="3"/>
      <c r="AT205" s="3"/>
      <c r="AU205" s="3"/>
      <c r="AV205" s="3"/>
    </row>
    <row r="206" spans="1:48"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c r="AS206" s="3"/>
      <c r="AT206" s="3"/>
      <c r="AU206" s="3"/>
      <c r="AV206" s="3"/>
    </row>
    <row r="207" spans="1:48"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c r="AS207" s="3"/>
      <c r="AT207" s="3"/>
      <c r="AU207" s="3"/>
      <c r="AV207" s="3"/>
    </row>
    <row r="208" spans="1:48"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c r="AS208" s="3"/>
      <c r="AT208" s="3"/>
      <c r="AU208" s="3"/>
      <c r="AV208" s="3"/>
    </row>
    <row r="209" spans="1:48"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c r="AS209" s="3"/>
      <c r="AT209" s="3"/>
      <c r="AU209" s="3"/>
      <c r="AV209" s="3"/>
    </row>
    <row r="210" spans="1:48"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c r="AS210" s="3"/>
      <c r="AT210" s="3"/>
      <c r="AU210" s="3"/>
      <c r="AV210" s="3"/>
    </row>
    <row r="211" spans="1:48"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c r="AS211" s="3"/>
      <c r="AT211" s="3"/>
      <c r="AU211" s="3"/>
      <c r="AV211" s="3"/>
    </row>
    <row r="212" spans="1:48"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c r="AS212" s="3"/>
      <c r="AT212" s="3"/>
      <c r="AU212" s="3"/>
      <c r="AV212" s="3"/>
    </row>
    <row r="213" spans="1:48"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c r="AS213" s="3"/>
      <c r="AT213" s="3"/>
      <c r="AU213" s="3"/>
      <c r="AV213" s="3"/>
    </row>
    <row r="214" spans="1:48"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c r="AS214" s="3"/>
      <c r="AT214" s="3"/>
      <c r="AU214" s="3"/>
      <c r="AV214" s="3"/>
    </row>
    <row r="215" spans="1:48"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c r="AS215" s="3"/>
      <c r="AT215" s="3"/>
      <c r="AU215" s="3"/>
      <c r="AV215" s="3"/>
    </row>
    <row r="216" spans="1:48"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c r="AS216" s="3"/>
      <c r="AT216" s="3"/>
      <c r="AU216" s="3"/>
      <c r="AV216" s="3"/>
    </row>
    <row r="217" spans="1:48"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c r="AS217" s="3"/>
      <c r="AT217" s="3"/>
      <c r="AU217" s="3"/>
      <c r="AV217" s="3"/>
    </row>
    <row r="218" spans="1:48"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c r="AS218" s="3"/>
      <c r="AT218" s="3"/>
      <c r="AU218" s="3"/>
      <c r="AV218" s="3"/>
    </row>
    <row r="219" spans="1:48"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c r="AS219" s="3"/>
      <c r="AT219" s="3"/>
      <c r="AU219" s="3"/>
      <c r="AV219" s="3"/>
    </row>
    <row r="220" spans="1:48"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c r="AS220" s="3"/>
      <c r="AT220" s="3"/>
      <c r="AU220" s="3"/>
      <c r="AV220" s="3"/>
    </row>
    <row r="221" spans="1:48"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c r="AS221" s="3"/>
      <c r="AT221" s="3"/>
      <c r="AU221" s="3"/>
      <c r="AV221" s="3"/>
    </row>
    <row r="222" spans="1:48"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c r="AS222" s="3"/>
      <c r="AT222" s="3"/>
      <c r="AU222" s="3"/>
      <c r="AV222" s="3"/>
    </row>
    <row r="223" spans="1:48"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c r="AS223" s="3"/>
      <c r="AT223" s="3"/>
      <c r="AU223" s="3"/>
      <c r="AV223" s="3"/>
    </row>
    <row r="224" spans="1:48"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c r="AS224" s="3"/>
      <c r="AT224" s="3"/>
      <c r="AU224" s="3"/>
      <c r="AV224" s="3"/>
    </row>
    <row r="225" spans="1:48"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c r="AS225" s="3"/>
      <c r="AT225" s="3"/>
      <c r="AU225" s="3"/>
      <c r="AV225" s="3"/>
    </row>
    <row r="226" spans="1:48"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c r="AS226" s="3"/>
      <c r="AT226" s="3"/>
      <c r="AU226" s="3"/>
      <c r="AV226" s="3"/>
    </row>
    <row r="227" spans="1:48"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c r="AS227" s="3"/>
      <c r="AT227" s="3"/>
      <c r="AU227" s="3"/>
      <c r="AV227" s="3"/>
    </row>
    <row r="228" spans="1:48"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c r="AS228" s="3"/>
      <c r="AT228" s="3"/>
      <c r="AU228" s="3"/>
      <c r="AV228" s="3"/>
    </row>
    <row r="229" spans="1:48"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c r="AS229" s="3"/>
      <c r="AT229" s="3"/>
      <c r="AU229" s="3"/>
      <c r="AV229" s="3"/>
    </row>
    <row r="230" spans="1:48"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c r="AS230" s="3"/>
      <c r="AT230" s="3"/>
      <c r="AU230" s="3"/>
      <c r="AV230" s="3"/>
    </row>
    <row r="231" spans="1:48"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c r="AS231" s="3"/>
      <c r="AT231" s="3"/>
      <c r="AU231" s="3"/>
      <c r="AV231" s="3"/>
    </row>
    <row r="232" spans="1:48"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c r="AS232" s="3"/>
      <c r="AT232" s="3"/>
      <c r="AU232" s="3"/>
      <c r="AV232" s="3"/>
    </row>
    <row r="233" spans="1:48"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c r="AS233" s="3"/>
      <c r="AT233" s="3"/>
      <c r="AU233" s="3"/>
      <c r="AV233" s="3"/>
    </row>
    <row r="234" spans="1:48"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c r="AS234" s="3"/>
      <c r="AT234" s="3"/>
      <c r="AU234" s="3"/>
      <c r="AV234" s="3"/>
    </row>
    <row r="235" spans="1:48"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c r="AS235" s="3"/>
      <c r="AT235" s="3"/>
      <c r="AU235" s="3"/>
      <c r="AV235" s="3"/>
    </row>
    <row r="236" spans="1:48"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c r="AS236" s="3"/>
      <c r="AT236" s="3"/>
      <c r="AU236" s="3"/>
      <c r="AV236" s="3"/>
    </row>
    <row r="237" spans="1:48"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c r="AS237" s="3"/>
      <c r="AT237" s="3"/>
      <c r="AU237" s="3"/>
      <c r="AV237" s="3"/>
    </row>
    <row r="238" spans="1:48"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c r="AS238" s="3"/>
      <c r="AT238" s="3"/>
      <c r="AU238" s="3"/>
      <c r="AV238" s="3"/>
    </row>
    <row r="239" spans="1:48"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c r="AS239" s="3"/>
      <c r="AT239" s="3"/>
      <c r="AU239" s="3"/>
      <c r="AV239" s="3"/>
    </row>
    <row r="240" spans="1:48"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c r="AS240" s="3"/>
      <c r="AT240" s="3"/>
      <c r="AU240" s="3"/>
      <c r="AV240" s="3"/>
    </row>
    <row r="241" spans="1:48"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c r="AS241" s="3"/>
      <c r="AT241" s="3"/>
      <c r="AU241" s="3"/>
      <c r="AV241" s="3"/>
    </row>
    <row r="242" spans="1:48"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c r="AS242" s="3"/>
      <c r="AT242" s="3"/>
      <c r="AU242" s="3"/>
      <c r="AV242" s="3"/>
    </row>
    <row r="243" spans="1:48"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c r="AS243" s="3"/>
      <c r="AT243" s="3"/>
      <c r="AU243" s="3"/>
      <c r="AV243" s="3"/>
    </row>
    <row r="244" spans="1:48"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c r="AS244" s="3"/>
      <c r="AT244" s="3"/>
      <c r="AU244" s="3"/>
      <c r="AV244" s="3"/>
    </row>
    <row r="245" spans="1:48"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c r="AS245" s="3"/>
      <c r="AT245" s="3"/>
      <c r="AU245" s="3"/>
      <c r="AV245" s="3"/>
    </row>
    <row r="246" spans="1:48"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c r="AS246" s="3"/>
      <c r="AT246" s="3"/>
      <c r="AU246" s="3"/>
      <c r="AV246" s="3"/>
    </row>
    <row r="247" spans="1:48"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c r="AS247" s="3"/>
      <c r="AT247" s="3"/>
      <c r="AU247" s="3"/>
      <c r="AV247" s="3"/>
    </row>
    <row r="248" spans="1:48"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c r="AS248" s="3"/>
      <c r="AT248" s="3"/>
      <c r="AU248" s="3"/>
      <c r="AV248" s="3"/>
    </row>
    <row r="249" spans="1:48"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c r="AS249" s="3"/>
      <c r="AT249" s="3"/>
      <c r="AU249" s="3"/>
      <c r="AV249" s="3"/>
    </row>
    <row r="250" spans="1:48"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c r="AS250" s="3"/>
      <c r="AT250" s="3"/>
      <c r="AU250" s="3"/>
      <c r="AV250" s="3"/>
    </row>
    <row r="251" spans="1:48"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c r="AS251" s="3"/>
      <c r="AT251" s="3"/>
      <c r="AU251" s="3"/>
      <c r="AV251" s="3"/>
    </row>
    <row r="252" spans="1:48"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c r="AS252" s="3"/>
      <c r="AT252" s="3"/>
      <c r="AU252" s="3"/>
      <c r="AV252" s="3"/>
    </row>
    <row r="253" spans="1:48"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c r="AS253" s="3"/>
      <c r="AT253" s="3"/>
      <c r="AU253" s="3"/>
      <c r="AV253" s="3"/>
    </row>
    <row r="254" spans="1:48"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c r="AS254" s="3"/>
      <c r="AT254" s="3"/>
      <c r="AU254" s="3"/>
      <c r="AV254" s="3"/>
    </row>
    <row r="255" spans="1:48"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c r="AS255" s="3"/>
      <c r="AT255" s="3"/>
      <c r="AU255" s="3"/>
      <c r="AV255" s="3"/>
    </row>
    <row r="256" spans="1:48"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c r="AS256" s="3"/>
      <c r="AT256" s="3"/>
      <c r="AU256" s="3"/>
      <c r="AV256" s="3"/>
    </row>
    <row r="257" spans="1:48"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c r="AS257" s="3"/>
      <c r="AT257" s="3"/>
      <c r="AU257" s="3"/>
      <c r="AV257" s="3"/>
    </row>
    <row r="258" spans="1:48"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c r="AS258" s="3"/>
      <c r="AT258" s="3"/>
      <c r="AU258" s="3"/>
      <c r="AV258" s="3"/>
    </row>
    <row r="259" spans="1:48"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c r="AS259" s="3"/>
      <c r="AT259" s="3"/>
      <c r="AU259" s="3"/>
      <c r="AV259" s="3"/>
    </row>
    <row r="260" spans="1:48"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c r="AS260" s="3"/>
      <c r="AT260" s="3"/>
      <c r="AU260" s="3"/>
      <c r="AV260" s="3"/>
    </row>
    <row r="261" spans="1:48"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c r="AS261" s="3"/>
      <c r="AT261" s="3"/>
      <c r="AU261" s="3"/>
      <c r="AV261" s="3"/>
    </row>
    <row r="262" spans="1:48"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c r="AS262" s="3"/>
      <c r="AT262" s="3"/>
      <c r="AU262" s="3"/>
      <c r="AV262" s="3"/>
    </row>
    <row r="263" spans="1:48"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c r="AS263" s="3"/>
      <c r="AT263" s="3"/>
      <c r="AU263" s="3"/>
      <c r="AV263" s="3"/>
    </row>
    <row r="264" spans="1:48"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c r="AS264" s="3"/>
      <c r="AT264" s="3"/>
      <c r="AU264" s="3"/>
      <c r="AV264" s="3"/>
    </row>
    <row r="265" spans="1:48"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c r="AS265" s="3"/>
      <c r="AT265" s="3"/>
      <c r="AU265" s="3"/>
      <c r="AV265" s="3"/>
    </row>
    <row r="266" spans="1:48"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c r="AS266" s="3"/>
      <c r="AT266" s="3"/>
      <c r="AU266" s="3"/>
      <c r="AV266" s="3"/>
    </row>
    <row r="267" spans="1:48"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c r="AS267" s="3"/>
      <c r="AT267" s="3"/>
      <c r="AU267" s="3"/>
      <c r="AV267" s="3"/>
    </row>
    <row r="268" spans="1:48"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c r="AS268" s="3"/>
      <c r="AT268" s="3"/>
      <c r="AU268" s="3"/>
      <c r="AV268" s="3"/>
    </row>
    <row r="269" spans="1:48"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c r="AS269" s="3"/>
      <c r="AT269" s="3"/>
      <c r="AU269" s="3"/>
      <c r="AV269" s="3"/>
    </row>
    <row r="270" spans="1:48"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c r="AS270" s="3"/>
      <c r="AT270" s="3"/>
      <c r="AU270" s="3"/>
      <c r="AV270" s="3"/>
    </row>
    <row r="271" spans="1:48"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c r="AS271" s="3"/>
      <c r="AT271" s="3"/>
      <c r="AU271" s="3"/>
      <c r="AV271" s="3"/>
    </row>
    <row r="272" spans="1:48"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c r="AS272" s="3"/>
      <c r="AT272" s="3"/>
      <c r="AU272" s="3"/>
      <c r="AV272" s="3"/>
    </row>
    <row r="273" spans="1:48"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c r="AS273" s="3"/>
      <c r="AT273" s="3"/>
      <c r="AU273" s="3"/>
      <c r="AV273" s="3"/>
    </row>
    <row r="274" spans="1:48"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c r="AS274" s="3"/>
      <c r="AT274" s="3"/>
      <c r="AU274" s="3"/>
      <c r="AV274" s="3"/>
    </row>
    <row r="275" spans="1:48"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c r="AS275" s="3"/>
      <c r="AT275" s="3"/>
      <c r="AU275" s="3"/>
      <c r="AV275" s="3"/>
    </row>
    <row r="276" spans="1:48"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c r="AS276" s="3"/>
      <c r="AT276" s="3"/>
      <c r="AU276" s="3"/>
      <c r="AV276" s="3"/>
    </row>
    <row r="277" spans="1:48"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c r="AS277" s="3"/>
      <c r="AT277" s="3"/>
      <c r="AU277" s="3"/>
      <c r="AV277" s="3"/>
    </row>
    <row r="278" spans="1:48"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c r="AS278" s="3"/>
      <c r="AT278" s="3"/>
      <c r="AU278" s="3"/>
      <c r="AV278" s="3"/>
    </row>
    <row r="279" spans="1:48"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c r="AS279" s="3"/>
      <c r="AT279" s="3"/>
      <c r="AU279" s="3"/>
      <c r="AV279" s="3"/>
    </row>
    <row r="280" spans="1:48"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c r="AS280" s="3"/>
      <c r="AT280" s="3"/>
      <c r="AU280" s="3"/>
      <c r="AV280" s="3"/>
    </row>
    <row r="281" spans="1:48"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c r="AS281" s="3"/>
      <c r="AT281" s="3"/>
      <c r="AU281" s="3"/>
      <c r="AV281" s="3"/>
    </row>
    <row r="282" spans="1:48"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c r="AS282" s="3"/>
      <c r="AT282" s="3"/>
      <c r="AU282" s="3"/>
      <c r="AV282" s="3"/>
    </row>
    <row r="283" spans="1:48"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c r="AS283" s="3"/>
      <c r="AT283" s="3"/>
      <c r="AU283" s="3"/>
      <c r="AV283" s="3"/>
    </row>
    <row r="284" spans="1:48"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1:48"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1:48"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1:48"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1:4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1:48"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1:48"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1:48"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1:48"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1:48"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1:48"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1:48"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1:48"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1:48"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1:4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1:48"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1:48"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1:48"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1:48"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1:48"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1:48"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1:48"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1:48"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1:48"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1:4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1:48"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1:48"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1:48"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1:48"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1:48"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1:48"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1:48"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1:48"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1:48"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1:4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1:48"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1:48"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1:48"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1:48"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1:48"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1:48"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1:48"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1:48"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1:48"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1:4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1:48"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1:48"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1:48"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1:48"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1:48"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1:48"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1:48"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1:48"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1:48"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1:4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1:48"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1:48"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1:48"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1:48"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1:48"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1:48"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1:48"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1:48"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1:48"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1: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1:48"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1:48"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1:48"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1:48"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1:48"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1:48"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1:48"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1:48"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1:48"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1:4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1:48"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1:48"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1:48"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1:48"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1:48"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1:48"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1:48"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1:48"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1:48"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1:4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1:48"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1:48"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1:48"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1:48"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1:48"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1:48"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1:48"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1:48"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1:48"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1:4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1:48"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1:48"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1:48"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spans="1:48"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spans="1:48"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spans="1:48"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spans="1:48"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spans="1:48"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spans="1:48"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spans="1:4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spans="1:48"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spans="1:48"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spans="1:48"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spans="1:48"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spans="1:48"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spans="1:48"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spans="1:48"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spans="1:48"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spans="1:48"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spans="1:4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spans="1:48"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spans="1:48"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spans="1:48"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spans="1:48"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spans="1:48"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spans="1:48"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spans="1:48"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spans="1:48"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spans="1:48"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spans="1:4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spans="1:48"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spans="1:48"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spans="1:48"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spans="1:48"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spans="1:48"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spans="1:48"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spans="1:48"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spans="1:48"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spans="1:48"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spans="1:4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spans="1:48"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spans="1:48"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spans="1:48"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spans="1:48"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spans="1:48"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spans="1:48"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spans="1:48"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spans="1:48"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spans="1:48"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spans="1:4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spans="1:48"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spans="1:48"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spans="1:48"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spans="1:48"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spans="1:48"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spans="1:48"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spans="1:48"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spans="1:48"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spans="1:48"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spans="1:4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spans="1:48"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spans="1:48"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spans="1:48"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spans="1:48"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spans="1:48"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spans="1:48"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spans="1:48"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spans="1:48"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spans="1:48"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spans="1: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spans="1:48"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spans="1:48"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spans="1:48"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spans="1:48"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spans="1:48"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spans="1:48"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spans="1:48"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spans="1:48"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spans="1:48"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spans="1:4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spans="1:48"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spans="1:48"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spans="1:48"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spans="1:48"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spans="1:48"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spans="1:48"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spans="1:48"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spans="1:48"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spans="1:48"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spans="1:4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spans="1:48"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spans="1:48"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spans="1:48"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spans="1:48"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spans="1:48"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spans="1:48"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spans="1:48"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spans="1:48"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spans="1:48"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spans="1:4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spans="1:48"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spans="1:48"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spans="1:48"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spans="1:48"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spans="1:48"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spans="1:48"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spans="1:48"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spans="1:48"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spans="1:48"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spans="1:4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spans="1:48"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spans="1:48"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spans="1:48"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spans="1:48"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spans="1:48"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spans="1:48"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spans="1:48"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spans="1:48"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spans="1:48"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spans="1:4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spans="1:48"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spans="1:48"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spans="1:48"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spans="1:48"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spans="1:48"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spans="1:48"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spans="1:48"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spans="1:48"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spans="1:48"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spans="1:4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spans="1:48"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spans="1:48"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spans="1:48"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spans="1:48"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spans="1:48"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spans="1:48"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spans="1:48"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spans="1:48"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spans="1:48"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spans="1:4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spans="1:48"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spans="1:48"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spans="1:48"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spans="1:48"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spans="1:48"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spans="1:48"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spans="1:48"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spans="1:48"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spans="1:48"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spans="1:4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spans="1:48"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spans="1:48"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spans="1:48"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spans="1:48"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spans="1:48"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spans="1:48"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spans="1:48"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spans="1:48"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spans="1:48"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spans="1:4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spans="1:48"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spans="1:48"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spans="1:48"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spans="1:48"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spans="1:48"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spans="1:48"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spans="1:48"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spans="1:48"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spans="1:48"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spans="1: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spans="1:48"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spans="1:48"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spans="1:48"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spans="1:48"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spans="1:48"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spans="1:48"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spans="1:48"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spans="1:48"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spans="1:48"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spans="1:4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spans="1:48"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spans="1:48"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spans="1:48"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spans="1:48"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spans="1:48"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spans="1:48"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spans="1:48"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spans="1:48"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spans="1:48"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spans="1:4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spans="1:48"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spans="1:48"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spans="1:48"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spans="1:48"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spans="1:48"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spans="1:48"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spans="1:48"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spans="1:48"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spans="1:48"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spans="1:4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spans="1:48"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spans="1:48"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spans="1:48"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spans="1:48"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spans="1:48"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spans="1:48"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spans="1:48"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spans="1:48"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spans="1:48"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spans="1:4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spans="1:48"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spans="1:48"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spans="1:48"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spans="1:48"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spans="1:48"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spans="1:48"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spans="1:48"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spans="1:48"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spans="1:48"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spans="1:4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spans="1:48"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spans="1:48"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spans="1:48"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spans="1:48"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spans="1:48"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spans="1:48"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spans="1:48"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spans="1:48"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spans="1:48"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spans="1:4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spans="1:48"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spans="1:48"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spans="1:48"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spans="1:48"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spans="1:48"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spans="1:48"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spans="1:48"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spans="1:48"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spans="1:48"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spans="1:4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spans="1:48"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spans="1:48"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spans="1:48"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spans="1:48"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spans="1:48"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spans="1:48"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spans="1:48"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spans="1:48"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spans="1:48"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spans="1:4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spans="1:48"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spans="1:48"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spans="1:48"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spans="1:48"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spans="1:48"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spans="1:48"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spans="1:48"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spans="1:48"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spans="1:48"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spans="1:4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spans="1:48"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spans="1:48"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spans="1:48"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spans="1:48"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spans="1:48"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spans="1:48"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spans="1:48"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spans="1:48"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spans="1:48"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spans="1: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spans="1:48"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spans="1:48"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spans="1:48"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spans="1:48"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spans="1:48"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spans="1:48"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spans="1:48"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spans="1:48"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spans="1:48"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spans="1:4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spans="1:48"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spans="1:48"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spans="1:48"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spans="1:48"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spans="1:48"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spans="1:48"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spans="1:48"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spans="1:48"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spans="1:48"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spans="1:4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spans="1:48"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spans="1:48"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spans="1:48"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spans="1:48"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spans="1:48"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spans="1:48"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spans="1:48"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spans="1:48"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spans="1:48"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spans="1:4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spans="1:48"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spans="1:48"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spans="1:48"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spans="1:48"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spans="1:48"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spans="1:48"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spans="1:48"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spans="1:48"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spans="1:48"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spans="1:4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spans="1:48"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spans="1:48"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spans="1:48"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spans="1:48"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spans="1:48"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spans="1:48"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spans="1:48"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spans="1:48"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spans="1:48"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spans="1:4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spans="1:48"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spans="1:48"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spans="1:48"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spans="1:48"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spans="1:48"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spans="1:48"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spans="1:48"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spans="1:48"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spans="1:48"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spans="1:4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spans="1:48"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spans="1:48"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spans="1:48"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spans="1:48"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spans="1:48"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spans="1:48"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spans="1:48"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spans="1:48"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spans="1:48"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spans="1:4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spans="1:48"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spans="1:48"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spans="1:48"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spans="1:48"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spans="1:48"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spans="1:48"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spans="1:48"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spans="1:48"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spans="1:48"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row>
    <row r="728" spans="1:4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row>
    <row r="729" spans="1:48"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row>
    <row r="730" spans="1:48"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row>
    <row r="731" spans="1:48"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row>
    <row r="732" spans="1:48"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row>
    <row r="733" spans="1:48"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row>
    <row r="734" spans="1:48"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row>
    <row r="735" spans="1:48"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row>
    <row r="736" spans="1:48"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row>
    <row r="737" spans="1:48"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row>
    <row r="738" spans="1:4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row>
    <row r="739" spans="1:48"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row>
    <row r="740" spans="1:48"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row>
    <row r="741" spans="1:48"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row>
    <row r="742" spans="1:48"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row>
    <row r="743" spans="1:48"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row>
    <row r="744" spans="1:48"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row>
    <row r="745" spans="1:48"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row>
    <row r="746" spans="1:48"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row>
    <row r="747" spans="1:48"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row>
    <row r="748" spans="1: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row>
    <row r="749" spans="1:48"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row>
    <row r="750" spans="1:48"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row>
    <row r="751" spans="1:48"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row>
    <row r="752" spans="1:48"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row>
    <row r="753" spans="1:48"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row>
    <row r="754" spans="1:48"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row>
    <row r="755" spans="1:48"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row>
    <row r="756" spans="1:48"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row>
    <row r="757" spans="1:48"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row>
    <row r="758" spans="1:4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row>
    <row r="759" spans="1:48"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row>
    <row r="760" spans="1:48"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row>
    <row r="761" spans="1:48"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row>
    <row r="762" spans="1:48"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row>
    <row r="763" spans="1:48"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row>
    <row r="764" spans="1:48"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row>
    <row r="765" spans="1:48"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row>
    <row r="766" spans="1:48"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row>
    <row r="767" spans="1:48"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row>
    <row r="768" spans="1:4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row>
    <row r="769" spans="1:48"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row>
    <row r="770" spans="1:48"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row>
    <row r="771" spans="1:48"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row>
    <row r="772" spans="1:48"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row>
    <row r="773" spans="1:48"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row>
    <row r="774" spans="1:48"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row>
    <row r="775" spans="1:48"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row>
    <row r="776" spans="1:48"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row>
    <row r="777" spans="1:48"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row>
    <row r="778" spans="1:4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row>
    <row r="779" spans="1:48"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row>
    <row r="780" spans="1:48"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row>
    <row r="781" spans="1:48"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row>
    <row r="782" spans="1:48"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row>
    <row r="783" spans="1:48"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row>
    <row r="784" spans="1:48"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row>
    <row r="785" spans="1:48"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row>
    <row r="786" spans="1:48"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row>
    <row r="787" spans="1:48"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row>
    <row r="788" spans="1:4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row>
    <row r="789" spans="1:48"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row>
    <row r="790" spans="1:48"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row>
    <row r="791" spans="1:48"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row>
    <row r="792" spans="1:48"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row>
    <row r="793" spans="1:48"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row>
    <row r="794" spans="1:48"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row>
    <row r="795" spans="1:48"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row>
    <row r="796" spans="1:48"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row>
    <row r="797" spans="1:48"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row>
    <row r="798" spans="1:4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row>
    <row r="799" spans="1:48"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row>
    <row r="800" spans="1:48"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row>
    <row r="801" spans="1:48"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row>
    <row r="802" spans="1:48"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row>
    <row r="803" spans="1:48"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row>
    <row r="804" spans="1:48"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row>
    <row r="805" spans="1:48"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row>
    <row r="806" spans="1:48"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row>
    <row r="807" spans="1:48"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row>
    <row r="808" spans="1:4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row>
    <row r="809" spans="1:48"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row>
    <row r="810" spans="1:48"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row>
    <row r="811" spans="1:48"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row>
    <row r="812" spans="1:48"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row>
    <row r="813" spans="1:48"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row>
    <row r="814" spans="1:48"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row>
    <row r="815" spans="1:48"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row>
    <row r="816" spans="1:48"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row>
    <row r="817" spans="1:48"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row>
    <row r="818" spans="1:4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row>
    <row r="819" spans="1:48"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row>
    <row r="820" spans="1:48"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row>
    <row r="821" spans="1:48"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row>
    <row r="822" spans="1:48"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row>
    <row r="823" spans="1:48"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row>
    <row r="824" spans="1:48"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row>
    <row r="825" spans="1:48"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row>
    <row r="826" spans="1:48"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row>
    <row r="827" spans="1:48"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row>
    <row r="828" spans="1:4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row>
    <row r="829" spans="1:48"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row>
    <row r="830" spans="1:48"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row>
    <row r="831" spans="1:48"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row>
    <row r="832" spans="1:48"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row>
    <row r="833" spans="1:48"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row>
    <row r="834" spans="1:48"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row>
    <row r="835" spans="1:48"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row>
    <row r="836" spans="1:48"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row>
    <row r="837" spans="1:48"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row>
    <row r="838" spans="1:4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row>
    <row r="839" spans="1:48"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row>
    <row r="840" spans="1:48"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row>
    <row r="841" spans="1:48"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row>
    <row r="842" spans="1:48"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row>
    <row r="843" spans="1:48"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row>
    <row r="844" spans="1:48"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row>
    <row r="845" spans="1:48"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row>
    <row r="846" spans="1:48"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row>
    <row r="847" spans="1:48"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row>
    <row r="848" spans="1: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row>
    <row r="849" spans="1:48"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row>
    <row r="850" spans="1:48"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row>
    <row r="851" spans="1:48"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row>
    <row r="852" spans="1:48"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row>
    <row r="853" spans="1:48"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row>
    <row r="854" spans="1:48"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row>
    <row r="855" spans="1:48"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row>
    <row r="856" spans="1:48"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row>
    <row r="857" spans="1:48"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row>
    <row r="858" spans="1:4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row>
    <row r="859" spans="1:48"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row>
    <row r="860" spans="1:48"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row>
    <row r="861" spans="1:48"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row>
    <row r="862" spans="1:48"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row>
    <row r="863" spans="1:48"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row>
    <row r="864" spans="1:48"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row>
    <row r="865" spans="1:48"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row>
    <row r="866" spans="1:48"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row>
    <row r="867" spans="1:48"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row>
    <row r="868" spans="1:4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row>
    <row r="869" spans="1:48"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row>
    <row r="870" spans="1:48"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row>
    <row r="871" spans="1:48"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row>
    <row r="872" spans="1:48"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row>
    <row r="873" spans="1:48"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row>
    <row r="874" spans="1:48"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row>
    <row r="875" spans="1:48"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row>
    <row r="876" spans="1:48"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row>
    <row r="877" spans="1:48"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row>
    <row r="878" spans="1:4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row>
    <row r="879" spans="1:48"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row>
    <row r="880" spans="1:48"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row>
    <row r="881" spans="1:48"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row>
    <row r="882" spans="1:48"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row>
    <row r="883" spans="1:48"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row>
    <row r="884" spans="1:48"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row>
    <row r="885" spans="1:48"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row>
    <row r="886" spans="1:48"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row>
    <row r="887" spans="1:48"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row>
    <row r="888" spans="1:4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row>
    <row r="889" spans="1:48"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row>
    <row r="890" spans="1:48"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row>
    <row r="891" spans="1:48"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row>
    <row r="892" spans="1:48"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row>
    <row r="893" spans="1:48"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row>
    <row r="894" spans="1:48"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row>
    <row r="895" spans="1:48"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row>
    <row r="896" spans="1:48"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row>
    <row r="897" spans="1:48"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row>
    <row r="898" spans="1:4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row>
    <row r="899" spans="1:48"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row>
    <row r="900" spans="1:48"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row>
    <row r="901" spans="1:48"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row>
    <row r="902" spans="1:48"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row>
    <row r="903" spans="1:48"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row>
    <row r="904" spans="1:48"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row>
    <row r="905" spans="1:48"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row>
    <row r="906" spans="1:48"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row>
    <row r="907" spans="1:48"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row>
    <row r="908" spans="1:4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row>
    <row r="909" spans="1:48"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row>
    <row r="910" spans="1:48"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row>
    <row r="911" spans="1:48"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row>
    <row r="912" spans="1:48"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row>
    <row r="913" spans="1:48"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row>
    <row r="914" spans="1:48"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row>
    <row r="915" spans="1:48"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row>
    <row r="916" spans="1:48"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row>
    <row r="917" spans="1:48"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row>
    <row r="918" spans="1:4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row>
    <row r="919" spans="1:48"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row>
    <row r="920" spans="1:48"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row>
    <row r="921" spans="1:48"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row>
    <row r="922" spans="1:48"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row>
    <row r="923" spans="1:48"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row>
    <row r="924" spans="1:48"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row>
    <row r="925" spans="1:48"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row>
    <row r="926" spans="1:48"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row>
    <row r="927" spans="1:48"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row>
    <row r="928" spans="1:4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row>
    <row r="929" spans="1:48"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row>
    <row r="930" spans="1:48"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row>
    <row r="931" spans="1:48"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row>
    <row r="932" spans="1:48"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row>
    <row r="933" spans="1:48"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row>
    <row r="934" spans="1:48"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row>
    <row r="935" spans="1:48"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row>
    <row r="936" spans="1:48"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row>
    <row r="937" spans="1:48"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row>
    <row r="938" spans="1:4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row>
    <row r="939" spans="1:48"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row>
    <row r="940" spans="1:48"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row>
    <row r="941" spans="1:48"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row>
    <row r="942" spans="1:48"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row>
    <row r="943" spans="1:48"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row>
    <row r="944" spans="1:48"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row>
    <row r="945" spans="1:48"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row>
    <row r="946" spans="1:48"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row>
    <row r="947" spans="1:48"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row>
    <row r="948" spans="1: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row>
    <row r="949" spans="1:48"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row>
    <row r="950" spans="1:48"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row>
    <row r="951" spans="1:48"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row>
    <row r="952" spans="1:48"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row>
    <row r="953" spans="1:48"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row>
    <row r="954" spans="1:48"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row>
    <row r="955" spans="1:48"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row>
    <row r="956" spans="1:48"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row>
    <row r="957" spans="1:48"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row>
    <row r="958" spans="1:4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row>
    <row r="959" spans="1:48"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row>
    <row r="960" spans="1:48"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row>
    <row r="961" spans="1:48"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row>
    <row r="962" spans="1:48"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row>
    <row r="963" spans="1:48"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row>
    <row r="964" spans="1:48"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row>
    <row r="965" spans="1:48"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row>
    <row r="966" spans="1:48"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row>
    <row r="967" spans="1:48"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row>
    <row r="968" spans="1:4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row>
    <row r="969" spans="1:48"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row>
    <row r="970" spans="1:48"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row>
    <row r="971" spans="1:48"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row>
    <row r="972" spans="1:48"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row>
    <row r="973" spans="1:48"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row>
    <row r="974" spans="1:48"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row>
    <row r="975" spans="1:48"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row>
    <row r="976" spans="1:48"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row>
    <row r="977" spans="1:48"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row>
    <row r="978" spans="1:4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row>
    <row r="979" spans="1:48"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row>
    <row r="980" spans="1:48"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row>
    <row r="981" spans="1:48"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row>
    <row r="982" spans="1:48"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row>
    <row r="983" spans="1:48"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row>
    <row r="984" spans="1:48"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row>
    <row r="985" spans="1:48"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row>
    <row r="986" spans="1:48"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row>
    <row r="987" spans="1:48"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row>
    <row r="988" spans="1:4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row>
    <row r="989" spans="1:48"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row>
    <row r="990" spans="1:48"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row>
    <row r="991" spans="1:48"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row>
    <row r="992" spans="1:48"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row>
    <row r="993" spans="1:48"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row>
    <row r="994" spans="1:48"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row>
    <row r="995" spans="1:48"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row>
    <row r="996" spans="1:48"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row>
    <row r="997" spans="1:48"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row>
    <row r="998" spans="1:4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row>
    <row r="999" spans="1:48"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row>
    <row r="1000" spans="1:48"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E00-000000000000}">
      <formula1>"TOU,non-TOU"</formula1>
    </dataValidation>
    <dataValidation type="list" allowBlank="1" showErrorMessage="1" sqref="E15:E28 E30:E38 E40:E41 E43:E51 E57 E63" xr:uid="{00000000-0002-0000-1E00-000001000000}">
      <formula1>#REF!</formula1>
    </dataValidation>
    <dataValidation type="list" allowBlank="1" showInputMessage="1" showErrorMessage="1" prompt="Select Charge Unit - monthly, per kWh, per kW" sqref="D15:D28 D30:D38 D40:D41 D43:D51 D57 D63" xr:uid="{00000000-0002-0000-1E00-000002000000}">
      <formula1>"Monthly,per kWh,per kW"</formula1>
    </dataValidation>
  </dataValidations>
  <pageMargins left="0.74803149606299213" right="0.74803149606299213" top="0.98425196850393704" bottom="0.98425196850393704"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2"/>
      <c r="B1" s="52"/>
      <c r="C1" s="554"/>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8" ht="18.75" customHeight="1">
      <c r="A2" s="52"/>
      <c r="B2" s="52"/>
      <c r="C2" s="555"/>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8" ht="18.75" customHeight="1">
      <c r="A3" s="52"/>
      <c r="B3" s="52"/>
      <c r="C3" s="555"/>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8" ht="7.5" customHeight="1">
      <c r="A4" s="52"/>
      <c r="B4" s="52"/>
      <c r="C4" s="554"/>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8" ht="7.5" customHeight="1">
      <c r="A5" s="52"/>
      <c r="B5" s="52"/>
      <c r="C5" s="554"/>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8" ht="12.75" customHeight="1">
      <c r="A6" s="52"/>
      <c r="B6" s="320" t="s">
        <v>298</v>
      </c>
      <c r="C6" s="554"/>
      <c r="D6" s="504" t="s">
        <v>225</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row>
    <row r="7" spans="1:48" ht="7.5" customHeight="1">
      <c r="A7" s="52"/>
      <c r="B7" s="382"/>
      <c r="C7" s="554"/>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c r="AV7" s="3"/>
    </row>
    <row r="8" spans="1:48" ht="12.75" customHeight="1">
      <c r="A8" s="52"/>
      <c r="B8" s="320" t="s">
        <v>299</v>
      </c>
      <c r="C8" s="554"/>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8" ht="12.75" customHeight="1">
      <c r="A9" s="52"/>
      <c r="B9" s="382"/>
      <c r="C9" s="554"/>
      <c r="D9" s="307" t="s">
        <v>301</v>
      </c>
      <c r="E9" s="307"/>
      <c r="F9" s="385">
        <v>1277500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8" ht="12.75" customHeight="1">
      <c r="A10" s="52"/>
      <c r="B10" s="52"/>
      <c r="C10" s="554"/>
      <c r="D10" s="52"/>
      <c r="E10" s="52"/>
      <c r="F10" s="385">
        <v>2500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8" ht="12.75" customHeight="1">
      <c r="A11" s="52"/>
      <c r="B11" s="52"/>
      <c r="C11" s="554"/>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8"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8"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8"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8" ht="12.75" customHeight="1">
      <c r="A15" s="52"/>
      <c r="B15" s="321" t="s">
        <v>221</v>
      </c>
      <c r="C15" s="394" t="str">
        <f t="shared" ref="C15:C28" si="0">D$6&amp;"."&amp;B15</f>
        <v>General Service 1,500 to 4,999 KW.Monthly Service Charge</v>
      </c>
      <c r="D15" s="395" t="s">
        <v>310</v>
      </c>
      <c r="E15" s="321"/>
      <c r="F15" s="396">
        <f>IFERROR(VLOOKUP($C15,'Proposed Rates'!$B:$J,F$11,FALSE),0)</f>
        <v>4126.75</v>
      </c>
      <c r="G15" s="414">
        <f t="shared" ref="G15:G28" si="1">IF($D15="Monthly",1,IF($D15="per KW",$F$10,IF($D15="per kWh",$F$9,0)))</f>
        <v>1</v>
      </c>
      <c r="H15" s="399">
        <f t="shared" ref="H15:H28" si="2">G15*F15</f>
        <v>4126.75</v>
      </c>
      <c r="I15" s="132"/>
      <c r="J15" s="396">
        <f>IFERROR(VLOOKUP($C15,'Proposed Rates'!$B:$J,J$11,FALSE),0)</f>
        <v>4126.75</v>
      </c>
      <c r="K15" s="414">
        <f t="shared" ref="K15:K28" si="3">IF($D15="Monthly",1,IF($D15="per KW",$F$10,IF($D15="per kWh",$F$9,0)))</f>
        <v>1</v>
      </c>
      <c r="L15" s="399">
        <f t="shared" ref="L15:L28" si="4">K15*J15</f>
        <v>4126.75</v>
      </c>
      <c r="M15" s="132"/>
      <c r="N15" s="400">
        <f t="shared" ref="N15:N46" si="5">L15-H15</f>
        <v>0</v>
      </c>
      <c r="O15" s="401">
        <f t="shared" ref="O15:O46" si="6">IF((H15)=0,"",(N15/H15))</f>
        <v>0</v>
      </c>
      <c r="P15" s="52"/>
      <c r="Q15" s="396">
        <f>IFERROR(VLOOKUP($C15,'Proposed Rates'!$B:$J,Q$11,FALSE),0)</f>
        <v>4126.75</v>
      </c>
      <c r="R15" s="414">
        <f t="shared" ref="R15:R28" si="7">IF($D15="Monthly",1,IF($D15="per KW",$F$10,IF($D15="per kWh",$F$9,0)))</f>
        <v>1</v>
      </c>
      <c r="S15" s="399">
        <f t="shared" ref="S15:S28" si="8">R15*Q15</f>
        <v>4126.75</v>
      </c>
      <c r="T15" s="132"/>
      <c r="U15" s="400">
        <f t="shared" ref="U15:U31" si="9">S15-L15</f>
        <v>0</v>
      </c>
      <c r="V15" s="401">
        <f t="shared" ref="V15:V31" si="10">IF((L15)=0,"",(U15/L15))</f>
        <v>0</v>
      </c>
      <c r="W15" s="52"/>
      <c r="X15" s="396">
        <f>IFERROR(VLOOKUP($C15,'Proposed Rates'!$B:$J,X$11,FALSE),0)</f>
        <v>4126.75</v>
      </c>
      <c r="Y15" s="414">
        <f t="shared" ref="Y15:Y28" si="11">IF($D15="Monthly",1,IF($D15="per KW",$F$10,IF($D15="per kWh",$F$9,0)))</f>
        <v>1</v>
      </c>
      <c r="Z15" s="399">
        <f t="shared" ref="Z15:Z28" si="12">Y15*X15</f>
        <v>4126.75</v>
      </c>
      <c r="AA15" s="132"/>
      <c r="AB15" s="400">
        <f t="shared" ref="AB15:AB46" si="13">Z15-S15</f>
        <v>0</v>
      </c>
      <c r="AC15" s="401">
        <f t="shared" ref="AC15:AC46" si="14">IF((S15)=0,"",(AB15/S15))</f>
        <v>0</v>
      </c>
      <c r="AD15" s="52"/>
      <c r="AE15" s="396">
        <f>IFERROR(VLOOKUP($C15,'Proposed Rates'!$B:$J,AE$11,FALSE),0)</f>
        <v>4126.75</v>
      </c>
      <c r="AF15" s="414">
        <f t="shared" ref="AF15:AF28" si="15">IF($D15="Monthly",1,IF($D15="per KW",$F$10,IF($D15="per kWh",$F$9,0)))</f>
        <v>1</v>
      </c>
      <c r="AG15" s="399">
        <f t="shared" ref="AG15:AG28" si="16">AF15*AE15</f>
        <v>4126.75</v>
      </c>
      <c r="AH15" s="132"/>
      <c r="AI15" s="400">
        <f t="shared" ref="AI15:AI46" si="17">AG15-Z15</f>
        <v>0</v>
      </c>
      <c r="AJ15" s="401">
        <f t="shared" ref="AJ15:AJ46" si="18">IF((Z15)=0,"",(AI15/Z15))</f>
        <v>0</v>
      </c>
      <c r="AK15" s="52"/>
      <c r="AL15" s="396">
        <f>IFERROR(VLOOKUP($C15,'Proposed Rates'!$B:$J,AL$11,FALSE),0)</f>
        <v>4126.75</v>
      </c>
      <c r="AM15" s="414">
        <f t="shared" ref="AM15:AM28" si="19">IF($D15="Monthly",1,IF($D15="per KW",$F$10,IF($D15="per kWh",$F$9,0)))</f>
        <v>1</v>
      </c>
      <c r="AN15" s="399">
        <f t="shared" ref="AN15:AN28" si="20">AM15*AL15</f>
        <v>4126.75</v>
      </c>
      <c r="AO15" s="132"/>
      <c r="AP15" s="400">
        <f t="shared" ref="AP15:AP46" si="21">AN15-AG15</f>
        <v>0</v>
      </c>
      <c r="AQ15" s="401">
        <f t="shared" ref="AQ15:AQ46" si="22">IF((AG15)=0,"",(AP15/AG15))</f>
        <v>0</v>
      </c>
      <c r="AR15" s="402"/>
    </row>
    <row r="16" spans="1:48" ht="12.75" customHeight="1">
      <c r="A16" s="52"/>
      <c r="B16" s="321" t="s">
        <v>311</v>
      </c>
      <c r="C16" s="394" t="str">
        <f t="shared" si="0"/>
        <v>General Service 1,500 to 4,999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General Service 1,500 to 4,999 KW.Rate Rider Calculation for PILs</v>
      </c>
      <c r="D17" s="395" t="s">
        <v>381</v>
      </c>
      <c r="E17" s="321"/>
      <c r="F17" s="396">
        <f>IFERROR(VLOOKUP($C17,'Proposed Rates'!$B:$J,F$11,FALSE),0)</f>
        <v>0</v>
      </c>
      <c r="G17" s="414">
        <f t="shared" si="1"/>
        <v>2500</v>
      </c>
      <c r="H17" s="399">
        <f t="shared" si="2"/>
        <v>0</v>
      </c>
      <c r="I17" s="132"/>
      <c r="J17" s="396">
        <f>IFERROR(VLOOKUP($C17,'Proposed Rates'!$B:$J,J$11,FALSE),0)</f>
        <v>0</v>
      </c>
      <c r="K17" s="414">
        <f t="shared" si="3"/>
        <v>2500</v>
      </c>
      <c r="L17" s="399">
        <f t="shared" si="4"/>
        <v>0</v>
      </c>
      <c r="M17" s="132"/>
      <c r="N17" s="400">
        <f t="shared" si="5"/>
        <v>0</v>
      </c>
      <c r="O17" s="401" t="str">
        <f t="shared" si="6"/>
        <v/>
      </c>
      <c r="P17" s="52"/>
      <c r="Q17" s="396">
        <f>IFERROR(VLOOKUP($C17,'Proposed Rates'!$B:$J,Q$11,FALSE),0)</f>
        <v>0</v>
      </c>
      <c r="R17" s="414">
        <f t="shared" si="7"/>
        <v>2500</v>
      </c>
      <c r="S17" s="399">
        <f t="shared" si="8"/>
        <v>0</v>
      </c>
      <c r="T17" s="132"/>
      <c r="U17" s="400">
        <f t="shared" si="9"/>
        <v>0</v>
      </c>
      <c r="V17" s="401" t="str">
        <f t="shared" si="10"/>
        <v/>
      </c>
      <c r="W17" s="52"/>
      <c r="X17" s="396">
        <f>IFERROR(VLOOKUP($C17,'Proposed Rates'!$B:$J,X$11,FALSE),0)</f>
        <v>0</v>
      </c>
      <c r="Y17" s="414">
        <f t="shared" si="11"/>
        <v>2500</v>
      </c>
      <c r="Z17" s="399">
        <f t="shared" si="12"/>
        <v>0</v>
      </c>
      <c r="AA17" s="132"/>
      <c r="AB17" s="400">
        <f t="shared" si="13"/>
        <v>0</v>
      </c>
      <c r="AC17" s="401" t="str">
        <f t="shared" si="14"/>
        <v/>
      </c>
      <c r="AD17" s="52"/>
      <c r="AE17" s="396">
        <f>IFERROR(VLOOKUP($C17,'Proposed Rates'!$B:$J,AE$11,FALSE),0)</f>
        <v>0</v>
      </c>
      <c r="AF17" s="414">
        <f t="shared" si="15"/>
        <v>2500</v>
      </c>
      <c r="AG17" s="399">
        <f t="shared" si="16"/>
        <v>0</v>
      </c>
      <c r="AH17" s="132"/>
      <c r="AI17" s="400">
        <f t="shared" si="17"/>
        <v>0</v>
      </c>
      <c r="AJ17" s="401" t="str">
        <f t="shared" si="18"/>
        <v/>
      </c>
      <c r="AK17" s="52"/>
      <c r="AL17" s="396">
        <f>IFERROR(VLOOKUP($C17,'Proposed Rates'!$B:$J,AL$11,FALSE),0)</f>
        <v>0</v>
      </c>
      <c r="AM17" s="414">
        <f t="shared" si="19"/>
        <v>2500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General Service 1,500 to 4,999 KW.Rate Rider Calculation for Generic</v>
      </c>
      <c r="D18" s="395" t="s">
        <v>381</v>
      </c>
      <c r="E18" s="321"/>
      <c r="F18" s="396">
        <f>IFERROR(VLOOKUP($C18,'Proposed Rates'!$B:$J,F$11,FALSE),0)</f>
        <v>0</v>
      </c>
      <c r="G18" s="414">
        <f t="shared" si="1"/>
        <v>2500</v>
      </c>
      <c r="H18" s="399">
        <f t="shared" si="2"/>
        <v>0</v>
      </c>
      <c r="I18" s="132"/>
      <c r="J18" s="396">
        <f>IFERROR(VLOOKUP($C18,'Proposed Rates'!$B:$J,J$11,FALSE),0)</f>
        <v>0</v>
      </c>
      <c r="K18" s="414">
        <f t="shared" si="3"/>
        <v>2500</v>
      </c>
      <c r="L18" s="399">
        <f t="shared" si="4"/>
        <v>0</v>
      </c>
      <c r="M18" s="132"/>
      <c r="N18" s="400">
        <f t="shared" si="5"/>
        <v>0</v>
      </c>
      <c r="O18" s="401" t="str">
        <f t="shared" si="6"/>
        <v/>
      </c>
      <c r="P18" s="52"/>
      <c r="Q18" s="396">
        <f>IFERROR(VLOOKUP($C18,'Proposed Rates'!$B:$J,Q$11,FALSE),0)</f>
        <v>0</v>
      </c>
      <c r="R18" s="414">
        <f t="shared" si="7"/>
        <v>2500</v>
      </c>
      <c r="S18" s="399">
        <f t="shared" si="8"/>
        <v>0</v>
      </c>
      <c r="T18" s="132"/>
      <c r="U18" s="400">
        <f t="shared" si="9"/>
        <v>0</v>
      </c>
      <c r="V18" s="401" t="str">
        <f t="shared" si="10"/>
        <v/>
      </c>
      <c r="W18" s="52"/>
      <c r="X18" s="396">
        <f>IFERROR(VLOOKUP($C18,'Proposed Rates'!$B:$J,X$11,FALSE),0)</f>
        <v>0</v>
      </c>
      <c r="Y18" s="414">
        <f t="shared" si="11"/>
        <v>2500</v>
      </c>
      <c r="Z18" s="399">
        <f t="shared" si="12"/>
        <v>0</v>
      </c>
      <c r="AA18" s="132"/>
      <c r="AB18" s="400">
        <f t="shared" si="13"/>
        <v>0</v>
      </c>
      <c r="AC18" s="401" t="str">
        <f t="shared" si="14"/>
        <v/>
      </c>
      <c r="AD18" s="52"/>
      <c r="AE18" s="396">
        <f>IFERROR(VLOOKUP($C18,'Proposed Rates'!$B:$J,AE$11,FALSE),0)</f>
        <v>0</v>
      </c>
      <c r="AF18" s="414">
        <f t="shared" si="15"/>
        <v>2500</v>
      </c>
      <c r="AG18" s="399">
        <f t="shared" si="16"/>
        <v>0</v>
      </c>
      <c r="AH18" s="132"/>
      <c r="AI18" s="400">
        <f t="shared" si="17"/>
        <v>0</v>
      </c>
      <c r="AJ18" s="401" t="str">
        <f t="shared" si="18"/>
        <v/>
      </c>
      <c r="AK18" s="52"/>
      <c r="AL18" s="396">
        <f>IFERROR(VLOOKUP($C18,'Proposed Rates'!$B:$J,AL$11,FALSE),0)</f>
        <v>0</v>
      </c>
      <c r="AM18" s="414">
        <f t="shared" si="19"/>
        <v>2500</v>
      </c>
      <c r="AN18" s="399">
        <f t="shared" si="20"/>
        <v>0</v>
      </c>
      <c r="AO18" s="132"/>
      <c r="AP18" s="400">
        <f t="shared" si="21"/>
        <v>0</v>
      </c>
      <c r="AQ18" s="401" t="str">
        <f t="shared" si="22"/>
        <v/>
      </c>
      <c r="AR18" s="402"/>
    </row>
    <row r="19" spans="1:44" ht="12.75" customHeight="1">
      <c r="A19" s="52"/>
      <c r="B19" s="321" t="s">
        <v>59</v>
      </c>
      <c r="C19" s="394" t="str">
        <f t="shared" si="0"/>
        <v>General Service 1,500 to 4,999 KW.Distribution Volumetric Rate</v>
      </c>
      <c r="D19" s="395" t="s">
        <v>381</v>
      </c>
      <c r="E19" s="321"/>
      <c r="F19" s="396">
        <f>IFERROR(VLOOKUP($C19,'Proposed Rates'!$B:$J,F$11,FALSE),0)</f>
        <v>6.0796000000000001</v>
      </c>
      <c r="G19" s="414">
        <f t="shared" si="1"/>
        <v>2500</v>
      </c>
      <c r="H19" s="399">
        <f t="shared" si="2"/>
        <v>15199</v>
      </c>
      <c r="I19" s="132"/>
      <c r="J19" s="396">
        <f>IFERROR(VLOOKUP($C19,'Proposed Rates'!$B:$J,J$11,FALSE),0)</f>
        <v>7.6669</v>
      </c>
      <c r="K19" s="414">
        <f t="shared" si="3"/>
        <v>2500</v>
      </c>
      <c r="L19" s="399">
        <f t="shared" si="4"/>
        <v>19167.25</v>
      </c>
      <c r="M19" s="132"/>
      <c r="N19" s="400">
        <f t="shared" si="5"/>
        <v>3968.25</v>
      </c>
      <c r="O19" s="401">
        <f t="shared" si="6"/>
        <v>0.26108625567471544</v>
      </c>
      <c r="P19" s="52"/>
      <c r="Q19" s="396">
        <f>IFERROR(VLOOKUP($C19,'Proposed Rates'!$B:$J,Q$11,FALSE),0)</f>
        <v>8.1407000000000007</v>
      </c>
      <c r="R19" s="414">
        <f t="shared" si="7"/>
        <v>2500</v>
      </c>
      <c r="S19" s="399">
        <f t="shared" si="8"/>
        <v>20351.75</v>
      </c>
      <c r="T19" s="132"/>
      <c r="U19" s="400">
        <f t="shared" si="9"/>
        <v>1184.5</v>
      </c>
      <c r="V19" s="401">
        <f t="shared" si="10"/>
        <v>6.1798119187676893E-2</v>
      </c>
      <c r="W19" s="52"/>
      <c r="X19" s="396">
        <f>IFERROR(VLOOKUP($C19,'Proposed Rates'!$B:$J,X$11,FALSE),0)</f>
        <v>8.8402999999999992</v>
      </c>
      <c r="Y19" s="414">
        <f t="shared" si="11"/>
        <v>2500</v>
      </c>
      <c r="Z19" s="399">
        <f t="shared" si="12"/>
        <v>22100.749999999996</v>
      </c>
      <c r="AA19" s="132"/>
      <c r="AB19" s="400">
        <f t="shared" si="13"/>
        <v>1748.9999999999964</v>
      </c>
      <c r="AC19" s="401">
        <f t="shared" si="14"/>
        <v>8.593855565246214E-2</v>
      </c>
      <c r="AD19" s="52"/>
      <c r="AE19" s="396">
        <f>IFERROR(VLOOKUP($C19,'Proposed Rates'!$B:$J,AE$11,FALSE),0)</f>
        <v>9.2126999999999999</v>
      </c>
      <c r="AF19" s="414">
        <f t="shared" si="15"/>
        <v>2500</v>
      </c>
      <c r="AG19" s="399">
        <f t="shared" si="16"/>
        <v>23031.75</v>
      </c>
      <c r="AH19" s="132"/>
      <c r="AI19" s="400">
        <f t="shared" si="17"/>
        <v>931.00000000000364</v>
      </c>
      <c r="AJ19" s="401">
        <f t="shared" si="18"/>
        <v>4.2125267242062094E-2</v>
      </c>
      <c r="AK19" s="52"/>
      <c r="AL19" s="396">
        <f>IFERROR(VLOOKUP($C19,'Proposed Rates'!$B:$J,AL$11,FALSE),0)</f>
        <v>9.5539000000000005</v>
      </c>
      <c r="AM19" s="414">
        <f t="shared" si="19"/>
        <v>2500</v>
      </c>
      <c r="AN19" s="399">
        <f t="shared" si="20"/>
        <v>23884.75</v>
      </c>
      <c r="AO19" s="132"/>
      <c r="AP19" s="400">
        <f t="shared" si="21"/>
        <v>853</v>
      </c>
      <c r="AQ19" s="401">
        <f t="shared" si="22"/>
        <v>3.7035830972461929E-2</v>
      </c>
      <c r="AR19" s="402"/>
    </row>
    <row r="20" spans="1:44" ht="12.75" customHeight="1">
      <c r="A20" s="52"/>
      <c r="B20" s="321" t="s">
        <v>313</v>
      </c>
      <c r="C20" s="394" t="str">
        <f t="shared" si="0"/>
        <v>General Service 1,500 to 4,999 KW.Smart Meter Disposition Rider</v>
      </c>
      <c r="D20" s="395" t="s">
        <v>312</v>
      </c>
      <c r="E20" s="321"/>
      <c r="F20" s="396">
        <f>IFERROR(VLOOKUP($C20,'Proposed Rates'!$B:$J,F$11,FALSE),0)</f>
        <v>0</v>
      </c>
      <c r="G20" s="414">
        <f t="shared" si="1"/>
        <v>1277500</v>
      </c>
      <c r="H20" s="399">
        <f t="shared" si="2"/>
        <v>0</v>
      </c>
      <c r="I20" s="132"/>
      <c r="J20" s="396">
        <f>IFERROR(VLOOKUP($C20,'Proposed Rates'!$B:$J,J$11,FALSE),0)</f>
        <v>0</v>
      </c>
      <c r="K20" s="414">
        <f t="shared" si="3"/>
        <v>1277500</v>
      </c>
      <c r="L20" s="399">
        <f t="shared" si="4"/>
        <v>0</v>
      </c>
      <c r="M20" s="132"/>
      <c r="N20" s="400">
        <f t="shared" si="5"/>
        <v>0</v>
      </c>
      <c r="O20" s="401" t="str">
        <f t="shared" si="6"/>
        <v/>
      </c>
      <c r="P20" s="52"/>
      <c r="Q20" s="396">
        <f>IFERROR(VLOOKUP($C20,'Proposed Rates'!$B:$J,Q$11,FALSE),0)</f>
        <v>0</v>
      </c>
      <c r="R20" s="414">
        <f t="shared" si="7"/>
        <v>1277500</v>
      </c>
      <c r="S20" s="399">
        <f t="shared" si="8"/>
        <v>0</v>
      </c>
      <c r="T20" s="132"/>
      <c r="U20" s="400">
        <f t="shared" si="9"/>
        <v>0</v>
      </c>
      <c r="V20" s="401" t="str">
        <f t="shared" si="10"/>
        <v/>
      </c>
      <c r="W20" s="52"/>
      <c r="X20" s="396">
        <f>IFERROR(VLOOKUP($C20,'Proposed Rates'!$B:$J,X$11,FALSE),0)</f>
        <v>0</v>
      </c>
      <c r="Y20" s="414">
        <f t="shared" si="11"/>
        <v>1277500</v>
      </c>
      <c r="Z20" s="399">
        <f t="shared" si="12"/>
        <v>0</v>
      </c>
      <c r="AA20" s="132"/>
      <c r="AB20" s="400">
        <f t="shared" si="13"/>
        <v>0</v>
      </c>
      <c r="AC20" s="401" t="str">
        <f t="shared" si="14"/>
        <v/>
      </c>
      <c r="AD20" s="52"/>
      <c r="AE20" s="396">
        <f>IFERROR(VLOOKUP($C20,'Proposed Rates'!$B:$J,AE$11,FALSE),0)</f>
        <v>0</v>
      </c>
      <c r="AF20" s="414">
        <f t="shared" si="15"/>
        <v>1277500</v>
      </c>
      <c r="AG20" s="399">
        <f t="shared" si="16"/>
        <v>0</v>
      </c>
      <c r="AH20" s="132"/>
      <c r="AI20" s="400">
        <f t="shared" si="17"/>
        <v>0</v>
      </c>
      <c r="AJ20" s="401" t="str">
        <f t="shared" si="18"/>
        <v/>
      </c>
      <c r="AK20" s="52"/>
      <c r="AL20" s="396">
        <f>IFERROR(VLOOKUP($C20,'Proposed Rates'!$B:$J,AL$11,FALSE),0)</f>
        <v>0</v>
      </c>
      <c r="AM20" s="414">
        <f t="shared" si="19"/>
        <v>1277500</v>
      </c>
      <c r="AN20" s="399">
        <f t="shared" si="20"/>
        <v>0</v>
      </c>
      <c r="AO20" s="132"/>
      <c r="AP20" s="400">
        <f t="shared" si="21"/>
        <v>0</v>
      </c>
      <c r="AQ20" s="401" t="str">
        <f t="shared" si="22"/>
        <v/>
      </c>
      <c r="AR20" s="402"/>
    </row>
    <row r="21" spans="1:44" ht="12.75" customHeight="1">
      <c r="A21" s="52"/>
      <c r="B21" s="321" t="s">
        <v>244</v>
      </c>
      <c r="C21" s="394" t="str">
        <f t="shared" si="0"/>
        <v>General Service 1,500 to 4,999 KW.LRAM Rate Rider</v>
      </c>
      <c r="D21" s="395" t="s">
        <v>381</v>
      </c>
      <c r="E21" s="321"/>
      <c r="F21" s="413">
        <f>'Proposed Rates'!E80+'Proposed Rates'!E93</f>
        <v>0.2021</v>
      </c>
      <c r="G21" s="414">
        <f t="shared" si="1"/>
        <v>2500</v>
      </c>
      <c r="H21" s="399">
        <f t="shared" si="2"/>
        <v>505.25</v>
      </c>
      <c r="I21" s="132"/>
      <c r="J21" s="413">
        <f>'Proposed Rates'!F80+'Proposed Rates'!F93</f>
        <v>-0.36930000000000002</v>
      </c>
      <c r="K21" s="414">
        <f t="shared" si="3"/>
        <v>2500</v>
      </c>
      <c r="L21" s="399">
        <f t="shared" si="4"/>
        <v>-923.25</v>
      </c>
      <c r="M21" s="132"/>
      <c r="N21" s="400">
        <f t="shared" si="5"/>
        <v>-1428.5</v>
      </c>
      <c r="O21" s="401">
        <f t="shared" si="6"/>
        <v>-2.827313211281544</v>
      </c>
      <c r="P21" s="52"/>
      <c r="Q21" s="413">
        <f>'Proposed Rates'!G80+'Proposed Rates'!G93</f>
        <v>0</v>
      </c>
      <c r="R21" s="414">
        <f t="shared" si="7"/>
        <v>2500</v>
      </c>
      <c r="S21" s="399">
        <f t="shared" si="8"/>
        <v>0</v>
      </c>
      <c r="T21" s="132"/>
      <c r="U21" s="400">
        <f t="shared" si="9"/>
        <v>923.25</v>
      </c>
      <c r="V21" s="401">
        <f t="shared" si="10"/>
        <v>-1</v>
      </c>
      <c r="W21" s="52"/>
      <c r="X21" s="396">
        <f>IFERROR(VLOOKUP($C21,'Proposed Rates'!$B:$J,X$11,FALSE),0)</f>
        <v>0</v>
      </c>
      <c r="Y21" s="414">
        <f t="shared" si="11"/>
        <v>2500</v>
      </c>
      <c r="Z21" s="399">
        <f t="shared" si="12"/>
        <v>0</v>
      </c>
      <c r="AA21" s="132"/>
      <c r="AB21" s="400">
        <f t="shared" si="13"/>
        <v>0</v>
      </c>
      <c r="AC21" s="401" t="str">
        <f t="shared" si="14"/>
        <v/>
      </c>
      <c r="AD21" s="52"/>
      <c r="AE21" s="396">
        <f>IFERROR(VLOOKUP($C21,'Proposed Rates'!$B:$J,AE$11,FALSE),0)</f>
        <v>0</v>
      </c>
      <c r="AF21" s="414">
        <f t="shared" si="15"/>
        <v>2500</v>
      </c>
      <c r="AG21" s="399">
        <f t="shared" si="16"/>
        <v>0</v>
      </c>
      <c r="AH21" s="132"/>
      <c r="AI21" s="400">
        <f t="shared" si="17"/>
        <v>0</v>
      </c>
      <c r="AJ21" s="401" t="str">
        <f t="shared" si="18"/>
        <v/>
      </c>
      <c r="AK21" s="52"/>
      <c r="AL21" s="396">
        <f>IFERROR(VLOOKUP($C21,'Proposed Rates'!$B:$J,AL$11,FALSE),0)</f>
        <v>0</v>
      </c>
      <c r="AM21" s="414">
        <f t="shared" si="19"/>
        <v>2500</v>
      </c>
      <c r="AN21" s="399">
        <f t="shared" si="20"/>
        <v>0</v>
      </c>
      <c r="AO21" s="132"/>
      <c r="AP21" s="400">
        <f t="shared" si="21"/>
        <v>0</v>
      </c>
      <c r="AQ21" s="401" t="str">
        <f t="shared" si="22"/>
        <v/>
      </c>
      <c r="AR21" s="402"/>
    </row>
    <row r="22" spans="1:44" ht="12.75" customHeight="1">
      <c r="A22" s="52"/>
      <c r="B22" s="483" t="s">
        <v>240</v>
      </c>
      <c r="C22" s="394" t="str">
        <f t="shared" si="0"/>
        <v>General Service 1,500 to 4,999 KW.Deferral/Variance Account Disposition Rate Rider Group 2</v>
      </c>
      <c r="D22" s="395" t="s">
        <v>381</v>
      </c>
      <c r="E22" s="321"/>
      <c r="F22" s="396">
        <f>IFERROR(VLOOKUP($C22,'Proposed Rates'!$B:$J,F$11,FALSE),0)</f>
        <v>0</v>
      </c>
      <c r="G22" s="414">
        <f t="shared" si="1"/>
        <v>2500</v>
      </c>
      <c r="H22" s="399">
        <f t="shared" si="2"/>
        <v>0</v>
      </c>
      <c r="I22" s="132"/>
      <c r="J22" s="396">
        <f>IFERROR(VLOOKUP($C22,'Proposed Rates'!$B:$J,J$11,FALSE),0)</f>
        <v>-0.1694</v>
      </c>
      <c r="K22" s="414">
        <f t="shared" si="3"/>
        <v>2500</v>
      </c>
      <c r="L22" s="399">
        <f t="shared" si="4"/>
        <v>-423.5</v>
      </c>
      <c r="M22" s="132"/>
      <c r="N22" s="400">
        <f t="shared" si="5"/>
        <v>-423.5</v>
      </c>
      <c r="O22" s="401" t="str">
        <f t="shared" si="6"/>
        <v/>
      </c>
      <c r="P22" s="52"/>
      <c r="Q22" s="396">
        <f>IFERROR(VLOOKUP($C22,'Proposed Rates'!$B:$J,Q$11,FALSE),0)</f>
        <v>0</v>
      </c>
      <c r="R22" s="414">
        <f t="shared" si="7"/>
        <v>2500</v>
      </c>
      <c r="S22" s="399">
        <f t="shared" si="8"/>
        <v>0</v>
      </c>
      <c r="T22" s="132"/>
      <c r="U22" s="400">
        <f t="shared" si="9"/>
        <v>423.5</v>
      </c>
      <c r="V22" s="401">
        <f t="shared" si="10"/>
        <v>-1</v>
      </c>
      <c r="W22" s="52"/>
      <c r="X22" s="396">
        <f>IFERROR(VLOOKUP($C22,'Proposed Rates'!$B:$J,X$11,FALSE),0)</f>
        <v>0</v>
      </c>
      <c r="Y22" s="414">
        <f t="shared" si="11"/>
        <v>2500</v>
      </c>
      <c r="Z22" s="399">
        <f t="shared" si="12"/>
        <v>0</v>
      </c>
      <c r="AA22" s="132"/>
      <c r="AB22" s="400">
        <f t="shared" si="13"/>
        <v>0</v>
      </c>
      <c r="AC22" s="401" t="str">
        <f t="shared" si="14"/>
        <v/>
      </c>
      <c r="AD22" s="52"/>
      <c r="AE22" s="396">
        <f>IFERROR(VLOOKUP($C22,'Proposed Rates'!$B:$J,AE$11,FALSE),0)</f>
        <v>0</v>
      </c>
      <c r="AF22" s="414">
        <f t="shared" si="15"/>
        <v>2500</v>
      </c>
      <c r="AG22" s="399">
        <f t="shared" si="16"/>
        <v>0</v>
      </c>
      <c r="AH22" s="132"/>
      <c r="AI22" s="400">
        <f t="shared" si="17"/>
        <v>0</v>
      </c>
      <c r="AJ22" s="401" t="str">
        <f t="shared" si="18"/>
        <v/>
      </c>
      <c r="AK22" s="52"/>
      <c r="AL22" s="396">
        <f>IFERROR(VLOOKUP($C22,'Proposed Rates'!$B:$J,AL$11,FALSE),0)</f>
        <v>0</v>
      </c>
      <c r="AM22" s="414">
        <f t="shared" si="19"/>
        <v>2500</v>
      </c>
      <c r="AN22" s="399">
        <f t="shared" si="20"/>
        <v>0</v>
      </c>
      <c r="AO22" s="132"/>
      <c r="AP22" s="400">
        <f t="shared" si="21"/>
        <v>0</v>
      </c>
      <c r="AQ22" s="401" t="str">
        <f t="shared" si="22"/>
        <v/>
      </c>
      <c r="AR22" s="402"/>
    </row>
    <row r="23" spans="1:44" ht="12.75" customHeight="1">
      <c r="A23" s="52"/>
      <c r="B23" s="403"/>
      <c r="C23" s="394" t="str">
        <f t="shared" si="0"/>
        <v>General Service 1,500 to 4,999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75" customHeight="1">
      <c r="A24" s="52"/>
      <c r="B24" s="403"/>
      <c r="C24" s="394" t="str">
        <f t="shared" si="0"/>
        <v>General Service 1,500 to 4,999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75" customHeight="1">
      <c r="A25" s="52"/>
      <c r="B25" s="403"/>
      <c r="C25" s="394" t="str">
        <f t="shared" si="0"/>
        <v>General Service 1,500 to 4,999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75" customHeight="1">
      <c r="A26" s="52"/>
      <c r="B26" s="483"/>
      <c r="C26" s="394" t="str">
        <f t="shared" si="0"/>
        <v>General Service 1,500 to 4,999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75" customHeight="1">
      <c r="A27" s="52"/>
      <c r="B27" s="403"/>
      <c r="C27" s="394" t="str">
        <f t="shared" si="0"/>
        <v>General Service 1,500 to 4,999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75" customHeight="1">
      <c r="A28" s="52"/>
      <c r="B28" s="403"/>
      <c r="C28" s="394" t="str">
        <f t="shared" si="0"/>
        <v>General Service 1,500 to 4,999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75" customHeight="1">
      <c r="A29" s="307"/>
      <c r="B29" s="404" t="s">
        <v>314</v>
      </c>
      <c r="C29" s="556"/>
      <c r="D29" s="405"/>
      <c r="E29" s="405"/>
      <c r="F29" s="406"/>
      <c r="G29" s="499"/>
      <c r="H29" s="408">
        <f>SUM(H15:H28)</f>
        <v>19831</v>
      </c>
      <c r="I29" s="409"/>
      <c r="J29" s="406"/>
      <c r="K29" s="499"/>
      <c r="L29" s="408">
        <f>SUM(L15:L28)</f>
        <v>21947.25</v>
      </c>
      <c r="M29" s="409"/>
      <c r="N29" s="410">
        <f t="shared" si="5"/>
        <v>2116.25</v>
      </c>
      <c r="O29" s="411">
        <f t="shared" si="6"/>
        <v>0.10671423528818516</v>
      </c>
      <c r="P29" s="307"/>
      <c r="Q29" s="406"/>
      <c r="R29" s="499"/>
      <c r="S29" s="408">
        <f>SUM(S15:S28)</f>
        <v>24478.5</v>
      </c>
      <c r="T29" s="409"/>
      <c r="U29" s="410">
        <f t="shared" si="9"/>
        <v>2531.25</v>
      </c>
      <c r="V29" s="411">
        <f t="shared" si="10"/>
        <v>0.11533335611523084</v>
      </c>
      <c r="W29" s="307"/>
      <c r="X29" s="406"/>
      <c r="Y29" s="499"/>
      <c r="Z29" s="408">
        <f>SUM(Z15:Z28)</f>
        <v>26227.499999999996</v>
      </c>
      <c r="AA29" s="409"/>
      <c r="AB29" s="410">
        <f t="shared" si="13"/>
        <v>1748.9999999999964</v>
      </c>
      <c r="AC29" s="411">
        <f t="shared" si="14"/>
        <v>7.1450456523071124E-2</v>
      </c>
      <c r="AD29" s="307"/>
      <c r="AE29" s="406"/>
      <c r="AF29" s="499"/>
      <c r="AG29" s="408">
        <f>SUM(AG15:AG28)</f>
        <v>27158.5</v>
      </c>
      <c r="AH29" s="409"/>
      <c r="AI29" s="410">
        <f t="shared" si="17"/>
        <v>931.00000000000364</v>
      </c>
      <c r="AJ29" s="411">
        <f t="shared" si="18"/>
        <v>3.5497092746163521E-2</v>
      </c>
      <c r="AK29" s="307"/>
      <c r="AL29" s="406"/>
      <c r="AM29" s="499"/>
      <c r="AN29" s="408">
        <f>SUM(AN15:AN28)</f>
        <v>28011.5</v>
      </c>
      <c r="AO29" s="409"/>
      <c r="AP29" s="410">
        <f t="shared" si="21"/>
        <v>853</v>
      </c>
      <c r="AQ29" s="411">
        <f t="shared" si="22"/>
        <v>3.1408214739400191E-2</v>
      </c>
      <c r="AR29" s="412"/>
    </row>
    <row r="30" spans="1:44" ht="12.75" customHeight="1">
      <c r="A30" s="52"/>
      <c r="B30" s="403" t="s">
        <v>237</v>
      </c>
      <c r="C30" s="394" t="str">
        <f t="shared" ref="C30:C38" si="23">D$6&amp;"."&amp;B30</f>
        <v>General Service 1,500 to 4,999 KW.DVA Disposition Rate Rider Group 1 -2025</v>
      </c>
      <c r="D30" s="395" t="s">
        <v>381</v>
      </c>
      <c r="E30" s="321"/>
      <c r="F30" s="413">
        <f>IFERROR(VLOOKUP($C30,'Proposed Rates'!$B:$J,F$11,FALSE),0)</f>
        <v>5.3600000000000002E-2</v>
      </c>
      <c r="G30" s="414">
        <f t="shared" ref="G30:G36" si="24">IF($D30="Monthly",1,IF($D30="per KW",$F$10,IF($D30="per kWh",$F$9,0)))</f>
        <v>2500</v>
      </c>
      <c r="H30" s="399">
        <f t="shared" ref="H30:H38" si="25">G30*F30</f>
        <v>134</v>
      </c>
      <c r="I30" s="132"/>
      <c r="J30" s="413">
        <f>IFERROR(VLOOKUP($C30,'Proposed Rates'!$B:$J,J$11,FALSE),0)</f>
        <v>-0.22289999999999999</v>
      </c>
      <c r="K30" s="414">
        <f t="shared" ref="K30:K36" si="26">IF($D30="Monthly",1,IF($D30="per KW",$F$10,IF($D30="per kWh",$F$9,0)))</f>
        <v>2500</v>
      </c>
      <c r="L30" s="399">
        <f t="shared" ref="L30:L38" si="27">K30*J30</f>
        <v>-557.25</v>
      </c>
      <c r="M30" s="132"/>
      <c r="N30" s="400">
        <f t="shared" si="5"/>
        <v>-691.25</v>
      </c>
      <c r="O30" s="401">
        <f t="shared" si="6"/>
        <v>-5.1585820895522385</v>
      </c>
      <c r="P30" s="52"/>
      <c r="Q30" s="413">
        <f>IFERROR(VLOOKUP($C30,'Proposed Rates'!$B:$J,Q$11,FALSE),0)</f>
        <v>0</v>
      </c>
      <c r="R30" s="414">
        <f t="shared" ref="R30:R36" si="28">IF($D30="Monthly",1,IF($D30="per KW",$F$10,IF($D30="per kWh",$F$9,0)))</f>
        <v>2500</v>
      </c>
      <c r="S30" s="399">
        <f t="shared" ref="S30:S38" si="29">R30*Q30</f>
        <v>0</v>
      </c>
      <c r="T30" s="132"/>
      <c r="U30" s="400">
        <f t="shared" si="9"/>
        <v>557.25</v>
      </c>
      <c r="V30" s="401">
        <f t="shared" si="10"/>
        <v>-1</v>
      </c>
      <c r="W30" s="52"/>
      <c r="X30" s="413">
        <f>IFERROR(VLOOKUP($C30,'Proposed Rates'!$B:$J,X$11,FALSE),0)</f>
        <v>0</v>
      </c>
      <c r="Y30" s="414">
        <f t="shared" ref="Y30:Y36" si="30">IF($D30="Monthly",1,IF($D30="per KW",$F$10,IF($D30="per kWh",$F$9,0)))</f>
        <v>2500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2500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2500</v>
      </c>
      <c r="AN30" s="399">
        <f t="shared" ref="AN30:AN38" si="35">AM30*AL30</f>
        <v>0</v>
      </c>
      <c r="AO30" s="132"/>
      <c r="AP30" s="400">
        <f t="shared" si="21"/>
        <v>0</v>
      </c>
      <c r="AQ30" s="401" t="str">
        <f t="shared" si="22"/>
        <v/>
      </c>
      <c r="AR30" s="402"/>
    </row>
    <row r="31" spans="1:44" ht="12.75" customHeight="1">
      <c r="A31" s="52"/>
      <c r="B31" s="483" t="s">
        <v>239</v>
      </c>
      <c r="C31" s="394" t="str">
        <f t="shared" si="23"/>
        <v>General Service 1,500 to 4,999 KW.DVA Disposition Rate Rider Group 1 - 2024</v>
      </c>
      <c r="D31" s="395" t="s">
        <v>381</v>
      </c>
      <c r="E31" s="321"/>
      <c r="F31" s="413">
        <f>IFERROR(VLOOKUP($C31,'Proposed Rates'!$B:$J,F$11,FALSE),0)</f>
        <v>0</v>
      </c>
      <c r="G31" s="414">
        <f t="shared" si="24"/>
        <v>2500</v>
      </c>
      <c r="H31" s="399">
        <f t="shared" si="25"/>
        <v>0</v>
      </c>
      <c r="I31" s="132"/>
      <c r="J31" s="413">
        <f>IFERROR(VLOOKUP($C31,'Proposed Rates'!$B:$J,J$11,FALSE),0)</f>
        <v>0</v>
      </c>
      <c r="K31" s="414">
        <f t="shared" si="26"/>
        <v>2500</v>
      </c>
      <c r="L31" s="399">
        <f t="shared" si="27"/>
        <v>0</v>
      </c>
      <c r="M31" s="132"/>
      <c r="N31" s="400">
        <f t="shared" si="5"/>
        <v>0</v>
      </c>
      <c r="O31" s="401" t="str">
        <f t="shared" si="6"/>
        <v/>
      </c>
      <c r="P31" s="52"/>
      <c r="Q31" s="413">
        <f>IFERROR(VLOOKUP($C31,'Proposed Rates'!$B:$J,Q$11,FALSE),0)</f>
        <v>0</v>
      </c>
      <c r="R31" s="414">
        <f t="shared" si="28"/>
        <v>2500</v>
      </c>
      <c r="S31" s="399">
        <f t="shared" si="29"/>
        <v>0</v>
      </c>
      <c r="T31" s="132"/>
      <c r="U31" s="400">
        <f t="shared" si="9"/>
        <v>0</v>
      </c>
      <c r="V31" s="401" t="str">
        <f t="shared" si="10"/>
        <v/>
      </c>
      <c r="W31" s="52"/>
      <c r="X31" s="413">
        <f>IFERROR(VLOOKUP($C31,'Proposed Rates'!$B:$J,X$11,FALSE),0)</f>
        <v>0</v>
      </c>
      <c r="Y31" s="414">
        <f t="shared" si="30"/>
        <v>2500</v>
      </c>
      <c r="Z31" s="399">
        <f t="shared" si="31"/>
        <v>0</v>
      </c>
      <c r="AA31" s="132"/>
      <c r="AB31" s="400">
        <f t="shared" si="13"/>
        <v>0</v>
      </c>
      <c r="AC31" s="401" t="str">
        <f t="shared" si="14"/>
        <v/>
      </c>
      <c r="AD31" s="52"/>
      <c r="AE31" s="413">
        <f>IFERROR(VLOOKUP($C31,'Proposed Rates'!$B:$J,AE$11,FALSE),0)</f>
        <v>0</v>
      </c>
      <c r="AF31" s="414">
        <f t="shared" si="32"/>
        <v>2500</v>
      </c>
      <c r="AG31" s="399">
        <f t="shared" si="33"/>
        <v>0</v>
      </c>
      <c r="AH31" s="132"/>
      <c r="AI31" s="400">
        <f t="shared" si="17"/>
        <v>0</v>
      </c>
      <c r="AJ31" s="401" t="str">
        <f t="shared" si="18"/>
        <v/>
      </c>
      <c r="AK31" s="52"/>
      <c r="AL31" s="413">
        <f>IFERROR(VLOOKUP($C31,'Proposed Rates'!$B:$J,AL$11,FALSE),0)</f>
        <v>0</v>
      </c>
      <c r="AM31" s="414">
        <f t="shared" si="34"/>
        <v>2500</v>
      </c>
      <c r="AN31" s="399">
        <f t="shared" si="35"/>
        <v>0</v>
      </c>
      <c r="AO31" s="132"/>
      <c r="AP31" s="400">
        <f t="shared" si="21"/>
        <v>0</v>
      </c>
      <c r="AQ31" s="401" t="str">
        <f t="shared" si="22"/>
        <v/>
      </c>
      <c r="AR31" s="402"/>
    </row>
    <row r="32" spans="1:44" ht="12.75" customHeight="1">
      <c r="A32" s="52"/>
      <c r="B32" s="483" t="s">
        <v>247</v>
      </c>
      <c r="C32" s="394" t="str">
        <f t="shared" si="23"/>
        <v>General Service 1,500 to 4,999 KW.CBR Class B Rate Riders</v>
      </c>
      <c r="D32" s="395" t="s">
        <v>312</v>
      </c>
      <c r="E32" s="321"/>
      <c r="F32" s="413">
        <f>IFERROR(VLOOKUP($C32,'Proposed Rates'!$B:$J,F$11,FALSE),0)</f>
        <v>2.0000000000000001E-4</v>
      </c>
      <c r="G32" s="414">
        <f t="shared" si="24"/>
        <v>1277500</v>
      </c>
      <c r="H32" s="399">
        <f t="shared" si="25"/>
        <v>255.5</v>
      </c>
      <c r="I32" s="484"/>
      <c r="J32" s="413">
        <f>IFERROR(VLOOKUP($C32,'Proposed Rates'!$B:$J,J$11,FALSE),0)</f>
        <v>4.0000000000000002E-4</v>
      </c>
      <c r="K32" s="414">
        <f t="shared" si="26"/>
        <v>1277500</v>
      </c>
      <c r="L32" s="399">
        <f t="shared" si="27"/>
        <v>511</v>
      </c>
      <c r="M32" s="416"/>
      <c r="N32" s="400">
        <f t="shared" si="5"/>
        <v>255.5</v>
      </c>
      <c r="O32" s="401">
        <f t="shared" si="6"/>
        <v>1</v>
      </c>
      <c r="P32" s="52"/>
      <c r="Q32" s="413">
        <f>IFERROR(VLOOKUP($C32,'Proposed Rates'!$B:$J,Q$11,FALSE),0)</f>
        <v>0</v>
      </c>
      <c r="R32" s="414">
        <f t="shared" si="28"/>
        <v>1277500</v>
      </c>
      <c r="S32" s="399">
        <f t="shared" si="29"/>
        <v>0</v>
      </c>
      <c r="T32" s="416"/>
      <c r="U32" s="400"/>
      <c r="V32" s="401"/>
      <c r="W32" s="52"/>
      <c r="X32" s="413">
        <f>IFERROR(VLOOKUP($C32,'Proposed Rates'!$B:$J,X$11,FALSE),0)</f>
        <v>0</v>
      </c>
      <c r="Y32" s="414">
        <f t="shared" si="30"/>
        <v>1277500</v>
      </c>
      <c r="Z32" s="399">
        <f t="shared" si="31"/>
        <v>0</v>
      </c>
      <c r="AA32" s="132"/>
      <c r="AB32" s="400">
        <f t="shared" si="13"/>
        <v>0</v>
      </c>
      <c r="AC32" s="401" t="str">
        <f t="shared" si="14"/>
        <v/>
      </c>
      <c r="AD32" s="52"/>
      <c r="AE32" s="413">
        <f>IFERROR(VLOOKUP($C32,'Proposed Rates'!$B:$J,AE$11,FALSE),0)</f>
        <v>0</v>
      </c>
      <c r="AF32" s="414">
        <f t="shared" si="32"/>
        <v>1277500</v>
      </c>
      <c r="AG32" s="399">
        <f t="shared" si="33"/>
        <v>0</v>
      </c>
      <c r="AH32" s="132"/>
      <c r="AI32" s="400">
        <f t="shared" si="17"/>
        <v>0</v>
      </c>
      <c r="AJ32" s="401" t="str">
        <f t="shared" si="18"/>
        <v/>
      </c>
      <c r="AK32" s="52"/>
      <c r="AL32" s="413">
        <f>IFERROR(VLOOKUP($C32,'Proposed Rates'!$B:$J,AL$11,FALSE),0)</f>
        <v>0</v>
      </c>
      <c r="AM32" s="414">
        <f t="shared" si="34"/>
        <v>1277500</v>
      </c>
      <c r="AN32" s="399">
        <f t="shared" si="35"/>
        <v>0</v>
      </c>
      <c r="AO32" s="416"/>
      <c r="AP32" s="400">
        <f t="shared" si="21"/>
        <v>0</v>
      </c>
      <c r="AQ32" s="401" t="str">
        <f t="shared" si="22"/>
        <v/>
      </c>
      <c r="AR32" s="402"/>
    </row>
    <row r="33" spans="1:44" ht="12.75" customHeight="1">
      <c r="A33" s="52"/>
      <c r="B33" s="483" t="s">
        <v>252</v>
      </c>
      <c r="C33" s="394" t="str">
        <f t="shared" si="23"/>
        <v>General Service 1,500 to 4,999 KW.GA Rate Riders</v>
      </c>
      <c r="D33" s="395" t="s">
        <v>312</v>
      </c>
      <c r="E33" s="321"/>
      <c r="F33" s="413">
        <f>IFERROR(VLOOKUP($C33,'Proposed Rates'!$B:$J,F$11,FALSE),0)</f>
        <v>3.8999999999999998E-3</v>
      </c>
      <c r="G33" s="414">
        <f t="shared" si="24"/>
        <v>1277500</v>
      </c>
      <c r="H33" s="399">
        <f t="shared" si="25"/>
        <v>4982.25</v>
      </c>
      <c r="I33" s="484"/>
      <c r="J33" s="413">
        <f>IFERROR(VLOOKUP($C33,'Proposed Rates'!$B:$J,J$11,FALSE),0)</f>
        <v>4.4000000000000003E-3</v>
      </c>
      <c r="K33" s="414">
        <f t="shared" si="26"/>
        <v>1277500</v>
      </c>
      <c r="L33" s="399">
        <f t="shared" si="27"/>
        <v>5621</v>
      </c>
      <c r="M33" s="416"/>
      <c r="N33" s="400">
        <f t="shared" si="5"/>
        <v>638.75</v>
      </c>
      <c r="O33" s="401">
        <f t="shared" si="6"/>
        <v>0.12820512820512819</v>
      </c>
      <c r="P33" s="52"/>
      <c r="Q33" s="413">
        <f>IFERROR(VLOOKUP($C33,'Proposed Rates'!$B:$J,Q$11,FALSE),0)</f>
        <v>0</v>
      </c>
      <c r="R33" s="414">
        <f t="shared" si="28"/>
        <v>1277500</v>
      </c>
      <c r="S33" s="399">
        <f t="shared" si="29"/>
        <v>0</v>
      </c>
      <c r="T33" s="416"/>
      <c r="U33" s="400">
        <f t="shared" ref="U33:U34" si="36">S33-L33</f>
        <v>-5621</v>
      </c>
      <c r="V33" s="401">
        <f t="shared" ref="V33:V34" si="37">IF((L33)=0,"",(U33/L33))</f>
        <v>-1</v>
      </c>
      <c r="W33" s="52"/>
      <c r="X33" s="413">
        <f>IFERROR(VLOOKUP($C33,'Proposed Rates'!$B:$J,X$11,FALSE),0)</f>
        <v>0</v>
      </c>
      <c r="Y33" s="414">
        <f t="shared" si="30"/>
        <v>1277500</v>
      </c>
      <c r="Z33" s="399">
        <f t="shared" si="31"/>
        <v>0</v>
      </c>
      <c r="AA33" s="416"/>
      <c r="AB33" s="400">
        <f t="shared" si="13"/>
        <v>0</v>
      </c>
      <c r="AC33" s="401" t="str">
        <f t="shared" si="14"/>
        <v/>
      </c>
      <c r="AD33" s="52"/>
      <c r="AE33" s="413">
        <f>IFERROR(VLOOKUP($C33,'Proposed Rates'!$B:$J,AE$11,FALSE),0)</f>
        <v>0</v>
      </c>
      <c r="AF33" s="414">
        <f t="shared" si="32"/>
        <v>1277500</v>
      </c>
      <c r="AG33" s="399">
        <f t="shared" si="33"/>
        <v>0</v>
      </c>
      <c r="AH33" s="416"/>
      <c r="AI33" s="400">
        <f t="shared" si="17"/>
        <v>0</v>
      </c>
      <c r="AJ33" s="401" t="str">
        <f t="shared" si="18"/>
        <v/>
      </c>
      <c r="AK33" s="52"/>
      <c r="AL33" s="413">
        <f>IFERROR(VLOOKUP($C33,'Proposed Rates'!$B:$J,AL$11,FALSE),0)</f>
        <v>0</v>
      </c>
      <c r="AM33" s="414">
        <f t="shared" si="34"/>
        <v>1277500</v>
      </c>
      <c r="AN33" s="399">
        <f t="shared" si="35"/>
        <v>0</v>
      </c>
      <c r="AO33" s="416"/>
      <c r="AP33" s="400">
        <f t="shared" si="21"/>
        <v>0</v>
      </c>
      <c r="AQ33" s="401" t="str">
        <f t="shared" si="22"/>
        <v/>
      </c>
      <c r="AR33" s="402"/>
    </row>
    <row r="34" spans="1:44" ht="12.75" customHeight="1">
      <c r="A34" s="52"/>
      <c r="B34" s="483" t="s">
        <v>255</v>
      </c>
      <c r="C34" s="394" t="str">
        <f t="shared" si="23"/>
        <v>General Service 1,500 to 4,999 KW.Total Deferral/Variance Account Rate RidersYr2</v>
      </c>
      <c r="D34" s="395" t="s">
        <v>381</v>
      </c>
      <c r="E34" s="321"/>
      <c r="F34" s="413">
        <f>IFERROR(VLOOKUP($C34,'Proposed Rates'!$B:$J,F$11,FALSE),0)</f>
        <v>0</v>
      </c>
      <c r="G34" s="414">
        <f t="shared" si="24"/>
        <v>2500</v>
      </c>
      <c r="H34" s="399">
        <f t="shared" si="25"/>
        <v>0</v>
      </c>
      <c r="I34" s="484"/>
      <c r="J34" s="413">
        <f>IFERROR(VLOOKUP($C34,'Proposed Rates'!$B:$J,J$11,FALSE),0)</f>
        <v>0</v>
      </c>
      <c r="K34" s="414">
        <f t="shared" si="26"/>
        <v>2500</v>
      </c>
      <c r="L34" s="399">
        <f t="shared" si="27"/>
        <v>0</v>
      </c>
      <c r="M34" s="416"/>
      <c r="N34" s="400">
        <f t="shared" si="5"/>
        <v>0</v>
      </c>
      <c r="O34" s="401" t="str">
        <f t="shared" si="6"/>
        <v/>
      </c>
      <c r="P34" s="52"/>
      <c r="Q34" s="413">
        <f>IFERROR(VLOOKUP($C34,'Proposed Rates'!$B:$J,Q$11,FALSE),0)</f>
        <v>0</v>
      </c>
      <c r="R34" s="414">
        <f t="shared" si="28"/>
        <v>2500</v>
      </c>
      <c r="S34" s="399">
        <f t="shared" si="29"/>
        <v>0</v>
      </c>
      <c r="T34" s="416"/>
      <c r="U34" s="400">
        <f t="shared" si="36"/>
        <v>0</v>
      </c>
      <c r="V34" s="401" t="str">
        <f t="shared" si="37"/>
        <v/>
      </c>
      <c r="W34" s="52"/>
      <c r="X34" s="413">
        <f>IFERROR(VLOOKUP($C34,'Proposed Rates'!$B:$J,X$11,FALSE),0)</f>
        <v>0</v>
      </c>
      <c r="Y34" s="414">
        <f t="shared" si="30"/>
        <v>2500</v>
      </c>
      <c r="Z34" s="399">
        <f t="shared" si="31"/>
        <v>0</v>
      </c>
      <c r="AA34" s="416"/>
      <c r="AB34" s="400">
        <f t="shared" si="13"/>
        <v>0</v>
      </c>
      <c r="AC34" s="401" t="str">
        <f t="shared" si="14"/>
        <v/>
      </c>
      <c r="AD34" s="52"/>
      <c r="AE34" s="413">
        <f>IFERROR(VLOOKUP($C34,'Proposed Rates'!$B:$J,AE$11,FALSE),0)</f>
        <v>0</v>
      </c>
      <c r="AF34" s="414">
        <f t="shared" si="32"/>
        <v>2500</v>
      </c>
      <c r="AG34" s="399">
        <f t="shared" si="33"/>
        <v>0</v>
      </c>
      <c r="AH34" s="416"/>
      <c r="AI34" s="400">
        <f t="shared" si="17"/>
        <v>0</v>
      </c>
      <c r="AJ34" s="401" t="str">
        <f t="shared" si="18"/>
        <v/>
      </c>
      <c r="AK34" s="52"/>
      <c r="AL34" s="413">
        <f>IFERROR(VLOOKUP($C34,'Proposed Rates'!$B:$J,AL$11,FALSE),0)</f>
        <v>0</v>
      </c>
      <c r="AM34" s="414">
        <f t="shared" si="34"/>
        <v>2500</v>
      </c>
      <c r="AN34" s="399">
        <f t="shared" si="35"/>
        <v>0</v>
      </c>
      <c r="AO34" s="416"/>
      <c r="AP34" s="400">
        <f t="shared" si="21"/>
        <v>0</v>
      </c>
      <c r="AQ34" s="401" t="str">
        <f t="shared" si="22"/>
        <v/>
      </c>
      <c r="AR34" s="402"/>
    </row>
    <row r="35" spans="1:44" ht="12.75" customHeight="1">
      <c r="A35" s="52"/>
      <c r="B35" s="483" t="s">
        <v>257</v>
      </c>
      <c r="C35" s="394" t="str">
        <f t="shared" si="23"/>
        <v>General Service 1,500 to 4,999 KW.Total Deferral/Variance Account Rate Riders</v>
      </c>
      <c r="D35" s="395" t="s">
        <v>381</v>
      </c>
      <c r="E35" s="321"/>
      <c r="F35" s="413">
        <f>IFERROR(VLOOKUP($C35,'Proposed Rates'!$B:$J,F$11,FALSE),0)</f>
        <v>0</v>
      </c>
      <c r="G35" s="414">
        <f t="shared" si="24"/>
        <v>2500</v>
      </c>
      <c r="H35" s="399">
        <f t="shared" si="25"/>
        <v>0</v>
      </c>
      <c r="I35" s="132"/>
      <c r="J35" s="413">
        <f>IFERROR(VLOOKUP($C35,'Proposed Rates'!$B:$J,J$11,FALSE),0)</f>
        <v>0</v>
      </c>
      <c r="K35" s="414">
        <f t="shared" si="26"/>
        <v>2500</v>
      </c>
      <c r="L35" s="399">
        <f t="shared" si="27"/>
        <v>0</v>
      </c>
      <c r="M35" s="132"/>
      <c r="N35" s="400">
        <f t="shared" si="5"/>
        <v>0</v>
      </c>
      <c r="O35" s="401" t="str">
        <f t="shared" si="6"/>
        <v/>
      </c>
      <c r="P35" s="52"/>
      <c r="Q35" s="413">
        <f>IFERROR(VLOOKUP($C35,'Proposed Rates'!$B:$J,Q$11,FALSE),0)</f>
        <v>0</v>
      </c>
      <c r="R35" s="414">
        <f t="shared" si="28"/>
        <v>2500</v>
      </c>
      <c r="S35" s="399">
        <f t="shared" si="29"/>
        <v>0</v>
      </c>
      <c r="T35" s="132"/>
      <c r="U35" s="400"/>
      <c r="V35" s="401"/>
      <c r="W35" s="52"/>
      <c r="X35" s="413">
        <f>IFERROR(VLOOKUP($C35,'Proposed Rates'!$B:$J,X$11,FALSE),0)</f>
        <v>0</v>
      </c>
      <c r="Y35" s="414">
        <f t="shared" si="30"/>
        <v>2500</v>
      </c>
      <c r="Z35" s="399">
        <f t="shared" si="31"/>
        <v>0</v>
      </c>
      <c r="AA35" s="132"/>
      <c r="AB35" s="400">
        <f t="shared" si="13"/>
        <v>0</v>
      </c>
      <c r="AC35" s="401" t="str">
        <f t="shared" si="14"/>
        <v/>
      </c>
      <c r="AD35" s="52"/>
      <c r="AE35" s="413">
        <f>IFERROR(VLOOKUP($C35,'Proposed Rates'!$B:$J,AE$11,FALSE),0)</f>
        <v>0</v>
      </c>
      <c r="AF35" s="414">
        <f t="shared" si="32"/>
        <v>2500</v>
      </c>
      <c r="AG35" s="399">
        <f t="shared" si="33"/>
        <v>0</v>
      </c>
      <c r="AH35" s="132"/>
      <c r="AI35" s="400">
        <f t="shared" si="17"/>
        <v>0</v>
      </c>
      <c r="AJ35" s="401" t="str">
        <f t="shared" si="18"/>
        <v/>
      </c>
      <c r="AK35" s="52"/>
      <c r="AL35" s="413">
        <f>IFERROR(VLOOKUP($C35,'Proposed Rates'!$B:$J,AL$11,FALSE),0)</f>
        <v>0</v>
      </c>
      <c r="AM35" s="414">
        <f t="shared" si="34"/>
        <v>2500</v>
      </c>
      <c r="AN35" s="399">
        <f t="shared" si="35"/>
        <v>0</v>
      </c>
      <c r="AO35" s="132"/>
      <c r="AP35" s="400">
        <f t="shared" si="21"/>
        <v>0</v>
      </c>
      <c r="AQ35" s="401" t="str">
        <f t="shared" si="22"/>
        <v/>
      </c>
      <c r="AR35" s="402"/>
    </row>
    <row r="36" spans="1:44" ht="12.75" customHeight="1">
      <c r="A36" s="52"/>
      <c r="B36" s="321" t="s">
        <v>273</v>
      </c>
      <c r="C36" s="394" t="str">
        <f t="shared" si="23"/>
        <v>General Service 1,500 to 4,999 KW.Low Voltage Service Charge</v>
      </c>
      <c r="D36" s="395" t="s">
        <v>381</v>
      </c>
      <c r="E36" s="321"/>
      <c r="F36" s="417">
        <f>IFERROR(VLOOKUP($C36,'Proposed Rates'!$B:$J,F$11,FALSE),0)</f>
        <v>2.2040000000000001E-2</v>
      </c>
      <c r="G36" s="414">
        <f t="shared" si="24"/>
        <v>2500</v>
      </c>
      <c r="H36" s="399">
        <f t="shared" si="25"/>
        <v>55.1</v>
      </c>
      <c r="I36" s="132"/>
      <c r="J36" s="417">
        <f>IFERROR(VLOOKUP($C36,'Proposed Rates'!$B:$J,J$11,FALSE),0)</f>
        <v>2.3130000000000001E-2</v>
      </c>
      <c r="K36" s="414">
        <f t="shared" si="26"/>
        <v>2500</v>
      </c>
      <c r="L36" s="399">
        <f t="shared" si="27"/>
        <v>57.825000000000003</v>
      </c>
      <c r="M36" s="132"/>
      <c r="N36" s="400">
        <f t="shared" si="5"/>
        <v>2.7250000000000014</v>
      </c>
      <c r="O36" s="401">
        <f t="shared" si="6"/>
        <v>4.9455535390199659E-2</v>
      </c>
      <c r="P36" s="52"/>
      <c r="Q36" s="417">
        <f>IFERROR(VLOOKUP($C36,'Proposed Rates'!$B:$J,Q$11,FALSE),0)</f>
        <v>2.3730000000000001E-2</v>
      </c>
      <c r="R36" s="414">
        <f t="shared" si="28"/>
        <v>2500</v>
      </c>
      <c r="S36" s="399">
        <f t="shared" si="29"/>
        <v>59.325000000000003</v>
      </c>
      <c r="T36" s="132"/>
      <c r="U36" s="400">
        <f t="shared" ref="U36:U37" si="38">S36-L36</f>
        <v>1.5</v>
      </c>
      <c r="V36" s="401">
        <f t="shared" ref="V36:V37" si="39">IF((L36)=0,"",(U36/L36))</f>
        <v>2.5940337224383915E-2</v>
      </c>
      <c r="W36" s="52"/>
      <c r="X36" s="417">
        <f>IFERROR(VLOOKUP($C36,'Proposed Rates'!$B:$J,X$11,FALSE),0)</f>
        <v>2.402E-2</v>
      </c>
      <c r="Y36" s="414">
        <f t="shared" si="30"/>
        <v>2500</v>
      </c>
      <c r="Z36" s="399">
        <f t="shared" si="31"/>
        <v>60.05</v>
      </c>
      <c r="AA36" s="132"/>
      <c r="AB36" s="400">
        <f t="shared" si="13"/>
        <v>0.72499999999999432</v>
      </c>
      <c r="AC36" s="401">
        <f t="shared" si="14"/>
        <v>1.2220817530551948E-2</v>
      </c>
      <c r="AD36" s="52"/>
      <c r="AE36" s="417">
        <f>IFERROR(VLOOKUP($C36,'Proposed Rates'!$B:$J,AE$11,FALSE),0)</f>
        <v>2.4410000000000001E-2</v>
      </c>
      <c r="AF36" s="414">
        <f t="shared" si="32"/>
        <v>2500</v>
      </c>
      <c r="AG36" s="399">
        <f t="shared" si="33"/>
        <v>61.025000000000006</v>
      </c>
      <c r="AH36" s="132"/>
      <c r="AI36" s="400">
        <f t="shared" si="17"/>
        <v>0.97500000000000853</v>
      </c>
      <c r="AJ36" s="401">
        <f t="shared" si="18"/>
        <v>1.6236469608659595E-2</v>
      </c>
      <c r="AK36" s="52"/>
      <c r="AL36" s="417">
        <f>IFERROR(VLOOKUP($C36,'Proposed Rates'!$B:$J,AL$11,FALSE),0)</f>
        <v>2.4840000000000001E-2</v>
      </c>
      <c r="AM36" s="414">
        <f t="shared" si="34"/>
        <v>2500</v>
      </c>
      <c r="AN36" s="399">
        <f t="shared" si="35"/>
        <v>62.1</v>
      </c>
      <c r="AO36" s="132"/>
      <c r="AP36" s="400">
        <f t="shared" si="21"/>
        <v>1.0749999999999957</v>
      </c>
      <c r="AQ36" s="401">
        <f t="shared" si="22"/>
        <v>1.7615731257681205E-2</v>
      </c>
      <c r="AR36" s="402"/>
    </row>
    <row r="37" spans="1:44" ht="12.75" customHeight="1">
      <c r="A37" s="52"/>
      <c r="B37" s="321" t="s">
        <v>316</v>
      </c>
      <c r="C37" s="394" t="str">
        <f t="shared" si="23"/>
        <v>General Service 1,500 to 4,999 KW.Line Losses on Cost of Power</v>
      </c>
      <c r="D37" s="395" t="s">
        <v>312</v>
      </c>
      <c r="E37" s="321"/>
      <c r="F37" s="557"/>
      <c r="G37" s="506">
        <f>$F$9*(1+F65)-$F$9</f>
        <v>43179.5</v>
      </c>
      <c r="H37" s="399">
        <f t="shared" si="25"/>
        <v>0</v>
      </c>
      <c r="I37" s="132"/>
      <c r="J37" s="557"/>
      <c r="K37" s="506">
        <f>$F$9*(1+J65)-$F$9</f>
        <v>42412.999999999767</v>
      </c>
      <c r="L37" s="399">
        <f t="shared" si="27"/>
        <v>0</v>
      </c>
      <c r="M37" s="132"/>
      <c r="N37" s="400">
        <f t="shared" si="5"/>
        <v>0</v>
      </c>
      <c r="O37" s="401" t="str">
        <f t="shared" si="6"/>
        <v/>
      </c>
      <c r="P37" s="52"/>
      <c r="Q37" s="557"/>
      <c r="R37" s="506">
        <f>$F$9*(1+Q65)-$F$9</f>
        <v>42412.999999999767</v>
      </c>
      <c r="S37" s="399">
        <f t="shared" si="29"/>
        <v>0</v>
      </c>
      <c r="T37" s="132"/>
      <c r="U37" s="400">
        <f t="shared" si="38"/>
        <v>0</v>
      </c>
      <c r="V37" s="401" t="str">
        <f t="shared" si="39"/>
        <v/>
      </c>
      <c r="W37" s="52"/>
      <c r="X37" s="557"/>
      <c r="Y37" s="506">
        <f>$F$9*(1+X65)-$F$9</f>
        <v>42412.999999999767</v>
      </c>
      <c r="Z37" s="399">
        <f t="shared" si="31"/>
        <v>0</v>
      </c>
      <c r="AA37" s="132"/>
      <c r="AB37" s="400">
        <f t="shared" si="13"/>
        <v>0</v>
      </c>
      <c r="AC37" s="401" t="str">
        <f t="shared" si="14"/>
        <v/>
      </c>
      <c r="AD37" s="52"/>
      <c r="AE37" s="557"/>
      <c r="AF37" s="506">
        <f>$F$9*(1+AE65)-$F$9</f>
        <v>42412.999999999767</v>
      </c>
      <c r="AG37" s="399">
        <f t="shared" si="33"/>
        <v>0</v>
      </c>
      <c r="AH37" s="132"/>
      <c r="AI37" s="400">
        <f t="shared" si="17"/>
        <v>0</v>
      </c>
      <c r="AJ37" s="401" t="str">
        <f t="shared" si="18"/>
        <v/>
      </c>
      <c r="AK37" s="52"/>
      <c r="AL37" s="557"/>
      <c r="AM37" s="506">
        <f>$F$9*(1+AL65)-$F$9</f>
        <v>42412.999999999767</v>
      </c>
      <c r="AN37" s="399">
        <f t="shared" si="35"/>
        <v>0</v>
      </c>
      <c r="AO37" s="132"/>
      <c r="AP37" s="400">
        <f t="shared" si="21"/>
        <v>0</v>
      </c>
      <c r="AQ37" s="401" t="str">
        <f t="shared" si="22"/>
        <v/>
      </c>
      <c r="AR37" s="402"/>
    </row>
    <row r="38" spans="1:44" ht="12.75" customHeight="1">
      <c r="A38" s="52"/>
      <c r="B38" s="321" t="s">
        <v>275</v>
      </c>
      <c r="C38" s="394" t="str">
        <f t="shared" si="23"/>
        <v>General Service 1,500 to 4,999 KW.Smart Meter Entity Charge</v>
      </c>
      <c r="D38" s="395" t="s">
        <v>310</v>
      </c>
      <c r="E38" s="321"/>
      <c r="F38" s="417">
        <f>IFERROR(VLOOKUP($C38,'Proposed Rates'!$B:$J,F$11,FALSE),0)</f>
        <v>0</v>
      </c>
      <c r="G38" s="414">
        <f>IF($D38="Monthly",1,IF($D38="per KW",$F$10,IF($D38="per kWh",$F$9,0)))</f>
        <v>1</v>
      </c>
      <c r="H38" s="399">
        <f t="shared" si="25"/>
        <v>0</v>
      </c>
      <c r="I38" s="132"/>
      <c r="J38" s="417">
        <f>IFERROR(VLOOKUP($C38,'Proposed Rates'!$B:$J,J$11,FALSE),0)</f>
        <v>0</v>
      </c>
      <c r="K38" s="414">
        <f>IF($D38="Monthly",1,IF($D38="per KW",$F$10,IF($D38="per kWh",$F$9,0)))</f>
        <v>1</v>
      </c>
      <c r="L38" s="399">
        <f t="shared" si="27"/>
        <v>0</v>
      </c>
      <c r="M38" s="132"/>
      <c r="N38" s="400">
        <f t="shared" si="5"/>
        <v>0</v>
      </c>
      <c r="O38" s="401" t="str">
        <f t="shared" si="6"/>
        <v/>
      </c>
      <c r="P38" s="52"/>
      <c r="Q38" s="417">
        <f>IFERROR(VLOOKUP($C38,'Proposed Rates'!$B:$J,Q$11,FALSE),0)</f>
        <v>0</v>
      </c>
      <c r="R38" s="414">
        <f>IF($D38="Monthly",1,IF($D38="per KW",$F$10,IF($D38="per kWh",$F$9,0)))</f>
        <v>1</v>
      </c>
      <c r="S38" s="399">
        <f t="shared" si="29"/>
        <v>0</v>
      </c>
      <c r="T38" s="132"/>
      <c r="U38" s="400"/>
      <c r="V38" s="401"/>
      <c r="W38" s="52"/>
      <c r="X38" s="417">
        <f>IFERROR(VLOOKUP($C38,'Proposed Rates'!$B:$J,X$11,FALSE),0)</f>
        <v>0</v>
      </c>
      <c r="Y38" s="414">
        <f>IF($D38="Monthly",1,IF($D38="per KW",$F$10,IF($D38="per kWh",$F$9,0)))</f>
        <v>1</v>
      </c>
      <c r="Z38" s="399">
        <f t="shared" si="31"/>
        <v>0</v>
      </c>
      <c r="AA38" s="132"/>
      <c r="AB38" s="400">
        <f t="shared" si="13"/>
        <v>0</v>
      </c>
      <c r="AC38" s="401" t="str">
        <f t="shared" si="14"/>
        <v/>
      </c>
      <c r="AD38" s="52"/>
      <c r="AE38" s="417">
        <f>IFERROR(VLOOKUP($C38,'Proposed Rates'!$B:$J,AE$11,FALSE),0)</f>
        <v>0</v>
      </c>
      <c r="AF38" s="414">
        <f>IF($D38="Monthly",1,IF($D38="per KW",$F$10,IF($D38="per kWh",$F$9,0)))</f>
        <v>1</v>
      </c>
      <c r="AG38" s="399">
        <f t="shared" si="33"/>
        <v>0</v>
      </c>
      <c r="AH38" s="132"/>
      <c r="AI38" s="400">
        <f t="shared" si="17"/>
        <v>0</v>
      </c>
      <c r="AJ38" s="401" t="str">
        <f t="shared" si="18"/>
        <v/>
      </c>
      <c r="AK38" s="52"/>
      <c r="AL38" s="417">
        <f>IFERROR(VLOOKUP($C38,'Proposed Rates'!$B:$J,AL$11,FALSE),0)</f>
        <v>0</v>
      </c>
      <c r="AM38" s="414">
        <f>IF($D38="Monthly",1,IF($D38="per KW",$F$10,IF($D38="per kWh",$F$9,0)))</f>
        <v>1</v>
      </c>
      <c r="AN38" s="399">
        <f t="shared" si="35"/>
        <v>0</v>
      </c>
      <c r="AO38" s="132"/>
      <c r="AP38" s="400">
        <f t="shared" si="21"/>
        <v>0</v>
      </c>
      <c r="AQ38" s="401" t="str">
        <f t="shared" si="22"/>
        <v/>
      </c>
      <c r="AR38" s="402"/>
    </row>
    <row r="39" spans="1:44" ht="12.75" customHeight="1">
      <c r="A39" s="52"/>
      <c r="B39" s="485" t="s">
        <v>317</v>
      </c>
      <c r="C39" s="558"/>
      <c r="D39" s="421"/>
      <c r="E39" s="421"/>
      <c r="F39" s="422"/>
      <c r="G39" s="500"/>
      <c r="H39" s="408">
        <f>SUM(H30:H38)+H29</f>
        <v>25257.85</v>
      </c>
      <c r="I39" s="424"/>
      <c r="J39" s="422"/>
      <c r="K39" s="500"/>
      <c r="L39" s="408">
        <f>SUM(L30:L38)+L29</f>
        <v>27579.825000000001</v>
      </c>
      <c r="M39" s="424"/>
      <c r="N39" s="410">
        <f t="shared" si="5"/>
        <v>2321.9750000000022</v>
      </c>
      <c r="O39" s="411">
        <f t="shared" si="6"/>
        <v>9.1930825466142299E-2</v>
      </c>
      <c r="P39" s="52"/>
      <c r="Q39" s="422"/>
      <c r="R39" s="500"/>
      <c r="S39" s="408">
        <f>SUM(S30:S38)+S29</f>
        <v>24537.825000000001</v>
      </c>
      <c r="T39" s="424"/>
      <c r="U39" s="410">
        <f t="shared" ref="U39:U46" si="40">S39-L39</f>
        <v>-3042</v>
      </c>
      <c r="V39" s="411">
        <f t="shared" ref="V39:V46" si="41">IF((L39)=0,"",(U39/L39))</f>
        <v>-0.11029801675681408</v>
      </c>
      <c r="W39" s="52"/>
      <c r="X39" s="422"/>
      <c r="Y39" s="500"/>
      <c r="Z39" s="408">
        <f>SUM(Z30:Z38)+Z29</f>
        <v>26287.549999999996</v>
      </c>
      <c r="AA39" s="424"/>
      <c r="AB39" s="410">
        <f t="shared" si="13"/>
        <v>1749.7249999999949</v>
      </c>
      <c r="AC39" s="411">
        <f t="shared" si="14"/>
        <v>7.1307257265058932E-2</v>
      </c>
      <c r="AD39" s="52"/>
      <c r="AE39" s="422"/>
      <c r="AF39" s="500"/>
      <c r="AG39" s="408">
        <f>SUM(AG30:AG38)+AG29</f>
        <v>27219.525000000001</v>
      </c>
      <c r="AH39" s="424"/>
      <c r="AI39" s="410">
        <f t="shared" si="17"/>
        <v>931.97500000000582</v>
      </c>
      <c r="AJ39" s="411">
        <f t="shared" si="18"/>
        <v>3.5453094715939902E-2</v>
      </c>
      <c r="AK39" s="52"/>
      <c r="AL39" s="422"/>
      <c r="AM39" s="500"/>
      <c r="AN39" s="408">
        <f>SUM(AN30:AN38)+AN29</f>
        <v>28073.599999999999</v>
      </c>
      <c r="AO39" s="424"/>
      <c r="AP39" s="410">
        <f t="shared" si="21"/>
        <v>854.07499999999709</v>
      </c>
      <c r="AQ39" s="411">
        <f t="shared" si="22"/>
        <v>3.1377292586847016E-2</v>
      </c>
      <c r="AR39" s="412"/>
    </row>
    <row r="40" spans="1:44" ht="12.75" customHeight="1">
      <c r="A40" s="52"/>
      <c r="B40" s="132" t="s">
        <v>258</v>
      </c>
      <c r="C40" s="394" t="str">
        <f t="shared" ref="C40:C41" si="42">D$6&amp;"."&amp;B40</f>
        <v>General Service 1,500 to 4,999 KW.RTSR - Network</v>
      </c>
      <c r="D40" s="425" t="s">
        <v>381</v>
      </c>
      <c r="E40" s="132"/>
      <c r="F40" s="413">
        <f>IFERROR(VLOOKUP($C40,'Proposed Rates'!$B:$J,F$11,FALSE),0)</f>
        <v>5.0336999999999996</v>
      </c>
      <c r="G40" s="414">
        <f t="shared" ref="G40:G41" si="43">IF($D40="Monthly",1,IF($D40="per KW",$F$10,IF($D40="per kWh",$F$9,0)))</f>
        <v>2500</v>
      </c>
      <c r="H40" s="399">
        <f t="shared" ref="H40:H41" si="44">G40*F40</f>
        <v>12584.249999999998</v>
      </c>
      <c r="I40" s="132"/>
      <c r="J40" s="413">
        <f>IFERROR(VLOOKUP($C40,'Proposed Rates'!$B:$J,J$11,FALSE),0)</f>
        <v>4.5423999999999998</v>
      </c>
      <c r="K40" s="414">
        <f t="shared" ref="K40:K41" si="45">IF($D40="Monthly",1,IF($D40="per KW",$F$10,IF($D40="per kWh",$F$9,0)))</f>
        <v>2500</v>
      </c>
      <c r="L40" s="399">
        <f t="shared" ref="L40:L41" si="46">K40*J40</f>
        <v>11356</v>
      </c>
      <c r="M40" s="132"/>
      <c r="N40" s="400">
        <f t="shared" si="5"/>
        <v>-1228.2499999999982</v>
      </c>
      <c r="O40" s="401">
        <f t="shared" si="6"/>
        <v>-9.7602161431948539E-2</v>
      </c>
      <c r="P40" s="52"/>
      <c r="Q40" s="413">
        <f>IFERROR(VLOOKUP($C40,'Proposed Rates'!$B:$J,Q$11,FALSE),0)</f>
        <v>4.5423999999999998</v>
      </c>
      <c r="R40" s="414">
        <f t="shared" ref="R40:R41" si="47">IF($D40="Monthly",1,IF($D40="per KW",$F$10,IF($D40="per kWh",$F$9,0)))</f>
        <v>2500</v>
      </c>
      <c r="S40" s="399">
        <f t="shared" ref="S40:S41" si="48">R40*Q40</f>
        <v>11356</v>
      </c>
      <c r="T40" s="132"/>
      <c r="U40" s="400">
        <f t="shared" si="40"/>
        <v>0</v>
      </c>
      <c r="V40" s="401">
        <f t="shared" si="41"/>
        <v>0</v>
      </c>
      <c r="W40" s="52"/>
      <c r="X40" s="413">
        <f>IFERROR(VLOOKUP($C40,'Proposed Rates'!$B:$J,X$11,FALSE),0)</f>
        <v>4.5423999999999998</v>
      </c>
      <c r="Y40" s="414">
        <f t="shared" ref="Y40:Y41" si="49">IF($D40="Monthly",1,IF($D40="per KW",$F$10,IF($D40="per kWh",$F$9,0)))</f>
        <v>2500</v>
      </c>
      <c r="Z40" s="399">
        <f t="shared" ref="Z40:Z41" si="50">Y40*X40</f>
        <v>11356</v>
      </c>
      <c r="AA40" s="132"/>
      <c r="AB40" s="400">
        <f t="shared" si="13"/>
        <v>0</v>
      </c>
      <c r="AC40" s="401">
        <f t="shared" si="14"/>
        <v>0</v>
      </c>
      <c r="AD40" s="52"/>
      <c r="AE40" s="413">
        <f>IFERROR(VLOOKUP($C40,'Proposed Rates'!$B:$J,AE$11,FALSE),0)</f>
        <v>4.5423999999999998</v>
      </c>
      <c r="AF40" s="414">
        <f t="shared" ref="AF40:AF41" si="51">IF($D40="Monthly",1,IF($D40="per KW",$F$10,IF($D40="per kWh",$F$9,0)))</f>
        <v>2500</v>
      </c>
      <c r="AG40" s="399">
        <f t="shared" ref="AG40:AG41" si="52">AF40*AE40</f>
        <v>11356</v>
      </c>
      <c r="AH40" s="132"/>
      <c r="AI40" s="400">
        <f t="shared" si="17"/>
        <v>0</v>
      </c>
      <c r="AJ40" s="401">
        <f t="shared" si="18"/>
        <v>0</v>
      </c>
      <c r="AK40" s="52"/>
      <c r="AL40" s="413">
        <f>IFERROR(VLOOKUP($C40,'Proposed Rates'!$B:$J,AL$11,FALSE),0)</f>
        <v>4.5423999999999998</v>
      </c>
      <c r="AM40" s="414">
        <f t="shared" ref="AM40:AM41" si="53">IF($D40="Monthly",1,IF($D40="per KW",$F$10,IF($D40="per kWh",$F$9,0)))</f>
        <v>2500</v>
      </c>
      <c r="AN40" s="399">
        <f t="shared" ref="AN40:AN41" si="54">AM40*AL40</f>
        <v>11356</v>
      </c>
      <c r="AO40" s="132"/>
      <c r="AP40" s="400">
        <f t="shared" si="21"/>
        <v>0</v>
      </c>
      <c r="AQ40" s="401">
        <f t="shared" si="22"/>
        <v>0</v>
      </c>
      <c r="AR40" s="402"/>
    </row>
    <row r="41" spans="1:44" ht="12.75" customHeight="1">
      <c r="A41" s="52"/>
      <c r="B41" s="486" t="s">
        <v>261</v>
      </c>
      <c r="C41" s="394" t="str">
        <f t="shared" si="42"/>
        <v>General Service 1,500 to 4,999 KW.RTSR - Line and Transformation Connection</v>
      </c>
      <c r="D41" s="425" t="s">
        <v>381</v>
      </c>
      <c r="E41" s="132"/>
      <c r="F41" s="413">
        <f>IFERROR(VLOOKUP($C41,'Proposed Rates'!$B:$J,F$11,FALSE),0)</f>
        <v>3.0125999999999999</v>
      </c>
      <c r="G41" s="414">
        <f t="shared" si="43"/>
        <v>2500</v>
      </c>
      <c r="H41" s="399">
        <f t="shared" si="44"/>
        <v>7531.5</v>
      </c>
      <c r="I41" s="132"/>
      <c r="J41" s="413">
        <f>IFERROR(VLOOKUP($C41,'Proposed Rates'!$B:$J,J$11,FALSE),0)</f>
        <v>2.5712000000000002</v>
      </c>
      <c r="K41" s="414">
        <f t="shared" si="45"/>
        <v>2500</v>
      </c>
      <c r="L41" s="399">
        <f t="shared" si="46"/>
        <v>6428</v>
      </c>
      <c r="M41" s="132"/>
      <c r="N41" s="400">
        <f t="shared" si="5"/>
        <v>-1103.5</v>
      </c>
      <c r="O41" s="401">
        <f t="shared" si="6"/>
        <v>-0.14651795791011088</v>
      </c>
      <c r="P41" s="52"/>
      <c r="Q41" s="413">
        <f>IFERROR(VLOOKUP($C41,'Proposed Rates'!$B:$J,Q$11,FALSE),0)</f>
        <v>2.5712000000000002</v>
      </c>
      <c r="R41" s="414">
        <f t="shared" si="47"/>
        <v>2500</v>
      </c>
      <c r="S41" s="399">
        <f t="shared" si="48"/>
        <v>6428</v>
      </c>
      <c r="T41" s="132"/>
      <c r="U41" s="400">
        <f t="shared" si="40"/>
        <v>0</v>
      </c>
      <c r="V41" s="401">
        <f t="shared" si="41"/>
        <v>0</v>
      </c>
      <c r="W41" s="52"/>
      <c r="X41" s="413">
        <f>IFERROR(VLOOKUP($C41,'Proposed Rates'!$B:$J,X$11,FALSE),0)</f>
        <v>2.5712000000000002</v>
      </c>
      <c r="Y41" s="414">
        <f t="shared" si="49"/>
        <v>2500</v>
      </c>
      <c r="Z41" s="399">
        <f t="shared" si="50"/>
        <v>6428</v>
      </c>
      <c r="AA41" s="132"/>
      <c r="AB41" s="400">
        <f t="shared" si="13"/>
        <v>0</v>
      </c>
      <c r="AC41" s="401">
        <f t="shared" si="14"/>
        <v>0</v>
      </c>
      <c r="AD41" s="52"/>
      <c r="AE41" s="413">
        <f>IFERROR(VLOOKUP($C41,'Proposed Rates'!$B:$J,AE$11,FALSE),0)</f>
        <v>2.5712000000000002</v>
      </c>
      <c r="AF41" s="414">
        <f t="shared" si="51"/>
        <v>2500</v>
      </c>
      <c r="AG41" s="399">
        <f t="shared" si="52"/>
        <v>6428</v>
      </c>
      <c r="AH41" s="132"/>
      <c r="AI41" s="400">
        <f t="shared" si="17"/>
        <v>0</v>
      </c>
      <c r="AJ41" s="401">
        <f t="shared" si="18"/>
        <v>0</v>
      </c>
      <c r="AK41" s="52"/>
      <c r="AL41" s="413">
        <f>IFERROR(VLOOKUP($C41,'Proposed Rates'!$B:$J,AL$11,FALSE),0)</f>
        <v>2.5712000000000002</v>
      </c>
      <c r="AM41" s="414">
        <f t="shared" si="53"/>
        <v>2500</v>
      </c>
      <c r="AN41" s="399">
        <f t="shared" si="54"/>
        <v>6428</v>
      </c>
      <c r="AO41" s="132"/>
      <c r="AP41" s="400">
        <f t="shared" si="21"/>
        <v>0</v>
      </c>
      <c r="AQ41" s="401">
        <f t="shared" si="22"/>
        <v>0</v>
      </c>
      <c r="AR41" s="402"/>
    </row>
    <row r="42" spans="1:44" ht="12.75" customHeight="1">
      <c r="A42" s="52"/>
      <c r="B42" s="485" t="s">
        <v>318</v>
      </c>
      <c r="C42" s="559"/>
      <c r="D42" s="426"/>
      <c r="E42" s="426"/>
      <c r="F42" s="427"/>
      <c r="G42" s="500"/>
      <c r="H42" s="408">
        <f>SUM(H39:H41)</f>
        <v>45373.599999999999</v>
      </c>
      <c r="I42" s="409"/>
      <c r="J42" s="427"/>
      <c r="K42" s="500"/>
      <c r="L42" s="408">
        <f>SUM(L39:L41)</f>
        <v>45363.824999999997</v>
      </c>
      <c r="M42" s="409"/>
      <c r="N42" s="410">
        <f t="shared" si="5"/>
        <v>-9.7750000000014552</v>
      </c>
      <c r="O42" s="411">
        <f t="shared" si="6"/>
        <v>-2.1543364423368336E-4</v>
      </c>
      <c r="P42" s="52"/>
      <c r="Q42" s="427"/>
      <c r="R42" s="500"/>
      <c r="S42" s="408">
        <f>SUM(S39:S41)</f>
        <v>42321.824999999997</v>
      </c>
      <c r="T42" s="409"/>
      <c r="U42" s="410">
        <f t="shared" si="40"/>
        <v>-3042</v>
      </c>
      <c r="V42" s="411">
        <f t="shared" si="41"/>
        <v>-6.7057837384744343E-2</v>
      </c>
      <c r="W42" s="52"/>
      <c r="X42" s="427"/>
      <c r="Y42" s="500"/>
      <c r="Z42" s="408">
        <f>SUM(Z39:Z41)</f>
        <v>44071.549999999996</v>
      </c>
      <c r="AA42" s="409"/>
      <c r="AB42" s="410">
        <f t="shared" si="13"/>
        <v>1749.7249999999985</v>
      </c>
      <c r="AC42" s="411">
        <f t="shared" si="14"/>
        <v>4.1343325813572515E-2</v>
      </c>
      <c r="AD42" s="52"/>
      <c r="AE42" s="427"/>
      <c r="AF42" s="500"/>
      <c r="AG42" s="408">
        <f>SUM(AG39:AG41)</f>
        <v>45003.525000000001</v>
      </c>
      <c r="AH42" s="409"/>
      <c r="AI42" s="410">
        <f t="shared" si="17"/>
        <v>931.97500000000582</v>
      </c>
      <c r="AJ42" s="411">
        <f t="shared" si="18"/>
        <v>2.1146862318207685E-2</v>
      </c>
      <c r="AK42" s="52"/>
      <c r="AL42" s="427"/>
      <c r="AM42" s="500"/>
      <c r="AN42" s="408">
        <f>SUM(AN39:AN41)</f>
        <v>45857.599999999999</v>
      </c>
      <c r="AO42" s="409"/>
      <c r="AP42" s="410">
        <f t="shared" si="21"/>
        <v>854.07499999999709</v>
      </c>
      <c r="AQ42" s="411">
        <f t="shared" si="22"/>
        <v>1.8977957837747091E-2</v>
      </c>
      <c r="AR42" s="412"/>
    </row>
    <row r="43" spans="1:44" ht="12.75" customHeight="1">
      <c r="A43" s="52"/>
      <c r="B43" s="487" t="s">
        <v>262</v>
      </c>
      <c r="C43" s="394" t="str">
        <f t="shared" ref="C43:C45" si="55">D$6&amp;"."&amp;B43</f>
        <v>General Service 1,500 to 4,999 KW.Wholesale Market Service Charge (WMSC)</v>
      </c>
      <c r="D43" s="395" t="s">
        <v>312</v>
      </c>
      <c r="E43" s="321"/>
      <c r="F43" s="413">
        <f>IFERROR(VLOOKUP($C43,'Proposed Rates'!$B:$J,F$11,FALSE),0)</f>
        <v>4.4999999999999997E-3</v>
      </c>
      <c r="G43" s="507">
        <f t="shared" ref="G43:G44" si="56">$F$9+G$37</f>
        <v>1320679.5</v>
      </c>
      <c r="H43" s="399">
        <f t="shared" ref="H43:H46" si="57">G43*F43</f>
        <v>5943.0577499999999</v>
      </c>
      <c r="I43" s="132"/>
      <c r="J43" s="413">
        <f>IFERROR(VLOOKUP($C43,'Proposed Rates'!$B:$J,J$11,FALSE),0)</f>
        <v>4.7000000000000002E-3</v>
      </c>
      <c r="K43" s="507">
        <f t="shared" ref="K43:K44" si="58">$F$9+K$37</f>
        <v>1319912.9999999998</v>
      </c>
      <c r="L43" s="399">
        <f t="shared" ref="L43:L46" si="59">K43*J43</f>
        <v>6203.5910999999987</v>
      </c>
      <c r="M43" s="132"/>
      <c r="N43" s="400">
        <f t="shared" si="5"/>
        <v>260.53334999999879</v>
      </c>
      <c r="O43" s="401">
        <f t="shared" si="6"/>
        <v>4.3838266589282054E-2</v>
      </c>
      <c r="P43" s="52"/>
      <c r="Q43" s="413">
        <f>IFERROR(VLOOKUP($C43,'Proposed Rates'!$B:$J,Q$11,FALSE),0)</f>
        <v>4.7000000000000002E-3</v>
      </c>
      <c r="R43" s="507">
        <f t="shared" ref="R43:R44" si="60">$F$9+R$37</f>
        <v>1319912.9999999998</v>
      </c>
      <c r="S43" s="399">
        <f t="shared" ref="S43:S46" si="61">R43*Q43</f>
        <v>6203.5910999999987</v>
      </c>
      <c r="T43" s="132"/>
      <c r="U43" s="400">
        <f t="shared" si="40"/>
        <v>0</v>
      </c>
      <c r="V43" s="401">
        <f t="shared" si="41"/>
        <v>0</v>
      </c>
      <c r="W43" s="52"/>
      <c r="X43" s="413">
        <f>IFERROR(VLOOKUP($C43,'Proposed Rates'!$B:$J,X$11,FALSE),0)</f>
        <v>4.7000000000000002E-3</v>
      </c>
      <c r="Y43" s="507">
        <f t="shared" ref="Y43:Y44" si="62">$F$9+Y$37</f>
        <v>1319912.9999999998</v>
      </c>
      <c r="Z43" s="399">
        <f t="shared" ref="Z43:Z46" si="63">Y43*X43</f>
        <v>6203.5910999999987</v>
      </c>
      <c r="AA43" s="132"/>
      <c r="AB43" s="400">
        <f t="shared" si="13"/>
        <v>0</v>
      </c>
      <c r="AC43" s="401">
        <f t="shared" si="14"/>
        <v>0</v>
      </c>
      <c r="AD43" s="52"/>
      <c r="AE43" s="413">
        <f>IFERROR(VLOOKUP($C43,'Proposed Rates'!$B:$J,AE$11,FALSE),0)</f>
        <v>4.7000000000000002E-3</v>
      </c>
      <c r="AF43" s="507">
        <f t="shared" ref="AF43:AF44" si="64">$F$9+AF$37</f>
        <v>1319912.9999999998</v>
      </c>
      <c r="AG43" s="399">
        <f t="shared" ref="AG43:AG46" si="65">AF43*AE43</f>
        <v>6203.5910999999987</v>
      </c>
      <c r="AH43" s="132"/>
      <c r="AI43" s="400">
        <f t="shared" si="17"/>
        <v>0</v>
      </c>
      <c r="AJ43" s="401">
        <f t="shared" si="18"/>
        <v>0</v>
      </c>
      <c r="AK43" s="52"/>
      <c r="AL43" s="413">
        <f>IFERROR(VLOOKUP($C43,'Proposed Rates'!$B:$J,AL$11,FALSE),0)</f>
        <v>4.7000000000000002E-3</v>
      </c>
      <c r="AM43" s="507">
        <f t="shared" ref="AM43:AM44" si="66">$F$9+AM$37</f>
        <v>1319912.9999999998</v>
      </c>
      <c r="AN43" s="399">
        <f t="shared" ref="AN43:AN46" si="67">AM43*AL43</f>
        <v>6203.5910999999987</v>
      </c>
      <c r="AO43" s="132"/>
      <c r="AP43" s="400">
        <f t="shared" si="21"/>
        <v>0</v>
      </c>
      <c r="AQ43" s="401">
        <f t="shared" si="22"/>
        <v>0</v>
      </c>
      <c r="AR43" s="402"/>
    </row>
    <row r="44" spans="1:44" ht="12.75" customHeight="1">
      <c r="A44" s="52"/>
      <c r="B44" s="487" t="s">
        <v>263</v>
      </c>
      <c r="C44" s="394" t="str">
        <f t="shared" si="55"/>
        <v>General Service 1,500 to 4,999 KW.Rural and Remote Rate Protection (RRRP)</v>
      </c>
      <c r="D44" s="395" t="s">
        <v>312</v>
      </c>
      <c r="E44" s="321"/>
      <c r="F44" s="413">
        <f>IFERROR(VLOOKUP($C44,'Proposed Rates'!$B:$J,F$11,FALSE),0)</f>
        <v>1.5E-3</v>
      </c>
      <c r="G44" s="507">
        <f t="shared" si="56"/>
        <v>1320679.5</v>
      </c>
      <c r="H44" s="399">
        <f t="shared" si="57"/>
        <v>1981.0192500000001</v>
      </c>
      <c r="I44" s="132"/>
      <c r="J44" s="413">
        <f>IFERROR(VLOOKUP($C44,'Proposed Rates'!$B:$J,J$11,FALSE),0)</f>
        <v>5.9999999999999995E-4</v>
      </c>
      <c r="K44" s="507">
        <f t="shared" si="58"/>
        <v>1319912.9999999998</v>
      </c>
      <c r="L44" s="399">
        <f t="shared" si="59"/>
        <v>791.9477999999998</v>
      </c>
      <c r="M44" s="132"/>
      <c r="N44" s="400">
        <f t="shared" si="5"/>
        <v>-1189.0714500000004</v>
      </c>
      <c r="O44" s="401">
        <f t="shared" si="6"/>
        <v>-0.60023215322112611</v>
      </c>
      <c r="P44" s="52"/>
      <c r="Q44" s="413">
        <f>IFERROR(VLOOKUP($C44,'Proposed Rates'!$B:$J,Q$11,FALSE),0)</f>
        <v>5.9999999999999995E-4</v>
      </c>
      <c r="R44" s="507">
        <f t="shared" si="60"/>
        <v>1319912.9999999998</v>
      </c>
      <c r="S44" s="399">
        <f t="shared" si="61"/>
        <v>791.9477999999998</v>
      </c>
      <c r="T44" s="132"/>
      <c r="U44" s="400">
        <f t="shared" si="40"/>
        <v>0</v>
      </c>
      <c r="V44" s="401">
        <f t="shared" si="41"/>
        <v>0</v>
      </c>
      <c r="W44" s="52"/>
      <c r="X44" s="413">
        <f>IFERROR(VLOOKUP($C44,'Proposed Rates'!$B:$J,X$11,FALSE),0)</f>
        <v>5.9999999999999995E-4</v>
      </c>
      <c r="Y44" s="507">
        <f t="shared" si="62"/>
        <v>1319912.9999999998</v>
      </c>
      <c r="Z44" s="399">
        <f t="shared" si="63"/>
        <v>791.9477999999998</v>
      </c>
      <c r="AA44" s="132"/>
      <c r="AB44" s="400">
        <f t="shared" si="13"/>
        <v>0</v>
      </c>
      <c r="AC44" s="401">
        <f t="shared" si="14"/>
        <v>0</v>
      </c>
      <c r="AD44" s="52"/>
      <c r="AE44" s="413">
        <f>IFERROR(VLOOKUP($C44,'Proposed Rates'!$B:$J,AE$11,FALSE),0)</f>
        <v>5.9999999999999995E-4</v>
      </c>
      <c r="AF44" s="507">
        <f t="shared" si="64"/>
        <v>1319912.9999999998</v>
      </c>
      <c r="AG44" s="399">
        <f t="shared" si="65"/>
        <v>791.9477999999998</v>
      </c>
      <c r="AH44" s="132"/>
      <c r="AI44" s="400">
        <f t="shared" si="17"/>
        <v>0</v>
      </c>
      <c r="AJ44" s="401">
        <f t="shared" si="18"/>
        <v>0</v>
      </c>
      <c r="AK44" s="52"/>
      <c r="AL44" s="413">
        <f>IFERROR(VLOOKUP($C44,'Proposed Rates'!$B:$J,AL$11,FALSE),0)</f>
        <v>5.9999999999999995E-4</v>
      </c>
      <c r="AM44" s="507">
        <f t="shared" si="66"/>
        <v>1319912.9999999998</v>
      </c>
      <c r="AN44" s="399">
        <f t="shared" si="67"/>
        <v>791.9477999999998</v>
      </c>
      <c r="AO44" s="132"/>
      <c r="AP44" s="400">
        <f t="shared" si="21"/>
        <v>0</v>
      </c>
      <c r="AQ44" s="401">
        <f t="shared" si="22"/>
        <v>0</v>
      </c>
      <c r="AR44" s="402"/>
    </row>
    <row r="45" spans="1:44" ht="12.75" customHeight="1">
      <c r="A45" s="52"/>
      <c r="B45" s="321" t="s">
        <v>264</v>
      </c>
      <c r="C45" s="394" t="str">
        <f t="shared" si="55"/>
        <v>General Service 1,500 to 4,999 KW.Standard Supply Service Charge</v>
      </c>
      <c r="D45" s="395" t="s">
        <v>310</v>
      </c>
      <c r="E45" s="321"/>
      <c r="F45" s="413">
        <f>IFERROR(VLOOKUP($C45,'Proposed Rates'!$B:$J,F$11,FALSE),0)</f>
        <v>0.25</v>
      </c>
      <c r="G45" s="414">
        <f>IF($D45="Monthly",1,IF($D45="per KW",$F$10,IF($D45="per kWh",$F$9,0)))</f>
        <v>1</v>
      </c>
      <c r="H45" s="399">
        <f t="shared" si="57"/>
        <v>0.25</v>
      </c>
      <c r="I45" s="132"/>
      <c r="J45" s="413">
        <f>IFERROR(VLOOKUP($C45,'Proposed Rates'!$B:$J,J$11,FALSE),0)</f>
        <v>0.25</v>
      </c>
      <c r="K45" s="414">
        <f>IF($D45="Monthly",1,IF($D45="per KW",$F$10,IF($D45="per kWh",$F$9,0)))</f>
        <v>1</v>
      </c>
      <c r="L45" s="399">
        <f t="shared" si="59"/>
        <v>0.25</v>
      </c>
      <c r="M45" s="132"/>
      <c r="N45" s="400">
        <f t="shared" si="5"/>
        <v>0</v>
      </c>
      <c r="O45" s="401">
        <f t="shared" si="6"/>
        <v>0</v>
      </c>
      <c r="P45" s="52"/>
      <c r="Q45" s="413">
        <f>IFERROR(VLOOKUP($C45,'Proposed Rates'!$B:$J,Q$11,FALSE),0)</f>
        <v>0.25</v>
      </c>
      <c r="R45" s="414">
        <f>IF($D45="Monthly",1,IF($D45="per KW",$F$10,IF($D45="per kWh",$F$9,0)))</f>
        <v>1</v>
      </c>
      <c r="S45" s="399">
        <f t="shared" si="61"/>
        <v>0.25</v>
      </c>
      <c r="T45" s="132"/>
      <c r="U45" s="400">
        <f t="shared" si="40"/>
        <v>0</v>
      </c>
      <c r="V45" s="401">
        <f t="shared" si="41"/>
        <v>0</v>
      </c>
      <c r="W45" s="52"/>
      <c r="X45" s="413">
        <f>IFERROR(VLOOKUP($C45,'Proposed Rates'!$B:$J,X$11,FALSE),0)</f>
        <v>0.25</v>
      </c>
      <c r="Y45" s="414">
        <f>IF($D45="Monthly",1,IF($D45="per KW",$F$10,IF($D45="per kWh",$F$9,0)))</f>
        <v>1</v>
      </c>
      <c r="Z45" s="399">
        <f t="shared" si="63"/>
        <v>0.25</v>
      </c>
      <c r="AA45" s="132"/>
      <c r="AB45" s="400">
        <f t="shared" si="13"/>
        <v>0</v>
      </c>
      <c r="AC45" s="401">
        <f t="shared" si="14"/>
        <v>0</v>
      </c>
      <c r="AD45" s="52"/>
      <c r="AE45" s="413">
        <f>IFERROR(VLOOKUP($C45,'Proposed Rates'!$B:$J,AE$11,FALSE),0)</f>
        <v>0.25</v>
      </c>
      <c r="AF45" s="414">
        <f>IF($D45="Monthly",1,IF($D45="per KW",$F$10,IF($D45="per kWh",$F$9,0)))</f>
        <v>1</v>
      </c>
      <c r="AG45" s="399">
        <f t="shared" si="65"/>
        <v>0.25</v>
      </c>
      <c r="AH45" s="132"/>
      <c r="AI45" s="400">
        <f t="shared" si="17"/>
        <v>0</v>
      </c>
      <c r="AJ45" s="401">
        <f t="shared" si="18"/>
        <v>0</v>
      </c>
      <c r="AK45" s="52"/>
      <c r="AL45" s="413">
        <f>IFERROR(VLOOKUP($C45,'Proposed Rates'!$B:$J,AL$11,FALSE),0)</f>
        <v>0.25</v>
      </c>
      <c r="AM45" s="414">
        <f>IF($D45="Monthly",1,IF($D45="per KW",$F$10,IF($D45="per kWh",$F$9,0)))</f>
        <v>1</v>
      </c>
      <c r="AN45" s="399">
        <f t="shared" si="67"/>
        <v>0.25</v>
      </c>
      <c r="AO45" s="132"/>
      <c r="AP45" s="400">
        <f t="shared" si="21"/>
        <v>0</v>
      </c>
      <c r="AQ45" s="401">
        <f t="shared" si="22"/>
        <v>0</v>
      </c>
      <c r="AR45" s="402"/>
    </row>
    <row r="46" spans="1:44" ht="12.75" customHeight="1">
      <c r="A46" s="52"/>
      <c r="B46" s="321" t="s">
        <v>271</v>
      </c>
      <c r="C46" s="394" t="str">
        <f>B46</f>
        <v>Average IESO Wholesale Market Price</v>
      </c>
      <c r="D46" s="395" t="s">
        <v>312</v>
      </c>
      <c r="E46" s="321"/>
      <c r="F46" s="413">
        <f>IFERROR(VLOOKUP($C46,'Proposed Rates'!$B:$J,F$11,FALSE),0)</f>
        <v>0.10453</v>
      </c>
      <c r="G46" s="507">
        <f>$F$9+G$37</f>
        <v>1320679.5</v>
      </c>
      <c r="H46" s="399">
        <f t="shared" si="57"/>
        <v>138050.62813500001</v>
      </c>
      <c r="I46" s="132"/>
      <c r="J46" s="413">
        <f>IFERROR(VLOOKUP($C46,'Proposed Rates'!$B:$J,J$11,FALSE),0)</f>
        <v>0.10453</v>
      </c>
      <c r="K46" s="507">
        <f>$F$9+K$37</f>
        <v>1319912.9999999998</v>
      </c>
      <c r="L46" s="399">
        <f t="shared" si="59"/>
        <v>137970.50588999997</v>
      </c>
      <c r="M46" s="132"/>
      <c r="N46" s="400">
        <f t="shared" si="5"/>
        <v>-80.122245000035036</v>
      </c>
      <c r="O46" s="401">
        <f t="shared" si="6"/>
        <v>-5.8038305281511162E-4</v>
      </c>
      <c r="P46" s="52"/>
      <c r="Q46" s="413">
        <f>IFERROR(VLOOKUP($C46,'Proposed Rates'!$B:$J,Q$11,FALSE),0)</f>
        <v>0.10453</v>
      </c>
      <c r="R46" s="507">
        <f>$F$9+R$37</f>
        <v>1319912.9999999998</v>
      </c>
      <c r="S46" s="399">
        <f t="shared" si="61"/>
        <v>137970.50588999997</v>
      </c>
      <c r="T46" s="132"/>
      <c r="U46" s="400">
        <f t="shared" si="40"/>
        <v>0</v>
      </c>
      <c r="V46" s="401">
        <f t="shared" si="41"/>
        <v>0</v>
      </c>
      <c r="W46" s="52"/>
      <c r="X46" s="413">
        <f>IFERROR(VLOOKUP($C46,'Proposed Rates'!$B:$J,X$11,FALSE),0)</f>
        <v>0.10453</v>
      </c>
      <c r="Y46" s="507">
        <f>$F$9+Y$37</f>
        <v>1319912.9999999998</v>
      </c>
      <c r="Z46" s="399">
        <f t="shared" si="63"/>
        <v>137970.50588999997</v>
      </c>
      <c r="AA46" s="132"/>
      <c r="AB46" s="400">
        <f t="shared" si="13"/>
        <v>0</v>
      </c>
      <c r="AC46" s="401">
        <f t="shared" si="14"/>
        <v>0</v>
      </c>
      <c r="AD46" s="52"/>
      <c r="AE46" s="413">
        <f>IFERROR(VLOOKUP($C46,'Proposed Rates'!$B:$J,AE$11,FALSE),0)</f>
        <v>0.10453</v>
      </c>
      <c r="AF46" s="507">
        <f>$F$9+AF$37</f>
        <v>1319912.9999999998</v>
      </c>
      <c r="AG46" s="399">
        <f t="shared" si="65"/>
        <v>137970.50588999997</v>
      </c>
      <c r="AH46" s="132"/>
      <c r="AI46" s="400">
        <f t="shared" si="17"/>
        <v>0</v>
      </c>
      <c r="AJ46" s="401">
        <f t="shared" si="18"/>
        <v>0</v>
      </c>
      <c r="AK46" s="52"/>
      <c r="AL46" s="413">
        <f>IFERROR(VLOOKUP($C46,'Proposed Rates'!$B:$J,AL$11,FALSE),0)</f>
        <v>0.10453</v>
      </c>
      <c r="AM46" s="507">
        <f>$F$9+AM$37</f>
        <v>1319912.9999999998</v>
      </c>
      <c r="AN46" s="399">
        <f t="shared" si="67"/>
        <v>137970.50588999997</v>
      </c>
      <c r="AO46" s="132"/>
      <c r="AP46" s="400">
        <f t="shared" si="21"/>
        <v>0</v>
      </c>
      <c r="AQ46" s="401">
        <f t="shared" si="22"/>
        <v>0</v>
      </c>
      <c r="AR46" s="402"/>
    </row>
    <row r="47" spans="1:44" ht="7.5" customHeight="1">
      <c r="A47" s="52"/>
      <c r="B47" s="321"/>
      <c r="C47" s="394" t="str">
        <f t="shared" ref="C47:C50" si="68">D$6&amp;"."&amp;B47</f>
        <v>General Service 1,500 to 4,999 KW.</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7.5" customHeight="1">
      <c r="A48" s="52"/>
      <c r="B48" s="52"/>
      <c r="C48" s="394" t="str">
        <f t="shared" si="68"/>
        <v>General Service 1,500 to 4,999 KW.</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7.5" customHeight="1">
      <c r="A49" s="52"/>
      <c r="B49" s="321"/>
      <c r="C49" s="394" t="str">
        <f t="shared" si="68"/>
        <v>General Service 1,500 to 4,999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7.5" customHeight="1">
      <c r="A50" s="52"/>
      <c r="B50" s="321"/>
      <c r="C50" s="394" t="str">
        <f t="shared" si="68"/>
        <v>General Service 1,500 to 4,999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8.2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75" customHeight="1">
      <c r="A52" s="52"/>
      <c r="B52" s="443" t="s">
        <v>319</v>
      </c>
      <c r="C52" s="561"/>
      <c r="D52" s="321"/>
      <c r="E52" s="321"/>
      <c r="F52" s="444"/>
      <c r="G52" s="488"/>
      <c r="H52" s="446">
        <f>SUM(H43:H48,H42)</f>
        <v>191348.555135</v>
      </c>
      <c r="I52" s="481"/>
      <c r="J52" s="445"/>
      <c r="K52" s="445"/>
      <c r="L52" s="446">
        <f>SUM(L43:L48,L42)</f>
        <v>190330.11978999997</v>
      </c>
      <c r="M52" s="448"/>
      <c r="N52" s="447">
        <f t="shared" ref="N52:N56" si="69">L52-H52</f>
        <v>-1018.4353450000344</v>
      </c>
      <c r="O52" s="449">
        <f t="shared" ref="O52:O56" si="70">IF((H52)=0,"",(N52/H52))</f>
        <v>-5.3224093815681505E-3</v>
      </c>
      <c r="P52" s="52"/>
      <c r="Q52" s="445"/>
      <c r="R52" s="445"/>
      <c r="S52" s="446">
        <f>SUM(S43:S48,S42)</f>
        <v>187288.11978999997</v>
      </c>
      <c r="T52" s="448"/>
      <c r="U52" s="447">
        <f t="shared" ref="U52:U56" si="71">S52-L52</f>
        <v>-3042</v>
      </c>
      <c r="V52" s="449">
        <f t="shared" ref="V52:V56" si="72">IF((L52)=0,"",(U52/L52))</f>
        <v>-1.5982756714262459E-2</v>
      </c>
      <c r="W52" s="52"/>
      <c r="X52" s="445"/>
      <c r="Y52" s="445"/>
      <c r="Z52" s="446">
        <f>SUM(Z43:Z48,Z42)</f>
        <v>189037.84478999994</v>
      </c>
      <c r="AA52" s="448"/>
      <c r="AB52" s="447">
        <f t="shared" ref="AB52:AB56" si="73">Z52-S52</f>
        <v>1749.7249999999767</v>
      </c>
      <c r="AC52" s="449">
        <f t="shared" ref="AC52:AC56" si="74">IF((S52)=0,"",(AB52/S52))</f>
        <v>9.3424238652290714E-3</v>
      </c>
      <c r="AD52" s="52"/>
      <c r="AE52" s="445"/>
      <c r="AF52" s="445"/>
      <c r="AG52" s="446">
        <f>SUM(AG43:AG48,AG42)</f>
        <v>189969.81978999995</v>
      </c>
      <c r="AH52" s="448"/>
      <c r="AI52" s="447">
        <f t="shared" ref="AI52:AI56" si="75">AG52-Z52</f>
        <v>931.97500000000582</v>
      </c>
      <c r="AJ52" s="449">
        <f t="shared" ref="AJ52:AJ56" si="76">IF((Z52)=0,"",(AI52/Z52))</f>
        <v>4.9300974682361968E-3</v>
      </c>
      <c r="AK52" s="52"/>
      <c r="AL52" s="445"/>
      <c r="AM52" s="445"/>
      <c r="AN52" s="446">
        <f>SUM(AN43:AN48,AN42)</f>
        <v>190823.89478999996</v>
      </c>
      <c r="AO52" s="448"/>
      <c r="AP52" s="447">
        <f t="shared" ref="AP52:AP56" si="77">AN52-AG52</f>
        <v>854.07500000001164</v>
      </c>
      <c r="AQ52" s="449">
        <f t="shared" ref="AQ52:AQ56" si="78">IF((AG52)=0,"",(AP52/AG52))</f>
        <v>4.4958457135145964E-3</v>
      </c>
      <c r="AR52" s="450"/>
    </row>
    <row r="53" spans="1:44" ht="12.75" customHeight="1">
      <c r="A53" s="52"/>
      <c r="B53" s="451" t="s">
        <v>320</v>
      </c>
      <c r="C53" s="561"/>
      <c r="D53" s="321"/>
      <c r="E53" s="321"/>
      <c r="F53" s="444">
        <v>0.13</v>
      </c>
      <c r="G53" s="132"/>
      <c r="H53" s="489">
        <f>H52*F53</f>
        <v>24875.312167550001</v>
      </c>
      <c r="I53" s="416"/>
      <c r="J53" s="452">
        <v>0.13</v>
      </c>
      <c r="K53" s="416"/>
      <c r="L53" s="399">
        <f>L52*J53</f>
        <v>24742.915572699996</v>
      </c>
      <c r="M53" s="132"/>
      <c r="N53" s="400">
        <f t="shared" si="69"/>
        <v>-132.39659485000448</v>
      </c>
      <c r="O53" s="401">
        <f t="shared" si="70"/>
        <v>-5.3224093815681496E-3</v>
      </c>
      <c r="P53" s="52"/>
      <c r="Q53" s="452">
        <v>0.13</v>
      </c>
      <c r="R53" s="416"/>
      <c r="S53" s="399">
        <f>S52*Q53</f>
        <v>24347.455572699997</v>
      </c>
      <c r="T53" s="132"/>
      <c r="U53" s="400">
        <f t="shared" si="71"/>
        <v>-395.45999999999913</v>
      </c>
      <c r="V53" s="401">
        <f t="shared" si="72"/>
        <v>-1.5982756714262424E-2</v>
      </c>
      <c r="W53" s="52"/>
      <c r="X53" s="452">
        <v>0.13</v>
      </c>
      <c r="Y53" s="416"/>
      <c r="Z53" s="399">
        <f>Z52*X53</f>
        <v>24574.919822699994</v>
      </c>
      <c r="AA53" s="132"/>
      <c r="AB53" s="400">
        <f t="shared" si="73"/>
        <v>227.46424999999726</v>
      </c>
      <c r="AC53" s="401">
        <f t="shared" si="74"/>
        <v>9.3424238652290818E-3</v>
      </c>
      <c r="AD53" s="52"/>
      <c r="AE53" s="452">
        <v>0.13</v>
      </c>
      <c r="AF53" s="416"/>
      <c r="AG53" s="399">
        <f>AG52*AE53</f>
        <v>24696.076572699996</v>
      </c>
      <c r="AH53" s="132"/>
      <c r="AI53" s="400">
        <f t="shared" si="75"/>
        <v>121.15675000000192</v>
      </c>
      <c r="AJ53" s="401">
        <f t="shared" si="76"/>
        <v>4.9300974682362437E-3</v>
      </c>
      <c r="AK53" s="52"/>
      <c r="AL53" s="452">
        <v>0.13</v>
      </c>
      <c r="AM53" s="416"/>
      <c r="AN53" s="399">
        <f>AN52*AL53</f>
        <v>24807.106322699998</v>
      </c>
      <c r="AO53" s="132"/>
      <c r="AP53" s="400">
        <f t="shared" si="77"/>
        <v>111.02975000000151</v>
      </c>
      <c r="AQ53" s="401">
        <f t="shared" si="78"/>
        <v>4.4958457135145964E-3</v>
      </c>
      <c r="AR53" s="402"/>
    </row>
    <row r="54" spans="1:44" ht="12.75" customHeight="1">
      <c r="A54" s="52"/>
      <c r="B54" s="490" t="s">
        <v>403</v>
      </c>
      <c r="C54" s="561"/>
      <c r="D54" s="321"/>
      <c r="E54" s="321"/>
      <c r="F54" s="454"/>
      <c r="G54" s="132"/>
      <c r="H54" s="489">
        <f>H52+H53</f>
        <v>216223.86730255</v>
      </c>
      <c r="I54" s="416"/>
      <c r="J54" s="416"/>
      <c r="K54" s="416"/>
      <c r="L54" s="399">
        <f>L52+L53</f>
        <v>215073.03536269997</v>
      </c>
      <c r="M54" s="132"/>
      <c r="N54" s="400">
        <f t="shared" si="69"/>
        <v>-1150.8319398500316</v>
      </c>
      <c r="O54" s="401">
        <f t="shared" si="70"/>
        <v>-5.3224093815681167E-3</v>
      </c>
      <c r="P54" s="52"/>
      <c r="Q54" s="416"/>
      <c r="R54" s="416"/>
      <c r="S54" s="399">
        <f>S52+S53</f>
        <v>211635.57536269998</v>
      </c>
      <c r="T54" s="132"/>
      <c r="U54" s="400">
        <f t="shared" si="71"/>
        <v>-3437.4599999999919</v>
      </c>
      <c r="V54" s="401">
        <f t="shared" si="72"/>
        <v>-1.5982756714262421E-2</v>
      </c>
      <c r="W54" s="52"/>
      <c r="X54" s="416"/>
      <c r="Y54" s="416"/>
      <c r="Z54" s="399">
        <f>Z52+Z53</f>
        <v>213612.76461269995</v>
      </c>
      <c r="AA54" s="132"/>
      <c r="AB54" s="400">
        <f t="shared" si="73"/>
        <v>1977.1892499999667</v>
      </c>
      <c r="AC54" s="401">
        <f t="shared" si="74"/>
        <v>9.3424238652290367E-3</v>
      </c>
      <c r="AD54" s="52"/>
      <c r="AE54" s="416"/>
      <c r="AF54" s="416"/>
      <c r="AG54" s="399">
        <f>AG52+AG53</f>
        <v>214665.89636269995</v>
      </c>
      <c r="AH54" s="132"/>
      <c r="AI54" s="400">
        <f t="shared" si="75"/>
        <v>1053.1317500000005</v>
      </c>
      <c r="AJ54" s="401">
        <f t="shared" si="76"/>
        <v>4.9300974682361682E-3</v>
      </c>
      <c r="AK54" s="52"/>
      <c r="AL54" s="416"/>
      <c r="AM54" s="416"/>
      <c r="AN54" s="399">
        <f>AN52+AN53</f>
        <v>215631.00111269997</v>
      </c>
      <c r="AO54" s="132"/>
      <c r="AP54" s="400">
        <f t="shared" si="77"/>
        <v>965.10475000002771</v>
      </c>
      <c r="AQ54" s="401">
        <f t="shared" si="78"/>
        <v>4.4958457135146641E-3</v>
      </c>
      <c r="AR54" s="402"/>
    </row>
    <row r="55" spans="1:44" ht="15.75" customHeight="1">
      <c r="A55" s="52"/>
      <c r="B55" s="632" t="s">
        <v>277</v>
      </c>
      <c r="C55" s="623"/>
      <c r="D55" s="623"/>
      <c r="E55" s="321"/>
      <c r="F55" s="454"/>
      <c r="G55" s="132"/>
      <c r="H55" s="491">
        <f>F55*H52</f>
        <v>0</v>
      </c>
      <c r="I55" s="416"/>
      <c r="J55" s="416"/>
      <c r="K55" s="416"/>
      <c r="L55" s="511">
        <f>J55*L52</f>
        <v>0</v>
      </c>
      <c r="M55" s="132"/>
      <c r="N55" s="456">
        <f t="shared" si="69"/>
        <v>0</v>
      </c>
      <c r="O55" s="458" t="str">
        <f t="shared" si="70"/>
        <v/>
      </c>
      <c r="P55" s="52"/>
      <c r="Q55" s="416"/>
      <c r="R55" s="416"/>
      <c r="S55" s="511">
        <f>Q55*S52</f>
        <v>0</v>
      </c>
      <c r="T55" s="132"/>
      <c r="U55" s="456">
        <f t="shared" si="71"/>
        <v>0</v>
      </c>
      <c r="V55" s="458" t="str">
        <f t="shared" si="72"/>
        <v/>
      </c>
      <c r="W55" s="52"/>
      <c r="X55" s="416"/>
      <c r="Y55" s="416"/>
      <c r="Z55" s="511">
        <f>X55*Z52</f>
        <v>0</v>
      </c>
      <c r="AA55" s="132"/>
      <c r="AB55" s="456">
        <f t="shared" si="73"/>
        <v>0</v>
      </c>
      <c r="AC55" s="458" t="str">
        <f t="shared" si="74"/>
        <v/>
      </c>
      <c r="AD55" s="52"/>
      <c r="AE55" s="416"/>
      <c r="AF55" s="416"/>
      <c r="AG55" s="511">
        <f>AE55*AG52</f>
        <v>0</v>
      </c>
      <c r="AH55" s="132"/>
      <c r="AI55" s="456">
        <f t="shared" si="75"/>
        <v>0</v>
      </c>
      <c r="AJ55" s="458" t="str">
        <f t="shared" si="76"/>
        <v/>
      </c>
      <c r="AK55" s="52"/>
      <c r="AL55" s="416"/>
      <c r="AM55" s="416"/>
      <c r="AN55" s="511">
        <f>AL55*AN52</f>
        <v>0</v>
      </c>
      <c r="AO55" s="132"/>
      <c r="AP55" s="456">
        <f t="shared" si="77"/>
        <v>0</v>
      </c>
      <c r="AQ55" s="458" t="str">
        <f t="shared" si="78"/>
        <v/>
      </c>
      <c r="AR55" s="459"/>
    </row>
    <row r="56" spans="1:44" ht="13.5" customHeight="1">
      <c r="A56" s="52"/>
      <c r="B56" s="634" t="s">
        <v>322</v>
      </c>
      <c r="C56" s="615"/>
      <c r="D56" s="615"/>
      <c r="E56" s="460"/>
      <c r="F56" s="461"/>
      <c r="G56" s="492"/>
      <c r="H56" s="493">
        <f>H54-H55</f>
        <v>216223.86730255</v>
      </c>
      <c r="I56" s="462"/>
      <c r="J56" s="462"/>
      <c r="K56" s="462"/>
      <c r="L56" s="463">
        <f>L54-L55</f>
        <v>215073.03536269997</v>
      </c>
      <c r="M56" s="464"/>
      <c r="N56" s="465">
        <f t="shared" si="69"/>
        <v>-1150.8319398500316</v>
      </c>
      <c r="O56" s="466">
        <f t="shared" si="70"/>
        <v>-5.3224093815681167E-3</v>
      </c>
      <c r="P56" s="52"/>
      <c r="Q56" s="462"/>
      <c r="R56" s="462"/>
      <c r="S56" s="463">
        <f>S54-S55</f>
        <v>211635.57536269998</v>
      </c>
      <c r="T56" s="464"/>
      <c r="U56" s="465">
        <f t="shared" si="71"/>
        <v>-3437.4599999999919</v>
      </c>
      <c r="V56" s="466">
        <f t="shared" si="72"/>
        <v>-1.5982756714262421E-2</v>
      </c>
      <c r="W56" s="52"/>
      <c r="X56" s="462"/>
      <c r="Y56" s="462"/>
      <c r="Z56" s="463">
        <f>Z54-Z55</f>
        <v>213612.76461269995</v>
      </c>
      <c r="AA56" s="464"/>
      <c r="AB56" s="465">
        <f t="shared" si="73"/>
        <v>1977.1892499999667</v>
      </c>
      <c r="AC56" s="466">
        <f t="shared" si="74"/>
        <v>9.3424238652290367E-3</v>
      </c>
      <c r="AD56" s="52"/>
      <c r="AE56" s="462"/>
      <c r="AF56" s="462"/>
      <c r="AG56" s="463">
        <f>AG54-AG55</f>
        <v>214665.89636269995</v>
      </c>
      <c r="AH56" s="464"/>
      <c r="AI56" s="465">
        <f t="shared" si="75"/>
        <v>1053.1317500000005</v>
      </c>
      <c r="AJ56" s="466">
        <f t="shared" si="76"/>
        <v>4.9300974682361682E-3</v>
      </c>
      <c r="AK56" s="52"/>
      <c r="AL56" s="462"/>
      <c r="AM56" s="462"/>
      <c r="AN56" s="463">
        <f>AN54-AN55</f>
        <v>215631.00111269997</v>
      </c>
      <c r="AO56" s="464"/>
      <c r="AP56" s="465">
        <f t="shared" si="77"/>
        <v>965.10475000002771</v>
      </c>
      <c r="AQ56" s="466">
        <f t="shared" si="78"/>
        <v>4.4958457135146641E-3</v>
      </c>
      <c r="AR56" s="467"/>
    </row>
    <row r="57" spans="1:44"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75" customHeight="1">
      <c r="A58" s="512"/>
      <c r="B58" s="513" t="s">
        <v>323</v>
      </c>
      <c r="C58" s="562"/>
      <c r="D58" s="514"/>
      <c r="E58" s="514"/>
      <c r="F58" s="515"/>
      <c r="G58" s="516"/>
      <c r="H58" s="517">
        <f>SUM(H49:H50,H42,H43:H45)</f>
        <v>53297.926999999996</v>
      </c>
      <c r="I58" s="518"/>
      <c r="J58" s="519"/>
      <c r="K58" s="519"/>
      <c r="L58" s="517">
        <f>SUM(L49:L50,L42,L43:L45)</f>
        <v>52359.613899999997</v>
      </c>
      <c r="M58" s="520"/>
      <c r="N58" s="521">
        <f t="shared" ref="N58:N62" si="79">L58-H58</f>
        <v>-938.31309999999939</v>
      </c>
      <c r="O58" s="522">
        <f t="shared" ref="O58:O62" si="80">IF((H58)=0,"",(N58/H58))</f>
        <v>-1.7605058072896522E-2</v>
      </c>
      <c r="P58" s="512"/>
      <c r="Q58" s="519"/>
      <c r="R58" s="519"/>
      <c r="S58" s="517">
        <f>SUM(S49:S50,S42,S43:S45)</f>
        <v>49317.613899999997</v>
      </c>
      <c r="T58" s="520"/>
      <c r="U58" s="521">
        <f t="shared" ref="U58:U62" si="81">S58-L58</f>
        <v>-3042</v>
      </c>
      <c r="V58" s="522">
        <f t="shared" ref="V58:V62" si="82">IF((L58)=0,"",(U58/L58))</f>
        <v>-5.8098212981666016E-2</v>
      </c>
      <c r="W58" s="512"/>
      <c r="X58" s="519"/>
      <c r="Y58" s="519"/>
      <c r="Z58" s="517">
        <f>SUM(Z49:Z50,Z42,Z43:Z45)</f>
        <v>51067.338899999995</v>
      </c>
      <c r="AA58" s="520"/>
      <c r="AB58" s="521">
        <f t="shared" ref="AB58:AB62" si="83">Z58-S58</f>
        <v>1749.7249999999985</v>
      </c>
      <c r="AC58" s="522">
        <f t="shared" ref="AC58:AC62" si="84">IF((S58)=0,"",(AB58/S58))</f>
        <v>3.5478703482043336E-2</v>
      </c>
      <c r="AD58" s="512"/>
      <c r="AE58" s="519"/>
      <c r="AF58" s="519"/>
      <c r="AG58" s="517">
        <f>SUM(AG49:AG50,AG42,AG43:AG45)</f>
        <v>51999.313900000001</v>
      </c>
      <c r="AH58" s="520"/>
      <c r="AI58" s="521">
        <f t="shared" ref="AI58:AI62" si="85">AG58-Z58</f>
        <v>931.97500000000582</v>
      </c>
      <c r="AJ58" s="522">
        <f t="shared" ref="AJ58:AJ62" si="86">IF((Z58)=0,"",(AI58/Z58))</f>
        <v>1.8249922946347336E-2</v>
      </c>
      <c r="AK58" s="512"/>
      <c r="AL58" s="519"/>
      <c r="AM58" s="519"/>
      <c r="AN58" s="517">
        <f>SUM(AN49:AN50,AN42,AN43:AN45)</f>
        <v>52853.388899999998</v>
      </c>
      <c r="AO58" s="520"/>
      <c r="AP58" s="521">
        <f t="shared" ref="AP58:AP62" si="87">AN58-AG58</f>
        <v>854.07499999999709</v>
      </c>
      <c r="AQ58" s="522">
        <f t="shared" ref="AQ58:AQ62" si="88">IF((AG58)=0,"",(AP58/AG58))</f>
        <v>1.6424735942525522E-2</v>
      </c>
      <c r="AR58" s="523"/>
    </row>
    <row r="59" spans="1:44" ht="12.75" customHeight="1">
      <c r="A59" s="512"/>
      <c r="B59" s="524" t="s">
        <v>320</v>
      </c>
      <c r="C59" s="562"/>
      <c r="D59" s="514"/>
      <c r="E59" s="514"/>
      <c r="F59" s="515">
        <v>0.13</v>
      </c>
      <c r="G59" s="516"/>
      <c r="H59" s="525">
        <f>H58*F59</f>
        <v>6928.7305099999994</v>
      </c>
      <c r="I59" s="526"/>
      <c r="J59" s="515">
        <v>0.13</v>
      </c>
      <c r="K59" s="527"/>
      <c r="L59" s="528">
        <f>L58*J59</f>
        <v>6806.7498070000001</v>
      </c>
      <c r="M59" s="529"/>
      <c r="N59" s="530">
        <f t="shared" si="79"/>
        <v>-121.98070299999927</v>
      </c>
      <c r="O59" s="531">
        <f t="shared" si="80"/>
        <v>-1.7605058072896428E-2</v>
      </c>
      <c r="P59" s="512"/>
      <c r="Q59" s="515">
        <v>0.13</v>
      </c>
      <c r="R59" s="527"/>
      <c r="S59" s="528">
        <f>S58*Q59</f>
        <v>6411.2898070000001</v>
      </c>
      <c r="T59" s="529"/>
      <c r="U59" s="530">
        <f t="shared" si="81"/>
        <v>-395.46000000000004</v>
      </c>
      <c r="V59" s="531">
        <f t="shared" si="82"/>
        <v>-5.8098212981666016E-2</v>
      </c>
      <c r="W59" s="512"/>
      <c r="X59" s="515">
        <v>0.13</v>
      </c>
      <c r="Y59" s="527"/>
      <c r="Z59" s="528">
        <f>Z58*X59</f>
        <v>6638.7540569999992</v>
      </c>
      <c r="AA59" s="529"/>
      <c r="AB59" s="530">
        <f t="shared" si="83"/>
        <v>227.46424999999908</v>
      </c>
      <c r="AC59" s="531">
        <f t="shared" si="84"/>
        <v>3.5478703482043218E-2</v>
      </c>
      <c r="AD59" s="512"/>
      <c r="AE59" s="515">
        <v>0.13</v>
      </c>
      <c r="AF59" s="527"/>
      <c r="AG59" s="528">
        <f>AG58*AE59</f>
        <v>6759.9108070000002</v>
      </c>
      <c r="AH59" s="529"/>
      <c r="AI59" s="530">
        <f t="shared" si="85"/>
        <v>121.15675000000101</v>
      </c>
      <c r="AJ59" s="531">
        <f t="shared" si="86"/>
        <v>1.8249922946347374E-2</v>
      </c>
      <c r="AK59" s="512"/>
      <c r="AL59" s="515">
        <v>0.13</v>
      </c>
      <c r="AM59" s="527"/>
      <c r="AN59" s="528">
        <f>AN58*AL59</f>
        <v>6870.9405569999999</v>
      </c>
      <c r="AO59" s="529"/>
      <c r="AP59" s="530">
        <f t="shared" si="87"/>
        <v>111.02974999999969</v>
      </c>
      <c r="AQ59" s="531">
        <f t="shared" si="88"/>
        <v>1.6424735942525536E-2</v>
      </c>
      <c r="AR59" s="532"/>
    </row>
    <row r="60" spans="1:44" ht="12.75" customHeight="1">
      <c r="A60" s="512"/>
      <c r="B60" s="553" t="s">
        <v>404</v>
      </c>
      <c r="C60" s="562"/>
      <c r="D60" s="514"/>
      <c r="E60" s="514"/>
      <c r="F60" s="534"/>
      <c r="G60" s="529"/>
      <c r="H60" s="525">
        <f>H58+H59</f>
        <v>60226.657509999997</v>
      </c>
      <c r="I60" s="526"/>
      <c r="J60" s="526"/>
      <c r="K60" s="526"/>
      <c r="L60" s="528">
        <f>L58+L59</f>
        <v>59166.363706999997</v>
      </c>
      <c r="M60" s="529"/>
      <c r="N60" s="530">
        <f t="shared" si="79"/>
        <v>-1060.2938030000005</v>
      </c>
      <c r="O60" s="531">
        <f t="shared" si="80"/>
        <v>-1.7605058072896539E-2</v>
      </c>
      <c r="P60" s="512"/>
      <c r="Q60" s="526"/>
      <c r="R60" s="526"/>
      <c r="S60" s="528">
        <f>S58+S59</f>
        <v>55728.903706999998</v>
      </c>
      <c r="T60" s="529"/>
      <c r="U60" s="530">
        <f t="shared" si="81"/>
        <v>-3437.4599999999991</v>
      </c>
      <c r="V60" s="531">
        <f t="shared" si="82"/>
        <v>-5.8098212981665995E-2</v>
      </c>
      <c r="W60" s="512"/>
      <c r="X60" s="526"/>
      <c r="Y60" s="526"/>
      <c r="Z60" s="528">
        <f>Z58+Z59</f>
        <v>57706.092956999993</v>
      </c>
      <c r="AA60" s="529"/>
      <c r="AB60" s="530">
        <f t="shared" si="83"/>
        <v>1977.1892499999958</v>
      </c>
      <c r="AC60" s="531">
        <f t="shared" si="84"/>
        <v>3.5478703482043288E-2</v>
      </c>
      <c r="AD60" s="512"/>
      <c r="AE60" s="526"/>
      <c r="AF60" s="526"/>
      <c r="AG60" s="528">
        <f>AG58+AG59</f>
        <v>58759.224707000001</v>
      </c>
      <c r="AH60" s="529"/>
      <c r="AI60" s="530">
        <f t="shared" si="85"/>
        <v>1053.1317500000077</v>
      </c>
      <c r="AJ60" s="531">
        <f t="shared" si="86"/>
        <v>1.8249922946347356E-2</v>
      </c>
      <c r="AK60" s="512"/>
      <c r="AL60" s="526"/>
      <c r="AM60" s="526"/>
      <c r="AN60" s="528">
        <f>AN58+AN59</f>
        <v>59724.329457</v>
      </c>
      <c r="AO60" s="529"/>
      <c r="AP60" s="530">
        <f t="shared" si="87"/>
        <v>965.1047499999986</v>
      </c>
      <c r="AQ60" s="531">
        <f t="shared" si="88"/>
        <v>1.6424735942525557E-2</v>
      </c>
      <c r="AR60" s="532"/>
    </row>
    <row r="61" spans="1:44" ht="15.75" customHeight="1">
      <c r="A61" s="512"/>
      <c r="B61" s="644" t="s">
        <v>277</v>
      </c>
      <c r="C61" s="623"/>
      <c r="D61" s="623"/>
      <c r="E61" s="514"/>
      <c r="F61" s="534"/>
      <c r="G61" s="529"/>
      <c r="H61" s="535">
        <f>F61*H58</f>
        <v>0</v>
      </c>
      <c r="I61" s="526"/>
      <c r="J61" s="526"/>
      <c r="K61" s="526"/>
      <c r="L61" s="536">
        <f>J61*L58</f>
        <v>0</v>
      </c>
      <c r="M61" s="529"/>
      <c r="N61" s="537">
        <f t="shared" si="79"/>
        <v>0</v>
      </c>
      <c r="O61" s="538" t="str">
        <f t="shared" si="80"/>
        <v/>
      </c>
      <c r="P61" s="512"/>
      <c r="Q61" s="526"/>
      <c r="R61" s="526"/>
      <c r="S61" s="536">
        <f>Q61*S58</f>
        <v>0</v>
      </c>
      <c r="T61" s="529"/>
      <c r="U61" s="537">
        <f t="shared" si="81"/>
        <v>0</v>
      </c>
      <c r="V61" s="538" t="str">
        <f t="shared" si="82"/>
        <v/>
      </c>
      <c r="W61" s="512"/>
      <c r="X61" s="526"/>
      <c r="Y61" s="526"/>
      <c r="Z61" s="536">
        <f>X61*Z58</f>
        <v>0</v>
      </c>
      <c r="AA61" s="529"/>
      <c r="AB61" s="537">
        <f t="shared" si="83"/>
        <v>0</v>
      </c>
      <c r="AC61" s="538" t="str">
        <f t="shared" si="84"/>
        <v/>
      </c>
      <c r="AD61" s="512"/>
      <c r="AE61" s="526"/>
      <c r="AF61" s="526"/>
      <c r="AG61" s="536">
        <f>AE61*AG58</f>
        <v>0</v>
      </c>
      <c r="AH61" s="529"/>
      <c r="AI61" s="537">
        <f t="shared" si="85"/>
        <v>0</v>
      </c>
      <c r="AJ61" s="538" t="str">
        <f t="shared" si="86"/>
        <v/>
      </c>
      <c r="AK61" s="512"/>
      <c r="AL61" s="526"/>
      <c r="AM61" s="526"/>
      <c r="AN61" s="536">
        <f>AL61*AN58</f>
        <v>0</v>
      </c>
      <c r="AO61" s="529"/>
      <c r="AP61" s="537">
        <f t="shared" si="87"/>
        <v>0</v>
      </c>
      <c r="AQ61" s="538" t="str">
        <f t="shared" si="88"/>
        <v/>
      </c>
      <c r="AR61" s="539"/>
    </row>
    <row r="62" spans="1:44" ht="13.5" customHeight="1">
      <c r="A62" s="512"/>
      <c r="B62" s="643" t="s">
        <v>325</v>
      </c>
      <c r="C62" s="615"/>
      <c r="D62" s="615"/>
      <c r="E62" s="540"/>
      <c r="F62" s="541"/>
      <c r="G62" s="542"/>
      <c r="H62" s="543">
        <f>H60-H61</f>
        <v>60226.657509999997</v>
      </c>
      <c r="I62" s="544"/>
      <c r="J62" s="544"/>
      <c r="K62" s="544"/>
      <c r="L62" s="545">
        <f>L60-L61</f>
        <v>59166.363706999997</v>
      </c>
      <c r="M62" s="546"/>
      <c r="N62" s="547">
        <f t="shared" si="79"/>
        <v>-1060.2938030000005</v>
      </c>
      <c r="O62" s="548">
        <f t="shared" si="80"/>
        <v>-1.7605058072896539E-2</v>
      </c>
      <c r="P62" s="512"/>
      <c r="Q62" s="544"/>
      <c r="R62" s="544"/>
      <c r="S62" s="545">
        <f>S60-S61</f>
        <v>55728.903706999998</v>
      </c>
      <c r="T62" s="546"/>
      <c r="U62" s="547">
        <f t="shared" si="81"/>
        <v>-3437.4599999999991</v>
      </c>
      <c r="V62" s="548">
        <f t="shared" si="82"/>
        <v>-5.8098212981665995E-2</v>
      </c>
      <c r="W62" s="512"/>
      <c r="X62" s="544"/>
      <c r="Y62" s="544"/>
      <c r="Z62" s="545">
        <f>Z60-Z61</f>
        <v>57706.092956999993</v>
      </c>
      <c r="AA62" s="546"/>
      <c r="AB62" s="547">
        <f t="shared" si="83"/>
        <v>1977.1892499999958</v>
      </c>
      <c r="AC62" s="548">
        <f t="shared" si="84"/>
        <v>3.5478703482043288E-2</v>
      </c>
      <c r="AD62" s="512"/>
      <c r="AE62" s="544"/>
      <c r="AF62" s="544"/>
      <c r="AG62" s="545">
        <f>AG60-AG61</f>
        <v>58759.224707000001</v>
      </c>
      <c r="AH62" s="546"/>
      <c r="AI62" s="547">
        <f t="shared" si="85"/>
        <v>1053.1317500000077</v>
      </c>
      <c r="AJ62" s="548">
        <f t="shared" si="86"/>
        <v>1.8249922946347356E-2</v>
      </c>
      <c r="AK62" s="512"/>
      <c r="AL62" s="544"/>
      <c r="AM62" s="544"/>
      <c r="AN62" s="545">
        <f>AN60-AN61</f>
        <v>59724.329457</v>
      </c>
      <c r="AO62" s="546"/>
      <c r="AP62" s="547">
        <f t="shared" si="87"/>
        <v>965.1047499999986</v>
      </c>
      <c r="AQ62" s="548">
        <f t="shared" si="88"/>
        <v>1.6424735942525557E-2</v>
      </c>
      <c r="AR62" s="549"/>
    </row>
    <row r="63" spans="1:44"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75" customHeight="1">
      <c r="A65" s="52"/>
      <c r="B65" s="307" t="s">
        <v>326</v>
      </c>
      <c r="C65" s="554"/>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8" t="s">
        <v>405</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1F00-000000000000}">
      <formula1>"TOU,non-TOU"</formula1>
    </dataValidation>
    <dataValidation type="list" allowBlank="1" showErrorMessage="1" sqref="E15:E28 E30:E38 E40:E41 E43:E51 E57 E63" xr:uid="{00000000-0002-0000-1F00-000001000000}">
      <formula1>#REF!</formula1>
    </dataValidation>
    <dataValidation type="list" allowBlank="1" showInputMessage="1" showErrorMessage="1" prompt="Select Charge Unit - monthly, per kWh, per kW" sqref="D15:D28 D30:D38 D40:D41 D43:D51 D57 D63" xr:uid="{00000000-0002-0000-1F00-000002000000}">
      <formula1>"Monthly,per kWh,per kW"</formula1>
    </dataValidation>
  </dataValidations>
  <pageMargins left="0.74803149606299213" right="0.74803149606299213" top="0.98425196850393704" bottom="0.98425196850393704"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A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53" width="12.42578125" customWidth="1"/>
  </cols>
  <sheetData>
    <row r="1" spans="1:53" ht="7.5" customHeight="1">
      <c r="A1" s="52"/>
      <c r="B1" s="52"/>
      <c r="C1" s="554"/>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53" ht="18.75" customHeight="1">
      <c r="A2" s="52"/>
      <c r="B2" s="52"/>
      <c r="C2" s="555"/>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53" ht="18.75" customHeight="1">
      <c r="A3" s="52"/>
      <c r="B3" s="52"/>
      <c r="C3" s="555"/>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3"/>
      <c r="AT3" s="3"/>
      <c r="AU3" s="3"/>
      <c r="AV3" s="3"/>
      <c r="AW3" s="3"/>
      <c r="AX3" s="3"/>
      <c r="AY3" s="3"/>
      <c r="AZ3" s="3"/>
      <c r="BA3" s="3"/>
    </row>
    <row r="4" spans="1:53" ht="7.5" customHeight="1">
      <c r="A4" s="52"/>
      <c r="B4" s="52"/>
      <c r="C4" s="554"/>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3"/>
      <c r="AT4" s="3"/>
      <c r="AU4" s="3"/>
      <c r="AV4" s="3"/>
      <c r="AW4" s="3"/>
      <c r="AX4" s="3"/>
      <c r="AY4" s="3"/>
      <c r="AZ4" s="3"/>
      <c r="BA4" s="3"/>
    </row>
    <row r="5" spans="1:53" ht="7.5" customHeight="1">
      <c r="A5" s="52"/>
      <c r="B5" s="52"/>
      <c r="C5" s="554"/>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c r="AU5" s="3"/>
      <c r="AV5" s="3"/>
      <c r="AW5" s="3"/>
      <c r="AX5" s="3"/>
      <c r="AY5" s="3"/>
      <c r="AZ5" s="3"/>
      <c r="BA5" s="3"/>
    </row>
    <row r="6" spans="1:53" ht="12.75" customHeight="1">
      <c r="A6" s="52"/>
      <c r="B6" s="320" t="s">
        <v>298</v>
      </c>
      <c r="C6" s="554"/>
      <c r="D6" s="504" t="s">
        <v>225</v>
      </c>
      <c r="E6" s="505"/>
      <c r="F6" s="505"/>
      <c r="G6" s="505"/>
      <c r="H6" s="505"/>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c r="AV6" s="3"/>
      <c r="AW6" s="3"/>
      <c r="AX6" s="3"/>
      <c r="AY6" s="3"/>
      <c r="AZ6" s="3"/>
      <c r="BA6" s="3"/>
    </row>
    <row r="7" spans="1:53" ht="7.5" customHeight="1">
      <c r="A7" s="52"/>
      <c r="B7" s="382"/>
      <c r="C7" s="554"/>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53" ht="12.75" customHeight="1">
      <c r="A8" s="52"/>
      <c r="B8" s="320" t="s">
        <v>299</v>
      </c>
      <c r="C8" s="554"/>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53" ht="12.75" customHeight="1">
      <c r="A9" s="52"/>
      <c r="B9" s="382"/>
      <c r="C9" s="554"/>
      <c r="D9" s="307" t="s">
        <v>301</v>
      </c>
      <c r="E9" s="307"/>
      <c r="F9" s="385">
        <v>1277500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53" ht="12.75" customHeight="1">
      <c r="A10" s="52"/>
      <c r="B10" s="52"/>
      <c r="C10" s="554"/>
      <c r="D10" s="52"/>
      <c r="E10" s="52"/>
      <c r="F10" s="385">
        <v>4000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53" ht="12.75" customHeight="1">
      <c r="A11" s="52"/>
      <c r="B11" s="52"/>
      <c r="C11" s="554"/>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53"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53"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53"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53" ht="12.75" customHeight="1">
      <c r="A15" s="52"/>
      <c r="B15" s="321" t="s">
        <v>221</v>
      </c>
      <c r="C15" s="394" t="str">
        <f t="shared" ref="C15:C28" si="0">D$6&amp;"."&amp;B15</f>
        <v>General Service 1,500 to 4,999 KW.Monthly Service Charge</v>
      </c>
      <c r="D15" s="395" t="s">
        <v>310</v>
      </c>
      <c r="E15" s="321"/>
      <c r="F15" s="396">
        <f>IFERROR(VLOOKUP($C15,'Proposed Rates'!$B:$J,F$11,FALSE),0)</f>
        <v>4126.75</v>
      </c>
      <c r="G15" s="414">
        <f t="shared" ref="G15:G28" si="1">IF($D15="Monthly",1,IF($D15="per KW",$F$10,IF($D15="per kWh",$F$9,0)))</f>
        <v>1</v>
      </c>
      <c r="H15" s="399">
        <f t="shared" ref="H15:H28" si="2">G15*F15</f>
        <v>4126.75</v>
      </c>
      <c r="I15" s="132"/>
      <c r="J15" s="396">
        <f>IFERROR(VLOOKUP($C15,'Proposed Rates'!$B:$J,J$11,FALSE),0)</f>
        <v>4126.75</v>
      </c>
      <c r="K15" s="414">
        <f t="shared" ref="K15:K28" si="3">IF($D15="Monthly",1,IF($D15="per KW",$F$10,IF($D15="per kWh",$F$9,0)))</f>
        <v>1</v>
      </c>
      <c r="L15" s="399">
        <f t="shared" ref="L15:L28" si="4">K15*J15</f>
        <v>4126.75</v>
      </c>
      <c r="M15" s="132"/>
      <c r="N15" s="400">
        <f t="shared" ref="N15:N46" si="5">L15-H15</f>
        <v>0</v>
      </c>
      <c r="O15" s="401">
        <f t="shared" ref="O15:O46" si="6">IF((H15)=0,"",(N15/H15))</f>
        <v>0</v>
      </c>
      <c r="P15" s="52"/>
      <c r="Q15" s="396">
        <f>IFERROR(VLOOKUP($C15,'Proposed Rates'!$B:$J,Q$11,FALSE),0)</f>
        <v>4126.75</v>
      </c>
      <c r="R15" s="414">
        <f t="shared" ref="R15:R28" si="7">IF($D15="Monthly",1,IF($D15="per KW",$F$10,IF($D15="per kWh",$F$9,0)))</f>
        <v>1</v>
      </c>
      <c r="S15" s="399">
        <f t="shared" ref="S15:S28" si="8">R15*Q15</f>
        <v>4126.75</v>
      </c>
      <c r="T15" s="132"/>
      <c r="U15" s="400">
        <f t="shared" ref="U15:U46" si="9">S15-L15</f>
        <v>0</v>
      </c>
      <c r="V15" s="401">
        <f t="shared" ref="V15:V46" si="10">IF((L15)=0,"",(U15/L15))</f>
        <v>0</v>
      </c>
      <c r="W15" s="52"/>
      <c r="X15" s="396">
        <f>IFERROR(VLOOKUP($C15,'Proposed Rates'!$B:$J,X$11,FALSE),0)</f>
        <v>4126.75</v>
      </c>
      <c r="Y15" s="414">
        <f t="shared" ref="Y15:Y28" si="11">IF($D15="Monthly",1,IF($D15="per KW",$F$10,IF($D15="per kWh",$F$9,0)))</f>
        <v>1</v>
      </c>
      <c r="Z15" s="399">
        <f t="shared" ref="Z15:Z28" si="12">Y15*X15</f>
        <v>4126.75</v>
      </c>
      <c r="AA15" s="132"/>
      <c r="AB15" s="400">
        <f t="shared" ref="AB15:AB46" si="13">Z15-S15</f>
        <v>0</v>
      </c>
      <c r="AC15" s="401">
        <f t="shared" ref="AC15:AC46" si="14">IF((S15)=0,"",(AB15/S15))</f>
        <v>0</v>
      </c>
      <c r="AD15" s="52"/>
      <c r="AE15" s="396">
        <f>IFERROR(VLOOKUP($C15,'Proposed Rates'!$B:$J,AE$11,FALSE),0)</f>
        <v>4126.75</v>
      </c>
      <c r="AF15" s="414">
        <f t="shared" ref="AF15:AF28" si="15">IF($D15="Monthly",1,IF($D15="per KW",$F$10,IF($D15="per kWh",$F$9,0)))</f>
        <v>1</v>
      </c>
      <c r="AG15" s="399">
        <f t="shared" ref="AG15:AG28" si="16">AF15*AE15</f>
        <v>4126.75</v>
      </c>
      <c r="AH15" s="132"/>
      <c r="AI15" s="400">
        <f t="shared" ref="AI15:AI46" si="17">AG15-Z15</f>
        <v>0</v>
      </c>
      <c r="AJ15" s="401">
        <f t="shared" ref="AJ15:AJ46" si="18">IF((Z15)=0,"",(AI15/Z15))</f>
        <v>0</v>
      </c>
      <c r="AK15" s="52"/>
      <c r="AL15" s="396">
        <f>IFERROR(VLOOKUP($C15,'Proposed Rates'!$B:$J,AL$11,FALSE),0)</f>
        <v>4126.75</v>
      </c>
      <c r="AM15" s="414">
        <f t="shared" ref="AM15:AM28" si="19">IF($D15="Monthly",1,IF($D15="per KW",$F$10,IF($D15="per kWh",$F$9,0)))</f>
        <v>1</v>
      </c>
      <c r="AN15" s="399">
        <f t="shared" ref="AN15:AN28" si="20">AM15*AL15</f>
        <v>4126.75</v>
      </c>
      <c r="AO15" s="132"/>
      <c r="AP15" s="400">
        <f t="shared" ref="AP15:AP46" si="21">AN15-AG15</f>
        <v>0</v>
      </c>
      <c r="AQ15" s="401">
        <f t="shared" ref="AQ15:AQ46" si="22">IF((AG15)=0,"",(AP15/AG15))</f>
        <v>0</v>
      </c>
      <c r="AR15" s="402"/>
    </row>
    <row r="16" spans="1:53" ht="12.75" customHeight="1">
      <c r="A16" s="52"/>
      <c r="B16" s="321" t="s">
        <v>311</v>
      </c>
      <c r="C16" s="394" t="str">
        <f t="shared" si="0"/>
        <v>General Service 1,500 to 4,999 KW.Smart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General Service 1,500 to 4,999 KW.Rate Rider Calculation for PILs</v>
      </c>
      <c r="D17" s="395" t="s">
        <v>381</v>
      </c>
      <c r="E17" s="321"/>
      <c r="F17" s="396">
        <f>IFERROR(VLOOKUP($C17,'Proposed Rates'!$B:$J,F$11,FALSE),0)</f>
        <v>0</v>
      </c>
      <c r="G17" s="414">
        <f t="shared" si="1"/>
        <v>4000</v>
      </c>
      <c r="H17" s="399">
        <f t="shared" si="2"/>
        <v>0</v>
      </c>
      <c r="I17" s="132"/>
      <c r="J17" s="396">
        <f>IFERROR(VLOOKUP($C17,'Proposed Rates'!$B:$J,J$11,FALSE),0)</f>
        <v>0</v>
      </c>
      <c r="K17" s="414">
        <f t="shared" si="3"/>
        <v>4000</v>
      </c>
      <c r="L17" s="399">
        <f t="shared" si="4"/>
        <v>0</v>
      </c>
      <c r="M17" s="132"/>
      <c r="N17" s="400">
        <f t="shared" si="5"/>
        <v>0</v>
      </c>
      <c r="O17" s="401" t="str">
        <f t="shared" si="6"/>
        <v/>
      </c>
      <c r="P17" s="52"/>
      <c r="Q17" s="396">
        <f>IFERROR(VLOOKUP($C17,'Proposed Rates'!$B:$J,Q$11,FALSE),0)</f>
        <v>0</v>
      </c>
      <c r="R17" s="414">
        <f t="shared" si="7"/>
        <v>4000</v>
      </c>
      <c r="S17" s="399">
        <f t="shared" si="8"/>
        <v>0</v>
      </c>
      <c r="T17" s="132"/>
      <c r="U17" s="400">
        <f t="shared" si="9"/>
        <v>0</v>
      </c>
      <c r="V17" s="401" t="str">
        <f t="shared" si="10"/>
        <v/>
      </c>
      <c r="W17" s="52"/>
      <c r="X17" s="396">
        <f>IFERROR(VLOOKUP($C17,'Proposed Rates'!$B:$J,X$11,FALSE),0)</f>
        <v>0</v>
      </c>
      <c r="Y17" s="414">
        <f t="shared" si="11"/>
        <v>4000</v>
      </c>
      <c r="Z17" s="399">
        <f t="shared" si="12"/>
        <v>0</v>
      </c>
      <c r="AA17" s="132"/>
      <c r="AB17" s="400">
        <f t="shared" si="13"/>
        <v>0</v>
      </c>
      <c r="AC17" s="401" t="str">
        <f t="shared" si="14"/>
        <v/>
      </c>
      <c r="AD17" s="52"/>
      <c r="AE17" s="396">
        <f>IFERROR(VLOOKUP($C17,'Proposed Rates'!$B:$J,AE$11,FALSE),0)</f>
        <v>0</v>
      </c>
      <c r="AF17" s="414">
        <f t="shared" si="15"/>
        <v>4000</v>
      </c>
      <c r="AG17" s="399">
        <f t="shared" si="16"/>
        <v>0</v>
      </c>
      <c r="AH17" s="132"/>
      <c r="AI17" s="400">
        <f t="shared" si="17"/>
        <v>0</v>
      </c>
      <c r="AJ17" s="401" t="str">
        <f t="shared" si="18"/>
        <v/>
      </c>
      <c r="AK17" s="52"/>
      <c r="AL17" s="396">
        <f>IFERROR(VLOOKUP($C17,'Proposed Rates'!$B:$J,AL$11,FALSE),0)</f>
        <v>0</v>
      </c>
      <c r="AM17" s="414">
        <f t="shared" si="19"/>
        <v>4000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General Service 1,500 to 4,999 KW.Rate Rider Calculation for Generic</v>
      </c>
      <c r="D18" s="395" t="s">
        <v>381</v>
      </c>
      <c r="E18" s="321"/>
      <c r="F18" s="396">
        <f>IFERROR(VLOOKUP($C18,'Proposed Rates'!$B:$J,F$11,FALSE),0)</f>
        <v>0</v>
      </c>
      <c r="G18" s="414">
        <f t="shared" si="1"/>
        <v>4000</v>
      </c>
      <c r="H18" s="399">
        <f t="shared" si="2"/>
        <v>0</v>
      </c>
      <c r="I18" s="132"/>
      <c r="J18" s="396">
        <f>IFERROR(VLOOKUP($C18,'Proposed Rates'!$B:$J,J$11,FALSE),0)</f>
        <v>0</v>
      </c>
      <c r="K18" s="414">
        <f t="shared" si="3"/>
        <v>4000</v>
      </c>
      <c r="L18" s="399">
        <f t="shared" si="4"/>
        <v>0</v>
      </c>
      <c r="M18" s="132"/>
      <c r="N18" s="400">
        <f t="shared" si="5"/>
        <v>0</v>
      </c>
      <c r="O18" s="401" t="str">
        <f t="shared" si="6"/>
        <v/>
      </c>
      <c r="P18" s="52"/>
      <c r="Q18" s="396">
        <f>IFERROR(VLOOKUP($C18,'Proposed Rates'!$B:$J,Q$11,FALSE),0)</f>
        <v>0</v>
      </c>
      <c r="R18" s="414">
        <f t="shared" si="7"/>
        <v>4000</v>
      </c>
      <c r="S18" s="399">
        <f t="shared" si="8"/>
        <v>0</v>
      </c>
      <c r="T18" s="132"/>
      <c r="U18" s="400">
        <f t="shared" si="9"/>
        <v>0</v>
      </c>
      <c r="V18" s="401" t="str">
        <f t="shared" si="10"/>
        <v/>
      </c>
      <c r="W18" s="52"/>
      <c r="X18" s="396">
        <f>IFERROR(VLOOKUP($C18,'Proposed Rates'!$B:$J,X$11,FALSE),0)</f>
        <v>0</v>
      </c>
      <c r="Y18" s="414">
        <f t="shared" si="11"/>
        <v>4000</v>
      </c>
      <c r="Z18" s="399">
        <f t="shared" si="12"/>
        <v>0</v>
      </c>
      <c r="AA18" s="132"/>
      <c r="AB18" s="400">
        <f t="shared" si="13"/>
        <v>0</v>
      </c>
      <c r="AC18" s="401" t="str">
        <f t="shared" si="14"/>
        <v/>
      </c>
      <c r="AD18" s="52"/>
      <c r="AE18" s="396">
        <f>IFERROR(VLOOKUP($C18,'Proposed Rates'!$B:$J,AE$11,FALSE),0)</f>
        <v>0</v>
      </c>
      <c r="AF18" s="414">
        <f t="shared" si="15"/>
        <v>4000</v>
      </c>
      <c r="AG18" s="399">
        <f t="shared" si="16"/>
        <v>0</v>
      </c>
      <c r="AH18" s="132"/>
      <c r="AI18" s="400">
        <f t="shared" si="17"/>
        <v>0</v>
      </c>
      <c r="AJ18" s="401" t="str">
        <f t="shared" si="18"/>
        <v/>
      </c>
      <c r="AK18" s="52"/>
      <c r="AL18" s="396">
        <f>IFERROR(VLOOKUP($C18,'Proposed Rates'!$B:$J,AL$11,FALSE),0)</f>
        <v>0</v>
      </c>
      <c r="AM18" s="414">
        <f t="shared" si="19"/>
        <v>4000</v>
      </c>
      <c r="AN18" s="399">
        <f t="shared" si="20"/>
        <v>0</v>
      </c>
      <c r="AO18" s="132"/>
      <c r="AP18" s="400">
        <f t="shared" si="21"/>
        <v>0</v>
      </c>
      <c r="AQ18" s="401" t="str">
        <f t="shared" si="22"/>
        <v/>
      </c>
      <c r="AR18" s="402"/>
    </row>
    <row r="19" spans="1:44" ht="12.75" customHeight="1">
      <c r="A19" s="52"/>
      <c r="B19" s="321" t="s">
        <v>59</v>
      </c>
      <c r="C19" s="394" t="str">
        <f t="shared" si="0"/>
        <v>General Service 1,500 to 4,999 KW.Distribution Volumetric Rate</v>
      </c>
      <c r="D19" s="395" t="s">
        <v>381</v>
      </c>
      <c r="E19" s="321"/>
      <c r="F19" s="396">
        <f>IFERROR(VLOOKUP($C19,'Proposed Rates'!$B:$J,F$11,FALSE),0)</f>
        <v>6.0796000000000001</v>
      </c>
      <c r="G19" s="414">
        <f t="shared" si="1"/>
        <v>4000</v>
      </c>
      <c r="H19" s="399">
        <f t="shared" si="2"/>
        <v>24318.400000000001</v>
      </c>
      <c r="I19" s="132"/>
      <c r="J19" s="396">
        <f>IFERROR(VLOOKUP($C19,'Proposed Rates'!$B:$J,J$11,FALSE),0)</f>
        <v>7.6669</v>
      </c>
      <c r="K19" s="414">
        <f t="shared" si="3"/>
        <v>4000</v>
      </c>
      <c r="L19" s="399">
        <f t="shared" si="4"/>
        <v>30667.599999999999</v>
      </c>
      <c r="M19" s="132"/>
      <c r="N19" s="400">
        <f t="shared" si="5"/>
        <v>6349.1999999999971</v>
      </c>
      <c r="O19" s="401">
        <f t="shared" si="6"/>
        <v>0.26108625567471533</v>
      </c>
      <c r="P19" s="52"/>
      <c r="Q19" s="396">
        <f>IFERROR(VLOOKUP($C19,'Proposed Rates'!$B:$J,Q$11,FALSE),0)</f>
        <v>8.1407000000000007</v>
      </c>
      <c r="R19" s="414">
        <f t="shared" si="7"/>
        <v>4000</v>
      </c>
      <c r="S19" s="399">
        <f t="shared" si="8"/>
        <v>32562.800000000003</v>
      </c>
      <c r="T19" s="132"/>
      <c r="U19" s="400">
        <f t="shared" si="9"/>
        <v>1895.2000000000044</v>
      </c>
      <c r="V19" s="401">
        <f t="shared" si="10"/>
        <v>6.1798119187677039E-2</v>
      </c>
      <c r="W19" s="52"/>
      <c r="X19" s="396">
        <f>IFERROR(VLOOKUP($C19,'Proposed Rates'!$B:$J,X$11,FALSE),0)</f>
        <v>8.8402999999999992</v>
      </c>
      <c r="Y19" s="414">
        <f t="shared" si="11"/>
        <v>4000</v>
      </c>
      <c r="Z19" s="399">
        <f t="shared" si="12"/>
        <v>35361.199999999997</v>
      </c>
      <c r="AA19" s="132"/>
      <c r="AB19" s="400">
        <f t="shared" si="13"/>
        <v>2798.3999999999942</v>
      </c>
      <c r="AC19" s="401">
        <f t="shared" si="14"/>
        <v>8.5938555652462126E-2</v>
      </c>
      <c r="AD19" s="52"/>
      <c r="AE19" s="396">
        <f>IFERROR(VLOOKUP($C19,'Proposed Rates'!$B:$J,AE$11,FALSE),0)</f>
        <v>9.2126999999999999</v>
      </c>
      <c r="AF19" s="414">
        <f t="shared" si="15"/>
        <v>4000</v>
      </c>
      <c r="AG19" s="399">
        <f t="shared" si="16"/>
        <v>36850.800000000003</v>
      </c>
      <c r="AH19" s="132"/>
      <c r="AI19" s="400">
        <f t="shared" si="17"/>
        <v>1489.6000000000058</v>
      </c>
      <c r="AJ19" s="401">
        <f t="shared" si="18"/>
        <v>4.2125267242062087E-2</v>
      </c>
      <c r="AK19" s="52"/>
      <c r="AL19" s="396">
        <f>IFERROR(VLOOKUP($C19,'Proposed Rates'!$B:$J,AL$11,FALSE),0)</f>
        <v>9.5539000000000005</v>
      </c>
      <c r="AM19" s="414">
        <f t="shared" si="19"/>
        <v>4000</v>
      </c>
      <c r="AN19" s="399">
        <f t="shared" si="20"/>
        <v>38215.599999999999</v>
      </c>
      <c r="AO19" s="132"/>
      <c r="AP19" s="400">
        <f t="shared" si="21"/>
        <v>1364.7999999999956</v>
      </c>
      <c r="AQ19" s="401">
        <f t="shared" si="22"/>
        <v>3.7035830972461804E-2</v>
      </c>
      <c r="AR19" s="402"/>
    </row>
    <row r="20" spans="1:44" ht="12.75" customHeight="1">
      <c r="A20" s="52"/>
      <c r="B20" s="321" t="s">
        <v>313</v>
      </c>
      <c r="C20" s="394" t="str">
        <f t="shared" si="0"/>
        <v>General Service 1,500 to 4,999 KW.Smart Meter Disposition Rider</v>
      </c>
      <c r="D20" s="395" t="s">
        <v>312</v>
      </c>
      <c r="E20" s="321"/>
      <c r="F20" s="396">
        <f>IFERROR(VLOOKUP($C20,'Proposed Rates'!$B:$J,F$11,FALSE),0)</f>
        <v>0</v>
      </c>
      <c r="G20" s="414">
        <f t="shared" si="1"/>
        <v>1277500</v>
      </c>
      <c r="H20" s="399">
        <f t="shared" si="2"/>
        <v>0</v>
      </c>
      <c r="I20" s="132"/>
      <c r="J20" s="396">
        <f>IFERROR(VLOOKUP($C20,'Proposed Rates'!$B:$J,J$11,FALSE),0)</f>
        <v>0</v>
      </c>
      <c r="K20" s="414">
        <f t="shared" si="3"/>
        <v>1277500</v>
      </c>
      <c r="L20" s="399">
        <f t="shared" si="4"/>
        <v>0</v>
      </c>
      <c r="M20" s="132"/>
      <c r="N20" s="400">
        <f t="shared" si="5"/>
        <v>0</v>
      </c>
      <c r="O20" s="401" t="str">
        <f t="shared" si="6"/>
        <v/>
      </c>
      <c r="P20" s="52"/>
      <c r="Q20" s="396">
        <f>IFERROR(VLOOKUP($C20,'Proposed Rates'!$B:$J,Q$11,FALSE),0)</f>
        <v>0</v>
      </c>
      <c r="R20" s="414">
        <f t="shared" si="7"/>
        <v>1277500</v>
      </c>
      <c r="S20" s="399">
        <f t="shared" si="8"/>
        <v>0</v>
      </c>
      <c r="T20" s="132"/>
      <c r="U20" s="400">
        <f t="shared" si="9"/>
        <v>0</v>
      </c>
      <c r="V20" s="401" t="str">
        <f t="shared" si="10"/>
        <v/>
      </c>
      <c r="W20" s="52"/>
      <c r="X20" s="396">
        <f>IFERROR(VLOOKUP($C20,'Proposed Rates'!$B:$J,X$11,FALSE),0)</f>
        <v>0</v>
      </c>
      <c r="Y20" s="414">
        <f t="shared" si="11"/>
        <v>1277500</v>
      </c>
      <c r="Z20" s="399">
        <f t="shared" si="12"/>
        <v>0</v>
      </c>
      <c r="AA20" s="132"/>
      <c r="AB20" s="400">
        <f t="shared" si="13"/>
        <v>0</v>
      </c>
      <c r="AC20" s="401" t="str">
        <f t="shared" si="14"/>
        <v/>
      </c>
      <c r="AD20" s="52"/>
      <c r="AE20" s="396">
        <f>IFERROR(VLOOKUP($C20,'Proposed Rates'!$B:$J,AE$11,FALSE),0)</f>
        <v>0</v>
      </c>
      <c r="AF20" s="414">
        <f t="shared" si="15"/>
        <v>1277500</v>
      </c>
      <c r="AG20" s="399">
        <f t="shared" si="16"/>
        <v>0</v>
      </c>
      <c r="AH20" s="132"/>
      <c r="AI20" s="400">
        <f t="shared" si="17"/>
        <v>0</v>
      </c>
      <c r="AJ20" s="401" t="str">
        <f t="shared" si="18"/>
        <v/>
      </c>
      <c r="AK20" s="52"/>
      <c r="AL20" s="396">
        <f>IFERROR(VLOOKUP($C20,'Proposed Rates'!$B:$J,AL$11,FALSE),0)</f>
        <v>0</v>
      </c>
      <c r="AM20" s="414">
        <f t="shared" si="19"/>
        <v>1277500</v>
      </c>
      <c r="AN20" s="399">
        <f t="shared" si="20"/>
        <v>0</v>
      </c>
      <c r="AO20" s="132"/>
      <c r="AP20" s="400">
        <f t="shared" si="21"/>
        <v>0</v>
      </c>
      <c r="AQ20" s="401" t="str">
        <f t="shared" si="22"/>
        <v/>
      </c>
      <c r="AR20" s="402"/>
    </row>
    <row r="21" spans="1:44" ht="12.75" customHeight="1">
      <c r="A21" s="52"/>
      <c r="B21" s="321" t="s">
        <v>244</v>
      </c>
      <c r="C21" s="394" t="str">
        <f t="shared" si="0"/>
        <v>General Service 1,500 to 4,999 KW.LRAM Rate Rider</v>
      </c>
      <c r="D21" s="395" t="s">
        <v>381</v>
      </c>
      <c r="E21" s="321"/>
      <c r="F21" s="413">
        <f>'Proposed Rates'!E80+'Proposed Rates'!E93</f>
        <v>0.2021</v>
      </c>
      <c r="G21" s="414">
        <f t="shared" si="1"/>
        <v>4000</v>
      </c>
      <c r="H21" s="399">
        <f t="shared" si="2"/>
        <v>808.4</v>
      </c>
      <c r="I21" s="132"/>
      <c r="J21" s="413">
        <f>'Proposed Rates'!F80+'Proposed Rates'!F93</f>
        <v>-0.36930000000000002</v>
      </c>
      <c r="K21" s="414">
        <f t="shared" si="3"/>
        <v>4000</v>
      </c>
      <c r="L21" s="399">
        <f t="shared" si="4"/>
        <v>-1477.2</v>
      </c>
      <c r="M21" s="132"/>
      <c r="N21" s="400">
        <f t="shared" si="5"/>
        <v>-2285.6</v>
      </c>
      <c r="O21" s="401">
        <f t="shared" si="6"/>
        <v>-2.8273132112815436</v>
      </c>
      <c r="P21" s="52"/>
      <c r="Q21" s="413">
        <f>'Proposed Rates'!G80+'Proposed Rates'!G93</f>
        <v>0</v>
      </c>
      <c r="R21" s="414">
        <f t="shared" si="7"/>
        <v>4000</v>
      </c>
      <c r="S21" s="399">
        <f t="shared" si="8"/>
        <v>0</v>
      </c>
      <c r="T21" s="132"/>
      <c r="U21" s="400">
        <f t="shared" si="9"/>
        <v>1477.2</v>
      </c>
      <c r="V21" s="401">
        <f t="shared" si="10"/>
        <v>-1</v>
      </c>
      <c r="W21" s="52"/>
      <c r="X21" s="396">
        <f>IFERROR(VLOOKUP($C21,'Proposed Rates'!$B:$J,X$11,FALSE),0)</f>
        <v>0</v>
      </c>
      <c r="Y21" s="414">
        <f t="shared" si="11"/>
        <v>4000</v>
      </c>
      <c r="Z21" s="399">
        <f t="shared" si="12"/>
        <v>0</v>
      </c>
      <c r="AA21" s="132"/>
      <c r="AB21" s="400">
        <f t="shared" si="13"/>
        <v>0</v>
      </c>
      <c r="AC21" s="401" t="str">
        <f t="shared" si="14"/>
        <v/>
      </c>
      <c r="AD21" s="52"/>
      <c r="AE21" s="396">
        <f>IFERROR(VLOOKUP($C21,'Proposed Rates'!$B:$J,AE$11,FALSE),0)</f>
        <v>0</v>
      </c>
      <c r="AF21" s="414">
        <f t="shared" si="15"/>
        <v>4000</v>
      </c>
      <c r="AG21" s="399">
        <f t="shared" si="16"/>
        <v>0</v>
      </c>
      <c r="AH21" s="132"/>
      <c r="AI21" s="400">
        <f t="shared" si="17"/>
        <v>0</v>
      </c>
      <c r="AJ21" s="401" t="str">
        <f t="shared" si="18"/>
        <v/>
      </c>
      <c r="AK21" s="52"/>
      <c r="AL21" s="396">
        <f>IFERROR(VLOOKUP($C21,'Proposed Rates'!$B:$J,AL$11,FALSE),0)</f>
        <v>0</v>
      </c>
      <c r="AM21" s="414">
        <f t="shared" si="19"/>
        <v>4000</v>
      </c>
      <c r="AN21" s="399">
        <f t="shared" si="20"/>
        <v>0</v>
      </c>
      <c r="AO21" s="132"/>
      <c r="AP21" s="400">
        <f t="shared" si="21"/>
        <v>0</v>
      </c>
      <c r="AQ21" s="401" t="str">
        <f t="shared" si="22"/>
        <v/>
      </c>
      <c r="AR21" s="402"/>
    </row>
    <row r="22" spans="1:44" ht="12.75" customHeight="1">
      <c r="A22" s="52"/>
      <c r="B22" s="483" t="s">
        <v>240</v>
      </c>
      <c r="C22" s="394" t="str">
        <f t="shared" si="0"/>
        <v>General Service 1,500 to 4,999 KW.Deferral/Variance Account Disposition Rate Rider Group 2</v>
      </c>
      <c r="D22" s="395" t="s">
        <v>381</v>
      </c>
      <c r="E22" s="321"/>
      <c r="F22" s="396">
        <f>IFERROR(VLOOKUP($C22,'Proposed Rates'!$B:$J,F$11,FALSE),0)</f>
        <v>0</v>
      </c>
      <c r="G22" s="414">
        <f t="shared" si="1"/>
        <v>4000</v>
      </c>
      <c r="H22" s="399">
        <f t="shared" si="2"/>
        <v>0</v>
      </c>
      <c r="I22" s="132"/>
      <c r="J22" s="396">
        <f>IFERROR(VLOOKUP($C22,'Proposed Rates'!$B:$J,J$11,FALSE),0)</f>
        <v>-0.1694</v>
      </c>
      <c r="K22" s="414">
        <f t="shared" si="3"/>
        <v>4000</v>
      </c>
      <c r="L22" s="399">
        <f t="shared" si="4"/>
        <v>-677.6</v>
      </c>
      <c r="M22" s="132"/>
      <c r="N22" s="400">
        <f t="shared" si="5"/>
        <v>-677.6</v>
      </c>
      <c r="O22" s="401" t="str">
        <f t="shared" si="6"/>
        <v/>
      </c>
      <c r="P22" s="52"/>
      <c r="Q22" s="396">
        <f>IFERROR(VLOOKUP($C22,'Proposed Rates'!$B:$J,Q$11,FALSE),0)</f>
        <v>0</v>
      </c>
      <c r="R22" s="414">
        <f t="shared" si="7"/>
        <v>4000</v>
      </c>
      <c r="S22" s="399">
        <f t="shared" si="8"/>
        <v>0</v>
      </c>
      <c r="T22" s="132"/>
      <c r="U22" s="400">
        <f t="shared" si="9"/>
        <v>677.6</v>
      </c>
      <c r="V22" s="401">
        <f t="shared" si="10"/>
        <v>-1</v>
      </c>
      <c r="W22" s="52"/>
      <c r="X22" s="396">
        <f>IFERROR(VLOOKUP($C22,'Proposed Rates'!$B:$J,X$11,FALSE),0)</f>
        <v>0</v>
      </c>
      <c r="Y22" s="414">
        <f t="shared" si="11"/>
        <v>4000</v>
      </c>
      <c r="Z22" s="399">
        <f t="shared" si="12"/>
        <v>0</v>
      </c>
      <c r="AA22" s="132"/>
      <c r="AB22" s="400">
        <f t="shared" si="13"/>
        <v>0</v>
      </c>
      <c r="AC22" s="401" t="str">
        <f t="shared" si="14"/>
        <v/>
      </c>
      <c r="AD22" s="52"/>
      <c r="AE22" s="396">
        <f>IFERROR(VLOOKUP($C22,'Proposed Rates'!$B:$J,AE$11,FALSE),0)</f>
        <v>0</v>
      </c>
      <c r="AF22" s="414">
        <f t="shared" si="15"/>
        <v>4000</v>
      </c>
      <c r="AG22" s="399">
        <f t="shared" si="16"/>
        <v>0</v>
      </c>
      <c r="AH22" s="132"/>
      <c r="AI22" s="400">
        <f t="shared" si="17"/>
        <v>0</v>
      </c>
      <c r="AJ22" s="401" t="str">
        <f t="shared" si="18"/>
        <v/>
      </c>
      <c r="AK22" s="52"/>
      <c r="AL22" s="396">
        <f>IFERROR(VLOOKUP($C22,'Proposed Rates'!$B:$J,AL$11,FALSE),0)</f>
        <v>0</v>
      </c>
      <c r="AM22" s="414">
        <f t="shared" si="19"/>
        <v>4000</v>
      </c>
      <c r="AN22" s="399">
        <f t="shared" si="20"/>
        <v>0</v>
      </c>
      <c r="AO22" s="132"/>
      <c r="AP22" s="400">
        <f t="shared" si="21"/>
        <v>0</v>
      </c>
      <c r="AQ22" s="401" t="str">
        <f t="shared" si="22"/>
        <v/>
      </c>
      <c r="AR22" s="402"/>
    </row>
    <row r="23" spans="1:44" ht="12.75" customHeight="1">
      <c r="A23" s="52"/>
      <c r="B23" s="403"/>
      <c r="C23" s="394" t="str">
        <f t="shared" si="0"/>
        <v>General Service 1,500 to 4,999 KW.</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75" customHeight="1">
      <c r="A24" s="52"/>
      <c r="B24" s="403"/>
      <c r="C24" s="394" t="str">
        <f t="shared" si="0"/>
        <v>General Service 1,500 to 4,999 KW.</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75" customHeight="1">
      <c r="A25" s="52"/>
      <c r="B25" s="403"/>
      <c r="C25" s="394" t="str">
        <f t="shared" si="0"/>
        <v>General Service 1,500 to 4,999 KW.</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75" customHeight="1">
      <c r="A26" s="52"/>
      <c r="B26" s="483"/>
      <c r="C26" s="394" t="str">
        <f t="shared" si="0"/>
        <v>General Service 1,500 to 4,999 KW.</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75" customHeight="1">
      <c r="A27" s="52"/>
      <c r="B27" s="403"/>
      <c r="C27" s="394" t="str">
        <f t="shared" si="0"/>
        <v>General Service 1,500 to 4,999 KW.</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75" customHeight="1">
      <c r="A28" s="52"/>
      <c r="B28" s="403"/>
      <c r="C28" s="394" t="str">
        <f t="shared" si="0"/>
        <v>General Service 1,500 to 4,999 KW.</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75" customHeight="1">
      <c r="A29" s="307"/>
      <c r="B29" s="404" t="s">
        <v>314</v>
      </c>
      <c r="C29" s="556"/>
      <c r="D29" s="405"/>
      <c r="E29" s="405"/>
      <c r="F29" s="406"/>
      <c r="G29" s="499"/>
      <c r="H29" s="408">
        <f>SUM(H15:H28)</f>
        <v>29253.550000000003</v>
      </c>
      <c r="I29" s="409"/>
      <c r="J29" s="406"/>
      <c r="K29" s="499"/>
      <c r="L29" s="408">
        <f>SUM(L15:L28)</f>
        <v>32639.550000000003</v>
      </c>
      <c r="M29" s="409"/>
      <c r="N29" s="410">
        <f t="shared" si="5"/>
        <v>3386</v>
      </c>
      <c r="O29" s="411">
        <f t="shared" si="6"/>
        <v>0.11574663587838056</v>
      </c>
      <c r="P29" s="307"/>
      <c r="Q29" s="406"/>
      <c r="R29" s="499"/>
      <c r="S29" s="408">
        <f>SUM(S15:S28)</f>
        <v>36689.550000000003</v>
      </c>
      <c r="T29" s="409"/>
      <c r="U29" s="410">
        <f t="shared" si="9"/>
        <v>4050</v>
      </c>
      <c r="V29" s="411">
        <f t="shared" si="10"/>
        <v>0.12408259305045564</v>
      </c>
      <c r="W29" s="307"/>
      <c r="X29" s="406"/>
      <c r="Y29" s="499"/>
      <c r="Z29" s="408">
        <f>SUM(Z15:Z28)</f>
        <v>39487.949999999997</v>
      </c>
      <c r="AA29" s="409"/>
      <c r="AB29" s="410">
        <f t="shared" si="13"/>
        <v>2798.3999999999942</v>
      </c>
      <c r="AC29" s="411">
        <f t="shared" si="14"/>
        <v>7.6272399089113763E-2</v>
      </c>
      <c r="AD29" s="307"/>
      <c r="AE29" s="406"/>
      <c r="AF29" s="499"/>
      <c r="AG29" s="408">
        <f>SUM(AG15:AG28)</f>
        <v>40977.550000000003</v>
      </c>
      <c r="AH29" s="409"/>
      <c r="AI29" s="410">
        <f t="shared" si="17"/>
        <v>1489.6000000000058</v>
      </c>
      <c r="AJ29" s="411">
        <f t="shared" si="18"/>
        <v>3.7722900277173316E-2</v>
      </c>
      <c r="AK29" s="307"/>
      <c r="AL29" s="406"/>
      <c r="AM29" s="499"/>
      <c r="AN29" s="408">
        <f>SUM(AN15:AN28)</f>
        <v>42342.35</v>
      </c>
      <c r="AO29" s="409"/>
      <c r="AP29" s="410">
        <f t="shared" si="21"/>
        <v>1364.7999999999956</v>
      </c>
      <c r="AQ29" s="411">
        <f t="shared" si="22"/>
        <v>3.3306041966881757E-2</v>
      </c>
      <c r="AR29" s="412"/>
    </row>
    <row r="30" spans="1:44" ht="12.75" customHeight="1">
      <c r="A30" s="52"/>
      <c r="B30" s="403" t="s">
        <v>237</v>
      </c>
      <c r="C30" s="394" t="str">
        <f t="shared" ref="C30:C38" si="23">D$6&amp;"."&amp;B30</f>
        <v>General Service 1,500 to 4,999 KW.DVA Disposition Rate Rider Group 1 -2025</v>
      </c>
      <c r="D30" s="395" t="s">
        <v>381</v>
      </c>
      <c r="E30" s="321"/>
      <c r="F30" s="413">
        <f>IFERROR(VLOOKUP($C30,'Proposed Rates'!$B:$J,F$11,FALSE),0)</f>
        <v>5.3600000000000002E-2</v>
      </c>
      <c r="G30" s="414">
        <f t="shared" ref="G30:G36" si="24">IF($D30="Monthly",1,IF($D30="per KW",$F$10,IF($D30="per kWh",$F$9,0)))</f>
        <v>4000</v>
      </c>
      <c r="H30" s="399">
        <f t="shared" ref="H30:H38" si="25">G30*F30</f>
        <v>214.4</v>
      </c>
      <c r="I30" s="132"/>
      <c r="J30" s="413">
        <f>IFERROR(VLOOKUP($C30,'Proposed Rates'!$B:$J,J$11,FALSE),0)</f>
        <v>-0.22289999999999999</v>
      </c>
      <c r="K30" s="414">
        <f t="shared" ref="K30:K36" si="26">IF($D30="Monthly",1,IF($D30="per KW",$F$10,IF($D30="per kWh",$F$9,0)))</f>
        <v>4000</v>
      </c>
      <c r="L30" s="399">
        <f t="shared" ref="L30:L38" si="27">K30*J30</f>
        <v>-891.59999999999991</v>
      </c>
      <c r="M30" s="132"/>
      <c r="N30" s="400">
        <f t="shared" si="5"/>
        <v>-1106</v>
      </c>
      <c r="O30" s="401">
        <f t="shared" si="6"/>
        <v>-5.1585820895522385</v>
      </c>
      <c r="P30" s="52"/>
      <c r="Q30" s="413">
        <f>IFERROR(VLOOKUP($C30,'Proposed Rates'!$B:$J,Q$11,FALSE),0)</f>
        <v>0</v>
      </c>
      <c r="R30" s="414">
        <f t="shared" ref="R30:R36" si="28">IF($D30="Monthly",1,IF($D30="per KW",$F$10,IF($D30="per kWh",$F$9,0)))</f>
        <v>4000</v>
      </c>
      <c r="S30" s="399">
        <f t="shared" ref="S30:S38" si="29">R30*Q30</f>
        <v>0</v>
      </c>
      <c r="T30" s="132"/>
      <c r="U30" s="400">
        <f t="shared" si="9"/>
        <v>891.59999999999991</v>
      </c>
      <c r="V30" s="401">
        <f t="shared" si="10"/>
        <v>-1</v>
      </c>
      <c r="W30" s="52"/>
      <c r="X30" s="413">
        <f>IFERROR(VLOOKUP($C30,'Proposed Rates'!$B:$J,X$11,FALSE),0)</f>
        <v>0</v>
      </c>
      <c r="Y30" s="414">
        <f t="shared" ref="Y30:Y36" si="30">IF($D30="Monthly",1,IF($D30="per KW",$F$10,IF($D30="per kWh",$F$9,0)))</f>
        <v>4000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4000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4000</v>
      </c>
      <c r="AN30" s="399">
        <f t="shared" ref="AN30:AN38" si="35">AM30*AL30</f>
        <v>0</v>
      </c>
      <c r="AO30" s="132"/>
      <c r="AP30" s="400">
        <f t="shared" si="21"/>
        <v>0</v>
      </c>
      <c r="AQ30" s="401" t="str">
        <f t="shared" si="22"/>
        <v/>
      </c>
      <c r="AR30" s="402"/>
    </row>
    <row r="31" spans="1:44" ht="12.75" customHeight="1">
      <c r="A31" s="52"/>
      <c r="B31" s="483" t="s">
        <v>239</v>
      </c>
      <c r="C31" s="394" t="str">
        <f t="shared" si="23"/>
        <v>General Service 1,500 to 4,999 KW.DVA Disposition Rate Rider Group 1 - 2024</v>
      </c>
      <c r="D31" s="395" t="s">
        <v>381</v>
      </c>
      <c r="E31" s="321"/>
      <c r="F31" s="413">
        <f>IFERROR(VLOOKUP($C31,'Proposed Rates'!$B:$J,F$11,FALSE),0)</f>
        <v>0</v>
      </c>
      <c r="G31" s="414">
        <f t="shared" si="24"/>
        <v>4000</v>
      </c>
      <c r="H31" s="399">
        <f t="shared" si="25"/>
        <v>0</v>
      </c>
      <c r="I31" s="132"/>
      <c r="J31" s="413">
        <f>IFERROR(VLOOKUP($C31,'Proposed Rates'!$B:$J,J$11,FALSE),0)</f>
        <v>0</v>
      </c>
      <c r="K31" s="414">
        <f t="shared" si="26"/>
        <v>4000</v>
      </c>
      <c r="L31" s="399">
        <f t="shared" si="27"/>
        <v>0</v>
      </c>
      <c r="M31" s="132"/>
      <c r="N31" s="400">
        <f t="shared" si="5"/>
        <v>0</v>
      </c>
      <c r="O31" s="401" t="str">
        <f t="shared" si="6"/>
        <v/>
      </c>
      <c r="P31" s="52"/>
      <c r="Q31" s="413">
        <f>IFERROR(VLOOKUP($C31,'Proposed Rates'!$B:$J,Q$11,FALSE),0)</f>
        <v>0</v>
      </c>
      <c r="R31" s="414">
        <f t="shared" si="28"/>
        <v>4000</v>
      </c>
      <c r="S31" s="399">
        <f t="shared" si="29"/>
        <v>0</v>
      </c>
      <c r="T31" s="132"/>
      <c r="U31" s="400">
        <f t="shared" si="9"/>
        <v>0</v>
      </c>
      <c r="V31" s="401" t="str">
        <f t="shared" si="10"/>
        <v/>
      </c>
      <c r="W31" s="52"/>
      <c r="X31" s="413">
        <f>IFERROR(VLOOKUP($C31,'Proposed Rates'!$B:$J,X$11,FALSE),0)</f>
        <v>0</v>
      </c>
      <c r="Y31" s="414">
        <f t="shared" si="30"/>
        <v>4000</v>
      </c>
      <c r="Z31" s="399">
        <f t="shared" si="31"/>
        <v>0</v>
      </c>
      <c r="AA31" s="132"/>
      <c r="AB31" s="400">
        <f t="shared" si="13"/>
        <v>0</v>
      </c>
      <c r="AC31" s="401" t="str">
        <f t="shared" si="14"/>
        <v/>
      </c>
      <c r="AD31" s="52"/>
      <c r="AE31" s="413">
        <f>IFERROR(VLOOKUP($C31,'Proposed Rates'!$B:$J,AE$11,FALSE),0)</f>
        <v>0</v>
      </c>
      <c r="AF31" s="414">
        <f t="shared" si="32"/>
        <v>4000</v>
      </c>
      <c r="AG31" s="399">
        <f t="shared" si="33"/>
        <v>0</v>
      </c>
      <c r="AH31" s="132"/>
      <c r="AI31" s="400">
        <f t="shared" si="17"/>
        <v>0</v>
      </c>
      <c r="AJ31" s="401" t="str">
        <f t="shared" si="18"/>
        <v/>
      </c>
      <c r="AK31" s="52"/>
      <c r="AL31" s="413">
        <f>IFERROR(VLOOKUP($C31,'Proposed Rates'!$B:$J,AL$11,FALSE),0)</f>
        <v>0</v>
      </c>
      <c r="AM31" s="414">
        <f t="shared" si="34"/>
        <v>4000</v>
      </c>
      <c r="AN31" s="399">
        <f t="shared" si="35"/>
        <v>0</v>
      </c>
      <c r="AO31" s="132"/>
      <c r="AP31" s="400">
        <f t="shared" si="21"/>
        <v>0</v>
      </c>
      <c r="AQ31" s="401" t="str">
        <f t="shared" si="22"/>
        <v/>
      </c>
      <c r="AR31" s="402"/>
    </row>
    <row r="32" spans="1:44" ht="12.75" customHeight="1">
      <c r="A32" s="52"/>
      <c r="B32" s="483" t="s">
        <v>247</v>
      </c>
      <c r="C32" s="394" t="str">
        <f t="shared" si="23"/>
        <v>General Service 1,500 to 4,999 KW.CBR Class B Rate Riders</v>
      </c>
      <c r="D32" s="395" t="s">
        <v>312</v>
      </c>
      <c r="E32" s="321"/>
      <c r="F32" s="413">
        <f>IFERROR(VLOOKUP($C32,'Proposed Rates'!$B:$J,F$11,FALSE),0)</f>
        <v>2.0000000000000001E-4</v>
      </c>
      <c r="G32" s="414">
        <f t="shared" si="24"/>
        <v>1277500</v>
      </c>
      <c r="H32" s="399">
        <f t="shared" si="25"/>
        <v>255.5</v>
      </c>
      <c r="I32" s="484"/>
      <c r="J32" s="413">
        <f>IFERROR(VLOOKUP($C32,'Proposed Rates'!$B:$J,J$11,FALSE),0)</f>
        <v>4.0000000000000002E-4</v>
      </c>
      <c r="K32" s="414">
        <f t="shared" si="26"/>
        <v>1277500</v>
      </c>
      <c r="L32" s="399">
        <f t="shared" si="27"/>
        <v>511</v>
      </c>
      <c r="M32" s="416"/>
      <c r="N32" s="400">
        <f t="shared" si="5"/>
        <v>255.5</v>
      </c>
      <c r="O32" s="401">
        <f t="shared" si="6"/>
        <v>1</v>
      </c>
      <c r="P32" s="52"/>
      <c r="Q32" s="413">
        <f>IFERROR(VLOOKUP($C32,'Proposed Rates'!$B:$J,Q$11,FALSE),0)</f>
        <v>0</v>
      </c>
      <c r="R32" s="414">
        <f t="shared" si="28"/>
        <v>1277500</v>
      </c>
      <c r="S32" s="399">
        <f t="shared" si="29"/>
        <v>0</v>
      </c>
      <c r="T32" s="416"/>
      <c r="U32" s="400">
        <f t="shared" si="9"/>
        <v>-511</v>
      </c>
      <c r="V32" s="401">
        <f t="shared" si="10"/>
        <v>-1</v>
      </c>
      <c r="W32" s="52"/>
      <c r="X32" s="413">
        <f>IFERROR(VLOOKUP($C32,'Proposed Rates'!$B:$J,X$11,FALSE),0)</f>
        <v>0</v>
      </c>
      <c r="Y32" s="414">
        <f t="shared" si="30"/>
        <v>1277500</v>
      </c>
      <c r="Z32" s="399">
        <f t="shared" si="31"/>
        <v>0</v>
      </c>
      <c r="AA32" s="132"/>
      <c r="AB32" s="400">
        <f t="shared" si="13"/>
        <v>0</v>
      </c>
      <c r="AC32" s="401" t="str">
        <f t="shared" si="14"/>
        <v/>
      </c>
      <c r="AD32" s="52"/>
      <c r="AE32" s="413">
        <f>IFERROR(VLOOKUP($C32,'Proposed Rates'!$B:$J,AE$11,FALSE),0)</f>
        <v>0</v>
      </c>
      <c r="AF32" s="414">
        <f t="shared" si="32"/>
        <v>1277500</v>
      </c>
      <c r="AG32" s="399">
        <f t="shared" si="33"/>
        <v>0</v>
      </c>
      <c r="AH32" s="132"/>
      <c r="AI32" s="400">
        <f t="shared" si="17"/>
        <v>0</v>
      </c>
      <c r="AJ32" s="401" t="str">
        <f t="shared" si="18"/>
        <v/>
      </c>
      <c r="AK32" s="52"/>
      <c r="AL32" s="413">
        <f>IFERROR(VLOOKUP($C32,'Proposed Rates'!$B:$J,AL$11,FALSE),0)</f>
        <v>0</v>
      </c>
      <c r="AM32" s="414">
        <f t="shared" si="34"/>
        <v>1277500</v>
      </c>
      <c r="AN32" s="399">
        <f t="shared" si="35"/>
        <v>0</v>
      </c>
      <c r="AO32" s="416"/>
      <c r="AP32" s="400">
        <f t="shared" si="21"/>
        <v>0</v>
      </c>
      <c r="AQ32" s="401" t="str">
        <f t="shared" si="22"/>
        <v/>
      </c>
      <c r="AR32" s="402"/>
    </row>
    <row r="33" spans="1:44" ht="12.75" customHeight="1">
      <c r="A33" s="52"/>
      <c r="B33" s="483" t="s">
        <v>252</v>
      </c>
      <c r="C33" s="394" t="str">
        <f t="shared" si="23"/>
        <v>General Service 1,500 to 4,999 KW.GA Rate Riders</v>
      </c>
      <c r="D33" s="395" t="s">
        <v>312</v>
      </c>
      <c r="E33" s="321"/>
      <c r="F33" s="413">
        <f>IFERROR(VLOOKUP($C33,'Proposed Rates'!$B:$J,F$11,FALSE),0)</f>
        <v>3.8999999999999998E-3</v>
      </c>
      <c r="G33" s="414">
        <f t="shared" si="24"/>
        <v>1277500</v>
      </c>
      <c r="H33" s="399">
        <f t="shared" si="25"/>
        <v>4982.25</v>
      </c>
      <c r="I33" s="484"/>
      <c r="J33" s="413">
        <f>IFERROR(VLOOKUP($C33,'Proposed Rates'!$B:$J,J$11,FALSE),0)</f>
        <v>4.4000000000000003E-3</v>
      </c>
      <c r="K33" s="414">
        <f t="shared" si="26"/>
        <v>1277500</v>
      </c>
      <c r="L33" s="399">
        <f t="shared" si="27"/>
        <v>5621</v>
      </c>
      <c r="M33" s="416"/>
      <c r="N33" s="400">
        <f t="shared" si="5"/>
        <v>638.75</v>
      </c>
      <c r="O33" s="401">
        <f t="shared" si="6"/>
        <v>0.12820512820512819</v>
      </c>
      <c r="P33" s="52"/>
      <c r="Q33" s="413">
        <f>IFERROR(VLOOKUP($C33,'Proposed Rates'!$B:$J,Q$11,FALSE),0)</f>
        <v>0</v>
      </c>
      <c r="R33" s="414">
        <f t="shared" si="28"/>
        <v>1277500</v>
      </c>
      <c r="S33" s="399">
        <f t="shared" si="29"/>
        <v>0</v>
      </c>
      <c r="T33" s="416"/>
      <c r="U33" s="400">
        <f t="shared" si="9"/>
        <v>-5621</v>
      </c>
      <c r="V33" s="401">
        <f t="shared" si="10"/>
        <v>-1</v>
      </c>
      <c r="W33" s="52"/>
      <c r="X33" s="413">
        <f>IFERROR(VLOOKUP($C33,'Proposed Rates'!$B:$J,X$11,FALSE),0)</f>
        <v>0</v>
      </c>
      <c r="Y33" s="414">
        <f t="shared" si="30"/>
        <v>1277500</v>
      </c>
      <c r="Z33" s="399">
        <f t="shared" si="31"/>
        <v>0</v>
      </c>
      <c r="AA33" s="416"/>
      <c r="AB33" s="400">
        <f t="shared" si="13"/>
        <v>0</v>
      </c>
      <c r="AC33" s="401" t="str">
        <f t="shared" si="14"/>
        <v/>
      </c>
      <c r="AD33" s="52"/>
      <c r="AE33" s="413">
        <f>IFERROR(VLOOKUP($C33,'Proposed Rates'!$B:$J,AE$11,FALSE),0)</f>
        <v>0</v>
      </c>
      <c r="AF33" s="414">
        <f t="shared" si="32"/>
        <v>1277500</v>
      </c>
      <c r="AG33" s="399">
        <f t="shared" si="33"/>
        <v>0</v>
      </c>
      <c r="AH33" s="416"/>
      <c r="AI33" s="400">
        <f t="shared" si="17"/>
        <v>0</v>
      </c>
      <c r="AJ33" s="401" t="str">
        <f t="shared" si="18"/>
        <v/>
      </c>
      <c r="AK33" s="52"/>
      <c r="AL33" s="413">
        <f>IFERROR(VLOOKUP($C33,'Proposed Rates'!$B:$J,AL$11,FALSE),0)</f>
        <v>0</v>
      </c>
      <c r="AM33" s="414">
        <f t="shared" si="34"/>
        <v>1277500</v>
      </c>
      <c r="AN33" s="399">
        <f t="shared" si="35"/>
        <v>0</v>
      </c>
      <c r="AO33" s="416"/>
      <c r="AP33" s="400">
        <f t="shared" si="21"/>
        <v>0</v>
      </c>
      <c r="AQ33" s="401" t="str">
        <f t="shared" si="22"/>
        <v/>
      </c>
      <c r="AR33" s="402"/>
    </row>
    <row r="34" spans="1:44" ht="12.75" customHeight="1">
      <c r="A34" s="52"/>
      <c r="B34" s="483" t="s">
        <v>255</v>
      </c>
      <c r="C34" s="394" t="str">
        <f t="shared" si="23"/>
        <v>General Service 1,500 to 4,999 KW.Total Deferral/Variance Account Rate RidersYr2</v>
      </c>
      <c r="D34" s="395" t="s">
        <v>381</v>
      </c>
      <c r="E34" s="321"/>
      <c r="F34" s="413">
        <f>IFERROR(VLOOKUP($C34,'Proposed Rates'!$B:$J,F$11,FALSE),0)</f>
        <v>0</v>
      </c>
      <c r="G34" s="414">
        <f t="shared" si="24"/>
        <v>4000</v>
      </c>
      <c r="H34" s="399">
        <f t="shared" si="25"/>
        <v>0</v>
      </c>
      <c r="I34" s="484"/>
      <c r="J34" s="413">
        <f>IFERROR(VLOOKUP($C34,'Proposed Rates'!$B:$J,J$11,FALSE),0)</f>
        <v>0</v>
      </c>
      <c r="K34" s="414">
        <f t="shared" si="26"/>
        <v>4000</v>
      </c>
      <c r="L34" s="399">
        <f t="shared" si="27"/>
        <v>0</v>
      </c>
      <c r="M34" s="416"/>
      <c r="N34" s="400">
        <f t="shared" si="5"/>
        <v>0</v>
      </c>
      <c r="O34" s="401" t="str">
        <f t="shared" si="6"/>
        <v/>
      </c>
      <c r="P34" s="52"/>
      <c r="Q34" s="413">
        <f>IFERROR(VLOOKUP($C34,'Proposed Rates'!$B:$J,Q$11,FALSE),0)</f>
        <v>0</v>
      </c>
      <c r="R34" s="414">
        <f t="shared" si="28"/>
        <v>4000</v>
      </c>
      <c r="S34" s="399">
        <f t="shared" si="29"/>
        <v>0</v>
      </c>
      <c r="T34" s="416"/>
      <c r="U34" s="400">
        <f t="shared" si="9"/>
        <v>0</v>
      </c>
      <c r="V34" s="401" t="str">
        <f t="shared" si="10"/>
        <v/>
      </c>
      <c r="W34" s="52"/>
      <c r="X34" s="413">
        <f>IFERROR(VLOOKUP($C34,'Proposed Rates'!$B:$J,X$11,FALSE),0)</f>
        <v>0</v>
      </c>
      <c r="Y34" s="414">
        <f t="shared" si="30"/>
        <v>4000</v>
      </c>
      <c r="Z34" s="399">
        <f t="shared" si="31"/>
        <v>0</v>
      </c>
      <c r="AA34" s="416"/>
      <c r="AB34" s="400">
        <f t="shared" si="13"/>
        <v>0</v>
      </c>
      <c r="AC34" s="401" t="str">
        <f t="shared" si="14"/>
        <v/>
      </c>
      <c r="AD34" s="52"/>
      <c r="AE34" s="413">
        <f>IFERROR(VLOOKUP($C34,'Proposed Rates'!$B:$J,AE$11,FALSE),0)</f>
        <v>0</v>
      </c>
      <c r="AF34" s="414">
        <f t="shared" si="32"/>
        <v>4000</v>
      </c>
      <c r="AG34" s="399">
        <f t="shared" si="33"/>
        <v>0</v>
      </c>
      <c r="AH34" s="416"/>
      <c r="AI34" s="400">
        <f t="shared" si="17"/>
        <v>0</v>
      </c>
      <c r="AJ34" s="401" t="str">
        <f t="shared" si="18"/>
        <v/>
      </c>
      <c r="AK34" s="52"/>
      <c r="AL34" s="413">
        <f>IFERROR(VLOOKUP($C34,'Proposed Rates'!$B:$J,AL$11,FALSE),0)</f>
        <v>0</v>
      </c>
      <c r="AM34" s="414">
        <f t="shared" si="34"/>
        <v>4000</v>
      </c>
      <c r="AN34" s="399">
        <f t="shared" si="35"/>
        <v>0</v>
      </c>
      <c r="AO34" s="416"/>
      <c r="AP34" s="400">
        <f t="shared" si="21"/>
        <v>0</v>
      </c>
      <c r="AQ34" s="401" t="str">
        <f t="shared" si="22"/>
        <v/>
      </c>
      <c r="AR34" s="402"/>
    </row>
    <row r="35" spans="1:44" ht="12.75" customHeight="1">
      <c r="A35" s="52"/>
      <c r="B35" s="483" t="s">
        <v>257</v>
      </c>
      <c r="C35" s="394" t="str">
        <f t="shared" si="23"/>
        <v>General Service 1,500 to 4,999 KW.Total Deferral/Variance Account Rate Riders</v>
      </c>
      <c r="D35" s="395" t="s">
        <v>381</v>
      </c>
      <c r="E35" s="321"/>
      <c r="F35" s="413">
        <f>IFERROR(VLOOKUP($C35,'Proposed Rates'!$B:$J,F$11,FALSE),0)</f>
        <v>0</v>
      </c>
      <c r="G35" s="414">
        <f t="shared" si="24"/>
        <v>4000</v>
      </c>
      <c r="H35" s="399">
        <f t="shared" si="25"/>
        <v>0</v>
      </c>
      <c r="I35" s="132"/>
      <c r="J35" s="413">
        <f>IFERROR(VLOOKUP($C35,'Proposed Rates'!$B:$J,J$11,FALSE),0)</f>
        <v>0</v>
      </c>
      <c r="K35" s="414">
        <f t="shared" si="26"/>
        <v>4000</v>
      </c>
      <c r="L35" s="399">
        <f t="shared" si="27"/>
        <v>0</v>
      </c>
      <c r="M35" s="132"/>
      <c r="N35" s="400">
        <f t="shared" si="5"/>
        <v>0</v>
      </c>
      <c r="O35" s="401" t="str">
        <f t="shared" si="6"/>
        <v/>
      </c>
      <c r="P35" s="52"/>
      <c r="Q35" s="413">
        <f>IFERROR(VLOOKUP($C35,'Proposed Rates'!$B:$J,Q$11,FALSE),0)</f>
        <v>0</v>
      </c>
      <c r="R35" s="414">
        <f t="shared" si="28"/>
        <v>4000</v>
      </c>
      <c r="S35" s="399">
        <f t="shared" si="29"/>
        <v>0</v>
      </c>
      <c r="T35" s="132"/>
      <c r="U35" s="400">
        <f t="shared" si="9"/>
        <v>0</v>
      </c>
      <c r="V35" s="401" t="str">
        <f t="shared" si="10"/>
        <v/>
      </c>
      <c r="W35" s="52"/>
      <c r="X35" s="413">
        <f>IFERROR(VLOOKUP($C35,'Proposed Rates'!$B:$J,X$11,FALSE),0)</f>
        <v>0</v>
      </c>
      <c r="Y35" s="414">
        <f t="shared" si="30"/>
        <v>4000</v>
      </c>
      <c r="Z35" s="399">
        <f t="shared" si="31"/>
        <v>0</v>
      </c>
      <c r="AA35" s="132"/>
      <c r="AB35" s="400">
        <f t="shared" si="13"/>
        <v>0</v>
      </c>
      <c r="AC35" s="401" t="str">
        <f t="shared" si="14"/>
        <v/>
      </c>
      <c r="AD35" s="52"/>
      <c r="AE35" s="413">
        <f>IFERROR(VLOOKUP($C35,'Proposed Rates'!$B:$J,AE$11,FALSE),0)</f>
        <v>0</v>
      </c>
      <c r="AF35" s="414">
        <f t="shared" si="32"/>
        <v>4000</v>
      </c>
      <c r="AG35" s="399">
        <f t="shared" si="33"/>
        <v>0</v>
      </c>
      <c r="AH35" s="132"/>
      <c r="AI35" s="400">
        <f t="shared" si="17"/>
        <v>0</v>
      </c>
      <c r="AJ35" s="401" t="str">
        <f t="shared" si="18"/>
        <v/>
      </c>
      <c r="AK35" s="52"/>
      <c r="AL35" s="413">
        <f>IFERROR(VLOOKUP($C35,'Proposed Rates'!$B:$J,AL$11,FALSE),0)</f>
        <v>0</v>
      </c>
      <c r="AM35" s="414">
        <f t="shared" si="34"/>
        <v>4000</v>
      </c>
      <c r="AN35" s="399">
        <f t="shared" si="35"/>
        <v>0</v>
      </c>
      <c r="AO35" s="132"/>
      <c r="AP35" s="400">
        <f t="shared" si="21"/>
        <v>0</v>
      </c>
      <c r="AQ35" s="401" t="str">
        <f t="shared" si="22"/>
        <v/>
      </c>
      <c r="AR35" s="402"/>
    </row>
    <row r="36" spans="1:44" ht="12.75" customHeight="1">
      <c r="A36" s="52"/>
      <c r="B36" s="321" t="s">
        <v>273</v>
      </c>
      <c r="C36" s="394" t="str">
        <f t="shared" si="23"/>
        <v>General Service 1,500 to 4,999 KW.Low Voltage Service Charge</v>
      </c>
      <c r="D36" s="395" t="s">
        <v>381</v>
      </c>
      <c r="E36" s="321"/>
      <c r="F36" s="417">
        <f>IFERROR(VLOOKUP($C36,'Proposed Rates'!$B:$J,F$11,FALSE),0)</f>
        <v>2.2040000000000001E-2</v>
      </c>
      <c r="G36" s="414">
        <f t="shared" si="24"/>
        <v>4000</v>
      </c>
      <c r="H36" s="399">
        <f t="shared" si="25"/>
        <v>88.16</v>
      </c>
      <c r="I36" s="132"/>
      <c r="J36" s="417">
        <f>IFERROR(VLOOKUP($C36,'Proposed Rates'!$B:$J,J$11,FALSE),0)</f>
        <v>2.3130000000000001E-2</v>
      </c>
      <c r="K36" s="414">
        <f t="shared" si="26"/>
        <v>4000</v>
      </c>
      <c r="L36" s="399">
        <f t="shared" si="27"/>
        <v>92.52000000000001</v>
      </c>
      <c r="M36" s="132"/>
      <c r="N36" s="400">
        <f t="shared" si="5"/>
        <v>4.3600000000000136</v>
      </c>
      <c r="O36" s="401">
        <f t="shared" si="6"/>
        <v>4.9455535390199791E-2</v>
      </c>
      <c r="P36" s="52"/>
      <c r="Q36" s="417">
        <f>IFERROR(VLOOKUP($C36,'Proposed Rates'!$B:$J,Q$11,FALSE),0)</f>
        <v>2.3730000000000001E-2</v>
      </c>
      <c r="R36" s="414">
        <f t="shared" si="28"/>
        <v>4000</v>
      </c>
      <c r="S36" s="399">
        <f t="shared" si="29"/>
        <v>94.92</v>
      </c>
      <c r="T36" s="132"/>
      <c r="U36" s="400">
        <f t="shared" si="9"/>
        <v>2.3999999999999915</v>
      </c>
      <c r="V36" s="401">
        <f t="shared" si="10"/>
        <v>2.5940337224383821E-2</v>
      </c>
      <c r="W36" s="52"/>
      <c r="X36" s="417">
        <f>IFERROR(VLOOKUP($C36,'Proposed Rates'!$B:$J,X$11,FALSE),0)</f>
        <v>2.402E-2</v>
      </c>
      <c r="Y36" s="414">
        <f t="shared" si="30"/>
        <v>4000</v>
      </c>
      <c r="Z36" s="399">
        <f t="shared" si="31"/>
        <v>96.08</v>
      </c>
      <c r="AA36" s="132"/>
      <c r="AB36" s="400">
        <f t="shared" si="13"/>
        <v>1.1599999999999966</v>
      </c>
      <c r="AC36" s="401">
        <f t="shared" si="14"/>
        <v>1.2220817530552007E-2</v>
      </c>
      <c r="AD36" s="52"/>
      <c r="AE36" s="417">
        <f>IFERROR(VLOOKUP($C36,'Proposed Rates'!$B:$J,AE$11,FALSE),0)</f>
        <v>2.4410000000000001E-2</v>
      </c>
      <c r="AF36" s="414">
        <f t="shared" si="32"/>
        <v>4000</v>
      </c>
      <c r="AG36" s="399">
        <f t="shared" si="33"/>
        <v>97.64</v>
      </c>
      <c r="AH36" s="132"/>
      <c r="AI36" s="400">
        <f t="shared" si="17"/>
        <v>1.5600000000000023</v>
      </c>
      <c r="AJ36" s="401">
        <f t="shared" si="18"/>
        <v>1.6236469608659473E-2</v>
      </c>
      <c r="AK36" s="52"/>
      <c r="AL36" s="417">
        <f>IFERROR(VLOOKUP($C36,'Proposed Rates'!$B:$J,AL$11,FALSE),0)</f>
        <v>2.4840000000000001E-2</v>
      </c>
      <c r="AM36" s="414">
        <f t="shared" si="34"/>
        <v>4000</v>
      </c>
      <c r="AN36" s="399">
        <f t="shared" si="35"/>
        <v>99.36</v>
      </c>
      <c r="AO36" s="132"/>
      <c r="AP36" s="400">
        <f t="shared" si="21"/>
        <v>1.7199999999999989</v>
      </c>
      <c r="AQ36" s="401">
        <f t="shared" si="22"/>
        <v>1.7615731257681268E-2</v>
      </c>
      <c r="AR36" s="402"/>
    </row>
    <row r="37" spans="1:44" ht="12.75" customHeight="1">
      <c r="A37" s="52"/>
      <c r="B37" s="321" t="s">
        <v>316</v>
      </c>
      <c r="C37" s="394" t="str">
        <f t="shared" si="23"/>
        <v>General Service 1,500 to 4,999 KW.Line Losses on Cost of Power</v>
      </c>
      <c r="D37" s="395" t="s">
        <v>312</v>
      </c>
      <c r="E37" s="321"/>
      <c r="F37" s="557"/>
      <c r="G37" s="506">
        <f>$F$9*(1+F65)-$F$9</f>
        <v>43179.5</v>
      </c>
      <c r="H37" s="399">
        <f t="shared" si="25"/>
        <v>0</v>
      </c>
      <c r="I37" s="132"/>
      <c r="J37" s="557"/>
      <c r="K37" s="506">
        <f>$F$9*(1+J65)-$F$9</f>
        <v>42412.999999999767</v>
      </c>
      <c r="L37" s="399">
        <f t="shared" si="27"/>
        <v>0</v>
      </c>
      <c r="M37" s="132"/>
      <c r="N37" s="400">
        <f t="shared" si="5"/>
        <v>0</v>
      </c>
      <c r="O37" s="401" t="str">
        <f t="shared" si="6"/>
        <v/>
      </c>
      <c r="P37" s="52"/>
      <c r="Q37" s="557"/>
      <c r="R37" s="506">
        <f>$F$9*(1+Q65)-$F$9</f>
        <v>42412.999999999767</v>
      </c>
      <c r="S37" s="399">
        <f t="shared" si="29"/>
        <v>0</v>
      </c>
      <c r="T37" s="132"/>
      <c r="U37" s="400">
        <f t="shared" si="9"/>
        <v>0</v>
      </c>
      <c r="V37" s="401" t="str">
        <f t="shared" si="10"/>
        <v/>
      </c>
      <c r="W37" s="52"/>
      <c r="X37" s="557"/>
      <c r="Y37" s="506">
        <f>$F$9*(1+X65)-$F$9</f>
        <v>42412.999999999767</v>
      </c>
      <c r="Z37" s="399">
        <f t="shared" si="31"/>
        <v>0</v>
      </c>
      <c r="AA37" s="132"/>
      <c r="AB37" s="400">
        <f t="shared" si="13"/>
        <v>0</v>
      </c>
      <c r="AC37" s="401" t="str">
        <f t="shared" si="14"/>
        <v/>
      </c>
      <c r="AD37" s="52"/>
      <c r="AE37" s="557"/>
      <c r="AF37" s="506">
        <f>$F$9*(1+AE65)-$F$9</f>
        <v>42412.999999999767</v>
      </c>
      <c r="AG37" s="399">
        <f t="shared" si="33"/>
        <v>0</v>
      </c>
      <c r="AH37" s="132"/>
      <c r="AI37" s="400">
        <f t="shared" si="17"/>
        <v>0</v>
      </c>
      <c r="AJ37" s="401" t="str">
        <f t="shared" si="18"/>
        <v/>
      </c>
      <c r="AK37" s="52"/>
      <c r="AL37" s="557"/>
      <c r="AM37" s="506">
        <f>$F$9*(1+AL65)-$F$9</f>
        <v>42412.999999999767</v>
      </c>
      <c r="AN37" s="399">
        <f t="shared" si="35"/>
        <v>0</v>
      </c>
      <c r="AO37" s="132"/>
      <c r="AP37" s="400">
        <f t="shared" si="21"/>
        <v>0</v>
      </c>
      <c r="AQ37" s="401" t="str">
        <f t="shared" si="22"/>
        <v/>
      </c>
      <c r="AR37" s="402"/>
    </row>
    <row r="38" spans="1:44" ht="12.75" customHeight="1">
      <c r="A38" s="52"/>
      <c r="B38" s="321" t="s">
        <v>275</v>
      </c>
      <c r="C38" s="394" t="str">
        <f t="shared" si="23"/>
        <v>General Service 1,500 to 4,999 KW.Smart Meter Entity Charge</v>
      </c>
      <c r="D38" s="395" t="s">
        <v>310</v>
      </c>
      <c r="E38" s="321"/>
      <c r="F38" s="417">
        <f>IFERROR(VLOOKUP($C38,'Proposed Rates'!$B:$J,F$11,FALSE),0)</f>
        <v>0</v>
      </c>
      <c r="G38" s="414">
        <f>IF($D38="Monthly",1,IF($D38="per KW",$F$10,IF($D38="per kWh",$F$9,0)))</f>
        <v>1</v>
      </c>
      <c r="H38" s="399">
        <f t="shared" si="25"/>
        <v>0</v>
      </c>
      <c r="I38" s="132"/>
      <c r="J38" s="417">
        <f>IFERROR(VLOOKUP($C38,'Proposed Rates'!$B:$J,J$11,FALSE),0)</f>
        <v>0</v>
      </c>
      <c r="K38" s="414">
        <f>IF($D38="Monthly",1,IF($D38="per KW",$F$10,IF($D38="per kWh",$F$9,0)))</f>
        <v>1</v>
      </c>
      <c r="L38" s="399">
        <f t="shared" si="27"/>
        <v>0</v>
      </c>
      <c r="M38" s="132"/>
      <c r="N38" s="400">
        <f t="shared" si="5"/>
        <v>0</v>
      </c>
      <c r="O38" s="401" t="str">
        <f t="shared" si="6"/>
        <v/>
      </c>
      <c r="P38" s="52"/>
      <c r="Q38" s="417">
        <f>IFERROR(VLOOKUP($C38,'Proposed Rates'!$B:$J,Q$11,FALSE),0)</f>
        <v>0</v>
      </c>
      <c r="R38" s="414">
        <f>IF($D38="Monthly",1,IF($D38="per KW",$F$10,IF($D38="per kWh",$F$9,0)))</f>
        <v>1</v>
      </c>
      <c r="S38" s="399">
        <f t="shared" si="29"/>
        <v>0</v>
      </c>
      <c r="T38" s="132"/>
      <c r="U38" s="400">
        <f t="shared" si="9"/>
        <v>0</v>
      </c>
      <c r="V38" s="401" t="str">
        <f t="shared" si="10"/>
        <v/>
      </c>
      <c r="W38" s="52"/>
      <c r="X38" s="417">
        <f>IFERROR(VLOOKUP($C38,'Proposed Rates'!$B:$J,X$11,FALSE),0)</f>
        <v>0</v>
      </c>
      <c r="Y38" s="414">
        <f>IF($D38="Monthly",1,IF($D38="per KW",$F$10,IF($D38="per kWh",$F$9,0)))</f>
        <v>1</v>
      </c>
      <c r="Z38" s="399">
        <f t="shared" si="31"/>
        <v>0</v>
      </c>
      <c r="AA38" s="132"/>
      <c r="AB38" s="400">
        <f t="shared" si="13"/>
        <v>0</v>
      </c>
      <c r="AC38" s="401" t="str">
        <f t="shared" si="14"/>
        <v/>
      </c>
      <c r="AD38" s="52"/>
      <c r="AE38" s="417">
        <f>IFERROR(VLOOKUP($C38,'Proposed Rates'!$B:$J,AE$11,FALSE),0)</f>
        <v>0</v>
      </c>
      <c r="AF38" s="414">
        <f>IF($D38="Monthly",1,IF($D38="per KW",$F$10,IF($D38="per kWh",$F$9,0)))</f>
        <v>1</v>
      </c>
      <c r="AG38" s="399">
        <f t="shared" si="33"/>
        <v>0</v>
      </c>
      <c r="AH38" s="132"/>
      <c r="AI38" s="400">
        <f t="shared" si="17"/>
        <v>0</v>
      </c>
      <c r="AJ38" s="401" t="str">
        <f t="shared" si="18"/>
        <v/>
      </c>
      <c r="AK38" s="52"/>
      <c r="AL38" s="417">
        <f>IFERROR(VLOOKUP($C38,'Proposed Rates'!$B:$J,AL$11,FALSE),0)</f>
        <v>0</v>
      </c>
      <c r="AM38" s="414">
        <f>IF($D38="Monthly",1,IF($D38="per KW",$F$10,IF($D38="per kWh",$F$9,0)))</f>
        <v>1</v>
      </c>
      <c r="AN38" s="399">
        <f t="shared" si="35"/>
        <v>0</v>
      </c>
      <c r="AO38" s="132"/>
      <c r="AP38" s="400">
        <f t="shared" si="21"/>
        <v>0</v>
      </c>
      <c r="AQ38" s="401" t="str">
        <f t="shared" si="22"/>
        <v/>
      </c>
      <c r="AR38" s="402"/>
    </row>
    <row r="39" spans="1:44" ht="12.75" customHeight="1">
      <c r="A39" s="52"/>
      <c r="B39" s="485" t="s">
        <v>317</v>
      </c>
      <c r="C39" s="558"/>
      <c r="D39" s="421"/>
      <c r="E39" s="421"/>
      <c r="F39" s="422"/>
      <c r="G39" s="500"/>
      <c r="H39" s="408">
        <f>SUM(H30:H38)+H29</f>
        <v>34793.86</v>
      </c>
      <c r="I39" s="424"/>
      <c r="J39" s="422"/>
      <c r="K39" s="500"/>
      <c r="L39" s="408">
        <f>SUM(L30:L38)+L29</f>
        <v>37972.47</v>
      </c>
      <c r="M39" s="424"/>
      <c r="N39" s="410">
        <f t="shared" si="5"/>
        <v>3178.6100000000006</v>
      </c>
      <c r="O39" s="411">
        <f t="shared" si="6"/>
        <v>9.1355486284074278E-2</v>
      </c>
      <c r="P39" s="52"/>
      <c r="Q39" s="422"/>
      <c r="R39" s="500"/>
      <c r="S39" s="408">
        <f>SUM(S30:S38)+S29</f>
        <v>36784.47</v>
      </c>
      <c r="T39" s="424"/>
      <c r="U39" s="410">
        <f t="shared" si="9"/>
        <v>-1188</v>
      </c>
      <c r="V39" s="411">
        <f t="shared" si="10"/>
        <v>-3.1285823650660599E-2</v>
      </c>
      <c r="W39" s="52"/>
      <c r="X39" s="422"/>
      <c r="Y39" s="500"/>
      <c r="Z39" s="408">
        <f>SUM(Z30:Z38)+Z29</f>
        <v>39584.03</v>
      </c>
      <c r="AA39" s="424"/>
      <c r="AB39" s="410">
        <f t="shared" si="13"/>
        <v>2799.5599999999977</v>
      </c>
      <c r="AC39" s="411">
        <f t="shared" si="14"/>
        <v>7.6107118031060322E-2</v>
      </c>
      <c r="AD39" s="52"/>
      <c r="AE39" s="422"/>
      <c r="AF39" s="500"/>
      <c r="AG39" s="408">
        <f>SUM(AG30:AG38)+AG29</f>
        <v>41075.19</v>
      </c>
      <c r="AH39" s="424"/>
      <c r="AI39" s="410">
        <f t="shared" si="17"/>
        <v>1491.1600000000035</v>
      </c>
      <c r="AJ39" s="411">
        <f t="shared" si="18"/>
        <v>3.7670747521159509E-2</v>
      </c>
      <c r="AK39" s="52"/>
      <c r="AL39" s="422"/>
      <c r="AM39" s="500"/>
      <c r="AN39" s="408">
        <f>SUM(AN30:AN38)+AN29</f>
        <v>42441.71</v>
      </c>
      <c r="AO39" s="424"/>
      <c r="AP39" s="410">
        <f t="shared" si="21"/>
        <v>1366.5199999999968</v>
      </c>
      <c r="AQ39" s="411">
        <f t="shared" si="22"/>
        <v>3.3268744465941524E-2</v>
      </c>
      <c r="AR39" s="412"/>
    </row>
    <row r="40" spans="1:44" ht="12.75" customHeight="1">
      <c r="A40" s="52"/>
      <c r="B40" s="132" t="s">
        <v>258</v>
      </c>
      <c r="C40" s="394" t="str">
        <f t="shared" ref="C40:C41" si="36">D$6&amp;"."&amp;B40</f>
        <v>General Service 1,500 to 4,999 KW.RTSR - Network</v>
      </c>
      <c r="D40" s="425" t="s">
        <v>381</v>
      </c>
      <c r="E40" s="132"/>
      <c r="F40" s="413">
        <f>IFERROR(VLOOKUP($C40,'Proposed Rates'!$B:$J,F$11,FALSE),0)</f>
        <v>5.0336999999999996</v>
      </c>
      <c r="G40" s="414">
        <f t="shared" ref="G40:G41" si="37">IF($D40="Monthly",1,IF($D40="per KW",$F$10,IF($D40="per kWh",$F$9,0)))</f>
        <v>4000</v>
      </c>
      <c r="H40" s="399">
        <f t="shared" ref="H40:H41" si="38">G40*F40</f>
        <v>20134.8</v>
      </c>
      <c r="I40" s="132"/>
      <c r="J40" s="413">
        <f>IFERROR(VLOOKUP($C40,'Proposed Rates'!$B:$J,J$11,FALSE),0)</f>
        <v>4.5423999999999998</v>
      </c>
      <c r="K40" s="414">
        <f t="shared" ref="K40:K41" si="39">IF($D40="Monthly",1,IF($D40="per KW",$F$10,IF($D40="per kWh",$F$9,0)))</f>
        <v>4000</v>
      </c>
      <c r="L40" s="399">
        <f t="shared" ref="L40:L41" si="40">K40*J40</f>
        <v>18169.599999999999</v>
      </c>
      <c r="M40" s="132"/>
      <c r="N40" s="400">
        <f t="shared" si="5"/>
        <v>-1965.2000000000007</v>
      </c>
      <c r="O40" s="401">
        <f t="shared" si="6"/>
        <v>-9.7602161431948706E-2</v>
      </c>
      <c r="P40" s="52"/>
      <c r="Q40" s="413">
        <f>IFERROR(VLOOKUP($C40,'Proposed Rates'!$B:$J,Q$11,FALSE),0)</f>
        <v>4.5423999999999998</v>
      </c>
      <c r="R40" s="414">
        <f t="shared" ref="R40:R41" si="41">IF($D40="Monthly",1,IF($D40="per KW",$F$10,IF($D40="per kWh",$F$9,0)))</f>
        <v>4000</v>
      </c>
      <c r="S40" s="399">
        <f t="shared" ref="S40:S41" si="42">R40*Q40</f>
        <v>18169.599999999999</v>
      </c>
      <c r="T40" s="132"/>
      <c r="U40" s="400">
        <f t="shared" si="9"/>
        <v>0</v>
      </c>
      <c r="V40" s="401">
        <f t="shared" si="10"/>
        <v>0</v>
      </c>
      <c r="W40" s="52"/>
      <c r="X40" s="413">
        <f>IFERROR(VLOOKUP($C40,'Proposed Rates'!$B:$J,X$11,FALSE),0)</f>
        <v>4.5423999999999998</v>
      </c>
      <c r="Y40" s="414">
        <f t="shared" ref="Y40:Y41" si="43">IF($D40="Monthly",1,IF($D40="per KW",$F$10,IF($D40="per kWh",$F$9,0)))</f>
        <v>4000</v>
      </c>
      <c r="Z40" s="399">
        <f t="shared" ref="Z40:Z41" si="44">Y40*X40</f>
        <v>18169.599999999999</v>
      </c>
      <c r="AA40" s="132"/>
      <c r="AB40" s="400">
        <f t="shared" si="13"/>
        <v>0</v>
      </c>
      <c r="AC40" s="401">
        <f t="shared" si="14"/>
        <v>0</v>
      </c>
      <c r="AD40" s="52"/>
      <c r="AE40" s="413">
        <f>IFERROR(VLOOKUP($C40,'Proposed Rates'!$B:$J,AE$11,FALSE),0)</f>
        <v>4.5423999999999998</v>
      </c>
      <c r="AF40" s="414">
        <f t="shared" ref="AF40:AF41" si="45">IF($D40="Monthly",1,IF($D40="per KW",$F$10,IF($D40="per kWh",$F$9,0)))</f>
        <v>4000</v>
      </c>
      <c r="AG40" s="399">
        <f t="shared" ref="AG40:AG41" si="46">AF40*AE40</f>
        <v>18169.599999999999</v>
      </c>
      <c r="AH40" s="132"/>
      <c r="AI40" s="400">
        <f t="shared" si="17"/>
        <v>0</v>
      </c>
      <c r="AJ40" s="401">
        <f t="shared" si="18"/>
        <v>0</v>
      </c>
      <c r="AK40" s="52"/>
      <c r="AL40" s="413">
        <f>IFERROR(VLOOKUP($C40,'Proposed Rates'!$B:$J,AL$11,FALSE),0)</f>
        <v>4.5423999999999998</v>
      </c>
      <c r="AM40" s="414">
        <f t="shared" ref="AM40:AM41" si="47">IF($D40="Monthly",1,IF($D40="per KW",$F$10,IF($D40="per kWh",$F$9,0)))</f>
        <v>4000</v>
      </c>
      <c r="AN40" s="399">
        <f t="shared" ref="AN40:AN41" si="48">AM40*AL40</f>
        <v>18169.599999999999</v>
      </c>
      <c r="AO40" s="132"/>
      <c r="AP40" s="400">
        <f t="shared" si="21"/>
        <v>0</v>
      </c>
      <c r="AQ40" s="401">
        <f t="shared" si="22"/>
        <v>0</v>
      </c>
      <c r="AR40" s="402"/>
    </row>
    <row r="41" spans="1:44" ht="12.75" customHeight="1">
      <c r="A41" s="52"/>
      <c r="B41" s="486" t="s">
        <v>261</v>
      </c>
      <c r="C41" s="394" t="str">
        <f t="shared" si="36"/>
        <v>General Service 1,500 to 4,999 KW.RTSR - Line and Transformation Connection</v>
      </c>
      <c r="D41" s="425" t="s">
        <v>381</v>
      </c>
      <c r="E41" s="132"/>
      <c r="F41" s="413">
        <f>IFERROR(VLOOKUP($C41,'Proposed Rates'!$B:$J,F$11,FALSE),0)</f>
        <v>3.0125999999999999</v>
      </c>
      <c r="G41" s="414">
        <f t="shared" si="37"/>
        <v>4000</v>
      </c>
      <c r="H41" s="399">
        <f t="shared" si="38"/>
        <v>12050.4</v>
      </c>
      <c r="I41" s="132"/>
      <c r="J41" s="413">
        <f>IFERROR(VLOOKUP($C41,'Proposed Rates'!$B:$J,J$11,FALSE),0)</f>
        <v>2.5712000000000002</v>
      </c>
      <c r="K41" s="414">
        <f t="shared" si="39"/>
        <v>4000</v>
      </c>
      <c r="L41" s="399">
        <f t="shared" si="40"/>
        <v>10284.800000000001</v>
      </c>
      <c r="M41" s="132"/>
      <c r="N41" s="400">
        <f t="shared" si="5"/>
        <v>-1765.5999999999985</v>
      </c>
      <c r="O41" s="401">
        <f t="shared" si="6"/>
        <v>-0.14651795791011074</v>
      </c>
      <c r="P41" s="52"/>
      <c r="Q41" s="413">
        <f>IFERROR(VLOOKUP($C41,'Proposed Rates'!$B:$J,Q$11,FALSE),0)</f>
        <v>2.5712000000000002</v>
      </c>
      <c r="R41" s="414">
        <f t="shared" si="41"/>
        <v>4000</v>
      </c>
      <c r="S41" s="399">
        <f t="shared" si="42"/>
        <v>10284.800000000001</v>
      </c>
      <c r="T41" s="132"/>
      <c r="U41" s="400">
        <f t="shared" si="9"/>
        <v>0</v>
      </c>
      <c r="V41" s="401">
        <f t="shared" si="10"/>
        <v>0</v>
      </c>
      <c r="W41" s="52"/>
      <c r="X41" s="413">
        <f>IFERROR(VLOOKUP($C41,'Proposed Rates'!$B:$J,X$11,FALSE),0)</f>
        <v>2.5712000000000002</v>
      </c>
      <c r="Y41" s="414">
        <f t="shared" si="43"/>
        <v>4000</v>
      </c>
      <c r="Z41" s="399">
        <f t="shared" si="44"/>
        <v>10284.800000000001</v>
      </c>
      <c r="AA41" s="132"/>
      <c r="AB41" s="400">
        <f t="shared" si="13"/>
        <v>0</v>
      </c>
      <c r="AC41" s="401">
        <f t="shared" si="14"/>
        <v>0</v>
      </c>
      <c r="AD41" s="52"/>
      <c r="AE41" s="413">
        <f>IFERROR(VLOOKUP($C41,'Proposed Rates'!$B:$J,AE$11,FALSE),0)</f>
        <v>2.5712000000000002</v>
      </c>
      <c r="AF41" s="414">
        <f t="shared" si="45"/>
        <v>4000</v>
      </c>
      <c r="AG41" s="399">
        <f t="shared" si="46"/>
        <v>10284.800000000001</v>
      </c>
      <c r="AH41" s="132"/>
      <c r="AI41" s="400">
        <f t="shared" si="17"/>
        <v>0</v>
      </c>
      <c r="AJ41" s="401">
        <f t="shared" si="18"/>
        <v>0</v>
      </c>
      <c r="AK41" s="52"/>
      <c r="AL41" s="413">
        <f>IFERROR(VLOOKUP($C41,'Proposed Rates'!$B:$J,AL$11,FALSE),0)</f>
        <v>2.5712000000000002</v>
      </c>
      <c r="AM41" s="414">
        <f t="shared" si="47"/>
        <v>4000</v>
      </c>
      <c r="AN41" s="399">
        <f t="shared" si="48"/>
        <v>10284.800000000001</v>
      </c>
      <c r="AO41" s="132"/>
      <c r="AP41" s="400">
        <f t="shared" si="21"/>
        <v>0</v>
      </c>
      <c r="AQ41" s="401">
        <f t="shared" si="22"/>
        <v>0</v>
      </c>
      <c r="AR41" s="402"/>
    </row>
    <row r="42" spans="1:44" ht="12.75" customHeight="1">
      <c r="A42" s="52"/>
      <c r="B42" s="485" t="s">
        <v>318</v>
      </c>
      <c r="C42" s="559"/>
      <c r="D42" s="426"/>
      <c r="E42" s="426"/>
      <c r="F42" s="427"/>
      <c r="G42" s="500"/>
      <c r="H42" s="408">
        <f>SUM(H39:H41)</f>
        <v>66979.06</v>
      </c>
      <c r="I42" s="409"/>
      <c r="J42" s="427"/>
      <c r="K42" s="500"/>
      <c r="L42" s="408">
        <f>SUM(L39:L41)</f>
        <v>66426.87</v>
      </c>
      <c r="M42" s="409"/>
      <c r="N42" s="410">
        <f t="shared" si="5"/>
        <v>-552.19000000000233</v>
      </c>
      <c r="O42" s="411">
        <f t="shared" si="6"/>
        <v>-8.2442184169201887E-3</v>
      </c>
      <c r="P42" s="52"/>
      <c r="Q42" s="427"/>
      <c r="R42" s="500"/>
      <c r="S42" s="408">
        <f>SUM(S39:S41)</f>
        <v>65238.87</v>
      </c>
      <c r="T42" s="409"/>
      <c r="U42" s="410">
        <f t="shared" si="9"/>
        <v>-1187.9999999999927</v>
      </c>
      <c r="V42" s="411">
        <f t="shared" si="10"/>
        <v>-1.7884329037330719E-2</v>
      </c>
      <c r="W42" s="52"/>
      <c r="X42" s="427"/>
      <c r="Y42" s="500"/>
      <c r="Z42" s="408">
        <f>SUM(Z39:Z41)</f>
        <v>68038.429999999993</v>
      </c>
      <c r="AA42" s="409"/>
      <c r="AB42" s="410">
        <f t="shared" si="13"/>
        <v>2799.5599999999904</v>
      </c>
      <c r="AC42" s="411">
        <f t="shared" si="14"/>
        <v>4.2912453879105972E-2</v>
      </c>
      <c r="AD42" s="52"/>
      <c r="AE42" s="427"/>
      <c r="AF42" s="500"/>
      <c r="AG42" s="408">
        <f>SUM(AG39:AG41)</f>
        <v>69529.59</v>
      </c>
      <c r="AH42" s="409"/>
      <c r="AI42" s="410">
        <f t="shared" si="17"/>
        <v>1491.1600000000035</v>
      </c>
      <c r="AJ42" s="411">
        <f t="shared" si="18"/>
        <v>2.1916437519207948E-2</v>
      </c>
      <c r="AK42" s="52"/>
      <c r="AL42" s="427"/>
      <c r="AM42" s="500"/>
      <c r="AN42" s="408">
        <f>SUM(AN39:AN41)</f>
        <v>70896.11</v>
      </c>
      <c r="AO42" s="409"/>
      <c r="AP42" s="410">
        <f t="shared" si="21"/>
        <v>1366.5200000000041</v>
      </c>
      <c r="AQ42" s="411">
        <f t="shared" si="22"/>
        <v>1.9653790566002246E-2</v>
      </c>
      <c r="AR42" s="412"/>
    </row>
    <row r="43" spans="1:44" ht="12.75" customHeight="1">
      <c r="A43" s="52"/>
      <c r="B43" s="487" t="s">
        <v>262</v>
      </c>
      <c r="C43" s="394" t="str">
        <f t="shared" ref="C43:C44" si="49">D$6&amp;"."&amp;B43</f>
        <v>General Service 1,500 to 4,999 KW.Wholesale Market Service Charge (WMSC)</v>
      </c>
      <c r="D43" s="395" t="s">
        <v>312</v>
      </c>
      <c r="E43" s="321"/>
      <c r="F43" s="413">
        <f>IFERROR(VLOOKUP($C43,'Proposed Rates'!$B:$J,F$11,FALSE),0)</f>
        <v>4.4999999999999997E-3</v>
      </c>
      <c r="G43" s="507">
        <f t="shared" ref="G43:G44" si="50">$F$9+G$37</f>
        <v>1320679.5</v>
      </c>
      <c r="H43" s="399">
        <f t="shared" ref="H43:H46" si="51">G43*F43</f>
        <v>5943.0577499999999</v>
      </c>
      <c r="I43" s="132"/>
      <c r="J43" s="413">
        <f>IFERROR(VLOOKUP($C43,'Proposed Rates'!$B:$J,J$11,FALSE),0)</f>
        <v>4.7000000000000002E-3</v>
      </c>
      <c r="K43" s="507">
        <f t="shared" ref="K43:K44" si="52">$F$9+K$37</f>
        <v>1319912.9999999998</v>
      </c>
      <c r="L43" s="399">
        <f t="shared" ref="L43:L46" si="53">K43*J43</f>
        <v>6203.5910999999987</v>
      </c>
      <c r="M43" s="132"/>
      <c r="N43" s="400">
        <f t="shared" si="5"/>
        <v>260.53334999999879</v>
      </c>
      <c r="O43" s="401">
        <f t="shared" si="6"/>
        <v>4.3838266589282054E-2</v>
      </c>
      <c r="P43" s="52"/>
      <c r="Q43" s="413">
        <f>IFERROR(VLOOKUP($C43,'Proposed Rates'!$B:$J,Q$11,FALSE),0)</f>
        <v>4.7000000000000002E-3</v>
      </c>
      <c r="R43" s="507">
        <f t="shared" ref="R43:R44" si="54">$F$9+R$37</f>
        <v>1319912.9999999998</v>
      </c>
      <c r="S43" s="399">
        <f t="shared" ref="S43:S46" si="55">R43*Q43</f>
        <v>6203.5910999999987</v>
      </c>
      <c r="T43" s="132"/>
      <c r="U43" s="400">
        <f t="shared" si="9"/>
        <v>0</v>
      </c>
      <c r="V43" s="401">
        <f t="shared" si="10"/>
        <v>0</v>
      </c>
      <c r="W43" s="52"/>
      <c r="X43" s="413">
        <f>IFERROR(VLOOKUP($C43,'Proposed Rates'!$B:$J,X$11,FALSE),0)</f>
        <v>4.7000000000000002E-3</v>
      </c>
      <c r="Y43" s="507">
        <f t="shared" ref="Y43:Y44" si="56">$F$9+Y$37</f>
        <v>1319912.9999999998</v>
      </c>
      <c r="Z43" s="399">
        <f t="shared" ref="Z43:Z46" si="57">Y43*X43</f>
        <v>6203.5910999999987</v>
      </c>
      <c r="AA43" s="132"/>
      <c r="AB43" s="400">
        <f t="shared" si="13"/>
        <v>0</v>
      </c>
      <c r="AC43" s="401">
        <f t="shared" si="14"/>
        <v>0</v>
      </c>
      <c r="AD43" s="52"/>
      <c r="AE43" s="413">
        <f>IFERROR(VLOOKUP($C43,'Proposed Rates'!$B:$J,AE$11,FALSE),0)</f>
        <v>4.7000000000000002E-3</v>
      </c>
      <c r="AF43" s="507">
        <f t="shared" ref="AF43:AF44" si="58">$F$9+AF$37</f>
        <v>1319912.9999999998</v>
      </c>
      <c r="AG43" s="399">
        <f t="shared" ref="AG43:AG46" si="59">AF43*AE43</f>
        <v>6203.5910999999987</v>
      </c>
      <c r="AH43" s="132"/>
      <c r="AI43" s="400">
        <f t="shared" si="17"/>
        <v>0</v>
      </c>
      <c r="AJ43" s="401">
        <f t="shared" si="18"/>
        <v>0</v>
      </c>
      <c r="AK43" s="52"/>
      <c r="AL43" s="413">
        <f>IFERROR(VLOOKUP($C43,'Proposed Rates'!$B:$J,AL$11,FALSE),0)</f>
        <v>4.7000000000000002E-3</v>
      </c>
      <c r="AM43" s="507">
        <f t="shared" ref="AM43:AM44" si="60">$F$9+AM$37</f>
        <v>1319912.9999999998</v>
      </c>
      <c r="AN43" s="399">
        <f t="shared" ref="AN43:AN46" si="61">AM43*AL43</f>
        <v>6203.5910999999987</v>
      </c>
      <c r="AO43" s="132"/>
      <c r="AP43" s="400">
        <f t="shared" si="21"/>
        <v>0</v>
      </c>
      <c r="AQ43" s="401">
        <f t="shared" si="22"/>
        <v>0</v>
      </c>
      <c r="AR43" s="402"/>
    </row>
    <row r="44" spans="1:44" ht="12.75" customHeight="1">
      <c r="A44" s="52"/>
      <c r="B44" s="487" t="s">
        <v>263</v>
      </c>
      <c r="C44" s="394" t="str">
        <f t="shared" si="49"/>
        <v>General Service 1,500 to 4,999 KW.Rural and Remote Rate Protection (RRRP)</v>
      </c>
      <c r="D44" s="395" t="s">
        <v>312</v>
      </c>
      <c r="E44" s="321"/>
      <c r="F44" s="413">
        <f>IFERROR(VLOOKUP($C44,'Proposed Rates'!$B:$J,F$11,FALSE),0)</f>
        <v>1.5E-3</v>
      </c>
      <c r="G44" s="507">
        <f t="shared" si="50"/>
        <v>1320679.5</v>
      </c>
      <c r="H44" s="399">
        <f t="shared" si="51"/>
        <v>1981.0192500000001</v>
      </c>
      <c r="I44" s="132"/>
      <c r="J44" s="413">
        <f>IFERROR(VLOOKUP($C44,'Proposed Rates'!$B:$J,J$11,FALSE),0)</f>
        <v>5.9999999999999995E-4</v>
      </c>
      <c r="K44" s="507">
        <f t="shared" si="52"/>
        <v>1319912.9999999998</v>
      </c>
      <c r="L44" s="399">
        <f t="shared" si="53"/>
        <v>791.9477999999998</v>
      </c>
      <c r="M44" s="132"/>
      <c r="N44" s="400">
        <f t="shared" si="5"/>
        <v>-1189.0714500000004</v>
      </c>
      <c r="O44" s="401">
        <f t="shared" si="6"/>
        <v>-0.60023215322112611</v>
      </c>
      <c r="P44" s="52"/>
      <c r="Q44" s="413">
        <f>IFERROR(VLOOKUP($C44,'Proposed Rates'!$B:$J,Q$11,FALSE),0)</f>
        <v>5.9999999999999995E-4</v>
      </c>
      <c r="R44" s="507">
        <f t="shared" si="54"/>
        <v>1319912.9999999998</v>
      </c>
      <c r="S44" s="399">
        <f t="shared" si="55"/>
        <v>791.9477999999998</v>
      </c>
      <c r="T44" s="132"/>
      <c r="U44" s="400">
        <f t="shared" si="9"/>
        <v>0</v>
      </c>
      <c r="V44" s="401">
        <f t="shared" si="10"/>
        <v>0</v>
      </c>
      <c r="W44" s="52"/>
      <c r="X44" s="413">
        <f>IFERROR(VLOOKUP($C44,'Proposed Rates'!$B:$J,X$11,FALSE),0)</f>
        <v>5.9999999999999995E-4</v>
      </c>
      <c r="Y44" s="507">
        <f t="shared" si="56"/>
        <v>1319912.9999999998</v>
      </c>
      <c r="Z44" s="399">
        <f t="shared" si="57"/>
        <v>791.9477999999998</v>
      </c>
      <c r="AA44" s="132"/>
      <c r="AB44" s="400">
        <f t="shared" si="13"/>
        <v>0</v>
      </c>
      <c r="AC44" s="401">
        <f t="shared" si="14"/>
        <v>0</v>
      </c>
      <c r="AD44" s="52"/>
      <c r="AE44" s="413">
        <f>IFERROR(VLOOKUP($C44,'Proposed Rates'!$B:$J,AE$11,FALSE),0)</f>
        <v>5.9999999999999995E-4</v>
      </c>
      <c r="AF44" s="507">
        <f t="shared" si="58"/>
        <v>1319912.9999999998</v>
      </c>
      <c r="AG44" s="399">
        <f t="shared" si="59"/>
        <v>791.9477999999998</v>
      </c>
      <c r="AH44" s="132"/>
      <c r="AI44" s="400">
        <f t="shared" si="17"/>
        <v>0</v>
      </c>
      <c r="AJ44" s="401">
        <f t="shared" si="18"/>
        <v>0</v>
      </c>
      <c r="AK44" s="52"/>
      <c r="AL44" s="413">
        <f>IFERROR(VLOOKUP($C44,'Proposed Rates'!$B:$J,AL$11,FALSE),0)</f>
        <v>5.9999999999999995E-4</v>
      </c>
      <c r="AM44" s="507">
        <f t="shared" si="60"/>
        <v>1319912.9999999998</v>
      </c>
      <c r="AN44" s="399">
        <f t="shared" si="61"/>
        <v>791.9477999999998</v>
      </c>
      <c r="AO44" s="132"/>
      <c r="AP44" s="400">
        <f t="shared" si="21"/>
        <v>0</v>
      </c>
      <c r="AQ44" s="401">
        <f t="shared" si="22"/>
        <v>0</v>
      </c>
      <c r="AR44" s="402"/>
    </row>
    <row r="45" spans="1:44" ht="12.75" customHeight="1">
      <c r="A45" s="52"/>
      <c r="B45" s="321" t="s">
        <v>264</v>
      </c>
      <c r="C45" s="563"/>
      <c r="D45" s="395" t="s">
        <v>310</v>
      </c>
      <c r="E45" s="321"/>
      <c r="F45" s="413">
        <f>IFERROR(VLOOKUP($C47,'Proposed Rates'!$B:$J,F$11,FALSE),0)</f>
        <v>0.25</v>
      </c>
      <c r="G45" s="414">
        <f>IF($D45="Monthly",1,IF($D45="per KW",$F$10,IF($D45="per kWh",$F$9,0)))</f>
        <v>1</v>
      </c>
      <c r="H45" s="399">
        <f t="shared" si="51"/>
        <v>0.25</v>
      </c>
      <c r="I45" s="132"/>
      <c r="J45" s="413">
        <f>IFERROR(VLOOKUP($C47,'Proposed Rates'!$B:$J,J$11,FALSE),0)</f>
        <v>0.25</v>
      </c>
      <c r="K45" s="414">
        <f>IF($D45="Monthly",1,IF($D45="per KW",$F$10,IF($D45="per kWh",$F$9,0)))</f>
        <v>1</v>
      </c>
      <c r="L45" s="399">
        <f t="shared" si="53"/>
        <v>0.25</v>
      </c>
      <c r="M45" s="132"/>
      <c r="N45" s="400">
        <f t="shared" si="5"/>
        <v>0</v>
      </c>
      <c r="O45" s="401">
        <f t="shared" si="6"/>
        <v>0</v>
      </c>
      <c r="P45" s="52"/>
      <c r="Q45" s="413">
        <f>IFERROR(VLOOKUP($C47,'Proposed Rates'!$B:$J,Q$11,FALSE),0)</f>
        <v>0.25</v>
      </c>
      <c r="R45" s="414">
        <f>IF($D45="Monthly",1,IF($D45="per KW",$F$10,IF($D45="per kWh",$F$9,0)))</f>
        <v>1</v>
      </c>
      <c r="S45" s="399">
        <f t="shared" si="55"/>
        <v>0.25</v>
      </c>
      <c r="T45" s="132"/>
      <c r="U45" s="400">
        <f t="shared" si="9"/>
        <v>0</v>
      </c>
      <c r="V45" s="401">
        <f t="shared" si="10"/>
        <v>0</v>
      </c>
      <c r="W45" s="52"/>
      <c r="X45" s="413">
        <f>IFERROR(VLOOKUP($C47,'Proposed Rates'!$B:$J,X$11,FALSE),0)</f>
        <v>0.25</v>
      </c>
      <c r="Y45" s="414">
        <f>IF($D45="Monthly",1,IF($D45="per KW",$F$10,IF($D45="per kWh",$F$9,0)))</f>
        <v>1</v>
      </c>
      <c r="Z45" s="399">
        <f t="shared" si="57"/>
        <v>0.25</v>
      </c>
      <c r="AA45" s="132"/>
      <c r="AB45" s="400">
        <f t="shared" si="13"/>
        <v>0</v>
      </c>
      <c r="AC45" s="401">
        <f t="shared" si="14"/>
        <v>0</v>
      </c>
      <c r="AD45" s="52"/>
      <c r="AE45" s="413">
        <f>IFERROR(VLOOKUP($C47,'Proposed Rates'!$B:$J,AE$11,FALSE),0)</f>
        <v>0.25</v>
      </c>
      <c r="AF45" s="414">
        <f>IF($D45="Monthly",1,IF($D45="per KW",$F$10,IF($D45="per kWh",$F$9,0)))</f>
        <v>1</v>
      </c>
      <c r="AG45" s="399">
        <f t="shared" si="59"/>
        <v>0.25</v>
      </c>
      <c r="AH45" s="132"/>
      <c r="AI45" s="400">
        <f t="shared" si="17"/>
        <v>0</v>
      </c>
      <c r="AJ45" s="401">
        <f t="shared" si="18"/>
        <v>0</v>
      </c>
      <c r="AK45" s="52"/>
      <c r="AL45" s="413">
        <f>IFERROR(VLOOKUP($C47,'Proposed Rates'!$B:$J,AL$11,FALSE),0)</f>
        <v>0.25</v>
      </c>
      <c r="AM45" s="414">
        <f>IF($D45="Monthly",1,IF($D45="per KW",$F$10,IF($D45="per kWh",$F$9,0)))</f>
        <v>1</v>
      </c>
      <c r="AN45" s="399">
        <f t="shared" si="61"/>
        <v>0.25</v>
      </c>
      <c r="AO45" s="132"/>
      <c r="AP45" s="400">
        <f t="shared" si="21"/>
        <v>0</v>
      </c>
      <c r="AQ45" s="401">
        <f t="shared" si="22"/>
        <v>0</v>
      </c>
      <c r="AR45" s="402"/>
    </row>
    <row r="46" spans="1:44" ht="12.75" customHeight="1">
      <c r="A46" s="52"/>
      <c r="B46" s="321" t="s">
        <v>271</v>
      </c>
      <c r="C46" s="394" t="str">
        <f>B46</f>
        <v>Average IESO Wholesale Market Price</v>
      </c>
      <c r="D46" s="395" t="s">
        <v>312</v>
      </c>
      <c r="E46" s="321"/>
      <c r="F46" s="413">
        <f>IFERROR(VLOOKUP($C46,'Proposed Rates'!$B:$J,F$11,FALSE),0)</f>
        <v>0.10453</v>
      </c>
      <c r="G46" s="507">
        <f>$F$9+G$37</f>
        <v>1320679.5</v>
      </c>
      <c r="H46" s="399">
        <f t="shared" si="51"/>
        <v>138050.62813500001</v>
      </c>
      <c r="I46" s="132"/>
      <c r="J46" s="413">
        <f>IFERROR(VLOOKUP($C46,'Proposed Rates'!$B:$J,J$11,FALSE),0)</f>
        <v>0.10453</v>
      </c>
      <c r="K46" s="507">
        <f>$F$9+K$37</f>
        <v>1319912.9999999998</v>
      </c>
      <c r="L46" s="399">
        <f t="shared" si="53"/>
        <v>137970.50588999997</v>
      </c>
      <c r="M46" s="132"/>
      <c r="N46" s="400">
        <f t="shared" si="5"/>
        <v>-80.122245000035036</v>
      </c>
      <c r="O46" s="401">
        <f t="shared" si="6"/>
        <v>-5.8038305281511162E-4</v>
      </c>
      <c r="P46" s="52"/>
      <c r="Q46" s="413">
        <f>IFERROR(VLOOKUP($C46,'Proposed Rates'!$B:$J,Q$11,FALSE),0)</f>
        <v>0.10453</v>
      </c>
      <c r="R46" s="507">
        <f>$F$9+R$37</f>
        <v>1319912.9999999998</v>
      </c>
      <c r="S46" s="399">
        <f t="shared" si="55"/>
        <v>137970.50588999997</v>
      </c>
      <c r="T46" s="132"/>
      <c r="U46" s="400">
        <f t="shared" si="9"/>
        <v>0</v>
      </c>
      <c r="V46" s="401">
        <f t="shared" si="10"/>
        <v>0</v>
      </c>
      <c r="W46" s="52"/>
      <c r="X46" s="413">
        <f>IFERROR(VLOOKUP($C46,'Proposed Rates'!$B:$J,X$11,FALSE),0)</f>
        <v>0.10453</v>
      </c>
      <c r="Y46" s="507">
        <f>$F$9+Y$37</f>
        <v>1319912.9999999998</v>
      </c>
      <c r="Z46" s="399">
        <f t="shared" si="57"/>
        <v>137970.50588999997</v>
      </c>
      <c r="AA46" s="132"/>
      <c r="AB46" s="400">
        <f t="shared" si="13"/>
        <v>0</v>
      </c>
      <c r="AC46" s="401">
        <f t="shared" si="14"/>
        <v>0</v>
      </c>
      <c r="AD46" s="52"/>
      <c r="AE46" s="413">
        <f>IFERROR(VLOOKUP($C46,'Proposed Rates'!$B:$J,AE$11,FALSE),0)</f>
        <v>0.10453</v>
      </c>
      <c r="AF46" s="507">
        <f>$F$9+AF$37</f>
        <v>1319912.9999999998</v>
      </c>
      <c r="AG46" s="399">
        <f t="shared" si="59"/>
        <v>137970.50588999997</v>
      </c>
      <c r="AH46" s="132"/>
      <c r="AI46" s="400">
        <f t="shared" si="17"/>
        <v>0</v>
      </c>
      <c r="AJ46" s="401">
        <f t="shared" si="18"/>
        <v>0</v>
      </c>
      <c r="AK46" s="52"/>
      <c r="AL46" s="413">
        <f>IFERROR(VLOOKUP($C46,'Proposed Rates'!$B:$J,AL$11,FALSE),0)</f>
        <v>0.10453</v>
      </c>
      <c r="AM46" s="507">
        <f>$F$9+AM$37</f>
        <v>1319912.9999999998</v>
      </c>
      <c r="AN46" s="399">
        <f t="shared" si="61"/>
        <v>137970.50588999997</v>
      </c>
      <c r="AO46" s="132"/>
      <c r="AP46" s="400">
        <f t="shared" si="21"/>
        <v>0</v>
      </c>
      <c r="AQ46" s="401">
        <f t="shared" si="22"/>
        <v>0</v>
      </c>
      <c r="AR46" s="402"/>
    </row>
    <row r="47" spans="1:44" ht="7.5" customHeight="1">
      <c r="A47" s="52"/>
      <c r="B47" s="321"/>
      <c r="C47" s="394" t="str">
        <f t="shared" ref="C47:C50" si="62">D$6&amp;"."&amp;B45</f>
        <v>General Service 1,500 to 4,999 KW.Standard Supply Service Charge</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7.5" customHeight="1">
      <c r="A48" s="52"/>
      <c r="B48" s="52"/>
      <c r="C48" s="394" t="str">
        <f t="shared" si="62"/>
        <v>General Service 1,500 to 4,999 KW.Average IESO Wholesale Market Price</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7.5" customHeight="1">
      <c r="A49" s="52"/>
      <c r="B49" s="321"/>
      <c r="C49" s="394" t="str">
        <f t="shared" si="62"/>
        <v>General Service 1,500 to 4,999 KW.</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7.5" customHeight="1">
      <c r="A50" s="52"/>
      <c r="B50" s="321"/>
      <c r="C50" s="394" t="str">
        <f t="shared" si="62"/>
        <v>General Service 1,500 to 4,999 KW.</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8.2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75" customHeight="1">
      <c r="A52" s="52"/>
      <c r="B52" s="443" t="s">
        <v>319</v>
      </c>
      <c r="C52" s="561"/>
      <c r="D52" s="321"/>
      <c r="E52" s="321"/>
      <c r="F52" s="444"/>
      <c r="G52" s="488"/>
      <c r="H52" s="446">
        <f>SUM(H43:H48,H42)</f>
        <v>212954.01513499999</v>
      </c>
      <c r="I52" s="481"/>
      <c r="J52" s="445"/>
      <c r="K52" s="445"/>
      <c r="L52" s="446">
        <f>SUM(L43:L48,L42)</f>
        <v>211393.16478999995</v>
      </c>
      <c r="M52" s="448"/>
      <c r="N52" s="447">
        <f t="shared" ref="N52:N56" si="63">L52-H52</f>
        <v>-1560.8503450000426</v>
      </c>
      <c r="O52" s="449">
        <f t="shared" ref="O52:O56" si="64">IF((H52)=0,"",(N52/H52))</f>
        <v>-7.3295182718699043E-3</v>
      </c>
      <c r="P52" s="52"/>
      <c r="Q52" s="445"/>
      <c r="R52" s="445"/>
      <c r="S52" s="446">
        <f>SUM(S43:S48,S42)</f>
        <v>210205.16478999995</v>
      </c>
      <c r="T52" s="448"/>
      <c r="U52" s="447">
        <f t="shared" ref="U52:U56" si="65">S52-L52</f>
        <v>-1188</v>
      </c>
      <c r="V52" s="449">
        <f t="shared" ref="V52:V56" si="66">IF((L52)=0,"",(U52/L52))</f>
        <v>-5.6198600422117289E-3</v>
      </c>
      <c r="W52" s="52"/>
      <c r="X52" s="445"/>
      <c r="Y52" s="445"/>
      <c r="Z52" s="446">
        <f>SUM(Z43:Z48,Z42)</f>
        <v>213004.72478999995</v>
      </c>
      <c r="AA52" s="448"/>
      <c r="AB52" s="447">
        <f t="shared" ref="AB52:AB56" si="67">Z52-S52</f>
        <v>2799.5599999999977</v>
      </c>
      <c r="AC52" s="449">
        <f t="shared" ref="AC52:AC56" si="68">IF((S52)=0,"",(AB52/S52))</f>
        <v>1.3318226518348519E-2</v>
      </c>
      <c r="AD52" s="52"/>
      <c r="AE52" s="445"/>
      <c r="AF52" s="445"/>
      <c r="AG52" s="446">
        <f>SUM(AG43:AG48,AG42)</f>
        <v>214495.88478999995</v>
      </c>
      <c r="AH52" s="448"/>
      <c r="AI52" s="447">
        <f t="shared" ref="AI52:AI56" si="69">AG52-Z52</f>
        <v>1491.1600000000035</v>
      </c>
      <c r="AJ52" s="449">
        <f t="shared" ref="AJ52:AJ56" si="70">IF((Z52)=0,"",(AI52/Z52))</f>
        <v>7.0005958857022018E-3</v>
      </c>
      <c r="AK52" s="52"/>
      <c r="AL52" s="445"/>
      <c r="AM52" s="445"/>
      <c r="AN52" s="446">
        <f>SUM(AN43:AN48,AN42)</f>
        <v>215862.40478999994</v>
      </c>
      <c r="AO52" s="448"/>
      <c r="AP52" s="447">
        <f t="shared" ref="AP52:AP56" si="71">AN52-AG52</f>
        <v>1366.5199999999895</v>
      </c>
      <c r="AQ52" s="449">
        <f t="shared" ref="AQ52:AQ56" si="72">IF((AG52)=0,"",(AP52/AG52))</f>
        <v>6.3708448361975206E-3</v>
      </c>
      <c r="AR52" s="450"/>
    </row>
    <row r="53" spans="1:44" ht="12.75" customHeight="1">
      <c r="A53" s="52"/>
      <c r="B53" s="451" t="s">
        <v>320</v>
      </c>
      <c r="C53" s="561"/>
      <c r="D53" s="321"/>
      <c r="E53" s="321"/>
      <c r="F53" s="444">
        <v>0.13</v>
      </c>
      <c r="G53" s="132"/>
      <c r="H53" s="489">
        <f>H52*F53</f>
        <v>27684.021967550001</v>
      </c>
      <c r="I53" s="416"/>
      <c r="J53" s="452">
        <v>0.13</v>
      </c>
      <c r="K53" s="416"/>
      <c r="L53" s="399">
        <f>L52*J53</f>
        <v>27481.111422699996</v>
      </c>
      <c r="M53" s="132"/>
      <c r="N53" s="400">
        <f t="shared" si="63"/>
        <v>-202.91054485000495</v>
      </c>
      <c r="O53" s="401">
        <f t="shared" si="64"/>
        <v>-7.3295182718698827E-3</v>
      </c>
      <c r="P53" s="52"/>
      <c r="Q53" s="452">
        <v>0.13</v>
      </c>
      <c r="R53" s="416"/>
      <c r="S53" s="399">
        <f>S52*Q53</f>
        <v>27326.671422699994</v>
      </c>
      <c r="T53" s="132"/>
      <c r="U53" s="400">
        <f t="shared" si="65"/>
        <v>-154.44000000000233</v>
      </c>
      <c r="V53" s="401">
        <f t="shared" si="66"/>
        <v>-5.619860042211813E-3</v>
      </c>
      <c r="W53" s="52"/>
      <c r="X53" s="452">
        <v>0.13</v>
      </c>
      <c r="Y53" s="416"/>
      <c r="Z53" s="399">
        <f>Z52*X53</f>
        <v>27690.614222699995</v>
      </c>
      <c r="AA53" s="132"/>
      <c r="AB53" s="400">
        <f t="shared" si="67"/>
        <v>363.94280000000072</v>
      </c>
      <c r="AC53" s="401">
        <f t="shared" si="68"/>
        <v>1.3318226518348556E-2</v>
      </c>
      <c r="AD53" s="52"/>
      <c r="AE53" s="452">
        <v>0.13</v>
      </c>
      <c r="AF53" s="416"/>
      <c r="AG53" s="399">
        <f>AG52*AE53</f>
        <v>27884.465022699995</v>
      </c>
      <c r="AH53" s="132"/>
      <c r="AI53" s="400">
        <f t="shared" si="69"/>
        <v>193.85080000000016</v>
      </c>
      <c r="AJ53" s="401">
        <f t="shared" si="70"/>
        <v>7.0005958857021914E-3</v>
      </c>
      <c r="AK53" s="52"/>
      <c r="AL53" s="452">
        <v>0.13</v>
      </c>
      <c r="AM53" s="416"/>
      <c r="AN53" s="399">
        <f>AN52*AL53</f>
        <v>28062.112622699995</v>
      </c>
      <c r="AO53" s="132"/>
      <c r="AP53" s="400">
        <f t="shared" si="71"/>
        <v>177.64760000000024</v>
      </c>
      <c r="AQ53" s="401">
        <f t="shared" si="72"/>
        <v>6.3708448361975778E-3</v>
      </c>
      <c r="AR53" s="402"/>
    </row>
    <row r="54" spans="1:44" ht="12.75" customHeight="1">
      <c r="A54" s="52"/>
      <c r="B54" s="490" t="s">
        <v>406</v>
      </c>
      <c r="C54" s="561"/>
      <c r="D54" s="321"/>
      <c r="E54" s="321"/>
      <c r="F54" s="454"/>
      <c r="G54" s="132"/>
      <c r="H54" s="489">
        <f>H52+H53</f>
        <v>240638.03710255001</v>
      </c>
      <c r="I54" s="416"/>
      <c r="J54" s="416"/>
      <c r="K54" s="416"/>
      <c r="L54" s="399">
        <f>L52+L53</f>
        <v>238874.27621269994</v>
      </c>
      <c r="M54" s="132"/>
      <c r="N54" s="400">
        <f t="shared" si="63"/>
        <v>-1763.7608898500621</v>
      </c>
      <c r="O54" s="401">
        <f t="shared" si="64"/>
        <v>-7.3295182718699616E-3</v>
      </c>
      <c r="P54" s="52"/>
      <c r="Q54" s="416"/>
      <c r="R54" s="416"/>
      <c r="S54" s="399">
        <f>S52+S53</f>
        <v>237531.83621269994</v>
      </c>
      <c r="T54" s="132"/>
      <c r="U54" s="400">
        <f t="shared" si="65"/>
        <v>-1342.4400000000023</v>
      </c>
      <c r="V54" s="401">
        <f t="shared" si="66"/>
        <v>-5.6198600422117384E-3</v>
      </c>
      <c r="W54" s="52"/>
      <c r="X54" s="416"/>
      <c r="Y54" s="416"/>
      <c r="Z54" s="399">
        <f>Z52+Z53</f>
        <v>240695.33901269996</v>
      </c>
      <c r="AA54" s="132"/>
      <c r="AB54" s="400">
        <f t="shared" si="67"/>
        <v>3163.5028000000166</v>
      </c>
      <c r="AC54" s="401">
        <f t="shared" si="68"/>
        <v>1.3318226518348599E-2</v>
      </c>
      <c r="AD54" s="52"/>
      <c r="AE54" s="416"/>
      <c r="AF54" s="416"/>
      <c r="AG54" s="399">
        <f>AG52+AG53</f>
        <v>242380.34981269995</v>
      </c>
      <c r="AH54" s="132"/>
      <c r="AI54" s="400">
        <f t="shared" si="69"/>
        <v>1685.0107999999891</v>
      </c>
      <c r="AJ54" s="401">
        <f t="shared" si="70"/>
        <v>7.0005958857021402E-3</v>
      </c>
      <c r="AK54" s="52"/>
      <c r="AL54" s="416"/>
      <c r="AM54" s="416"/>
      <c r="AN54" s="399">
        <f>AN52+AN53</f>
        <v>243924.51741269993</v>
      </c>
      <c r="AO54" s="132"/>
      <c r="AP54" s="400">
        <f t="shared" si="71"/>
        <v>1544.1675999999861</v>
      </c>
      <c r="AQ54" s="401">
        <f t="shared" si="72"/>
        <v>6.3708448361975119E-3</v>
      </c>
      <c r="AR54" s="402"/>
    </row>
    <row r="55" spans="1:44" ht="15.75" customHeight="1">
      <c r="A55" s="52"/>
      <c r="B55" s="632" t="s">
        <v>277</v>
      </c>
      <c r="C55" s="623"/>
      <c r="D55" s="623"/>
      <c r="E55" s="321"/>
      <c r="F55" s="454"/>
      <c r="G55" s="132"/>
      <c r="H55" s="491">
        <f>F55*H52</f>
        <v>0</v>
      </c>
      <c r="I55" s="416"/>
      <c r="J55" s="416"/>
      <c r="K55" s="416"/>
      <c r="L55" s="511">
        <f>J55*L52</f>
        <v>0</v>
      </c>
      <c r="M55" s="132"/>
      <c r="N55" s="456">
        <f t="shared" si="63"/>
        <v>0</v>
      </c>
      <c r="O55" s="458" t="str">
        <f t="shared" si="64"/>
        <v/>
      </c>
      <c r="P55" s="52"/>
      <c r="Q55" s="416"/>
      <c r="R55" s="416"/>
      <c r="S55" s="511">
        <f>Q55*S52</f>
        <v>0</v>
      </c>
      <c r="T55" s="132"/>
      <c r="U55" s="456">
        <f t="shared" si="65"/>
        <v>0</v>
      </c>
      <c r="V55" s="458" t="str">
        <f t="shared" si="66"/>
        <v/>
      </c>
      <c r="W55" s="52"/>
      <c r="X55" s="416"/>
      <c r="Y55" s="416"/>
      <c r="Z55" s="511">
        <f>X55*Z52</f>
        <v>0</v>
      </c>
      <c r="AA55" s="132"/>
      <c r="AB55" s="456">
        <f t="shared" si="67"/>
        <v>0</v>
      </c>
      <c r="AC55" s="458" t="str">
        <f t="shared" si="68"/>
        <v/>
      </c>
      <c r="AD55" s="52"/>
      <c r="AE55" s="416"/>
      <c r="AF55" s="416"/>
      <c r="AG55" s="511">
        <f>AE55*AG52</f>
        <v>0</v>
      </c>
      <c r="AH55" s="132"/>
      <c r="AI55" s="456">
        <f t="shared" si="69"/>
        <v>0</v>
      </c>
      <c r="AJ55" s="458" t="str">
        <f t="shared" si="70"/>
        <v/>
      </c>
      <c r="AK55" s="52"/>
      <c r="AL55" s="416"/>
      <c r="AM55" s="416"/>
      <c r="AN55" s="511">
        <f>AL55*AN52</f>
        <v>0</v>
      </c>
      <c r="AO55" s="132"/>
      <c r="AP55" s="456">
        <f t="shared" si="71"/>
        <v>0</v>
      </c>
      <c r="AQ55" s="458" t="str">
        <f t="shared" si="72"/>
        <v/>
      </c>
      <c r="AR55" s="459"/>
    </row>
    <row r="56" spans="1:44" ht="13.5" customHeight="1">
      <c r="A56" s="52"/>
      <c r="B56" s="634" t="s">
        <v>322</v>
      </c>
      <c r="C56" s="615"/>
      <c r="D56" s="615"/>
      <c r="E56" s="460"/>
      <c r="F56" s="461"/>
      <c r="G56" s="492"/>
      <c r="H56" s="493">
        <f>H54-H55</f>
        <v>240638.03710255001</v>
      </c>
      <c r="I56" s="462"/>
      <c r="J56" s="462"/>
      <c r="K56" s="462"/>
      <c r="L56" s="463">
        <f>L54-L55</f>
        <v>238874.27621269994</v>
      </c>
      <c r="M56" s="464"/>
      <c r="N56" s="465">
        <f t="shared" si="63"/>
        <v>-1763.7608898500621</v>
      </c>
      <c r="O56" s="466">
        <f t="shared" si="64"/>
        <v>-7.3295182718699616E-3</v>
      </c>
      <c r="P56" s="52"/>
      <c r="Q56" s="462"/>
      <c r="R56" s="462"/>
      <c r="S56" s="463">
        <f>S54-S55</f>
        <v>237531.83621269994</v>
      </c>
      <c r="T56" s="464"/>
      <c r="U56" s="465">
        <f t="shared" si="65"/>
        <v>-1342.4400000000023</v>
      </c>
      <c r="V56" s="466">
        <f t="shared" si="66"/>
        <v>-5.6198600422117384E-3</v>
      </c>
      <c r="W56" s="52"/>
      <c r="X56" s="462"/>
      <c r="Y56" s="462"/>
      <c r="Z56" s="463">
        <f>Z54-Z55</f>
        <v>240695.33901269996</v>
      </c>
      <c r="AA56" s="464"/>
      <c r="AB56" s="465">
        <f t="shared" si="67"/>
        <v>3163.5028000000166</v>
      </c>
      <c r="AC56" s="466">
        <f t="shared" si="68"/>
        <v>1.3318226518348599E-2</v>
      </c>
      <c r="AD56" s="52"/>
      <c r="AE56" s="462"/>
      <c r="AF56" s="462"/>
      <c r="AG56" s="463">
        <f>AG54-AG55</f>
        <v>242380.34981269995</v>
      </c>
      <c r="AH56" s="464"/>
      <c r="AI56" s="465">
        <f t="shared" si="69"/>
        <v>1685.0107999999891</v>
      </c>
      <c r="AJ56" s="466">
        <f t="shared" si="70"/>
        <v>7.0005958857021402E-3</v>
      </c>
      <c r="AK56" s="52"/>
      <c r="AL56" s="462"/>
      <c r="AM56" s="462"/>
      <c r="AN56" s="463">
        <f>AN54-AN55</f>
        <v>243924.51741269993</v>
      </c>
      <c r="AO56" s="464"/>
      <c r="AP56" s="465">
        <f t="shared" si="71"/>
        <v>1544.1675999999861</v>
      </c>
      <c r="AQ56" s="466">
        <f t="shared" si="72"/>
        <v>6.3708448361975119E-3</v>
      </c>
      <c r="AR56" s="467"/>
    </row>
    <row r="57" spans="1:44"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75" customHeight="1">
      <c r="A58" s="512"/>
      <c r="B58" s="513" t="s">
        <v>323</v>
      </c>
      <c r="C58" s="562"/>
      <c r="D58" s="514"/>
      <c r="E58" s="514"/>
      <c r="F58" s="515"/>
      <c r="G58" s="516"/>
      <c r="H58" s="517">
        <f>SUM(H49:H50,H42,H43:H45)</f>
        <v>74903.387000000002</v>
      </c>
      <c r="I58" s="518"/>
      <c r="J58" s="519"/>
      <c r="K58" s="519"/>
      <c r="L58" s="517">
        <f>SUM(L49:L50,L42,L43:L45)</f>
        <v>73422.658899999995</v>
      </c>
      <c r="M58" s="520"/>
      <c r="N58" s="521">
        <f t="shared" ref="N58:N62" si="73">L58-H58</f>
        <v>-1480.7281000000075</v>
      </c>
      <c r="O58" s="522">
        <f t="shared" ref="O58:O62" si="74">IF((H58)=0,"",(N58/H58))</f>
        <v>-1.9768506596370701E-2</v>
      </c>
      <c r="P58" s="512"/>
      <c r="Q58" s="519"/>
      <c r="R58" s="519"/>
      <c r="S58" s="517">
        <f>SUM(S49:S50,S42,S43:S45)</f>
        <v>72234.658899999995</v>
      </c>
      <c r="T58" s="520"/>
      <c r="U58" s="521">
        <f t="shared" ref="U58:U62" si="75">S58-L58</f>
        <v>-1188</v>
      </c>
      <c r="V58" s="522">
        <f t="shared" ref="V58:V62" si="76">IF((L58)=0,"",(U58/L58))</f>
        <v>-1.6180291177115082E-2</v>
      </c>
      <c r="W58" s="512"/>
      <c r="X58" s="519"/>
      <c r="Y58" s="519"/>
      <c r="Z58" s="517">
        <f>SUM(Z49:Z50,Z42,Z43:Z45)</f>
        <v>75034.218899999993</v>
      </c>
      <c r="AA58" s="520"/>
      <c r="AB58" s="521">
        <f t="shared" ref="AB58:AB62" si="77">Z58-S58</f>
        <v>2799.5599999999977</v>
      </c>
      <c r="AC58" s="522">
        <f t="shared" ref="AC58:AC62" si="78">IF((S58)=0,"",(AB58/S58))</f>
        <v>3.8756464592373092E-2</v>
      </c>
      <c r="AD58" s="512"/>
      <c r="AE58" s="519"/>
      <c r="AF58" s="519"/>
      <c r="AG58" s="517">
        <f>SUM(AG49:AG50,AG42,AG43:AG45)</f>
        <v>76525.378899999996</v>
      </c>
      <c r="AH58" s="520"/>
      <c r="AI58" s="521">
        <f t="shared" ref="AI58:AI62" si="79">AG58-Z58</f>
        <v>1491.1600000000035</v>
      </c>
      <c r="AJ58" s="522">
        <f t="shared" ref="AJ58:AJ62" si="80">IF((Z58)=0,"",(AI58/Z58))</f>
        <v>1.9873066207130245E-2</v>
      </c>
      <c r="AK58" s="512"/>
      <c r="AL58" s="519"/>
      <c r="AM58" s="519"/>
      <c r="AN58" s="517">
        <f>SUM(AN49:AN50,AN42,AN43:AN45)</f>
        <v>77891.8989</v>
      </c>
      <c r="AO58" s="520"/>
      <c r="AP58" s="521">
        <f t="shared" ref="AP58:AP62" si="81">AN58-AG58</f>
        <v>1366.5200000000041</v>
      </c>
      <c r="AQ58" s="522">
        <f t="shared" ref="AQ58:AQ62" si="82">IF((AG58)=0,"",(AP58/AG58))</f>
        <v>1.7857082443011648E-2</v>
      </c>
      <c r="AR58" s="523"/>
    </row>
    <row r="59" spans="1:44" ht="12.75" customHeight="1">
      <c r="A59" s="512"/>
      <c r="B59" s="524" t="s">
        <v>320</v>
      </c>
      <c r="C59" s="562"/>
      <c r="D59" s="514"/>
      <c r="E59" s="514"/>
      <c r="F59" s="515">
        <v>0.13</v>
      </c>
      <c r="G59" s="516"/>
      <c r="H59" s="525">
        <f>H58*F59</f>
        <v>9737.44031</v>
      </c>
      <c r="I59" s="526"/>
      <c r="J59" s="515">
        <v>0.13</v>
      </c>
      <c r="K59" s="527"/>
      <c r="L59" s="528">
        <f>L58*J59</f>
        <v>9544.9456570000002</v>
      </c>
      <c r="M59" s="529"/>
      <c r="N59" s="530">
        <f t="shared" si="73"/>
        <v>-192.49465299999974</v>
      </c>
      <c r="O59" s="531">
        <f t="shared" si="74"/>
        <v>-1.9768506596370576E-2</v>
      </c>
      <c r="P59" s="512"/>
      <c r="Q59" s="515">
        <v>0.13</v>
      </c>
      <c r="R59" s="527"/>
      <c r="S59" s="528">
        <f>S58*Q59</f>
        <v>9390.5056569999997</v>
      </c>
      <c r="T59" s="529"/>
      <c r="U59" s="530">
        <f t="shared" si="75"/>
        <v>-154.44000000000051</v>
      </c>
      <c r="V59" s="531">
        <f t="shared" si="76"/>
        <v>-1.6180291177115134E-2</v>
      </c>
      <c r="W59" s="512"/>
      <c r="X59" s="515">
        <v>0.13</v>
      </c>
      <c r="Y59" s="527"/>
      <c r="Z59" s="528">
        <f>Z58*X59</f>
        <v>9754.4484569999986</v>
      </c>
      <c r="AA59" s="529"/>
      <c r="AB59" s="530">
        <f t="shared" si="77"/>
        <v>363.9427999999989</v>
      </c>
      <c r="AC59" s="531">
        <f t="shared" si="78"/>
        <v>3.8756464592373002E-2</v>
      </c>
      <c r="AD59" s="512"/>
      <c r="AE59" s="515">
        <v>0.13</v>
      </c>
      <c r="AF59" s="527"/>
      <c r="AG59" s="528">
        <f>AG58*AE59</f>
        <v>9948.2992570000006</v>
      </c>
      <c r="AH59" s="529"/>
      <c r="AI59" s="530">
        <f t="shared" si="79"/>
        <v>193.85080000000198</v>
      </c>
      <c r="AJ59" s="531">
        <f t="shared" si="80"/>
        <v>1.9873066207130405E-2</v>
      </c>
      <c r="AK59" s="512"/>
      <c r="AL59" s="515">
        <v>0.13</v>
      </c>
      <c r="AM59" s="527"/>
      <c r="AN59" s="528">
        <f>AN58*AL59</f>
        <v>10125.946857000001</v>
      </c>
      <c r="AO59" s="529"/>
      <c r="AP59" s="530">
        <f t="shared" si="81"/>
        <v>177.64760000000024</v>
      </c>
      <c r="AQ59" s="531">
        <f t="shared" si="82"/>
        <v>1.7857082443011617E-2</v>
      </c>
      <c r="AR59" s="532"/>
    </row>
    <row r="60" spans="1:44" ht="12.75" customHeight="1">
      <c r="A60" s="512"/>
      <c r="B60" s="553" t="s">
        <v>407</v>
      </c>
      <c r="C60" s="562"/>
      <c r="D60" s="514"/>
      <c r="E60" s="514"/>
      <c r="F60" s="534"/>
      <c r="G60" s="529"/>
      <c r="H60" s="525">
        <f>H58+H59</f>
        <v>84640.827310000008</v>
      </c>
      <c r="I60" s="526"/>
      <c r="J60" s="526"/>
      <c r="K60" s="526"/>
      <c r="L60" s="528">
        <f>L58+L59</f>
        <v>82967.604556999999</v>
      </c>
      <c r="M60" s="529"/>
      <c r="N60" s="530">
        <f t="shared" si="73"/>
        <v>-1673.2227530000091</v>
      </c>
      <c r="O60" s="531">
        <f t="shared" si="74"/>
        <v>-1.9768506596370708E-2</v>
      </c>
      <c r="P60" s="512"/>
      <c r="Q60" s="526"/>
      <c r="R60" s="526"/>
      <c r="S60" s="528">
        <f>S58+S59</f>
        <v>81625.164556999996</v>
      </c>
      <c r="T60" s="529"/>
      <c r="U60" s="530">
        <f t="shared" si="75"/>
        <v>-1342.4400000000023</v>
      </c>
      <c r="V60" s="531">
        <f t="shared" si="76"/>
        <v>-1.6180291177115107E-2</v>
      </c>
      <c r="W60" s="512"/>
      <c r="X60" s="526"/>
      <c r="Y60" s="526"/>
      <c r="Z60" s="528">
        <f>Z58+Z59</f>
        <v>84788.667356999998</v>
      </c>
      <c r="AA60" s="529"/>
      <c r="AB60" s="530">
        <f t="shared" si="77"/>
        <v>3163.502800000002</v>
      </c>
      <c r="AC60" s="531">
        <f t="shared" si="78"/>
        <v>3.8756464592373148E-2</v>
      </c>
      <c r="AD60" s="512"/>
      <c r="AE60" s="526"/>
      <c r="AF60" s="526"/>
      <c r="AG60" s="528">
        <f>AG58+AG59</f>
        <v>86473.678157000002</v>
      </c>
      <c r="AH60" s="529"/>
      <c r="AI60" s="530">
        <f t="shared" si="79"/>
        <v>1685.0108000000037</v>
      </c>
      <c r="AJ60" s="531">
        <f t="shared" si="80"/>
        <v>1.9873066207130242E-2</v>
      </c>
      <c r="AK60" s="512"/>
      <c r="AL60" s="526"/>
      <c r="AM60" s="526"/>
      <c r="AN60" s="528">
        <f>AN58+AN59</f>
        <v>88017.845757000003</v>
      </c>
      <c r="AO60" s="529"/>
      <c r="AP60" s="530">
        <f t="shared" si="81"/>
        <v>1544.1676000000007</v>
      </c>
      <c r="AQ60" s="531">
        <f t="shared" si="82"/>
        <v>1.7857082443011603E-2</v>
      </c>
      <c r="AR60" s="532"/>
    </row>
    <row r="61" spans="1:44" ht="15.75" customHeight="1">
      <c r="A61" s="512"/>
      <c r="B61" s="644" t="s">
        <v>277</v>
      </c>
      <c r="C61" s="623"/>
      <c r="D61" s="623"/>
      <c r="E61" s="514"/>
      <c r="F61" s="534"/>
      <c r="G61" s="529"/>
      <c r="H61" s="535">
        <f>F61*H58</f>
        <v>0</v>
      </c>
      <c r="I61" s="526"/>
      <c r="J61" s="526"/>
      <c r="K61" s="526"/>
      <c r="L61" s="536">
        <f>J61*L58</f>
        <v>0</v>
      </c>
      <c r="M61" s="529"/>
      <c r="N61" s="537">
        <f t="shared" si="73"/>
        <v>0</v>
      </c>
      <c r="O61" s="538" t="str">
        <f t="shared" si="74"/>
        <v/>
      </c>
      <c r="P61" s="512"/>
      <c r="Q61" s="526"/>
      <c r="R61" s="526"/>
      <c r="S61" s="536">
        <f>Q61*S58</f>
        <v>0</v>
      </c>
      <c r="T61" s="529"/>
      <c r="U61" s="537">
        <f t="shared" si="75"/>
        <v>0</v>
      </c>
      <c r="V61" s="538" t="str">
        <f t="shared" si="76"/>
        <v/>
      </c>
      <c r="W61" s="512"/>
      <c r="X61" s="526"/>
      <c r="Y61" s="526"/>
      <c r="Z61" s="536">
        <f>X61*Z58</f>
        <v>0</v>
      </c>
      <c r="AA61" s="529"/>
      <c r="AB61" s="537">
        <f t="shared" si="77"/>
        <v>0</v>
      </c>
      <c r="AC61" s="538" t="str">
        <f t="shared" si="78"/>
        <v/>
      </c>
      <c r="AD61" s="512"/>
      <c r="AE61" s="526"/>
      <c r="AF61" s="526"/>
      <c r="AG61" s="536">
        <f>AE61*AG58</f>
        <v>0</v>
      </c>
      <c r="AH61" s="529"/>
      <c r="AI61" s="537">
        <f t="shared" si="79"/>
        <v>0</v>
      </c>
      <c r="AJ61" s="538" t="str">
        <f t="shared" si="80"/>
        <v/>
      </c>
      <c r="AK61" s="512"/>
      <c r="AL61" s="526"/>
      <c r="AM61" s="526"/>
      <c r="AN61" s="536">
        <f>AL61*AN58</f>
        <v>0</v>
      </c>
      <c r="AO61" s="529"/>
      <c r="AP61" s="537">
        <f t="shared" si="81"/>
        <v>0</v>
      </c>
      <c r="AQ61" s="538" t="str">
        <f t="shared" si="82"/>
        <v/>
      </c>
      <c r="AR61" s="539"/>
    </row>
    <row r="62" spans="1:44" ht="13.5" customHeight="1">
      <c r="A62" s="512"/>
      <c r="B62" s="643" t="s">
        <v>325</v>
      </c>
      <c r="C62" s="615"/>
      <c r="D62" s="615"/>
      <c r="E62" s="540"/>
      <c r="F62" s="541"/>
      <c r="G62" s="542"/>
      <c r="H62" s="543">
        <f>H60-H61</f>
        <v>84640.827310000008</v>
      </c>
      <c r="I62" s="544"/>
      <c r="J62" s="544"/>
      <c r="K62" s="544"/>
      <c r="L62" s="545">
        <f>L60-L61</f>
        <v>82967.604556999999</v>
      </c>
      <c r="M62" s="546"/>
      <c r="N62" s="547">
        <f t="shared" si="73"/>
        <v>-1673.2227530000091</v>
      </c>
      <c r="O62" s="548">
        <f t="shared" si="74"/>
        <v>-1.9768506596370708E-2</v>
      </c>
      <c r="P62" s="512"/>
      <c r="Q62" s="544"/>
      <c r="R62" s="544"/>
      <c r="S62" s="545">
        <f>S60-S61</f>
        <v>81625.164556999996</v>
      </c>
      <c r="T62" s="546"/>
      <c r="U62" s="547">
        <f t="shared" si="75"/>
        <v>-1342.4400000000023</v>
      </c>
      <c r="V62" s="548">
        <f t="shared" si="76"/>
        <v>-1.6180291177115107E-2</v>
      </c>
      <c r="W62" s="512"/>
      <c r="X62" s="544"/>
      <c r="Y62" s="544"/>
      <c r="Z62" s="545">
        <f>Z60-Z61</f>
        <v>84788.667356999998</v>
      </c>
      <c r="AA62" s="546"/>
      <c r="AB62" s="547">
        <f t="shared" si="77"/>
        <v>3163.502800000002</v>
      </c>
      <c r="AC62" s="548">
        <f t="shared" si="78"/>
        <v>3.8756464592373148E-2</v>
      </c>
      <c r="AD62" s="512"/>
      <c r="AE62" s="544"/>
      <c r="AF62" s="544"/>
      <c r="AG62" s="545">
        <f>AG60-AG61</f>
        <v>86473.678157000002</v>
      </c>
      <c r="AH62" s="546"/>
      <c r="AI62" s="547">
        <f t="shared" si="79"/>
        <v>1685.0108000000037</v>
      </c>
      <c r="AJ62" s="548">
        <f t="shared" si="80"/>
        <v>1.9873066207130242E-2</v>
      </c>
      <c r="AK62" s="512"/>
      <c r="AL62" s="544"/>
      <c r="AM62" s="544"/>
      <c r="AN62" s="545">
        <f>AN60-AN61</f>
        <v>88017.845757000003</v>
      </c>
      <c r="AO62" s="546"/>
      <c r="AP62" s="547">
        <f t="shared" si="81"/>
        <v>1544.1676000000007</v>
      </c>
      <c r="AQ62" s="548">
        <f t="shared" si="82"/>
        <v>1.7857082443011603E-2</v>
      </c>
      <c r="AR62" s="549"/>
    </row>
    <row r="63" spans="1:44"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75" customHeight="1">
      <c r="A65" s="52"/>
      <c r="B65" s="307" t="s">
        <v>326</v>
      </c>
      <c r="C65" s="554"/>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8" t="s">
        <v>408</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000-000000000000}">
      <formula1>"TOU,non-TOU"</formula1>
    </dataValidation>
    <dataValidation type="list" allowBlank="1" showErrorMessage="1" sqref="E15:E28 E30:E38 E40:E41 E43:E51 E57 E63" xr:uid="{00000000-0002-0000-2000-000001000000}">
      <formula1>#REF!</formula1>
    </dataValidation>
    <dataValidation type="list" allowBlank="1" showInputMessage="1" showErrorMessage="1" prompt="Select Charge Unit - monthly, per kWh, per kW" sqref="D15:D28 D30:D38 D40:D41 D43:D51 D57 D63" xr:uid="{00000000-0002-0000-2000-000002000000}">
      <formula1>"Monthly,per kWh,per kW"</formula1>
    </dataValidation>
  </dataValidations>
  <pageMargins left="0.74803149606299213" right="0.74803149606299213" top="0.98425196850393704" bottom="0.98425196850393704"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140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2"/>
      <c r="B1" s="52"/>
      <c r="C1" s="554"/>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4" ht="18.75" customHeight="1">
      <c r="A2" s="52"/>
      <c r="B2" s="52"/>
      <c r="C2" s="555"/>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8.75" customHeight="1">
      <c r="A3" s="52"/>
      <c r="B3" s="52"/>
      <c r="C3" s="555"/>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54"/>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54"/>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20" t="s">
        <v>298</v>
      </c>
      <c r="C6" s="554"/>
      <c r="D6" s="380" t="s">
        <v>226</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2"/>
      <c r="C7" s="554"/>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20" t="s">
        <v>299</v>
      </c>
      <c r="C8" s="554"/>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2"/>
      <c r="C9" s="554"/>
      <c r="D9" s="307" t="s">
        <v>301</v>
      </c>
      <c r="E9" s="307"/>
      <c r="F9" s="385">
        <v>4000000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54"/>
      <c r="D10" s="52"/>
      <c r="E10" s="52"/>
      <c r="F10" s="385">
        <v>7500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54"/>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4"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4"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4"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4" ht="12.75" customHeight="1">
      <c r="A15" s="52"/>
      <c r="B15" s="321" t="s">
        <v>221</v>
      </c>
      <c r="C15" s="394" t="str">
        <f t="shared" ref="C15:C28" si="0">D$6&amp;"."&amp;B15</f>
        <v>Large User.Monthly Service Charge</v>
      </c>
      <c r="D15" s="395" t="s">
        <v>310</v>
      </c>
      <c r="E15" s="321"/>
      <c r="F15" s="396">
        <f>IFERROR(VLOOKUP($C15,'Proposed Rates'!$B:$J,F$11,FALSE),0)</f>
        <v>14946.93</v>
      </c>
      <c r="G15" s="414">
        <f t="shared" ref="G15:G28" si="1">IF($D15="Monthly",1,IF($D15="per KW",$F$10,IF($D15="per kWh",$F$9,0)))</f>
        <v>1</v>
      </c>
      <c r="H15" s="399">
        <f t="shared" ref="H15:H28" si="2">G15*F15</f>
        <v>14946.93</v>
      </c>
      <c r="I15" s="132"/>
      <c r="J15" s="396">
        <f>IFERROR(VLOOKUP($C15,'Proposed Rates'!$B:$J,J$11,FALSE),0)</f>
        <v>14946.93</v>
      </c>
      <c r="K15" s="414">
        <f t="shared" ref="K15:K28" si="3">IF($D15="Monthly",1,IF($D15="per KW",$F$10,IF($D15="per kWh",$F$9,0)))</f>
        <v>1</v>
      </c>
      <c r="L15" s="399">
        <f t="shared" ref="L15:L28" si="4">K15*J15</f>
        <v>14946.93</v>
      </c>
      <c r="M15" s="132"/>
      <c r="N15" s="400">
        <f t="shared" ref="N15:N46" si="5">L15-H15</f>
        <v>0</v>
      </c>
      <c r="O15" s="401">
        <f t="shared" ref="O15:O46" si="6">IF((H15)=0,"",(N15/H15))</f>
        <v>0</v>
      </c>
      <c r="P15" s="52"/>
      <c r="Q15" s="396">
        <f>IFERROR(VLOOKUP($C15,'Proposed Rates'!$B:$J,Q$11,FALSE),0)</f>
        <v>14946.93</v>
      </c>
      <c r="R15" s="414">
        <f t="shared" ref="R15:R28" si="7">IF($D15="Monthly",1,IF($D15="per KW",$F$10,IF($D15="per kWh",$F$9,0)))</f>
        <v>1</v>
      </c>
      <c r="S15" s="399">
        <f t="shared" ref="S15:S28" si="8">R15*Q15</f>
        <v>14946.93</v>
      </c>
      <c r="T15" s="132"/>
      <c r="U15" s="400">
        <f t="shared" ref="U15:U46" si="9">S15-L15</f>
        <v>0</v>
      </c>
      <c r="V15" s="401">
        <f t="shared" ref="V15:V46" si="10">IF((L15)=0,"",(U15/L15))</f>
        <v>0</v>
      </c>
      <c r="W15" s="52"/>
      <c r="X15" s="396">
        <f>IFERROR(VLOOKUP($C15,'Proposed Rates'!$B:$J,X$11,FALSE),0)</f>
        <v>14946.93</v>
      </c>
      <c r="Y15" s="414">
        <f t="shared" ref="Y15:Y28" si="11">IF($D15="Monthly",1,IF($D15="per KW",$F$10,IF($D15="per kWh",$F$9,0)))</f>
        <v>1</v>
      </c>
      <c r="Z15" s="399">
        <f t="shared" ref="Z15:Z28" si="12">Y15*X15</f>
        <v>14946.93</v>
      </c>
      <c r="AA15" s="132"/>
      <c r="AB15" s="400">
        <f t="shared" ref="AB15:AB46" si="13">Z15-S15</f>
        <v>0</v>
      </c>
      <c r="AC15" s="401">
        <f t="shared" ref="AC15:AC46" si="14">IF((S15)=0,"",(AB15/S15))</f>
        <v>0</v>
      </c>
      <c r="AD15" s="52"/>
      <c r="AE15" s="396">
        <f>IFERROR(VLOOKUP($C15,'Proposed Rates'!$B:$J,AE$11,FALSE),0)</f>
        <v>14946.93</v>
      </c>
      <c r="AF15" s="414">
        <f t="shared" ref="AF15:AF28" si="15">IF($D15="Monthly",1,IF($D15="per KW",$F$10,IF($D15="per kWh",$F$9,0)))</f>
        <v>1</v>
      </c>
      <c r="AG15" s="399">
        <f t="shared" ref="AG15:AG28" si="16">AF15*AE15</f>
        <v>14946.93</v>
      </c>
      <c r="AH15" s="132"/>
      <c r="AI15" s="400">
        <f t="shared" ref="AI15:AI46" si="17">AG15-Z15</f>
        <v>0</v>
      </c>
      <c r="AJ15" s="401">
        <f t="shared" ref="AJ15:AJ46" si="18">IF((Z15)=0,"",(AI15/Z15))</f>
        <v>0</v>
      </c>
      <c r="AK15" s="52"/>
      <c r="AL15" s="396">
        <f>IFERROR(VLOOKUP($C15,'Proposed Rates'!$B:$J,AL$11,FALSE),0)</f>
        <v>14946.93</v>
      </c>
      <c r="AM15" s="414">
        <f t="shared" ref="AM15:AM28" si="19">IF($D15="Monthly",1,IF($D15="per KW",$F$10,IF($D15="per kWh",$F$9,0)))</f>
        <v>1</v>
      </c>
      <c r="AN15" s="399">
        <f t="shared" ref="AN15:AN28" si="20">AM15*AL15</f>
        <v>14946.93</v>
      </c>
      <c r="AO15" s="132"/>
      <c r="AP15" s="400">
        <f t="shared" ref="AP15:AP46" si="21">AN15-AG15</f>
        <v>0</v>
      </c>
      <c r="AQ15" s="401">
        <f t="shared" ref="AQ15:AQ46" si="22">IF((AG15)=0,"",(AP15/AG15))</f>
        <v>0</v>
      </c>
      <c r="AR15" s="402"/>
    </row>
    <row r="16" spans="1:44" ht="12.75" customHeight="1">
      <c r="A16" s="52"/>
      <c r="B16" s="321" t="s">
        <v>311</v>
      </c>
      <c r="C16" s="394" t="str">
        <f t="shared" si="0"/>
        <v>Large User.Smart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Large User.Rate Rider Calculation for PILs</v>
      </c>
      <c r="D17" s="395" t="s">
        <v>381</v>
      </c>
      <c r="E17" s="321"/>
      <c r="F17" s="396">
        <f>IFERROR(VLOOKUP($C17,'Proposed Rates'!$B:$J,F$11,FALSE),0)</f>
        <v>0</v>
      </c>
      <c r="G17" s="414">
        <f t="shared" si="1"/>
        <v>7500</v>
      </c>
      <c r="H17" s="399">
        <f t="shared" si="2"/>
        <v>0</v>
      </c>
      <c r="I17" s="132"/>
      <c r="J17" s="396">
        <f>IFERROR(VLOOKUP($C17,'Proposed Rates'!$B:$J,J$11,FALSE),0)</f>
        <v>0</v>
      </c>
      <c r="K17" s="414">
        <f t="shared" si="3"/>
        <v>7500</v>
      </c>
      <c r="L17" s="399">
        <f t="shared" si="4"/>
        <v>0</v>
      </c>
      <c r="M17" s="132"/>
      <c r="N17" s="400">
        <f t="shared" si="5"/>
        <v>0</v>
      </c>
      <c r="O17" s="401" t="str">
        <f t="shared" si="6"/>
        <v/>
      </c>
      <c r="P17" s="52"/>
      <c r="Q17" s="396">
        <f>IFERROR(VLOOKUP($C17,'Proposed Rates'!$B:$J,Q$11,FALSE),0)</f>
        <v>0</v>
      </c>
      <c r="R17" s="414">
        <f t="shared" si="7"/>
        <v>7500</v>
      </c>
      <c r="S17" s="399">
        <f t="shared" si="8"/>
        <v>0</v>
      </c>
      <c r="T17" s="132"/>
      <c r="U17" s="400">
        <f t="shared" si="9"/>
        <v>0</v>
      </c>
      <c r="V17" s="401" t="str">
        <f t="shared" si="10"/>
        <v/>
      </c>
      <c r="W17" s="52"/>
      <c r="X17" s="396">
        <f>IFERROR(VLOOKUP($C17,'Proposed Rates'!$B:$J,X$11,FALSE),0)</f>
        <v>0</v>
      </c>
      <c r="Y17" s="414">
        <f t="shared" si="11"/>
        <v>7500</v>
      </c>
      <c r="Z17" s="399">
        <f t="shared" si="12"/>
        <v>0</v>
      </c>
      <c r="AA17" s="132"/>
      <c r="AB17" s="400">
        <f t="shared" si="13"/>
        <v>0</v>
      </c>
      <c r="AC17" s="401" t="str">
        <f t="shared" si="14"/>
        <v/>
      </c>
      <c r="AD17" s="52"/>
      <c r="AE17" s="396">
        <f>IFERROR(VLOOKUP($C17,'Proposed Rates'!$B:$J,AE$11,FALSE),0)</f>
        <v>0</v>
      </c>
      <c r="AF17" s="414">
        <f t="shared" si="15"/>
        <v>7500</v>
      </c>
      <c r="AG17" s="399">
        <f t="shared" si="16"/>
        <v>0</v>
      </c>
      <c r="AH17" s="132"/>
      <c r="AI17" s="400">
        <f t="shared" si="17"/>
        <v>0</v>
      </c>
      <c r="AJ17" s="401" t="str">
        <f t="shared" si="18"/>
        <v/>
      </c>
      <c r="AK17" s="52"/>
      <c r="AL17" s="396">
        <f>IFERROR(VLOOKUP($C17,'Proposed Rates'!$B:$J,AL$11,FALSE),0)</f>
        <v>0</v>
      </c>
      <c r="AM17" s="414">
        <f t="shared" si="19"/>
        <v>7500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Large User.Rate Rider Calculation for Generic</v>
      </c>
      <c r="D18" s="395" t="s">
        <v>381</v>
      </c>
      <c r="E18" s="321"/>
      <c r="F18" s="396">
        <f>IFERROR(VLOOKUP($C18,'Proposed Rates'!$B:$J,F$11,FALSE),0)</f>
        <v>0</v>
      </c>
      <c r="G18" s="414">
        <f t="shared" si="1"/>
        <v>7500</v>
      </c>
      <c r="H18" s="399">
        <f t="shared" si="2"/>
        <v>0</v>
      </c>
      <c r="I18" s="132"/>
      <c r="J18" s="396">
        <f>IFERROR(VLOOKUP($C18,'Proposed Rates'!$B:$J,J$11,FALSE),0)</f>
        <v>0</v>
      </c>
      <c r="K18" s="414">
        <f t="shared" si="3"/>
        <v>7500</v>
      </c>
      <c r="L18" s="399">
        <f t="shared" si="4"/>
        <v>0</v>
      </c>
      <c r="M18" s="132"/>
      <c r="N18" s="400">
        <f t="shared" si="5"/>
        <v>0</v>
      </c>
      <c r="O18" s="401" t="str">
        <f t="shared" si="6"/>
        <v/>
      </c>
      <c r="P18" s="52"/>
      <c r="Q18" s="396">
        <f>IFERROR(VLOOKUP($C18,'Proposed Rates'!$B:$J,Q$11,FALSE),0)</f>
        <v>0</v>
      </c>
      <c r="R18" s="414">
        <f t="shared" si="7"/>
        <v>7500</v>
      </c>
      <c r="S18" s="399">
        <f t="shared" si="8"/>
        <v>0</v>
      </c>
      <c r="T18" s="132"/>
      <c r="U18" s="400">
        <f t="shared" si="9"/>
        <v>0</v>
      </c>
      <c r="V18" s="401" t="str">
        <f t="shared" si="10"/>
        <v/>
      </c>
      <c r="W18" s="52"/>
      <c r="X18" s="396">
        <f>IFERROR(VLOOKUP($C18,'Proposed Rates'!$B:$J,X$11,FALSE),0)</f>
        <v>0</v>
      </c>
      <c r="Y18" s="414">
        <f t="shared" si="11"/>
        <v>7500</v>
      </c>
      <c r="Z18" s="399">
        <f t="shared" si="12"/>
        <v>0</v>
      </c>
      <c r="AA18" s="132"/>
      <c r="AB18" s="400">
        <f t="shared" si="13"/>
        <v>0</v>
      </c>
      <c r="AC18" s="401" t="str">
        <f t="shared" si="14"/>
        <v/>
      </c>
      <c r="AD18" s="52"/>
      <c r="AE18" s="396">
        <f>IFERROR(VLOOKUP($C18,'Proposed Rates'!$B:$J,AE$11,FALSE),0)</f>
        <v>0</v>
      </c>
      <c r="AF18" s="414">
        <f t="shared" si="15"/>
        <v>7500</v>
      </c>
      <c r="AG18" s="399">
        <f t="shared" si="16"/>
        <v>0</v>
      </c>
      <c r="AH18" s="132"/>
      <c r="AI18" s="400">
        <f t="shared" si="17"/>
        <v>0</v>
      </c>
      <c r="AJ18" s="401" t="str">
        <f t="shared" si="18"/>
        <v/>
      </c>
      <c r="AK18" s="52"/>
      <c r="AL18" s="396">
        <f>IFERROR(VLOOKUP($C18,'Proposed Rates'!$B:$J,AL$11,FALSE),0)</f>
        <v>0</v>
      </c>
      <c r="AM18" s="414">
        <f t="shared" si="19"/>
        <v>7500</v>
      </c>
      <c r="AN18" s="399">
        <f t="shared" si="20"/>
        <v>0</v>
      </c>
      <c r="AO18" s="132"/>
      <c r="AP18" s="400">
        <f t="shared" si="21"/>
        <v>0</v>
      </c>
      <c r="AQ18" s="401" t="str">
        <f t="shared" si="22"/>
        <v/>
      </c>
      <c r="AR18" s="402"/>
    </row>
    <row r="19" spans="1:44" ht="12.75" customHeight="1">
      <c r="A19" s="52"/>
      <c r="B19" s="321" t="s">
        <v>59</v>
      </c>
      <c r="C19" s="394" t="str">
        <f t="shared" si="0"/>
        <v>Large User.Distribution Volumetric Rate</v>
      </c>
      <c r="D19" s="395" t="s">
        <v>381</v>
      </c>
      <c r="E19" s="321"/>
      <c r="F19" s="413">
        <f>IFERROR(VLOOKUP($C19,'Proposed Rates'!$B:$J,F$11,FALSE),0)</f>
        <v>6.0316000000000001</v>
      </c>
      <c r="G19" s="414">
        <f t="shared" si="1"/>
        <v>7500</v>
      </c>
      <c r="H19" s="399">
        <f t="shared" si="2"/>
        <v>45237</v>
      </c>
      <c r="I19" s="132"/>
      <c r="J19" s="413">
        <f>IFERROR(VLOOKUP($C19,'Proposed Rates'!$B:$J,J$11,FALSE),0)</f>
        <v>8.2606000000000002</v>
      </c>
      <c r="K19" s="414">
        <f t="shared" si="3"/>
        <v>7500</v>
      </c>
      <c r="L19" s="399">
        <f t="shared" si="4"/>
        <v>61954.5</v>
      </c>
      <c r="M19" s="132"/>
      <c r="N19" s="400">
        <f t="shared" si="5"/>
        <v>16717.5</v>
      </c>
      <c r="O19" s="401">
        <f t="shared" si="6"/>
        <v>0.36955368393129517</v>
      </c>
      <c r="P19" s="52"/>
      <c r="Q19" s="413">
        <f>IFERROR(VLOOKUP($C19,'Proposed Rates'!$B:$J,Q$11,FALSE),0)</f>
        <v>8.9039000000000001</v>
      </c>
      <c r="R19" s="414">
        <f t="shared" si="7"/>
        <v>7500</v>
      </c>
      <c r="S19" s="399">
        <f t="shared" si="8"/>
        <v>66779.25</v>
      </c>
      <c r="T19" s="132"/>
      <c r="U19" s="400">
        <f t="shared" si="9"/>
        <v>4824.75</v>
      </c>
      <c r="V19" s="401">
        <f t="shared" si="10"/>
        <v>7.7875699101760162E-2</v>
      </c>
      <c r="W19" s="52"/>
      <c r="X19" s="413">
        <f>IFERROR(VLOOKUP($C19,'Proposed Rates'!$B:$J,X$11,FALSE),0)</f>
        <v>9.6370000000000005</v>
      </c>
      <c r="Y19" s="414">
        <f t="shared" si="11"/>
        <v>7500</v>
      </c>
      <c r="Z19" s="399">
        <f t="shared" si="12"/>
        <v>72277.5</v>
      </c>
      <c r="AA19" s="132"/>
      <c r="AB19" s="400">
        <f t="shared" si="13"/>
        <v>5498.25</v>
      </c>
      <c r="AC19" s="401">
        <f t="shared" si="14"/>
        <v>8.233470726310943E-2</v>
      </c>
      <c r="AD19" s="52"/>
      <c r="AE19" s="413">
        <f>IFERROR(VLOOKUP($C19,'Proposed Rates'!$B:$J,AE$11,FALSE),0)</f>
        <v>10.463800000000001</v>
      </c>
      <c r="AF19" s="414">
        <f t="shared" si="15"/>
        <v>7500</v>
      </c>
      <c r="AG19" s="399">
        <f t="shared" si="16"/>
        <v>78478.5</v>
      </c>
      <c r="AH19" s="132"/>
      <c r="AI19" s="400">
        <f t="shared" si="17"/>
        <v>6201</v>
      </c>
      <c r="AJ19" s="401">
        <f t="shared" si="18"/>
        <v>8.5794334336411746E-2</v>
      </c>
      <c r="AK19" s="52"/>
      <c r="AL19" s="413">
        <f>IFERROR(VLOOKUP($C19,'Proposed Rates'!$B:$J,AL$11,FALSE),0)</f>
        <v>11.262499999999999</v>
      </c>
      <c r="AM19" s="414">
        <f t="shared" si="19"/>
        <v>7500</v>
      </c>
      <c r="AN19" s="399">
        <f t="shared" si="20"/>
        <v>84468.75</v>
      </c>
      <c r="AO19" s="132"/>
      <c r="AP19" s="400">
        <f t="shared" si="21"/>
        <v>5990.25</v>
      </c>
      <c r="AQ19" s="401">
        <f t="shared" si="22"/>
        <v>7.6329822817714402E-2</v>
      </c>
      <c r="AR19" s="402"/>
    </row>
    <row r="20" spans="1:44" ht="12.75" customHeight="1">
      <c r="A20" s="52"/>
      <c r="B20" s="321" t="s">
        <v>313</v>
      </c>
      <c r="C20" s="394" t="str">
        <f t="shared" si="0"/>
        <v>Large User.Smart Meter Disposition Rider</v>
      </c>
      <c r="D20" s="395" t="s">
        <v>312</v>
      </c>
      <c r="E20" s="321"/>
      <c r="F20" s="396">
        <f>IFERROR(VLOOKUP($C20,'Proposed Rates'!$B:$J,F$11,FALSE),0)</f>
        <v>0</v>
      </c>
      <c r="G20" s="414">
        <f t="shared" si="1"/>
        <v>4000000</v>
      </c>
      <c r="H20" s="399">
        <f t="shared" si="2"/>
        <v>0</v>
      </c>
      <c r="I20" s="132"/>
      <c r="J20" s="396">
        <f>IFERROR(VLOOKUP($C20,'Proposed Rates'!$B:$J,J$11,FALSE),0)</f>
        <v>0</v>
      </c>
      <c r="K20" s="414">
        <f t="shared" si="3"/>
        <v>4000000</v>
      </c>
      <c r="L20" s="399">
        <f t="shared" si="4"/>
        <v>0</v>
      </c>
      <c r="M20" s="132"/>
      <c r="N20" s="400">
        <f t="shared" si="5"/>
        <v>0</v>
      </c>
      <c r="O20" s="401" t="str">
        <f t="shared" si="6"/>
        <v/>
      </c>
      <c r="P20" s="52"/>
      <c r="Q20" s="396">
        <f>IFERROR(VLOOKUP($C20,'Proposed Rates'!$B:$J,Q$11,FALSE),0)</f>
        <v>0</v>
      </c>
      <c r="R20" s="414">
        <f t="shared" si="7"/>
        <v>4000000</v>
      </c>
      <c r="S20" s="399">
        <f t="shared" si="8"/>
        <v>0</v>
      </c>
      <c r="T20" s="132"/>
      <c r="U20" s="400">
        <f t="shared" si="9"/>
        <v>0</v>
      </c>
      <c r="V20" s="401" t="str">
        <f t="shared" si="10"/>
        <v/>
      </c>
      <c r="W20" s="52"/>
      <c r="X20" s="396">
        <f>IFERROR(VLOOKUP($C20,'Proposed Rates'!$B:$J,X$11,FALSE),0)</f>
        <v>0</v>
      </c>
      <c r="Y20" s="414">
        <f t="shared" si="11"/>
        <v>4000000</v>
      </c>
      <c r="Z20" s="399">
        <f t="shared" si="12"/>
        <v>0</v>
      </c>
      <c r="AA20" s="132"/>
      <c r="AB20" s="400">
        <f t="shared" si="13"/>
        <v>0</v>
      </c>
      <c r="AC20" s="401" t="str">
        <f t="shared" si="14"/>
        <v/>
      </c>
      <c r="AD20" s="52"/>
      <c r="AE20" s="396">
        <f>IFERROR(VLOOKUP($C20,'Proposed Rates'!$B:$J,AE$11,FALSE),0)</f>
        <v>0</v>
      </c>
      <c r="AF20" s="414">
        <f t="shared" si="15"/>
        <v>4000000</v>
      </c>
      <c r="AG20" s="399">
        <f t="shared" si="16"/>
        <v>0</v>
      </c>
      <c r="AH20" s="132"/>
      <c r="AI20" s="400">
        <f t="shared" si="17"/>
        <v>0</v>
      </c>
      <c r="AJ20" s="401" t="str">
        <f t="shared" si="18"/>
        <v/>
      </c>
      <c r="AK20" s="52"/>
      <c r="AL20" s="396">
        <f>IFERROR(VLOOKUP($C20,'Proposed Rates'!$B:$J,AL$11,FALSE),0)</f>
        <v>0</v>
      </c>
      <c r="AM20" s="414">
        <f t="shared" si="19"/>
        <v>4000000</v>
      </c>
      <c r="AN20" s="399">
        <f t="shared" si="20"/>
        <v>0</v>
      </c>
      <c r="AO20" s="132"/>
      <c r="AP20" s="400">
        <f t="shared" si="21"/>
        <v>0</v>
      </c>
      <c r="AQ20" s="401" t="str">
        <f t="shared" si="22"/>
        <v/>
      </c>
      <c r="AR20" s="402"/>
    </row>
    <row r="21" spans="1:44" ht="12.75" customHeight="1">
      <c r="A21" s="52"/>
      <c r="B21" s="321" t="s">
        <v>244</v>
      </c>
      <c r="C21" s="394" t="str">
        <f t="shared" si="0"/>
        <v>Large User.LRAM Rate Rider</v>
      </c>
      <c r="D21" s="395" t="s">
        <v>381</v>
      </c>
      <c r="E21" s="321"/>
      <c r="F21" s="413">
        <f>'Proposed Rates'!E81+'Proposed Rates'!E94</f>
        <v>0.2011</v>
      </c>
      <c r="G21" s="414">
        <f t="shared" si="1"/>
        <v>7500</v>
      </c>
      <c r="H21" s="399">
        <f t="shared" si="2"/>
        <v>1508.25</v>
      </c>
      <c r="I21" s="132"/>
      <c r="J21" s="413">
        <f>'Proposed Rates'!F81+'Proposed Rates'!F94</f>
        <v>-0.50439999999999996</v>
      </c>
      <c r="K21" s="414">
        <f t="shared" si="3"/>
        <v>7500</v>
      </c>
      <c r="L21" s="399">
        <f t="shared" si="4"/>
        <v>-3782.9999999999995</v>
      </c>
      <c r="M21" s="132"/>
      <c r="N21" s="400">
        <f t="shared" si="5"/>
        <v>-5291.25</v>
      </c>
      <c r="O21" s="401">
        <f t="shared" si="6"/>
        <v>-3.508204873197414</v>
      </c>
      <c r="P21" s="52"/>
      <c r="Q21" s="413">
        <f>'Proposed Rates'!G81+'Proposed Rates'!G94</f>
        <v>0</v>
      </c>
      <c r="R21" s="414">
        <f t="shared" si="7"/>
        <v>7500</v>
      </c>
      <c r="S21" s="399">
        <f t="shared" si="8"/>
        <v>0</v>
      </c>
      <c r="T21" s="132"/>
      <c r="U21" s="400">
        <f t="shared" si="9"/>
        <v>3782.9999999999995</v>
      </c>
      <c r="V21" s="401">
        <f t="shared" si="10"/>
        <v>-1</v>
      </c>
      <c r="W21" s="52"/>
      <c r="X21" s="413">
        <f>IFERROR(VLOOKUP($C21,'Proposed Rates'!$B:$J,X$11,FALSE),0)</f>
        <v>0</v>
      </c>
      <c r="Y21" s="414">
        <f t="shared" si="11"/>
        <v>7500</v>
      </c>
      <c r="Z21" s="399">
        <f t="shared" si="12"/>
        <v>0</v>
      </c>
      <c r="AA21" s="132"/>
      <c r="AB21" s="400">
        <f t="shared" si="13"/>
        <v>0</v>
      </c>
      <c r="AC21" s="401" t="str">
        <f t="shared" si="14"/>
        <v/>
      </c>
      <c r="AD21" s="52"/>
      <c r="AE21" s="413">
        <f>IFERROR(VLOOKUP($C21,'Proposed Rates'!$B:$J,AE$11,FALSE),0)</f>
        <v>0</v>
      </c>
      <c r="AF21" s="414">
        <f t="shared" si="15"/>
        <v>7500</v>
      </c>
      <c r="AG21" s="399">
        <f t="shared" si="16"/>
        <v>0</v>
      </c>
      <c r="AH21" s="132"/>
      <c r="AI21" s="400">
        <f t="shared" si="17"/>
        <v>0</v>
      </c>
      <c r="AJ21" s="401" t="str">
        <f t="shared" si="18"/>
        <v/>
      </c>
      <c r="AK21" s="52"/>
      <c r="AL21" s="413">
        <f>IFERROR(VLOOKUP($C21,'Proposed Rates'!$B:$J,AL$11,FALSE),0)</f>
        <v>0</v>
      </c>
      <c r="AM21" s="414">
        <f t="shared" si="19"/>
        <v>7500</v>
      </c>
      <c r="AN21" s="399">
        <f t="shared" si="20"/>
        <v>0</v>
      </c>
      <c r="AO21" s="132"/>
      <c r="AP21" s="400">
        <f t="shared" si="21"/>
        <v>0</v>
      </c>
      <c r="AQ21" s="401" t="str">
        <f t="shared" si="22"/>
        <v/>
      </c>
      <c r="AR21" s="402"/>
    </row>
    <row r="22" spans="1:44" ht="12.75" customHeight="1">
      <c r="A22" s="52"/>
      <c r="B22" s="483" t="s">
        <v>240</v>
      </c>
      <c r="C22" s="394" t="str">
        <f t="shared" si="0"/>
        <v>Large User.Deferral/Variance Account Disposition Rate Rider Group 2</v>
      </c>
      <c r="D22" s="395" t="s">
        <v>381</v>
      </c>
      <c r="E22" s="321"/>
      <c r="F22" s="396">
        <f>IFERROR(VLOOKUP($C22,'Proposed Rates'!$B:$J,F$11,FALSE),0)</f>
        <v>0</v>
      </c>
      <c r="G22" s="414">
        <f t="shared" si="1"/>
        <v>7500</v>
      </c>
      <c r="H22" s="399">
        <f t="shared" si="2"/>
        <v>0</v>
      </c>
      <c r="I22" s="132"/>
      <c r="J22" s="396">
        <f>IFERROR(VLOOKUP($C22,'Proposed Rates'!$B:$J,J$11,FALSE),0)</f>
        <v>-0.1731</v>
      </c>
      <c r="K22" s="414">
        <f t="shared" si="3"/>
        <v>7500</v>
      </c>
      <c r="L22" s="399">
        <f t="shared" si="4"/>
        <v>-1298.25</v>
      </c>
      <c r="M22" s="132"/>
      <c r="N22" s="400">
        <f t="shared" si="5"/>
        <v>-1298.25</v>
      </c>
      <c r="O22" s="401" t="str">
        <f t="shared" si="6"/>
        <v/>
      </c>
      <c r="P22" s="52"/>
      <c r="Q22" s="396">
        <f>IFERROR(VLOOKUP($C22,'Proposed Rates'!$B:$J,Q$11,FALSE),0)</f>
        <v>0</v>
      </c>
      <c r="R22" s="414">
        <f t="shared" si="7"/>
        <v>7500</v>
      </c>
      <c r="S22" s="399">
        <f t="shared" si="8"/>
        <v>0</v>
      </c>
      <c r="T22" s="132"/>
      <c r="U22" s="400">
        <f t="shared" si="9"/>
        <v>1298.25</v>
      </c>
      <c r="V22" s="401">
        <f t="shared" si="10"/>
        <v>-1</v>
      </c>
      <c r="W22" s="52"/>
      <c r="X22" s="396">
        <f>IFERROR(VLOOKUP($C22,'Proposed Rates'!$B:$J,X$11,FALSE),0)</f>
        <v>0</v>
      </c>
      <c r="Y22" s="414">
        <f t="shared" si="11"/>
        <v>7500</v>
      </c>
      <c r="Z22" s="399">
        <f t="shared" si="12"/>
        <v>0</v>
      </c>
      <c r="AA22" s="132"/>
      <c r="AB22" s="400">
        <f t="shared" si="13"/>
        <v>0</v>
      </c>
      <c r="AC22" s="401" t="str">
        <f t="shared" si="14"/>
        <v/>
      </c>
      <c r="AD22" s="52"/>
      <c r="AE22" s="396">
        <f>IFERROR(VLOOKUP($C22,'Proposed Rates'!$B:$J,AE$11,FALSE),0)</f>
        <v>0</v>
      </c>
      <c r="AF22" s="414">
        <f t="shared" si="15"/>
        <v>7500</v>
      </c>
      <c r="AG22" s="399">
        <f t="shared" si="16"/>
        <v>0</v>
      </c>
      <c r="AH22" s="132"/>
      <c r="AI22" s="400">
        <f t="shared" si="17"/>
        <v>0</v>
      </c>
      <c r="AJ22" s="401" t="str">
        <f t="shared" si="18"/>
        <v/>
      </c>
      <c r="AK22" s="52"/>
      <c r="AL22" s="396">
        <f>IFERROR(VLOOKUP($C22,'Proposed Rates'!$B:$J,AL$11,FALSE),0)</f>
        <v>0</v>
      </c>
      <c r="AM22" s="414">
        <f t="shared" si="19"/>
        <v>7500</v>
      </c>
      <c r="AN22" s="399">
        <f t="shared" si="20"/>
        <v>0</v>
      </c>
      <c r="AO22" s="132"/>
      <c r="AP22" s="400">
        <f t="shared" si="21"/>
        <v>0</v>
      </c>
      <c r="AQ22" s="401" t="str">
        <f t="shared" si="22"/>
        <v/>
      </c>
      <c r="AR22" s="402"/>
    </row>
    <row r="23" spans="1:44" ht="12.75" customHeight="1">
      <c r="A23" s="52"/>
      <c r="B23" s="403"/>
      <c r="C23" s="394" t="str">
        <f t="shared" si="0"/>
        <v>Large User.</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75" customHeight="1">
      <c r="A24" s="52"/>
      <c r="B24" s="403"/>
      <c r="C24" s="394" t="str">
        <f t="shared" si="0"/>
        <v>Large User.</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75" customHeight="1">
      <c r="A25" s="52"/>
      <c r="B25" s="403"/>
      <c r="C25" s="394" t="str">
        <f t="shared" si="0"/>
        <v>Large User.</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75" customHeight="1">
      <c r="A26" s="52"/>
      <c r="B26" s="483"/>
      <c r="C26" s="394" t="str">
        <f t="shared" si="0"/>
        <v>Large User.</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75" customHeight="1">
      <c r="A27" s="52"/>
      <c r="B27" s="403"/>
      <c r="C27" s="394" t="str">
        <f t="shared" si="0"/>
        <v>Large User.</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75" customHeight="1">
      <c r="A28" s="52"/>
      <c r="B28" s="403"/>
      <c r="C28" s="394" t="str">
        <f t="shared" si="0"/>
        <v>Large User.</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75" customHeight="1">
      <c r="A29" s="307"/>
      <c r="B29" s="404" t="s">
        <v>314</v>
      </c>
      <c r="C29" s="556"/>
      <c r="D29" s="405"/>
      <c r="E29" s="405"/>
      <c r="F29" s="406"/>
      <c r="G29" s="499"/>
      <c r="H29" s="408">
        <f>SUM(H15:H28)</f>
        <v>61692.18</v>
      </c>
      <c r="I29" s="409"/>
      <c r="J29" s="406"/>
      <c r="K29" s="499"/>
      <c r="L29" s="408">
        <f>SUM(L15:L28)</f>
        <v>71820.179999999993</v>
      </c>
      <c r="M29" s="409"/>
      <c r="N29" s="410">
        <f t="shared" si="5"/>
        <v>10127.999999999993</v>
      </c>
      <c r="O29" s="411">
        <f t="shared" si="6"/>
        <v>0.16416991586291801</v>
      </c>
      <c r="P29" s="307"/>
      <c r="Q29" s="406"/>
      <c r="R29" s="499"/>
      <c r="S29" s="408">
        <f>SUM(S15:S28)</f>
        <v>81726.179999999993</v>
      </c>
      <c r="T29" s="409"/>
      <c r="U29" s="410">
        <f t="shared" si="9"/>
        <v>9906</v>
      </c>
      <c r="V29" s="411">
        <f t="shared" si="10"/>
        <v>0.13792780803389801</v>
      </c>
      <c r="W29" s="307"/>
      <c r="X29" s="406"/>
      <c r="Y29" s="499"/>
      <c r="Z29" s="408">
        <f>SUM(Z15:Z28)</f>
        <v>87224.43</v>
      </c>
      <c r="AA29" s="409"/>
      <c r="AB29" s="410">
        <f t="shared" si="13"/>
        <v>5498.25</v>
      </c>
      <c r="AC29" s="411">
        <f t="shared" si="14"/>
        <v>6.7276483496475678E-2</v>
      </c>
      <c r="AD29" s="307"/>
      <c r="AE29" s="406"/>
      <c r="AF29" s="499"/>
      <c r="AG29" s="408">
        <f>SUM(AG15:AG28)</f>
        <v>93425.43</v>
      </c>
      <c r="AH29" s="409"/>
      <c r="AI29" s="410">
        <f t="shared" si="17"/>
        <v>6201</v>
      </c>
      <c r="AJ29" s="411">
        <f t="shared" si="18"/>
        <v>7.1092468016128049E-2</v>
      </c>
      <c r="AK29" s="307"/>
      <c r="AL29" s="406"/>
      <c r="AM29" s="499"/>
      <c r="AN29" s="408">
        <f>SUM(AN15:AN28)</f>
        <v>99415.679999999993</v>
      </c>
      <c r="AO29" s="409"/>
      <c r="AP29" s="410">
        <f t="shared" si="21"/>
        <v>5990.25</v>
      </c>
      <c r="AQ29" s="411">
        <f t="shared" si="22"/>
        <v>6.4117981581674283E-2</v>
      </c>
      <c r="AR29" s="412"/>
    </row>
    <row r="30" spans="1:44" ht="12.75" customHeight="1">
      <c r="A30" s="52"/>
      <c r="B30" s="403" t="s">
        <v>237</v>
      </c>
      <c r="C30" s="394" t="str">
        <f t="shared" ref="C30:C38" si="23">D$6&amp;"."&amp;B30</f>
        <v>Large User.DVA Disposition Rate Rider Group 1 -2025</v>
      </c>
      <c r="D30" s="395" t="s">
        <v>381</v>
      </c>
      <c r="E30" s="321"/>
      <c r="F30" s="413">
        <f>IFERROR(VLOOKUP($C30,'Proposed Rates'!$B:$J,F$11,FALSE),0)</f>
        <v>6.3399999999999998E-2</v>
      </c>
      <c r="G30" s="414">
        <f t="shared" ref="G30:G36" si="24">IF($D30="Monthly",1,IF($D30="per KW",$F$10,IF($D30="per kWh",$F$9,0)))</f>
        <v>7500</v>
      </c>
      <c r="H30" s="399">
        <f t="shared" ref="H30:H38" si="25">G30*F30</f>
        <v>475.5</v>
      </c>
      <c r="I30" s="132"/>
      <c r="J30" s="413">
        <f>IFERROR(VLOOKUP($C30,'Proposed Rates'!$B:$J,J$11,FALSE),0)</f>
        <v>-0.27450000000000002</v>
      </c>
      <c r="K30" s="414">
        <f t="shared" ref="K30:K36" si="26">IF($D30="Monthly",1,IF($D30="per KW",$F$10,IF($D30="per kWh",$F$9,0)))</f>
        <v>7500</v>
      </c>
      <c r="L30" s="399">
        <f t="shared" ref="L30:L38" si="27">K30*J30</f>
        <v>-2058.75</v>
      </c>
      <c r="M30" s="132"/>
      <c r="N30" s="400">
        <f t="shared" si="5"/>
        <v>-2534.25</v>
      </c>
      <c r="O30" s="401">
        <f t="shared" si="6"/>
        <v>-5.329652996845426</v>
      </c>
      <c r="P30" s="52"/>
      <c r="Q30" s="413">
        <f>IFERROR(VLOOKUP($C30,'Proposed Rates'!$B:$J,Q$11,FALSE),0)</f>
        <v>0</v>
      </c>
      <c r="R30" s="414">
        <f t="shared" ref="R30:R36" si="28">IF($D30="Monthly",1,IF($D30="per KW",$F$10,IF($D30="per kWh",$F$9,0)))</f>
        <v>7500</v>
      </c>
      <c r="S30" s="399">
        <f t="shared" ref="S30:S38" si="29">R30*Q30</f>
        <v>0</v>
      </c>
      <c r="T30" s="132"/>
      <c r="U30" s="400">
        <f t="shared" si="9"/>
        <v>2058.75</v>
      </c>
      <c r="V30" s="401">
        <f t="shared" si="10"/>
        <v>-1</v>
      </c>
      <c r="W30" s="52"/>
      <c r="X30" s="413">
        <f>IFERROR(VLOOKUP($C30,'Proposed Rates'!$B:$J,X$11,FALSE),0)</f>
        <v>0</v>
      </c>
      <c r="Y30" s="414">
        <f t="shared" ref="Y30:Y36" si="30">IF($D30="Monthly",1,IF($D30="per KW",$F$10,IF($D30="per kWh",$F$9,0)))</f>
        <v>7500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7500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7500</v>
      </c>
      <c r="AN30" s="399">
        <f t="shared" ref="AN30:AN38" si="35">AM30*AL30</f>
        <v>0</v>
      </c>
      <c r="AO30" s="132"/>
      <c r="AP30" s="400">
        <f t="shared" si="21"/>
        <v>0</v>
      </c>
      <c r="AQ30" s="401" t="str">
        <f t="shared" si="22"/>
        <v/>
      </c>
      <c r="AR30" s="402"/>
    </row>
    <row r="31" spans="1:44" ht="12.75" customHeight="1">
      <c r="A31" s="52"/>
      <c r="B31" s="483" t="s">
        <v>239</v>
      </c>
      <c r="C31" s="394" t="str">
        <f t="shared" si="23"/>
        <v>Large User.DVA Disposition Rate Rider Group 1 - 2024</v>
      </c>
      <c r="D31" s="395" t="s">
        <v>381</v>
      </c>
      <c r="E31" s="321"/>
      <c r="F31" s="396">
        <f>IFERROR(VLOOKUP($C31,'Proposed Rates'!$B:$J,F$11,FALSE),0)</f>
        <v>0</v>
      </c>
      <c r="G31" s="414">
        <f t="shared" si="24"/>
        <v>7500</v>
      </c>
      <c r="H31" s="399">
        <f t="shared" si="25"/>
        <v>0</v>
      </c>
      <c r="I31" s="132"/>
      <c r="J31" s="396">
        <f>IFERROR(VLOOKUP($C31,'Proposed Rates'!$B:$J,J$11,FALSE),0)</f>
        <v>0</v>
      </c>
      <c r="K31" s="414">
        <f t="shared" si="26"/>
        <v>7500</v>
      </c>
      <c r="L31" s="399">
        <f t="shared" si="27"/>
        <v>0</v>
      </c>
      <c r="M31" s="132"/>
      <c r="N31" s="400">
        <f t="shared" si="5"/>
        <v>0</v>
      </c>
      <c r="O31" s="401" t="str">
        <f t="shared" si="6"/>
        <v/>
      </c>
      <c r="P31" s="52"/>
      <c r="Q31" s="396">
        <f>IFERROR(VLOOKUP($C31,'Proposed Rates'!$B:$J,Q$11,FALSE),0)</f>
        <v>0</v>
      </c>
      <c r="R31" s="414">
        <f t="shared" si="28"/>
        <v>7500</v>
      </c>
      <c r="S31" s="399">
        <f t="shared" si="29"/>
        <v>0</v>
      </c>
      <c r="T31" s="132"/>
      <c r="U31" s="400">
        <f t="shared" si="9"/>
        <v>0</v>
      </c>
      <c r="V31" s="401" t="str">
        <f t="shared" si="10"/>
        <v/>
      </c>
      <c r="W31" s="52"/>
      <c r="X31" s="396">
        <f>IFERROR(VLOOKUP($C31,'Proposed Rates'!$B:$J,X$11,FALSE),0)</f>
        <v>0</v>
      </c>
      <c r="Y31" s="414">
        <f t="shared" si="30"/>
        <v>7500</v>
      </c>
      <c r="Z31" s="399">
        <f t="shared" si="31"/>
        <v>0</v>
      </c>
      <c r="AA31" s="132"/>
      <c r="AB31" s="400">
        <f t="shared" si="13"/>
        <v>0</v>
      </c>
      <c r="AC31" s="401" t="str">
        <f t="shared" si="14"/>
        <v/>
      </c>
      <c r="AD31" s="52"/>
      <c r="AE31" s="396">
        <f>IFERROR(VLOOKUP($C31,'Proposed Rates'!$B:$J,AE$11,FALSE),0)</f>
        <v>0</v>
      </c>
      <c r="AF31" s="414">
        <f t="shared" si="32"/>
        <v>7500</v>
      </c>
      <c r="AG31" s="399">
        <f t="shared" si="33"/>
        <v>0</v>
      </c>
      <c r="AH31" s="132"/>
      <c r="AI31" s="400">
        <f t="shared" si="17"/>
        <v>0</v>
      </c>
      <c r="AJ31" s="401" t="str">
        <f t="shared" si="18"/>
        <v/>
      </c>
      <c r="AK31" s="52"/>
      <c r="AL31" s="396">
        <f>IFERROR(VLOOKUP($C31,'Proposed Rates'!$B:$J,AL$11,FALSE),0)</f>
        <v>0</v>
      </c>
      <c r="AM31" s="414">
        <f t="shared" si="34"/>
        <v>7500</v>
      </c>
      <c r="AN31" s="399">
        <f t="shared" si="35"/>
        <v>0</v>
      </c>
      <c r="AO31" s="132"/>
      <c r="AP31" s="400">
        <f t="shared" si="21"/>
        <v>0</v>
      </c>
      <c r="AQ31" s="401" t="str">
        <f t="shared" si="22"/>
        <v/>
      </c>
      <c r="AR31" s="402"/>
    </row>
    <row r="32" spans="1:44" ht="12.75" customHeight="1">
      <c r="A32" s="52"/>
      <c r="B32" s="483" t="s">
        <v>247</v>
      </c>
      <c r="C32" s="394" t="str">
        <f t="shared" si="23"/>
        <v>Large User.CBR Class B Rate Riders</v>
      </c>
      <c r="D32" s="395" t="s">
        <v>312</v>
      </c>
      <c r="E32" s="321"/>
      <c r="F32" s="413">
        <f>IFERROR(VLOOKUP($C32,'Proposed Rates'!$B:$J,F$11,FALSE),0)</f>
        <v>2.0000000000000001E-4</v>
      </c>
      <c r="G32" s="414">
        <f t="shared" si="24"/>
        <v>4000000</v>
      </c>
      <c r="H32" s="399">
        <f t="shared" si="25"/>
        <v>800</v>
      </c>
      <c r="I32" s="484"/>
      <c r="J32" s="413">
        <f>IFERROR(VLOOKUP($C32,'Proposed Rates'!$B:$J,J$11,FALSE),0)</f>
        <v>4.0000000000000002E-4</v>
      </c>
      <c r="K32" s="414">
        <f t="shared" si="26"/>
        <v>4000000</v>
      </c>
      <c r="L32" s="399">
        <f t="shared" si="27"/>
        <v>1600</v>
      </c>
      <c r="M32" s="416"/>
      <c r="N32" s="400">
        <f t="shared" si="5"/>
        <v>800</v>
      </c>
      <c r="O32" s="401">
        <f t="shared" si="6"/>
        <v>1</v>
      </c>
      <c r="P32" s="52"/>
      <c r="Q32" s="413">
        <f>IFERROR(VLOOKUP($C32,'Proposed Rates'!$B:$J,Q$11,FALSE),0)</f>
        <v>0</v>
      </c>
      <c r="R32" s="414">
        <f t="shared" si="28"/>
        <v>4000000</v>
      </c>
      <c r="S32" s="399">
        <f t="shared" si="29"/>
        <v>0</v>
      </c>
      <c r="T32" s="416"/>
      <c r="U32" s="400">
        <f t="shared" si="9"/>
        <v>-1600</v>
      </c>
      <c r="V32" s="401">
        <f t="shared" si="10"/>
        <v>-1</v>
      </c>
      <c r="W32" s="52"/>
      <c r="X32" s="413">
        <f>IFERROR(VLOOKUP($C32,'Proposed Rates'!$B:$J,X$11,FALSE),0)</f>
        <v>0</v>
      </c>
      <c r="Y32" s="414">
        <f t="shared" si="30"/>
        <v>4000000</v>
      </c>
      <c r="Z32" s="399">
        <f t="shared" si="31"/>
        <v>0</v>
      </c>
      <c r="AA32" s="132"/>
      <c r="AB32" s="400">
        <f t="shared" si="13"/>
        <v>0</v>
      </c>
      <c r="AC32" s="401" t="str">
        <f t="shared" si="14"/>
        <v/>
      </c>
      <c r="AD32" s="52"/>
      <c r="AE32" s="413">
        <f>IFERROR(VLOOKUP($C32,'Proposed Rates'!$B:$J,AE$11,FALSE),0)</f>
        <v>0</v>
      </c>
      <c r="AF32" s="414">
        <f t="shared" si="32"/>
        <v>4000000</v>
      </c>
      <c r="AG32" s="399">
        <f t="shared" si="33"/>
        <v>0</v>
      </c>
      <c r="AH32" s="132"/>
      <c r="AI32" s="400">
        <f t="shared" si="17"/>
        <v>0</v>
      </c>
      <c r="AJ32" s="401" t="str">
        <f t="shared" si="18"/>
        <v/>
      </c>
      <c r="AK32" s="52"/>
      <c r="AL32" s="413">
        <f>IFERROR(VLOOKUP($C32,'Proposed Rates'!$B:$J,AL$11,FALSE),0)</f>
        <v>0</v>
      </c>
      <c r="AM32" s="414">
        <f t="shared" si="34"/>
        <v>4000000</v>
      </c>
      <c r="AN32" s="399">
        <f t="shared" si="35"/>
        <v>0</v>
      </c>
      <c r="AO32" s="416"/>
      <c r="AP32" s="400">
        <f t="shared" si="21"/>
        <v>0</v>
      </c>
      <c r="AQ32" s="401" t="str">
        <f t="shared" si="22"/>
        <v/>
      </c>
      <c r="AR32" s="402"/>
    </row>
    <row r="33" spans="1:44" ht="12.75" customHeight="1">
      <c r="A33" s="52"/>
      <c r="B33" s="483" t="s">
        <v>252</v>
      </c>
      <c r="C33" s="394" t="str">
        <f t="shared" si="23"/>
        <v>Large User.GA Rate Riders</v>
      </c>
      <c r="D33" s="395" t="s">
        <v>312</v>
      </c>
      <c r="E33" s="321"/>
      <c r="F33" s="413">
        <f>IFERROR(VLOOKUP($C33,'Proposed Rates'!$B:$J,F$11,FALSE),0)</f>
        <v>3.8999999999999998E-3</v>
      </c>
      <c r="G33" s="414">
        <f t="shared" si="24"/>
        <v>4000000</v>
      </c>
      <c r="H33" s="399">
        <f t="shared" si="25"/>
        <v>15600</v>
      </c>
      <c r="I33" s="484"/>
      <c r="J33" s="413">
        <f>IFERROR(VLOOKUP($C33,'Proposed Rates'!$B:$J,J$11,FALSE),0)</f>
        <v>4.4000000000000003E-3</v>
      </c>
      <c r="K33" s="414">
        <f t="shared" si="26"/>
        <v>4000000</v>
      </c>
      <c r="L33" s="399">
        <f t="shared" si="27"/>
        <v>17600</v>
      </c>
      <c r="M33" s="416"/>
      <c r="N33" s="400">
        <f t="shared" si="5"/>
        <v>2000</v>
      </c>
      <c r="O33" s="401">
        <f t="shared" si="6"/>
        <v>0.12820512820512819</v>
      </c>
      <c r="P33" s="52"/>
      <c r="Q33" s="413">
        <f>IFERROR(VLOOKUP($C33,'Proposed Rates'!$B:$J,Q$11,FALSE),0)</f>
        <v>0</v>
      </c>
      <c r="R33" s="414">
        <f t="shared" si="28"/>
        <v>4000000</v>
      </c>
      <c r="S33" s="399">
        <f t="shared" si="29"/>
        <v>0</v>
      </c>
      <c r="T33" s="416"/>
      <c r="U33" s="400">
        <f t="shared" si="9"/>
        <v>-17600</v>
      </c>
      <c r="V33" s="401">
        <f t="shared" si="10"/>
        <v>-1</v>
      </c>
      <c r="W33" s="52"/>
      <c r="X33" s="413">
        <f>IFERROR(VLOOKUP($C33,'Proposed Rates'!$B:$J,X$11,FALSE),0)</f>
        <v>0</v>
      </c>
      <c r="Y33" s="414">
        <f t="shared" si="30"/>
        <v>4000000</v>
      </c>
      <c r="Z33" s="399">
        <f t="shared" si="31"/>
        <v>0</v>
      </c>
      <c r="AA33" s="416"/>
      <c r="AB33" s="400">
        <f t="shared" si="13"/>
        <v>0</v>
      </c>
      <c r="AC33" s="401" t="str">
        <f t="shared" si="14"/>
        <v/>
      </c>
      <c r="AD33" s="52"/>
      <c r="AE33" s="413">
        <f>IFERROR(VLOOKUP($C33,'Proposed Rates'!$B:$J,AE$11,FALSE),0)</f>
        <v>0</v>
      </c>
      <c r="AF33" s="414">
        <f t="shared" si="32"/>
        <v>4000000</v>
      </c>
      <c r="AG33" s="399">
        <f t="shared" si="33"/>
        <v>0</v>
      </c>
      <c r="AH33" s="416"/>
      <c r="AI33" s="400">
        <f t="shared" si="17"/>
        <v>0</v>
      </c>
      <c r="AJ33" s="401" t="str">
        <f t="shared" si="18"/>
        <v/>
      </c>
      <c r="AK33" s="52"/>
      <c r="AL33" s="413">
        <f>IFERROR(VLOOKUP($C33,'Proposed Rates'!$B:$J,AL$11,FALSE),0)</f>
        <v>0</v>
      </c>
      <c r="AM33" s="414">
        <f t="shared" si="34"/>
        <v>4000000</v>
      </c>
      <c r="AN33" s="399">
        <f t="shared" si="35"/>
        <v>0</v>
      </c>
      <c r="AO33" s="416"/>
      <c r="AP33" s="400">
        <f t="shared" si="21"/>
        <v>0</v>
      </c>
      <c r="AQ33" s="401" t="str">
        <f t="shared" si="22"/>
        <v/>
      </c>
      <c r="AR33" s="402"/>
    </row>
    <row r="34" spans="1:44" ht="12.75" customHeight="1">
      <c r="A34" s="52"/>
      <c r="B34" s="483" t="s">
        <v>255</v>
      </c>
      <c r="C34" s="394" t="str">
        <f t="shared" si="23"/>
        <v>Large User.Total Deferral/Variance Account Rate RidersYr2</v>
      </c>
      <c r="D34" s="395" t="s">
        <v>381</v>
      </c>
      <c r="E34" s="321"/>
      <c r="F34" s="396">
        <f>IFERROR(VLOOKUP($C34,'Proposed Rates'!$B:$J,F$11,FALSE),0)</f>
        <v>0</v>
      </c>
      <c r="G34" s="414">
        <f t="shared" si="24"/>
        <v>7500</v>
      </c>
      <c r="H34" s="399">
        <f t="shared" si="25"/>
        <v>0</v>
      </c>
      <c r="I34" s="484"/>
      <c r="J34" s="396">
        <f>IFERROR(VLOOKUP($C34,'Proposed Rates'!$B:$J,J$11,FALSE),0)</f>
        <v>0</v>
      </c>
      <c r="K34" s="414">
        <f t="shared" si="26"/>
        <v>7500</v>
      </c>
      <c r="L34" s="399">
        <f t="shared" si="27"/>
        <v>0</v>
      </c>
      <c r="M34" s="416"/>
      <c r="N34" s="400">
        <f t="shared" si="5"/>
        <v>0</v>
      </c>
      <c r="O34" s="401" t="str">
        <f t="shared" si="6"/>
        <v/>
      </c>
      <c r="P34" s="52"/>
      <c r="Q34" s="396">
        <f>IFERROR(VLOOKUP($C34,'Proposed Rates'!$B:$J,Q$11,FALSE),0)</f>
        <v>0</v>
      </c>
      <c r="R34" s="414">
        <f t="shared" si="28"/>
        <v>7500</v>
      </c>
      <c r="S34" s="399">
        <f t="shared" si="29"/>
        <v>0</v>
      </c>
      <c r="T34" s="416"/>
      <c r="U34" s="400">
        <f t="shared" si="9"/>
        <v>0</v>
      </c>
      <c r="V34" s="401" t="str">
        <f t="shared" si="10"/>
        <v/>
      </c>
      <c r="W34" s="52"/>
      <c r="X34" s="396">
        <f>IFERROR(VLOOKUP($C34,'Proposed Rates'!$B:$J,X$11,FALSE),0)</f>
        <v>0</v>
      </c>
      <c r="Y34" s="414">
        <f t="shared" si="30"/>
        <v>7500</v>
      </c>
      <c r="Z34" s="399">
        <f t="shared" si="31"/>
        <v>0</v>
      </c>
      <c r="AA34" s="416"/>
      <c r="AB34" s="400">
        <f t="shared" si="13"/>
        <v>0</v>
      </c>
      <c r="AC34" s="401" t="str">
        <f t="shared" si="14"/>
        <v/>
      </c>
      <c r="AD34" s="52"/>
      <c r="AE34" s="396">
        <f>IFERROR(VLOOKUP($C34,'Proposed Rates'!$B:$J,AE$11,FALSE),0)</f>
        <v>0</v>
      </c>
      <c r="AF34" s="414">
        <f t="shared" si="32"/>
        <v>7500</v>
      </c>
      <c r="AG34" s="399">
        <f t="shared" si="33"/>
        <v>0</v>
      </c>
      <c r="AH34" s="416"/>
      <c r="AI34" s="400">
        <f t="shared" si="17"/>
        <v>0</v>
      </c>
      <c r="AJ34" s="401" t="str">
        <f t="shared" si="18"/>
        <v/>
      </c>
      <c r="AK34" s="52"/>
      <c r="AL34" s="396">
        <f>IFERROR(VLOOKUP($C34,'Proposed Rates'!$B:$J,AL$11,FALSE),0)</f>
        <v>0</v>
      </c>
      <c r="AM34" s="414">
        <f t="shared" si="34"/>
        <v>7500</v>
      </c>
      <c r="AN34" s="399">
        <f t="shared" si="35"/>
        <v>0</v>
      </c>
      <c r="AO34" s="416"/>
      <c r="AP34" s="400">
        <f t="shared" si="21"/>
        <v>0</v>
      </c>
      <c r="AQ34" s="401" t="str">
        <f t="shared" si="22"/>
        <v/>
      </c>
      <c r="AR34" s="402"/>
    </row>
    <row r="35" spans="1:44" ht="12.75" customHeight="1">
      <c r="A35" s="52"/>
      <c r="B35" s="483" t="s">
        <v>257</v>
      </c>
      <c r="C35" s="394" t="str">
        <f t="shared" si="23"/>
        <v>Large User.Total Deferral/Variance Account Rate Riders</v>
      </c>
      <c r="D35" s="395" t="s">
        <v>381</v>
      </c>
      <c r="E35" s="321"/>
      <c r="F35" s="396">
        <f>IFERROR(VLOOKUP($C35,'Proposed Rates'!$B:$J,F$11,FALSE),0)</f>
        <v>0</v>
      </c>
      <c r="G35" s="414">
        <f t="shared" si="24"/>
        <v>7500</v>
      </c>
      <c r="H35" s="399">
        <f t="shared" si="25"/>
        <v>0</v>
      </c>
      <c r="I35" s="132"/>
      <c r="J35" s="396">
        <f>IFERROR(VLOOKUP($C35,'Proposed Rates'!$B:$J,J$11,FALSE),0)</f>
        <v>0</v>
      </c>
      <c r="K35" s="414">
        <f t="shared" si="26"/>
        <v>7500</v>
      </c>
      <c r="L35" s="399">
        <f t="shared" si="27"/>
        <v>0</v>
      </c>
      <c r="M35" s="132"/>
      <c r="N35" s="400">
        <f t="shared" si="5"/>
        <v>0</v>
      </c>
      <c r="O35" s="401" t="str">
        <f t="shared" si="6"/>
        <v/>
      </c>
      <c r="P35" s="52"/>
      <c r="Q35" s="396">
        <f>IFERROR(VLOOKUP($C35,'Proposed Rates'!$B:$J,Q$11,FALSE),0)</f>
        <v>0</v>
      </c>
      <c r="R35" s="414">
        <f t="shared" si="28"/>
        <v>7500</v>
      </c>
      <c r="S35" s="399">
        <f t="shared" si="29"/>
        <v>0</v>
      </c>
      <c r="T35" s="132"/>
      <c r="U35" s="400">
        <f t="shared" si="9"/>
        <v>0</v>
      </c>
      <c r="V35" s="401" t="str">
        <f t="shared" si="10"/>
        <v/>
      </c>
      <c r="W35" s="52"/>
      <c r="X35" s="396">
        <f>IFERROR(VLOOKUP($C35,'Proposed Rates'!$B:$J,X$11,FALSE),0)</f>
        <v>0</v>
      </c>
      <c r="Y35" s="414">
        <f t="shared" si="30"/>
        <v>7500</v>
      </c>
      <c r="Z35" s="399">
        <f t="shared" si="31"/>
        <v>0</v>
      </c>
      <c r="AA35" s="132"/>
      <c r="AB35" s="400">
        <f t="shared" si="13"/>
        <v>0</v>
      </c>
      <c r="AC35" s="401" t="str">
        <f t="shared" si="14"/>
        <v/>
      </c>
      <c r="AD35" s="52"/>
      <c r="AE35" s="396">
        <f>IFERROR(VLOOKUP($C35,'Proposed Rates'!$B:$J,AE$11,FALSE),0)</f>
        <v>0</v>
      </c>
      <c r="AF35" s="414">
        <f t="shared" si="32"/>
        <v>7500</v>
      </c>
      <c r="AG35" s="399">
        <f t="shared" si="33"/>
        <v>0</v>
      </c>
      <c r="AH35" s="132"/>
      <c r="AI35" s="400">
        <f t="shared" si="17"/>
        <v>0</v>
      </c>
      <c r="AJ35" s="401" t="str">
        <f t="shared" si="18"/>
        <v/>
      </c>
      <c r="AK35" s="52"/>
      <c r="AL35" s="396">
        <f>IFERROR(VLOOKUP($C35,'Proposed Rates'!$B:$J,AL$11,FALSE),0)</f>
        <v>0</v>
      </c>
      <c r="AM35" s="414">
        <f t="shared" si="34"/>
        <v>7500</v>
      </c>
      <c r="AN35" s="399">
        <f t="shared" si="35"/>
        <v>0</v>
      </c>
      <c r="AO35" s="132"/>
      <c r="AP35" s="400">
        <f t="shared" si="21"/>
        <v>0</v>
      </c>
      <c r="AQ35" s="401" t="str">
        <f t="shared" si="22"/>
        <v/>
      </c>
      <c r="AR35" s="402"/>
    </row>
    <row r="36" spans="1:44" ht="12.75" customHeight="1">
      <c r="A36" s="52"/>
      <c r="B36" s="321" t="s">
        <v>273</v>
      </c>
      <c r="C36" s="394" t="str">
        <f t="shared" si="23"/>
        <v>Large User.Low Voltage Service Charge</v>
      </c>
      <c r="D36" s="395" t="s">
        <v>381</v>
      </c>
      <c r="E36" s="321"/>
      <c r="F36" s="417">
        <f>IFERROR(VLOOKUP($C36,'Proposed Rates'!$B:$J,F$11,FALSE),0)</f>
        <v>2.4819999999999998E-2</v>
      </c>
      <c r="G36" s="414">
        <f t="shared" si="24"/>
        <v>7500</v>
      </c>
      <c r="H36" s="399">
        <f t="shared" si="25"/>
        <v>186.14999999999998</v>
      </c>
      <c r="I36" s="132"/>
      <c r="J36" s="417">
        <f>IFERROR(VLOOKUP($C36,'Proposed Rates'!$B:$J,J$11,FALSE),0)</f>
        <v>2.716E-2</v>
      </c>
      <c r="K36" s="414">
        <f t="shared" si="26"/>
        <v>7500</v>
      </c>
      <c r="L36" s="399">
        <f t="shared" si="27"/>
        <v>203.7</v>
      </c>
      <c r="M36" s="132"/>
      <c r="N36" s="400">
        <f t="shared" si="5"/>
        <v>17.550000000000011</v>
      </c>
      <c r="O36" s="401">
        <f t="shared" si="6"/>
        <v>9.4278807413376381E-2</v>
      </c>
      <c r="P36" s="52"/>
      <c r="Q36" s="417">
        <f>IFERROR(VLOOKUP($C36,'Proposed Rates'!$B:$J,Q$11,FALSE),0)</f>
        <v>2.7869999999999999E-2</v>
      </c>
      <c r="R36" s="414">
        <f t="shared" si="28"/>
        <v>7500</v>
      </c>
      <c r="S36" s="399">
        <f t="shared" si="29"/>
        <v>209.02500000000001</v>
      </c>
      <c r="T36" s="132"/>
      <c r="U36" s="400">
        <f t="shared" si="9"/>
        <v>5.3250000000000171</v>
      </c>
      <c r="V36" s="401">
        <f t="shared" si="10"/>
        <v>2.6141384388807153E-2</v>
      </c>
      <c r="W36" s="52"/>
      <c r="X36" s="417">
        <f>IFERROR(VLOOKUP($C36,'Proposed Rates'!$B:$J,X$11,FALSE),0)</f>
        <v>2.8209999999999999E-2</v>
      </c>
      <c r="Y36" s="414">
        <f t="shared" si="30"/>
        <v>7500</v>
      </c>
      <c r="Z36" s="399">
        <f t="shared" si="31"/>
        <v>211.57499999999999</v>
      </c>
      <c r="AA36" s="132"/>
      <c r="AB36" s="400">
        <f t="shared" si="13"/>
        <v>2.5499999999999829</v>
      </c>
      <c r="AC36" s="401">
        <f t="shared" si="14"/>
        <v>1.219949766774301E-2</v>
      </c>
      <c r="AD36" s="52"/>
      <c r="AE36" s="417">
        <f>IFERROR(VLOOKUP($C36,'Proposed Rates'!$B:$J,AE$11,FALSE),0)</f>
        <v>2.8660000000000001E-2</v>
      </c>
      <c r="AF36" s="414">
        <f t="shared" si="32"/>
        <v>7500</v>
      </c>
      <c r="AG36" s="399">
        <f t="shared" si="33"/>
        <v>214.95000000000002</v>
      </c>
      <c r="AH36" s="132"/>
      <c r="AI36" s="400">
        <f t="shared" si="17"/>
        <v>3.3750000000000284</v>
      </c>
      <c r="AJ36" s="401">
        <f t="shared" si="18"/>
        <v>1.5951790145338669E-2</v>
      </c>
      <c r="AK36" s="52"/>
      <c r="AL36" s="417">
        <f>IFERROR(VLOOKUP($C36,'Proposed Rates'!$B:$J,AL$11,FALSE),0)</f>
        <v>2.9170000000000001E-2</v>
      </c>
      <c r="AM36" s="414">
        <f t="shared" si="34"/>
        <v>7500</v>
      </c>
      <c r="AN36" s="399">
        <f t="shared" si="35"/>
        <v>218.77500000000001</v>
      </c>
      <c r="AO36" s="132"/>
      <c r="AP36" s="400">
        <f t="shared" si="21"/>
        <v>3.8249999999999886</v>
      </c>
      <c r="AQ36" s="401">
        <f t="shared" si="22"/>
        <v>1.7794836008373987E-2</v>
      </c>
      <c r="AR36" s="402"/>
    </row>
    <row r="37" spans="1:44" ht="12.75" customHeight="1">
      <c r="A37" s="52"/>
      <c r="B37" s="321" t="s">
        <v>316</v>
      </c>
      <c r="C37" s="394" t="str">
        <f t="shared" si="23"/>
        <v>Large User.Line Losses on Cost of Power</v>
      </c>
      <c r="D37" s="395" t="s">
        <v>312</v>
      </c>
      <c r="E37" s="321"/>
      <c r="F37" s="557"/>
      <c r="G37" s="506">
        <f>$F$9*(1+F$65)-$F$9</f>
        <v>20400.000000000466</v>
      </c>
      <c r="H37" s="399">
        <f t="shared" si="25"/>
        <v>0</v>
      </c>
      <c r="I37" s="132"/>
      <c r="J37" s="557"/>
      <c r="K37" s="506">
        <f>$F$9*(1+J$65)-$F$9</f>
        <v>19199.999999999534</v>
      </c>
      <c r="L37" s="399">
        <f t="shared" si="27"/>
        <v>0</v>
      </c>
      <c r="M37" s="132"/>
      <c r="N37" s="400">
        <f t="shared" si="5"/>
        <v>0</v>
      </c>
      <c r="O37" s="401" t="str">
        <f t="shared" si="6"/>
        <v/>
      </c>
      <c r="P37" s="52"/>
      <c r="Q37" s="557"/>
      <c r="R37" s="506">
        <f>$F$9*(1+Q$65)-$F$9</f>
        <v>19199.999999999534</v>
      </c>
      <c r="S37" s="399">
        <f t="shared" si="29"/>
        <v>0</v>
      </c>
      <c r="T37" s="132"/>
      <c r="U37" s="400">
        <f t="shared" si="9"/>
        <v>0</v>
      </c>
      <c r="V37" s="401" t="str">
        <f t="shared" si="10"/>
        <v/>
      </c>
      <c r="W37" s="52"/>
      <c r="X37" s="557"/>
      <c r="Y37" s="506">
        <f>$F$9*(1+X$65)-$F$9</f>
        <v>19199.999999999534</v>
      </c>
      <c r="Z37" s="399">
        <f t="shared" si="31"/>
        <v>0</v>
      </c>
      <c r="AA37" s="132"/>
      <c r="AB37" s="400">
        <f t="shared" si="13"/>
        <v>0</v>
      </c>
      <c r="AC37" s="401" t="str">
        <f t="shared" si="14"/>
        <v/>
      </c>
      <c r="AD37" s="52"/>
      <c r="AE37" s="557"/>
      <c r="AF37" s="506">
        <f>$F$9*(1+AE$65)-$F$9</f>
        <v>19199.999999999534</v>
      </c>
      <c r="AG37" s="399">
        <f t="shared" si="33"/>
        <v>0</v>
      </c>
      <c r="AH37" s="132"/>
      <c r="AI37" s="400">
        <f t="shared" si="17"/>
        <v>0</v>
      </c>
      <c r="AJ37" s="401" t="str">
        <f t="shared" si="18"/>
        <v/>
      </c>
      <c r="AK37" s="52"/>
      <c r="AL37" s="557"/>
      <c r="AM37" s="506">
        <f>$F$9*(1+AL$65)-$F$9</f>
        <v>19199.999999999534</v>
      </c>
      <c r="AN37" s="399">
        <f t="shared" si="35"/>
        <v>0</v>
      </c>
      <c r="AO37" s="132"/>
      <c r="AP37" s="400">
        <f t="shared" si="21"/>
        <v>0</v>
      </c>
      <c r="AQ37" s="401" t="str">
        <f t="shared" si="22"/>
        <v/>
      </c>
      <c r="AR37" s="402"/>
    </row>
    <row r="38" spans="1:44" ht="12.75" customHeight="1">
      <c r="A38" s="52"/>
      <c r="B38" s="321" t="s">
        <v>275</v>
      </c>
      <c r="C38" s="394" t="str">
        <f t="shared" si="23"/>
        <v>Large User.Smart Meter Entity Charge</v>
      </c>
      <c r="D38" s="395" t="s">
        <v>310</v>
      </c>
      <c r="E38" s="321"/>
      <c r="F38" s="396">
        <f>IFERROR(VLOOKUP($C38,'Proposed Rates'!$B:$J,F$11,FALSE),0)</f>
        <v>0</v>
      </c>
      <c r="G38" s="414">
        <f>IF($D38="Monthly",1,IF($D38="per KW",$F$10,IF($D38="per kWh",$F$9,0)))</f>
        <v>1</v>
      </c>
      <c r="H38" s="399">
        <f t="shared" si="25"/>
        <v>0</v>
      </c>
      <c r="I38" s="132"/>
      <c r="J38" s="396">
        <f>IFERROR(VLOOKUP($C38,'Proposed Rates'!$B:$J,J$11,FALSE),0)</f>
        <v>0</v>
      </c>
      <c r="K38" s="414">
        <f>IF($D38="Monthly",1,IF($D38="per KW",$F$10,IF($D38="per kWh",$F$9,0)))</f>
        <v>1</v>
      </c>
      <c r="L38" s="399">
        <f t="shared" si="27"/>
        <v>0</v>
      </c>
      <c r="M38" s="132"/>
      <c r="N38" s="400">
        <f t="shared" si="5"/>
        <v>0</v>
      </c>
      <c r="O38" s="401" t="str">
        <f t="shared" si="6"/>
        <v/>
      </c>
      <c r="P38" s="52"/>
      <c r="Q38" s="396">
        <f>IFERROR(VLOOKUP($C38,'Proposed Rates'!$B:$J,Q$11,FALSE),0)</f>
        <v>0</v>
      </c>
      <c r="R38" s="414">
        <f>IF($D38="Monthly",1,IF($D38="per KW",$F$10,IF($D38="per kWh",$F$9,0)))</f>
        <v>1</v>
      </c>
      <c r="S38" s="399">
        <f t="shared" si="29"/>
        <v>0</v>
      </c>
      <c r="T38" s="132"/>
      <c r="U38" s="400">
        <f t="shared" si="9"/>
        <v>0</v>
      </c>
      <c r="V38" s="401" t="str">
        <f t="shared" si="10"/>
        <v/>
      </c>
      <c r="W38" s="52"/>
      <c r="X38" s="396">
        <f>IFERROR(VLOOKUP($C38,'Proposed Rates'!$B:$J,X$11,FALSE),0)</f>
        <v>0</v>
      </c>
      <c r="Y38" s="414">
        <f>IF($D38="Monthly",1,IF($D38="per KW",$F$10,IF($D38="per kWh",$F$9,0)))</f>
        <v>1</v>
      </c>
      <c r="Z38" s="399">
        <f t="shared" si="31"/>
        <v>0</v>
      </c>
      <c r="AA38" s="132"/>
      <c r="AB38" s="400">
        <f t="shared" si="13"/>
        <v>0</v>
      </c>
      <c r="AC38" s="401" t="str">
        <f t="shared" si="14"/>
        <v/>
      </c>
      <c r="AD38" s="52"/>
      <c r="AE38" s="396">
        <f>IFERROR(VLOOKUP($C38,'Proposed Rates'!$B:$J,AE$11,FALSE),0)</f>
        <v>0</v>
      </c>
      <c r="AF38" s="414">
        <f>IF($D38="Monthly",1,IF($D38="per KW",$F$10,IF($D38="per kWh",$F$9,0)))</f>
        <v>1</v>
      </c>
      <c r="AG38" s="399">
        <f t="shared" si="33"/>
        <v>0</v>
      </c>
      <c r="AH38" s="132"/>
      <c r="AI38" s="400">
        <f t="shared" si="17"/>
        <v>0</v>
      </c>
      <c r="AJ38" s="401" t="str">
        <f t="shared" si="18"/>
        <v/>
      </c>
      <c r="AK38" s="52"/>
      <c r="AL38" s="396">
        <f>IFERROR(VLOOKUP($C38,'Proposed Rates'!$B:$J,AL$11,FALSE),0)</f>
        <v>0</v>
      </c>
      <c r="AM38" s="414">
        <f>IF($D38="Monthly",1,IF($D38="per KW",$F$10,IF($D38="per kWh",$F$9,0)))</f>
        <v>1</v>
      </c>
      <c r="AN38" s="399">
        <f t="shared" si="35"/>
        <v>0</v>
      </c>
      <c r="AO38" s="132"/>
      <c r="AP38" s="400">
        <f t="shared" si="21"/>
        <v>0</v>
      </c>
      <c r="AQ38" s="401" t="str">
        <f t="shared" si="22"/>
        <v/>
      </c>
      <c r="AR38" s="402"/>
    </row>
    <row r="39" spans="1:44" ht="12.75" customHeight="1">
      <c r="A39" s="52"/>
      <c r="B39" s="485" t="s">
        <v>317</v>
      </c>
      <c r="C39" s="558"/>
      <c r="D39" s="421"/>
      <c r="E39" s="421"/>
      <c r="F39" s="422"/>
      <c r="G39" s="500"/>
      <c r="H39" s="408">
        <f>SUM(H30:H38)+H29</f>
        <v>78753.83</v>
      </c>
      <c r="I39" s="424"/>
      <c r="J39" s="422"/>
      <c r="K39" s="500"/>
      <c r="L39" s="408">
        <f>SUM(L30:L38)+L29</f>
        <v>89165.12999999999</v>
      </c>
      <c r="M39" s="424"/>
      <c r="N39" s="410">
        <f t="shared" si="5"/>
        <v>10411.299999999988</v>
      </c>
      <c r="O39" s="411">
        <f t="shared" si="6"/>
        <v>0.13220055456350488</v>
      </c>
      <c r="P39" s="52"/>
      <c r="Q39" s="422"/>
      <c r="R39" s="500"/>
      <c r="S39" s="408">
        <f>SUM(S30:S38)+S29</f>
        <v>81935.204999999987</v>
      </c>
      <c r="T39" s="424"/>
      <c r="U39" s="410">
        <f t="shared" si="9"/>
        <v>-7229.9250000000029</v>
      </c>
      <c r="V39" s="411">
        <f t="shared" si="10"/>
        <v>-8.1084668412416419E-2</v>
      </c>
      <c r="W39" s="52"/>
      <c r="X39" s="422"/>
      <c r="Y39" s="500"/>
      <c r="Z39" s="408">
        <f>SUM(Z30:Z38)+Z29</f>
        <v>87436.00499999999</v>
      </c>
      <c r="AA39" s="424"/>
      <c r="AB39" s="410">
        <f t="shared" si="13"/>
        <v>5500.8000000000029</v>
      </c>
      <c r="AC39" s="411">
        <f t="shared" si="14"/>
        <v>6.7135976531699698E-2</v>
      </c>
      <c r="AD39" s="52"/>
      <c r="AE39" s="422"/>
      <c r="AF39" s="500"/>
      <c r="AG39" s="408">
        <f>SUM(AG30:AG38)+AG29</f>
        <v>93640.37999999999</v>
      </c>
      <c r="AH39" s="424"/>
      <c r="AI39" s="410">
        <f t="shared" si="17"/>
        <v>6204.375</v>
      </c>
      <c r="AJ39" s="411">
        <f t="shared" si="18"/>
        <v>7.0959040271796503E-2</v>
      </c>
      <c r="AK39" s="52"/>
      <c r="AL39" s="422"/>
      <c r="AM39" s="500"/>
      <c r="AN39" s="408">
        <f>SUM(AN30:AN38)+AN29</f>
        <v>99634.454999999987</v>
      </c>
      <c r="AO39" s="424"/>
      <c r="AP39" s="410">
        <f t="shared" si="21"/>
        <v>5994.0749999999971</v>
      </c>
      <c r="AQ39" s="411">
        <f t="shared" si="22"/>
        <v>6.4011647539234648E-2</v>
      </c>
      <c r="AR39" s="412"/>
    </row>
    <row r="40" spans="1:44" ht="12.75" customHeight="1">
      <c r="A40" s="52"/>
      <c r="B40" s="132" t="s">
        <v>258</v>
      </c>
      <c r="C40" s="394" t="str">
        <f t="shared" ref="C40:C41" si="36">D$6&amp;"."&amp;B40</f>
        <v>Large User.RTSR - Network</v>
      </c>
      <c r="D40" s="425" t="s">
        <v>381</v>
      </c>
      <c r="E40" s="132"/>
      <c r="F40" s="413">
        <f>IFERROR(VLOOKUP($C40,'Proposed Rates'!$B:$J,F$11,FALSE),0)</f>
        <v>5.5801999999999996</v>
      </c>
      <c r="G40" s="414">
        <f t="shared" ref="G40:G41" si="37">IF($D40="Monthly",1,IF($D40="per KW",$F$10,IF($D40="per kWh",$F$9,0)))</f>
        <v>7500</v>
      </c>
      <c r="H40" s="399">
        <f t="shared" ref="H40:H41" si="38">G40*F40</f>
        <v>41851.5</v>
      </c>
      <c r="I40" s="132"/>
      <c r="J40" s="413">
        <f>IFERROR(VLOOKUP($C40,'Proposed Rates'!$B:$J,J$11,FALSE),0)</f>
        <v>5.3339999999999996</v>
      </c>
      <c r="K40" s="414">
        <f t="shared" ref="K40:K41" si="39">IF($D40="Monthly",1,IF($D40="per KW",$F$10,IF($D40="per kWh",$F$9,0)))</f>
        <v>7500</v>
      </c>
      <c r="L40" s="399">
        <f t="shared" ref="L40:L41" si="40">K40*J40</f>
        <v>40005</v>
      </c>
      <c r="M40" s="132"/>
      <c r="N40" s="400">
        <f t="shared" si="5"/>
        <v>-1846.5</v>
      </c>
      <c r="O40" s="401">
        <f t="shared" si="6"/>
        <v>-4.412028242715315E-2</v>
      </c>
      <c r="P40" s="52"/>
      <c r="Q40" s="413">
        <f>IFERROR(VLOOKUP($C40,'Proposed Rates'!$B:$J,Q$11,FALSE),0)</f>
        <v>5.3339999999999996</v>
      </c>
      <c r="R40" s="414">
        <f t="shared" ref="R40:R41" si="41">IF($D40="Monthly",1,IF($D40="per KW",$F$10,IF($D40="per kWh",$F$9,0)))</f>
        <v>7500</v>
      </c>
      <c r="S40" s="399">
        <f t="shared" ref="S40:S41" si="42">R40*Q40</f>
        <v>40005</v>
      </c>
      <c r="T40" s="132"/>
      <c r="U40" s="400">
        <f t="shared" si="9"/>
        <v>0</v>
      </c>
      <c r="V40" s="401">
        <f t="shared" si="10"/>
        <v>0</v>
      </c>
      <c r="W40" s="52"/>
      <c r="X40" s="413">
        <f>IFERROR(VLOOKUP($C40,'Proposed Rates'!$B:$J,X$11,FALSE),0)</f>
        <v>5.3339999999999996</v>
      </c>
      <c r="Y40" s="414">
        <f t="shared" ref="Y40:Y41" si="43">IF($D40="Monthly",1,IF($D40="per KW",$F$10,IF($D40="per kWh",$F$9,0)))</f>
        <v>7500</v>
      </c>
      <c r="Z40" s="399">
        <f t="shared" ref="Z40:Z41" si="44">Y40*X40</f>
        <v>40005</v>
      </c>
      <c r="AA40" s="132"/>
      <c r="AB40" s="400">
        <f t="shared" si="13"/>
        <v>0</v>
      </c>
      <c r="AC40" s="401">
        <f t="shared" si="14"/>
        <v>0</v>
      </c>
      <c r="AD40" s="52"/>
      <c r="AE40" s="413">
        <f>IFERROR(VLOOKUP($C40,'Proposed Rates'!$B:$J,AE$11,FALSE),0)</f>
        <v>5.3339999999999996</v>
      </c>
      <c r="AF40" s="414">
        <f t="shared" ref="AF40:AF41" si="45">IF($D40="Monthly",1,IF($D40="per KW",$F$10,IF($D40="per kWh",$F$9,0)))</f>
        <v>7500</v>
      </c>
      <c r="AG40" s="399">
        <f t="shared" ref="AG40:AG41" si="46">AF40*AE40</f>
        <v>40005</v>
      </c>
      <c r="AH40" s="132"/>
      <c r="AI40" s="400">
        <f t="shared" si="17"/>
        <v>0</v>
      </c>
      <c r="AJ40" s="401">
        <f t="shared" si="18"/>
        <v>0</v>
      </c>
      <c r="AK40" s="52"/>
      <c r="AL40" s="413">
        <f>IFERROR(VLOOKUP($C40,'Proposed Rates'!$B:$J,AL$11,FALSE),0)</f>
        <v>5.3339999999999996</v>
      </c>
      <c r="AM40" s="414">
        <f t="shared" ref="AM40:AM41" si="47">IF($D40="Monthly",1,IF($D40="per KW",$F$10,IF($D40="per kWh",$F$9,0)))</f>
        <v>7500</v>
      </c>
      <c r="AN40" s="399">
        <f t="shared" ref="AN40:AN41" si="48">AM40*AL40</f>
        <v>40005</v>
      </c>
      <c r="AO40" s="132"/>
      <c r="AP40" s="400">
        <f t="shared" si="21"/>
        <v>0</v>
      </c>
      <c r="AQ40" s="401">
        <f t="shared" si="22"/>
        <v>0</v>
      </c>
      <c r="AR40" s="402"/>
    </row>
    <row r="41" spans="1:44" ht="12.75" customHeight="1">
      <c r="A41" s="52"/>
      <c r="B41" s="486" t="s">
        <v>261</v>
      </c>
      <c r="C41" s="394" t="str">
        <f t="shared" si="36"/>
        <v>Large User.RTSR - Line and Transformation Connection</v>
      </c>
      <c r="D41" s="425" t="s">
        <v>381</v>
      </c>
      <c r="E41" s="132"/>
      <c r="F41" s="413">
        <f>IFERROR(VLOOKUP($C41,'Proposed Rates'!$B:$J,F$11,FALSE),0)</f>
        <v>3.3923999999999999</v>
      </c>
      <c r="G41" s="414">
        <f t="shared" si="37"/>
        <v>7500</v>
      </c>
      <c r="H41" s="399">
        <f t="shared" si="38"/>
        <v>25443</v>
      </c>
      <c r="I41" s="132"/>
      <c r="J41" s="413">
        <f>IFERROR(VLOOKUP($C41,'Proposed Rates'!$B:$J,J$11,FALSE),0)</f>
        <v>3.0192999999999999</v>
      </c>
      <c r="K41" s="414">
        <f t="shared" si="39"/>
        <v>7500</v>
      </c>
      <c r="L41" s="399">
        <f t="shared" si="40"/>
        <v>22644.75</v>
      </c>
      <c r="M41" s="132"/>
      <c r="N41" s="400">
        <f t="shared" si="5"/>
        <v>-2798.25</v>
      </c>
      <c r="O41" s="401">
        <f t="shared" si="6"/>
        <v>-0.10998113430020044</v>
      </c>
      <c r="P41" s="52"/>
      <c r="Q41" s="413">
        <f>IFERROR(VLOOKUP($C41,'Proposed Rates'!$B:$J,Q$11,FALSE),0)</f>
        <v>3.0192999999999999</v>
      </c>
      <c r="R41" s="414">
        <f t="shared" si="41"/>
        <v>7500</v>
      </c>
      <c r="S41" s="399">
        <f t="shared" si="42"/>
        <v>22644.75</v>
      </c>
      <c r="T41" s="132"/>
      <c r="U41" s="400">
        <f t="shared" si="9"/>
        <v>0</v>
      </c>
      <c r="V41" s="401">
        <f t="shared" si="10"/>
        <v>0</v>
      </c>
      <c r="W41" s="52"/>
      <c r="X41" s="413">
        <f>IFERROR(VLOOKUP($C41,'Proposed Rates'!$B:$J,X$11,FALSE),0)</f>
        <v>3.0192999999999999</v>
      </c>
      <c r="Y41" s="414">
        <f t="shared" si="43"/>
        <v>7500</v>
      </c>
      <c r="Z41" s="399">
        <f t="shared" si="44"/>
        <v>22644.75</v>
      </c>
      <c r="AA41" s="132"/>
      <c r="AB41" s="400">
        <f t="shared" si="13"/>
        <v>0</v>
      </c>
      <c r="AC41" s="401">
        <f t="shared" si="14"/>
        <v>0</v>
      </c>
      <c r="AD41" s="52"/>
      <c r="AE41" s="413">
        <f>IFERROR(VLOOKUP($C41,'Proposed Rates'!$B:$J,AE$11,FALSE),0)</f>
        <v>3.0192999999999999</v>
      </c>
      <c r="AF41" s="414">
        <f t="shared" si="45"/>
        <v>7500</v>
      </c>
      <c r="AG41" s="399">
        <f t="shared" si="46"/>
        <v>22644.75</v>
      </c>
      <c r="AH41" s="132"/>
      <c r="AI41" s="400">
        <f t="shared" si="17"/>
        <v>0</v>
      </c>
      <c r="AJ41" s="401">
        <f t="shared" si="18"/>
        <v>0</v>
      </c>
      <c r="AK41" s="52"/>
      <c r="AL41" s="413">
        <f>IFERROR(VLOOKUP($C41,'Proposed Rates'!$B:$J,AL$11,FALSE),0)</f>
        <v>3.0192999999999999</v>
      </c>
      <c r="AM41" s="414">
        <f t="shared" si="47"/>
        <v>7500</v>
      </c>
      <c r="AN41" s="399">
        <f t="shared" si="48"/>
        <v>22644.75</v>
      </c>
      <c r="AO41" s="132"/>
      <c r="AP41" s="400">
        <f t="shared" si="21"/>
        <v>0</v>
      </c>
      <c r="AQ41" s="401">
        <f t="shared" si="22"/>
        <v>0</v>
      </c>
      <c r="AR41" s="402"/>
    </row>
    <row r="42" spans="1:44" ht="12.75" customHeight="1">
      <c r="A42" s="52"/>
      <c r="B42" s="485" t="s">
        <v>318</v>
      </c>
      <c r="C42" s="559"/>
      <c r="D42" s="426"/>
      <c r="E42" s="426"/>
      <c r="F42" s="427"/>
      <c r="G42" s="500"/>
      <c r="H42" s="408">
        <f>SUM(H39:H41)</f>
        <v>146048.33000000002</v>
      </c>
      <c r="I42" s="409"/>
      <c r="J42" s="427"/>
      <c r="K42" s="500"/>
      <c r="L42" s="408">
        <f>SUM(L39:L41)</f>
        <v>151814.88</v>
      </c>
      <c r="M42" s="409"/>
      <c r="N42" s="410">
        <f t="shared" si="5"/>
        <v>5766.5499999999884</v>
      </c>
      <c r="O42" s="411">
        <f t="shared" si="6"/>
        <v>3.9483847572923204E-2</v>
      </c>
      <c r="P42" s="52"/>
      <c r="Q42" s="427"/>
      <c r="R42" s="500"/>
      <c r="S42" s="408">
        <f>SUM(S39:S41)</f>
        <v>144584.95499999999</v>
      </c>
      <c r="T42" s="409"/>
      <c r="U42" s="410">
        <f t="shared" si="9"/>
        <v>-7229.9250000000175</v>
      </c>
      <c r="V42" s="411">
        <f t="shared" si="10"/>
        <v>-4.7623296214442334E-2</v>
      </c>
      <c r="W42" s="52"/>
      <c r="X42" s="427"/>
      <c r="Y42" s="500"/>
      <c r="Z42" s="408">
        <f>SUM(Z39:Z41)</f>
        <v>150085.755</v>
      </c>
      <c r="AA42" s="409"/>
      <c r="AB42" s="410">
        <f t="shared" si="13"/>
        <v>5500.8000000000175</v>
      </c>
      <c r="AC42" s="411">
        <f t="shared" si="14"/>
        <v>3.804545223948106E-2</v>
      </c>
      <c r="AD42" s="52"/>
      <c r="AE42" s="427"/>
      <c r="AF42" s="500"/>
      <c r="AG42" s="408">
        <f>SUM(AG39:AG41)</f>
        <v>156290.13</v>
      </c>
      <c r="AH42" s="409"/>
      <c r="AI42" s="410">
        <f t="shared" si="17"/>
        <v>6204.375</v>
      </c>
      <c r="AJ42" s="411">
        <f t="shared" si="18"/>
        <v>4.1338866569981939E-2</v>
      </c>
      <c r="AK42" s="52"/>
      <c r="AL42" s="427"/>
      <c r="AM42" s="500"/>
      <c r="AN42" s="408">
        <f>SUM(AN39:AN41)</f>
        <v>162284.20499999999</v>
      </c>
      <c r="AO42" s="409"/>
      <c r="AP42" s="410">
        <f t="shared" si="21"/>
        <v>5994.0749999999825</v>
      </c>
      <c r="AQ42" s="411">
        <f t="shared" si="22"/>
        <v>3.8352229920085051E-2</v>
      </c>
      <c r="AR42" s="412"/>
    </row>
    <row r="43" spans="1:44" ht="12.75" customHeight="1">
      <c r="A43" s="52"/>
      <c r="B43" s="487" t="s">
        <v>262</v>
      </c>
      <c r="C43" s="394" t="str">
        <f t="shared" ref="C43:C45" si="49">D$6&amp;"."&amp;B43</f>
        <v>Large User.Wholesale Market Service Charge (WMSC)</v>
      </c>
      <c r="D43" s="395" t="s">
        <v>312</v>
      </c>
      <c r="E43" s="321"/>
      <c r="F43" s="413">
        <f>IFERROR(VLOOKUP($C43,'Proposed Rates'!$B:$J,F$11,FALSE),0)</f>
        <v>4.4999999999999997E-3</v>
      </c>
      <c r="G43" s="418">
        <f>$F$9+G$37</f>
        <v>4020400.0000000005</v>
      </c>
      <c r="H43" s="399">
        <f t="shared" ref="H43:H46" si="50">G43*F43</f>
        <v>18091.8</v>
      </c>
      <c r="I43" s="132"/>
      <c r="J43" s="413">
        <f>IFERROR(VLOOKUP($C43,'Proposed Rates'!$B:$J,J$11,FALSE),0)</f>
        <v>4.7000000000000002E-3</v>
      </c>
      <c r="K43" s="418">
        <f>$F$9+K$37</f>
        <v>4019199.9999999995</v>
      </c>
      <c r="L43" s="399">
        <f t="shared" ref="L43:L46" si="51">K43*J43</f>
        <v>18890.239999999998</v>
      </c>
      <c r="M43" s="132"/>
      <c r="N43" s="400">
        <f t="shared" si="5"/>
        <v>798.43999999999869</v>
      </c>
      <c r="O43" s="401">
        <f t="shared" si="6"/>
        <v>4.4132701002664122E-2</v>
      </c>
      <c r="P43" s="52"/>
      <c r="Q43" s="413">
        <f>IFERROR(VLOOKUP($C43,'Proposed Rates'!$B:$J,Q$11,FALSE),0)</f>
        <v>4.7000000000000002E-3</v>
      </c>
      <c r="R43" s="418">
        <f>$F$9+R$37</f>
        <v>4019199.9999999995</v>
      </c>
      <c r="S43" s="399">
        <f t="shared" ref="S43:S46" si="52">R43*Q43</f>
        <v>18890.239999999998</v>
      </c>
      <c r="T43" s="132"/>
      <c r="U43" s="400">
        <f t="shared" si="9"/>
        <v>0</v>
      </c>
      <c r="V43" s="401">
        <f t="shared" si="10"/>
        <v>0</v>
      </c>
      <c r="W43" s="52"/>
      <c r="X43" s="413">
        <f>IFERROR(VLOOKUP($C43,'Proposed Rates'!$B:$J,X$11,FALSE),0)</f>
        <v>4.7000000000000002E-3</v>
      </c>
      <c r="Y43" s="418">
        <f>$F$9+Y$37</f>
        <v>4019199.9999999995</v>
      </c>
      <c r="Z43" s="399">
        <f t="shared" ref="Z43:Z46" si="53">Y43*X43</f>
        <v>18890.239999999998</v>
      </c>
      <c r="AA43" s="132"/>
      <c r="AB43" s="400">
        <f t="shared" si="13"/>
        <v>0</v>
      </c>
      <c r="AC43" s="401">
        <f t="shared" si="14"/>
        <v>0</v>
      </c>
      <c r="AD43" s="52"/>
      <c r="AE43" s="413">
        <f>IFERROR(VLOOKUP($C43,'Proposed Rates'!$B:$J,AE$11,FALSE),0)</f>
        <v>4.7000000000000002E-3</v>
      </c>
      <c r="AF43" s="418">
        <f>$F$9+AF$37</f>
        <v>4019199.9999999995</v>
      </c>
      <c r="AG43" s="399">
        <f t="shared" ref="AG43:AG46" si="54">AF43*AE43</f>
        <v>18890.239999999998</v>
      </c>
      <c r="AH43" s="132"/>
      <c r="AI43" s="400">
        <f t="shared" si="17"/>
        <v>0</v>
      </c>
      <c r="AJ43" s="401">
        <f t="shared" si="18"/>
        <v>0</v>
      </c>
      <c r="AK43" s="52"/>
      <c r="AL43" s="413">
        <f>IFERROR(VLOOKUP($C43,'Proposed Rates'!$B:$J,AL$11,FALSE),0)</f>
        <v>4.7000000000000002E-3</v>
      </c>
      <c r="AM43" s="418">
        <f>$F$9+AM$37</f>
        <v>4019199.9999999995</v>
      </c>
      <c r="AN43" s="399">
        <f t="shared" ref="AN43:AN46" si="55">AM43*AL43</f>
        <v>18890.239999999998</v>
      </c>
      <c r="AO43" s="132"/>
      <c r="AP43" s="400">
        <f t="shared" si="21"/>
        <v>0</v>
      </c>
      <c r="AQ43" s="401">
        <f t="shared" si="22"/>
        <v>0</v>
      </c>
      <c r="AR43" s="402"/>
    </row>
    <row r="44" spans="1:44" ht="12.75" customHeight="1">
      <c r="A44" s="52"/>
      <c r="B44" s="487" t="s">
        <v>263</v>
      </c>
      <c r="C44" s="394" t="str">
        <f t="shared" si="49"/>
        <v>Large User.Rural and Remote Rate Protection (RRRP)</v>
      </c>
      <c r="D44" s="395" t="s">
        <v>312</v>
      </c>
      <c r="E44" s="321"/>
      <c r="F44" s="413">
        <f>IFERROR(VLOOKUP($C44,'Proposed Rates'!$B:$J,F$11,FALSE),0)</f>
        <v>1.5E-3</v>
      </c>
      <c r="G44" s="418">
        <f>G43</f>
        <v>4020400.0000000005</v>
      </c>
      <c r="H44" s="399">
        <f t="shared" si="50"/>
        <v>6030.6000000000013</v>
      </c>
      <c r="I44" s="132"/>
      <c r="J44" s="413">
        <f>IFERROR(VLOOKUP($C44,'Proposed Rates'!$B:$J,J$11,FALSE),0)</f>
        <v>5.9999999999999995E-4</v>
      </c>
      <c r="K44" s="418">
        <f>K43</f>
        <v>4019199.9999999995</v>
      </c>
      <c r="L44" s="399">
        <f t="shared" si="51"/>
        <v>2411.5199999999995</v>
      </c>
      <c r="M44" s="132"/>
      <c r="N44" s="400">
        <f t="shared" si="5"/>
        <v>-3619.0800000000017</v>
      </c>
      <c r="O44" s="401">
        <f t="shared" si="6"/>
        <v>-0.60011939110536283</v>
      </c>
      <c r="P44" s="52"/>
      <c r="Q44" s="413">
        <f>IFERROR(VLOOKUP($C44,'Proposed Rates'!$B:$J,Q$11,FALSE),0)</f>
        <v>5.9999999999999995E-4</v>
      </c>
      <c r="R44" s="418">
        <f>R43</f>
        <v>4019199.9999999995</v>
      </c>
      <c r="S44" s="399">
        <f t="shared" si="52"/>
        <v>2411.5199999999995</v>
      </c>
      <c r="T44" s="132"/>
      <c r="U44" s="400">
        <f t="shared" si="9"/>
        <v>0</v>
      </c>
      <c r="V44" s="401">
        <f t="shared" si="10"/>
        <v>0</v>
      </c>
      <c r="W44" s="52"/>
      <c r="X44" s="413">
        <f>IFERROR(VLOOKUP($C44,'Proposed Rates'!$B:$J,X$11,FALSE),0)</f>
        <v>5.9999999999999995E-4</v>
      </c>
      <c r="Y44" s="418">
        <f>Y43</f>
        <v>4019199.9999999995</v>
      </c>
      <c r="Z44" s="399">
        <f t="shared" si="53"/>
        <v>2411.5199999999995</v>
      </c>
      <c r="AA44" s="132"/>
      <c r="AB44" s="400">
        <f t="shared" si="13"/>
        <v>0</v>
      </c>
      <c r="AC44" s="401">
        <f t="shared" si="14"/>
        <v>0</v>
      </c>
      <c r="AD44" s="52"/>
      <c r="AE44" s="413">
        <f>IFERROR(VLOOKUP($C44,'Proposed Rates'!$B:$J,AE$11,FALSE),0)</f>
        <v>5.9999999999999995E-4</v>
      </c>
      <c r="AF44" s="418">
        <f>AF43</f>
        <v>4019199.9999999995</v>
      </c>
      <c r="AG44" s="399">
        <f t="shared" si="54"/>
        <v>2411.5199999999995</v>
      </c>
      <c r="AH44" s="132"/>
      <c r="AI44" s="400">
        <f t="shared" si="17"/>
        <v>0</v>
      </c>
      <c r="AJ44" s="401">
        <f t="shared" si="18"/>
        <v>0</v>
      </c>
      <c r="AK44" s="52"/>
      <c r="AL44" s="413">
        <f>IFERROR(VLOOKUP($C44,'Proposed Rates'!$B:$J,AL$11,FALSE),0)</f>
        <v>5.9999999999999995E-4</v>
      </c>
      <c r="AM44" s="418">
        <f>AM43</f>
        <v>4019199.9999999995</v>
      </c>
      <c r="AN44" s="399">
        <f t="shared" si="55"/>
        <v>2411.5199999999995</v>
      </c>
      <c r="AO44" s="132"/>
      <c r="AP44" s="400">
        <f t="shared" si="21"/>
        <v>0</v>
      </c>
      <c r="AQ44" s="401">
        <f t="shared" si="22"/>
        <v>0</v>
      </c>
      <c r="AR44" s="402"/>
    </row>
    <row r="45" spans="1:44" ht="12.75" customHeight="1">
      <c r="A45" s="52"/>
      <c r="B45" s="321" t="s">
        <v>264</v>
      </c>
      <c r="C45" s="394" t="str">
        <f t="shared" si="49"/>
        <v>Large User.Standard Supply Service Charge</v>
      </c>
      <c r="D45" s="395" t="s">
        <v>310</v>
      </c>
      <c r="E45" s="321"/>
      <c r="F45" s="396">
        <f>IFERROR(VLOOKUP($C45,'Proposed Rates'!$B:$J,F$11,FALSE),0)</f>
        <v>0.25</v>
      </c>
      <c r="G45" s="414">
        <f>IF($D45="Monthly",1,IF($D45="per KW",$F$10,IF($D45="per kWh",$F$9,0)))</f>
        <v>1</v>
      </c>
      <c r="H45" s="399">
        <f t="shared" si="50"/>
        <v>0.25</v>
      </c>
      <c r="I45" s="132"/>
      <c r="J45" s="396">
        <f>IFERROR(VLOOKUP($C45,'Proposed Rates'!$B:$J,J$11,FALSE),0)</f>
        <v>0.25</v>
      </c>
      <c r="K45" s="414">
        <f>IF($D45="Monthly",1,IF($D45="per KW",$F$10,IF($D45="per kWh",$F$9,0)))</f>
        <v>1</v>
      </c>
      <c r="L45" s="399">
        <f t="shared" si="51"/>
        <v>0.25</v>
      </c>
      <c r="M45" s="132"/>
      <c r="N45" s="400">
        <f t="shared" si="5"/>
        <v>0</v>
      </c>
      <c r="O45" s="401">
        <f t="shared" si="6"/>
        <v>0</v>
      </c>
      <c r="P45" s="52"/>
      <c r="Q45" s="396">
        <f>IFERROR(VLOOKUP($C45,'Proposed Rates'!$B:$J,Q$11,FALSE),0)</f>
        <v>0.25</v>
      </c>
      <c r="R45" s="414">
        <f>IF($D45="Monthly",1,IF($D45="per KW",$F$10,IF($D45="per kWh",$F$9,0)))</f>
        <v>1</v>
      </c>
      <c r="S45" s="399">
        <f t="shared" si="52"/>
        <v>0.25</v>
      </c>
      <c r="T45" s="132"/>
      <c r="U45" s="400">
        <f t="shared" si="9"/>
        <v>0</v>
      </c>
      <c r="V45" s="401">
        <f t="shared" si="10"/>
        <v>0</v>
      </c>
      <c r="W45" s="52"/>
      <c r="X45" s="396">
        <f>IFERROR(VLOOKUP($C45,'Proposed Rates'!$B:$J,X$11,FALSE),0)</f>
        <v>0.25</v>
      </c>
      <c r="Y45" s="414">
        <f>IF($D45="Monthly",1,IF($D45="per KW",$F$10,IF($D45="per kWh",$F$9,0)))</f>
        <v>1</v>
      </c>
      <c r="Z45" s="399">
        <f t="shared" si="53"/>
        <v>0.25</v>
      </c>
      <c r="AA45" s="132"/>
      <c r="AB45" s="400">
        <f t="shared" si="13"/>
        <v>0</v>
      </c>
      <c r="AC45" s="401">
        <f t="shared" si="14"/>
        <v>0</v>
      </c>
      <c r="AD45" s="52"/>
      <c r="AE45" s="396">
        <f>IFERROR(VLOOKUP($C45,'Proposed Rates'!$B:$J,AE$11,FALSE),0)</f>
        <v>0.25</v>
      </c>
      <c r="AF45" s="414">
        <f>IF($D45="Monthly",1,IF($D45="per KW",$F$10,IF($D45="per kWh",$F$9,0)))</f>
        <v>1</v>
      </c>
      <c r="AG45" s="399">
        <f t="shared" si="54"/>
        <v>0.25</v>
      </c>
      <c r="AH45" s="132"/>
      <c r="AI45" s="400">
        <f t="shared" si="17"/>
        <v>0</v>
      </c>
      <c r="AJ45" s="401">
        <f t="shared" si="18"/>
        <v>0</v>
      </c>
      <c r="AK45" s="52"/>
      <c r="AL45" s="396">
        <f>IFERROR(VLOOKUP($C45,'Proposed Rates'!$B:$J,AL$11,FALSE),0)</f>
        <v>0.25</v>
      </c>
      <c r="AM45" s="414">
        <f>IF($D45="Monthly",1,IF($D45="per KW",$F$10,IF($D45="per kWh",$F$9,0)))</f>
        <v>1</v>
      </c>
      <c r="AN45" s="399">
        <f t="shared" si="55"/>
        <v>0.25</v>
      </c>
      <c r="AO45" s="132"/>
      <c r="AP45" s="400">
        <f t="shared" si="21"/>
        <v>0</v>
      </c>
      <c r="AQ45" s="401">
        <f t="shared" si="22"/>
        <v>0</v>
      </c>
      <c r="AR45" s="402"/>
    </row>
    <row r="46" spans="1:44" ht="12.75" customHeight="1">
      <c r="A46" s="52"/>
      <c r="B46" s="321" t="s">
        <v>271</v>
      </c>
      <c r="C46" s="394" t="str">
        <f>B46</f>
        <v>Average IESO Wholesale Market Price</v>
      </c>
      <c r="D46" s="395" t="s">
        <v>312</v>
      </c>
      <c r="E46" s="321"/>
      <c r="F46" s="413">
        <f>IFERROR(VLOOKUP($C46,'Proposed Rates'!$B:$J,F$11,FALSE),0)</f>
        <v>0.10453</v>
      </c>
      <c r="G46" s="418">
        <f>G43</f>
        <v>4020400.0000000005</v>
      </c>
      <c r="H46" s="399">
        <f t="shared" si="50"/>
        <v>420252.41200000007</v>
      </c>
      <c r="I46" s="132"/>
      <c r="J46" s="413">
        <f>IFERROR(VLOOKUP($C46,'Proposed Rates'!$B:$J,J$11,FALSE),0)</f>
        <v>0.10453</v>
      </c>
      <c r="K46" s="418">
        <f>K43</f>
        <v>4019199.9999999995</v>
      </c>
      <c r="L46" s="399">
        <f t="shared" si="51"/>
        <v>420126.97599999997</v>
      </c>
      <c r="M46" s="132"/>
      <c r="N46" s="400">
        <f t="shared" si="5"/>
        <v>-125.43600000010338</v>
      </c>
      <c r="O46" s="401">
        <f t="shared" si="6"/>
        <v>-2.9847776340687212E-4</v>
      </c>
      <c r="P46" s="52"/>
      <c r="Q46" s="413">
        <f>IFERROR(VLOOKUP($C46,'Proposed Rates'!$B:$J,Q$11,FALSE),0)</f>
        <v>0.10453</v>
      </c>
      <c r="R46" s="418">
        <f>R43</f>
        <v>4019199.9999999995</v>
      </c>
      <c r="S46" s="399">
        <f t="shared" si="52"/>
        <v>420126.97599999997</v>
      </c>
      <c r="T46" s="132"/>
      <c r="U46" s="400">
        <f t="shared" si="9"/>
        <v>0</v>
      </c>
      <c r="V46" s="401">
        <f t="shared" si="10"/>
        <v>0</v>
      </c>
      <c r="W46" s="52"/>
      <c r="X46" s="413">
        <f>IFERROR(VLOOKUP($C46,'Proposed Rates'!$B:$J,X$11,FALSE),0)</f>
        <v>0.10453</v>
      </c>
      <c r="Y46" s="418">
        <f>Y43</f>
        <v>4019199.9999999995</v>
      </c>
      <c r="Z46" s="399">
        <f t="shared" si="53"/>
        <v>420126.97599999997</v>
      </c>
      <c r="AA46" s="132"/>
      <c r="AB46" s="400">
        <f t="shared" si="13"/>
        <v>0</v>
      </c>
      <c r="AC46" s="401">
        <f t="shared" si="14"/>
        <v>0</v>
      </c>
      <c r="AD46" s="52"/>
      <c r="AE46" s="413">
        <f>IFERROR(VLOOKUP($C46,'Proposed Rates'!$B:$J,AE$11,FALSE),0)</f>
        <v>0.10453</v>
      </c>
      <c r="AF46" s="418">
        <f>AF43</f>
        <v>4019199.9999999995</v>
      </c>
      <c r="AG46" s="399">
        <f t="shared" si="54"/>
        <v>420126.97599999997</v>
      </c>
      <c r="AH46" s="132"/>
      <c r="AI46" s="400">
        <f t="shared" si="17"/>
        <v>0</v>
      </c>
      <c r="AJ46" s="401">
        <f t="shared" si="18"/>
        <v>0</v>
      </c>
      <c r="AK46" s="52"/>
      <c r="AL46" s="413">
        <f>IFERROR(VLOOKUP($C46,'Proposed Rates'!$B:$J,AL$11,FALSE),0)</f>
        <v>0.10453</v>
      </c>
      <c r="AM46" s="418">
        <f>AM43</f>
        <v>4019199.9999999995</v>
      </c>
      <c r="AN46" s="399">
        <f t="shared" si="55"/>
        <v>420126.97599999997</v>
      </c>
      <c r="AO46" s="132"/>
      <c r="AP46" s="400">
        <f t="shared" si="21"/>
        <v>0</v>
      </c>
      <c r="AQ46" s="401">
        <f t="shared" si="22"/>
        <v>0</v>
      </c>
      <c r="AR46" s="402"/>
    </row>
    <row r="47" spans="1:44" ht="7.5" customHeight="1">
      <c r="A47" s="52"/>
      <c r="B47" s="321"/>
      <c r="C47" s="394" t="str">
        <f t="shared" ref="C47:C50" si="56">D$6&amp;"."&amp;B47</f>
        <v>Large User.</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7.5" customHeight="1">
      <c r="A48" s="52"/>
      <c r="B48" s="52"/>
      <c r="C48" s="394" t="str">
        <f t="shared" si="56"/>
        <v>Large User.</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7.5" customHeight="1">
      <c r="A49" s="52"/>
      <c r="B49" s="321"/>
      <c r="C49" s="394" t="str">
        <f t="shared" si="56"/>
        <v>Large User.</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7.5" customHeight="1">
      <c r="A50" s="52"/>
      <c r="B50" s="321"/>
      <c r="C50" s="394" t="str">
        <f t="shared" si="56"/>
        <v>Large User.</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8.2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75" customHeight="1">
      <c r="A52" s="52"/>
      <c r="B52" s="443" t="s">
        <v>319</v>
      </c>
      <c r="C52" s="561"/>
      <c r="D52" s="321"/>
      <c r="E52" s="321"/>
      <c r="F52" s="444"/>
      <c r="G52" s="488"/>
      <c r="H52" s="446">
        <f>SUM(H43:H48,H42)</f>
        <v>590423.39200000011</v>
      </c>
      <c r="I52" s="481"/>
      <c r="J52" s="445"/>
      <c r="K52" s="445"/>
      <c r="L52" s="446">
        <f>SUM(L43:L48,L42)</f>
        <v>593243.86599999992</v>
      </c>
      <c r="M52" s="448"/>
      <c r="N52" s="447">
        <f t="shared" ref="N52:N56" si="57">L52-H52</f>
        <v>2820.4739999998128</v>
      </c>
      <c r="O52" s="449">
        <f t="shared" ref="O52:O56" si="58">IF((H52)=0,"",(N52/H52))</f>
        <v>4.7770363407278627E-3</v>
      </c>
      <c r="P52" s="52"/>
      <c r="Q52" s="445"/>
      <c r="R52" s="445"/>
      <c r="S52" s="446">
        <f>SUM(S43:S48,S42)</f>
        <v>586013.94099999999</v>
      </c>
      <c r="T52" s="448"/>
      <c r="U52" s="447">
        <f t="shared" ref="U52:U56" si="59">S52-L52</f>
        <v>-7229.9249999999302</v>
      </c>
      <c r="V52" s="449">
        <f t="shared" ref="V52:V56" si="60">IF((L52)=0,"",(U52/L52))</f>
        <v>-1.2187104518666749E-2</v>
      </c>
      <c r="W52" s="52"/>
      <c r="X52" s="445"/>
      <c r="Y52" s="445"/>
      <c r="Z52" s="446">
        <f>SUM(Z43:Z48,Z42)</f>
        <v>591514.74099999992</v>
      </c>
      <c r="AA52" s="448"/>
      <c r="AB52" s="447">
        <f t="shared" ref="AB52:AB56" si="61">Z52-S52</f>
        <v>5500.7999999999302</v>
      </c>
      <c r="AC52" s="449">
        <f t="shared" ref="AC52:AC56" si="62">IF((S52)=0,"",(AB52/S52))</f>
        <v>9.3868074036141912E-3</v>
      </c>
      <c r="AD52" s="52"/>
      <c r="AE52" s="445"/>
      <c r="AF52" s="445"/>
      <c r="AG52" s="446">
        <f>SUM(AG43:AG48,AG42)</f>
        <v>597719.11599999992</v>
      </c>
      <c r="AH52" s="448"/>
      <c r="AI52" s="447">
        <f t="shared" ref="AI52:AI56" si="63">AG52-Z52</f>
        <v>6204.375</v>
      </c>
      <c r="AJ52" s="449">
        <f t="shared" ref="AJ52:AJ56" si="64">IF((Z52)=0,"",(AI52/Z52))</f>
        <v>1.0488960916698441E-2</v>
      </c>
      <c r="AK52" s="52"/>
      <c r="AL52" s="445"/>
      <c r="AM52" s="445"/>
      <c r="AN52" s="446">
        <f>SUM(AN43:AN48,AN42)</f>
        <v>603713.19099999999</v>
      </c>
      <c r="AO52" s="448"/>
      <c r="AP52" s="447">
        <f t="shared" ref="AP52:AP56" si="65">AN52-AG52</f>
        <v>5994.0750000000698</v>
      </c>
      <c r="AQ52" s="449">
        <f t="shared" ref="AQ52:AQ56" si="66">IF((AG52)=0,"",(AP52/AG52))</f>
        <v>1.0028247113984005E-2</v>
      </c>
      <c r="AR52" s="450"/>
    </row>
    <row r="53" spans="1:44" ht="12.75" customHeight="1">
      <c r="A53" s="52"/>
      <c r="B53" s="451" t="s">
        <v>320</v>
      </c>
      <c r="C53" s="561"/>
      <c r="D53" s="321"/>
      <c r="E53" s="321"/>
      <c r="F53" s="444">
        <v>0.13</v>
      </c>
      <c r="G53" s="132"/>
      <c r="H53" s="489">
        <f>H52*F53</f>
        <v>76755.040960000013</v>
      </c>
      <c r="I53" s="416"/>
      <c r="J53" s="452">
        <v>0.13</v>
      </c>
      <c r="K53" s="416"/>
      <c r="L53" s="399">
        <f>L52*J53</f>
        <v>77121.702579999997</v>
      </c>
      <c r="M53" s="132"/>
      <c r="N53" s="400">
        <f t="shared" si="57"/>
        <v>366.6616199999844</v>
      </c>
      <c r="O53" s="401">
        <f t="shared" si="58"/>
        <v>4.7770363407279763E-3</v>
      </c>
      <c r="P53" s="52"/>
      <c r="Q53" s="452">
        <v>0.13</v>
      </c>
      <c r="R53" s="416"/>
      <c r="S53" s="399">
        <f>S52*Q53</f>
        <v>76181.812330000001</v>
      </c>
      <c r="T53" s="132"/>
      <c r="U53" s="400">
        <f t="shared" si="59"/>
        <v>-939.89024999999674</v>
      </c>
      <c r="V53" s="401">
        <f t="shared" si="60"/>
        <v>-1.2187104518666824E-2</v>
      </c>
      <c r="W53" s="52"/>
      <c r="X53" s="452">
        <v>0.13</v>
      </c>
      <c r="Y53" s="416"/>
      <c r="Z53" s="399">
        <f>Z52*X53</f>
        <v>76896.916329999993</v>
      </c>
      <c r="AA53" s="132"/>
      <c r="AB53" s="400">
        <f t="shared" si="61"/>
        <v>715.10399999999208</v>
      </c>
      <c r="AC53" s="401">
        <f t="shared" si="62"/>
        <v>9.3868074036142068E-3</v>
      </c>
      <c r="AD53" s="52"/>
      <c r="AE53" s="452">
        <v>0.13</v>
      </c>
      <c r="AF53" s="416"/>
      <c r="AG53" s="399">
        <f>AG52*AE53</f>
        <v>77703.485079999999</v>
      </c>
      <c r="AH53" s="132"/>
      <c r="AI53" s="400">
        <f t="shared" si="63"/>
        <v>806.56875000000582</v>
      </c>
      <c r="AJ53" s="401">
        <f t="shared" si="64"/>
        <v>1.0488960916698516E-2</v>
      </c>
      <c r="AK53" s="52"/>
      <c r="AL53" s="452">
        <v>0.13</v>
      </c>
      <c r="AM53" s="416"/>
      <c r="AN53" s="399">
        <f>AN52*AL53</f>
        <v>78482.714829999997</v>
      </c>
      <c r="AO53" s="132"/>
      <c r="AP53" s="400">
        <f t="shared" si="65"/>
        <v>779.2297499999986</v>
      </c>
      <c r="AQ53" s="401">
        <f t="shared" si="66"/>
        <v>1.002824711398387E-2</v>
      </c>
      <c r="AR53" s="402"/>
    </row>
    <row r="54" spans="1:44" ht="12.75" customHeight="1">
      <c r="A54" s="52"/>
      <c r="B54" s="490" t="s">
        <v>409</v>
      </c>
      <c r="C54" s="561"/>
      <c r="D54" s="321"/>
      <c r="E54" s="321"/>
      <c r="F54" s="454"/>
      <c r="G54" s="132"/>
      <c r="H54" s="489">
        <f>H52+H53</f>
        <v>667178.43296000012</v>
      </c>
      <c r="I54" s="416"/>
      <c r="J54" s="416"/>
      <c r="K54" s="416"/>
      <c r="L54" s="399">
        <f>L52+L53</f>
        <v>670365.56857999996</v>
      </c>
      <c r="M54" s="132"/>
      <c r="N54" s="400">
        <f t="shared" si="57"/>
        <v>3187.1356199998409</v>
      </c>
      <c r="O54" s="401">
        <f t="shared" si="58"/>
        <v>4.7770363407279408E-3</v>
      </c>
      <c r="P54" s="52"/>
      <c r="Q54" s="416"/>
      <c r="R54" s="416"/>
      <c r="S54" s="399">
        <f>S52+S53</f>
        <v>662195.75332999998</v>
      </c>
      <c r="T54" s="132"/>
      <c r="U54" s="400">
        <f t="shared" si="59"/>
        <v>-8169.8152499999851</v>
      </c>
      <c r="V54" s="401">
        <f t="shared" si="60"/>
        <v>-1.2187104518666843E-2</v>
      </c>
      <c r="W54" s="52"/>
      <c r="X54" s="416"/>
      <c r="Y54" s="416"/>
      <c r="Z54" s="399">
        <f>Z52+Z53</f>
        <v>668411.65732999996</v>
      </c>
      <c r="AA54" s="132"/>
      <c r="AB54" s="400">
        <f t="shared" si="61"/>
        <v>6215.9039999999804</v>
      </c>
      <c r="AC54" s="401">
        <f t="shared" si="62"/>
        <v>9.3868074036142814E-3</v>
      </c>
      <c r="AD54" s="52"/>
      <c r="AE54" s="416"/>
      <c r="AF54" s="416"/>
      <c r="AG54" s="399">
        <f>AG52+AG53</f>
        <v>675422.60107999993</v>
      </c>
      <c r="AH54" s="132"/>
      <c r="AI54" s="400">
        <f t="shared" si="63"/>
        <v>7010.9437499999767</v>
      </c>
      <c r="AJ54" s="401">
        <f t="shared" si="64"/>
        <v>1.0488960916698405E-2</v>
      </c>
      <c r="AK54" s="52"/>
      <c r="AL54" s="416"/>
      <c r="AM54" s="416"/>
      <c r="AN54" s="399">
        <f>AN52+AN53</f>
        <v>682195.90582999995</v>
      </c>
      <c r="AO54" s="132"/>
      <c r="AP54" s="400">
        <f t="shared" si="65"/>
        <v>6773.3047500000102</v>
      </c>
      <c r="AQ54" s="401">
        <f t="shared" si="66"/>
        <v>1.0028247113983903E-2</v>
      </c>
      <c r="AR54" s="402"/>
    </row>
    <row r="55" spans="1:44" ht="15.75" customHeight="1">
      <c r="A55" s="52"/>
      <c r="B55" s="632" t="s">
        <v>277</v>
      </c>
      <c r="C55" s="623"/>
      <c r="D55" s="623"/>
      <c r="E55" s="321"/>
      <c r="F55" s="454"/>
      <c r="G55" s="132"/>
      <c r="H55" s="491">
        <f>F55*H52</f>
        <v>0</v>
      </c>
      <c r="I55" s="416"/>
      <c r="J55" s="416"/>
      <c r="K55" s="416"/>
      <c r="L55" s="511">
        <f>J55*L52</f>
        <v>0</v>
      </c>
      <c r="M55" s="132"/>
      <c r="N55" s="456">
        <f t="shared" si="57"/>
        <v>0</v>
      </c>
      <c r="O55" s="458" t="str">
        <f t="shared" si="58"/>
        <v/>
      </c>
      <c r="P55" s="52"/>
      <c r="Q55" s="416"/>
      <c r="R55" s="416"/>
      <c r="S55" s="511">
        <f>Q55*S52</f>
        <v>0</v>
      </c>
      <c r="T55" s="132"/>
      <c r="U55" s="456">
        <f t="shared" si="59"/>
        <v>0</v>
      </c>
      <c r="V55" s="458" t="str">
        <f t="shared" si="60"/>
        <v/>
      </c>
      <c r="W55" s="52"/>
      <c r="X55" s="416"/>
      <c r="Y55" s="416"/>
      <c r="Z55" s="511">
        <f>X55*Z52</f>
        <v>0</v>
      </c>
      <c r="AA55" s="132"/>
      <c r="AB55" s="456">
        <f t="shared" si="61"/>
        <v>0</v>
      </c>
      <c r="AC55" s="458" t="str">
        <f t="shared" si="62"/>
        <v/>
      </c>
      <c r="AD55" s="52"/>
      <c r="AE55" s="416"/>
      <c r="AF55" s="416"/>
      <c r="AG55" s="511">
        <f>AE55*AG52</f>
        <v>0</v>
      </c>
      <c r="AH55" s="132"/>
      <c r="AI55" s="456">
        <f t="shared" si="63"/>
        <v>0</v>
      </c>
      <c r="AJ55" s="458" t="str">
        <f t="shared" si="64"/>
        <v/>
      </c>
      <c r="AK55" s="52"/>
      <c r="AL55" s="416"/>
      <c r="AM55" s="416"/>
      <c r="AN55" s="511">
        <f>AL55*AN52</f>
        <v>0</v>
      </c>
      <c r="AO55" s="132"/>
      <c r="AP55" s="456">
        <f t="shared" si="65"/>
        <v>0</v>
      </c>
      <c r="AQ55" s="458" t="str">
        <f t="shared" si="66"/>
        <v/>
      </c>
      <c r="AR55" s="459"/>
    </row>
    <row r="56" spans="1:44" ht="13.5" customHeight="1">
      <c r="A56" s="52"/>
      <c r="B56" s="634" t="s">
        <v>322</v>
      </c>
      <c r="C56" s="615"/>
      <c r="D56" s="615"/>
      <c r="E56" s="460"/>
      <c r="F56" s="461"/>
      <c r="G56" s="492"/>
      <c r="H56" s="493">
        <f>H54-H55</f>
        <v>667178.43296000012</v>
      </c>
      <c r="I56" s="462"/>
      <c r="J56" s="462"/>
      <c r="K56" s="462"/>
      <c r="L56" s="463">
        <f>L54-L55</f>
        <v>670365.56857999996</v>
      </c>
      <c r="M56" s="464"/>
      <c r="N56" s="465">
        <f t="shared" si="57"/>
        <v>3187.1356199998409</v>
      </c>
      <c r="O56" s="466">
        <f t="shared" si="58"/>
        <v>4.7770363407279408E-3</v>
      </c>
      <c r="P56" s="52"/>
      <c r="Q56" s="462"/>
      <c r="R56" s="462"/>
      <c r="S56" s="463">
        <f>S54-S55</f>
        <v>662195.75332999998</v>
      </c>
      <c r="T56" s="464"/>
      <c r="U56" s="465">
        <f t="shared" si="59"/>
        <v>-8169.8152499999851</v>
      </c>
      <c r="V56" s="466">
        <f t="shared" si="60"/>
        <v>-1.2187104518666843E-2</v>
      </c>
      <c r="W56" s="52"/>
      <c r="X56" s="462"/>
      <c r="Y56" s="462"/>
      <c r="Z56" s="463">
        <f>Z54-Z55</f>
        <v>668411.65732999996</v>
      </c>
      <c r="AA56" s="464"/>
      <c r="AB56" s="465">
        <f t="shared" si="61"/>
        <v>6215.9039999999804</v>
      </c>
      <c r="AC56" s="466">
        <f t="shared" si="62"/>
        <v>9.3868074036142814E-3</v>
      </c>
      <c r="AD56" s="52"/>
      <c r="AE56" s="462"/>
      <c r="AF56" s="462"/>
      <c r="AG56" s="463">
        <f>AG54-AG55</f>
        <v>675422.60107999993</v>
      </c>
      <c r="AH56" s="464"/>
      <c r="AI56" s="465">
        <f t="shared" si="63"/>
        <v>7010.9437499999767</v>
      </c>
      <c r="AJ56" s="466">
        <f t="shared" si="64"/>
        <v>1.0488960916698405E-2</v>
      </c>
      <c r="AK56" s="52"/>
      <c r="AL56" s="462"/>
      <c r="AM56" s="462"/>
      <c r="AN56" s="463">
        <f>AN54-AN55</f>
        <v>682195.90582999995</v>
      </c>
      <c r="AO56" s="464"/>
      <c r="AP56" s="465">
        <f t="shared" si="65"/>
        <v>6773.3047500000102</v>
      </c>
      <c r="AQ56" s="466">
        <f t="shared" si="66"/>
        <v>1.0028247113983903E-2</v>
      </c>
      <c r="AR56" s="467"/>
    </row>
    <row r="57" spans="1:44"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75" customHeight="1">
      <c r="A58" s="512"/>
      <c r="B58" s="513" t="s">
        <v>323</v>
      </c>
      <c r="C58" s="562"/>
      <c r="D58" s="514"/>
      <c r="E58" s="514"/>
      <c r="F58" s="515"/>
      <c r="G58" s="516"/>
      <c r="H58" s="517">
        <f>SUM(H49:H50,H42,H43:H45)</f>
        <v>170170.98</v>
      </c>
      <c r="I58" s="518"/>
      <c r="J58" s="519"/>
      <c r="K58" s="519"/>
      <c r="L58" s="517">
        <f>SUM(L49:L50,L42,L43:L45)</f>
        <v>173116.88999999998</v>
      </c>
      <c r="M58" s="520"/>
      <c r="N58" s="521">
        <f t="shared" ref="N58:N62" si="67">L58-H58</f>
        <v>2945.9099999999744</v>
      </c>
      <c r="O58" s="522">
        <f t="shared" ref="O58:O62" si="68">IF((H58)=0,"",(N58/H58))</f>
        <v>1.7311471086315505E-2</v>
      </c>
      <c r="P58" s="512"/>
      <c r="Q58" s="519"/>
      <c r="R58" s="519"/>
      <c r="S58" s="517">
        <f>SUM(S49:S50,S42,S43:S45)</f>
        <v>165886.96499999997</v>
      </c>
      <c r="T58" s="520"/>
      <c r="U58" s="521">
        <f t="shared" ref="U58:U62" si="69">S58-L58</f>
        <v>-7229.9250000000175</v>
      </c>
      <c r="V58" s="522">
        <f t="shared" ref="V58:V62" si="70">IF((L58)=0,"",(U58/L58))</f>
        <v>-4.1763256028917908E-2</v>
      </c>
      <c r="W58" s="512"/>
      <c r="X58" s="519"/>
      <c r="Y58" s="519"/>
      <c r="Z58" s="517">
        <f>SUM(Z49:Z50,Z42,Z43:Z45)</f>
        <v>171387.76499999998</v>
      </c>
      <c r="AA58" s="520"/>
      <c r="AB58" s="521">
        <f t="shared" ref="AB58:AB62" si="71">Z58-S58</f>
        <v>5500.8000000000175</v>
      </c>
      <c r="AC58" s="522">
        <f t="shared" ref="AC58:AC62" si="72">IF((S58)=0,"",(AB58/S58))</f>
        <v>3.3159929111971027E-2</v>
      </c>
      <c r="AD58" s="512"/>
      <c r="AE58" s="519"/>
      <c r="AF58" s="519"/>
      <c r="AG58" s="517">
        <f>SUM(AG49:AG50,AG42,AG43:AG45)</f>
        <v>177592.13999999998</v>
      </c>
      <c r="AH58" s="520"/>
      <c r="AI58" s="521">
        <f t="shared" ref="AI58:AI62" si="73">AG58-Z58</f>
        <v>6204.375</v>
      </c>
      <c r="AJ58" s="522">
        <f t="shared" ref="AJ58:AJ62" si="74">IF((Z58)=0,"",(AI58/Z58))</f>
        <v>3.6200804649036647E-2</v>
      </c>
      <c r="AK58" s="512"/>
      <c r="AL58" s="519"/>
      <c r="AM58" s="519"/>
      <c r="AN58" s="517">
        <f>SUM(AN49:AN50,AN42,AN43:AN45)</f>
        <v>183586.21499999997</v>
      </c>
      <c r="AO58" s="520"/>
      <c r="AP58" s="521">
        <f t="shared" ref="AP58:AP62" si="75">AN58-AG58</f>
        <v>5994.0749999999825</v>
      </c>
      <c r="AQ58" s="522">
        <f t="shared" ref="AQ58:AQ62" si="76">IF((AG58)=0,"",(AP58/AG58))</f>
        <v>3.3751916047635798E-2</v>
      </c>
      <c r="AR58" s="523"/>
    </row>
    <row r="59" spans="1:44" ht="12.75" customHeight="1">
      <c r="A59" s="512"/>
      <c r="B59" s="524" t="s">
        <v>320</v>
      </c>
      <c r="C59" s="562"/>
      <c r="D59" s="514"/>
      <c r="E59" s="514"/>
      <c r="F59" s="515">
        <v>0.13</v>
      </c>
      <c r="G59" s="516"/>
      <c r="H59" s="525">
        <f>H58*F59</f>
        <v>22122.227400000003</v>
      </c>
      <c r="I59" s="526"/>
      <c r="J59" s="515">
        <v>0.13</v>
      </c>
      <c r="K59" s="527"/>
      <c r="L59" s="528">
        <f>L58*J59</f>
        <v>22505.1957</v>
      </c>
      <c r="M59" s="529"/>
      <c r="N59" s="530">
        <f t="shared" si="67"/>
        <v>382.96829999999682</v>
      </c>
      <c r="O59" s="531">
        <f t="shared" si="68"/>
        <v>1.7311471086315512E-2</v>
      </c>
      <c r="P59" s="512"/>
      <c r="Q59" s="515">
        <v>0.13</v>
      </c>
      <c r="R59" s="527"/>
      <c r="S59" s="528">
        <f>S58*Q59</f>
        <v>21565.305449999996</v>
      </c>
      <c r="T59" s="529"/>
      <c r="U59" s="530">
        <f t="shared" si="69"/>
        <v>-939.89025000000402</v>
      </c>
      <c r="V59" s="531">
        <f t="shared" si="70"/>
        <v>-4.1763256028917978E-2</v>
      </c>
      <c r="W59" s="512"/>
      <c r="X59" s="515">
        <v>0.13</v>
      </c>
      <c r="Y59" s="527"/>
      <c r="Z59" s="528">
        <f>Z58*X59</f>
        <v>22280.409449999999</v>
      </c>
      <c r="AA59" s="529"/>
      <c r="AB59" s="530">
        <f t="shared" si="71"/>
        <v>715.104000000003</v>
      </c>
      <c r="AC59" s="531">
        <f t="shared" si="72"/>
        <v>3.3159929111971055E-2</v>
      </c>
      <c r="AD59" s="512"/>
      <c r="AE59" s="515">
        <v>0.13</v>
      </c>
      <c r="AF59" s="527"/>
      <c r="AG59" s="528">
        <f>AG58*AE59</f>
        <v>23086.978199999998</v>
      </c>
      <c r="AH59" s="529"/>
      <c r="AI59" s="530">
        <f t="shared" si="73"/>
        <v>806.56874999999854</v>
      </c>
      <c r="AJ59" s="531">
        <f t="shared" si="74"/>
        <v>3.6200804649036585E-2</v>
      </c>
      <c r="AK59" s="512"/>
      <c r="AL59" s="515">
        <v>0.13</v>
      </c>
      <c r="AM59" s="527"/>
      <c r="AN59" s="528">
        <f>AN58*AL59</f>
        <v>23866.207949999996</v>
      </c>
      <c r="AO59" s="529"/>
      <c r="AP59" s="530">
        <f t="shared" si="75"/>
        <v>779.2297499999986</v>
      </c>
      <c r="AQ59" s="531">
        <f t="shared" si="76"/>
        <v>3.3751916047635833E-2</v>
      </c>
      <c r="AR59" s="532"/>
    </row>
    <row r="60" spans="1:44" ht="12.75" customHeight="1">
      <c r="A60" s="512"/>
      <c r="B60" s="553" t="s">
        <v>410</v>
      </c>
      <c r="C60" s="562"/>
      <c r="D60" s="514"/>
      <c r="E60" s="514"/>
      <c r="F60" s="534"/>
      <c r="G60" s="529"/>
      <c r="H60" s="525">
        <f>H58+H59</f>
        <v>192293.20740000001</v>
      </c>
      <c r="I60" s="526"/>
      <c r="J60" s="526"/>
      <c r="K60" s="526"/>
      <c r="L60" s="528">
        <f>L58+L59</f>
        <v>195622.0857</v>
      </c>
      <c r="M60" s="529"/>
      <c r="N60" s="530">
        <f t="shared" si="67"/>
        <v>3328.8782999999821</v>
      </c>
      <c r="O60" s="531">
        <f t="shared" si="68"/>
        <v>1.7311471086315564E-2</v>
      </c>
      <c r="P60" s="512"/>
      <c r="Q60" s="526"/>
      <c r="R60" s="526"/>
      <c r="S60" s="528">
        <f>S58+S59</f>
        <v>187452.27044999995</v>
      </c>
      <c r="T60" s="529"/>
      <c r="U60" s="530">
        <f t="shared" si="69"/>
        <v>-8169.8152500000433</v>
      </c>
      <c r="V60" s="531">
        <f t="shared" si="70"/>
        <v>-4.1763256028918026E-2</v>
      </c>
      <c r="W60" s="512"/>
      <c r="X60" s="526"/>
      <c r="Y60" s="526"/>
      <c r="Z60" s="528">
        <f>Z58+Z59</f>
        <v>193668.17444999999</v>
      </c>
      <c r="AA60" s="529"/>
      <c r="AB60" s="530">
        <f t="shared" si="71"/>
        <v>6215.9040000000386</v>
      </c>
      <c r="AC60" s="531">
        <f t="shared" si="72"/>
        <v>3.3159929111971131E-2</v>
      </c>
      <c r="AD60" s="512"/>
      <c r="AE60" s="526"/>
      <c r="AF60" s="526"/>
      <c r="AG60" s="528">
        <f>AG58+AG59</f>
        <v>200679.11819999997</v>
      </c>
      <c r="AH60" s="529"/>
      <c r="AI60" s="530">
        <f t="shared" si="73"/>
        <v>7010.9437499999767</v>
      </c>
      <c r="AJ60" s="531">
        <f t="shared" si="74"/>
        <v>3.6200804649036529E-2</v>
      </c>
      <c r="AK60" s="512"/>
      <c r="AL60" s="526"/>
      <c r="AM60" s="526"/>
      <c r="AN60" s="528">
        <f>AN58+AN59</f>
        <v>207452.42294999998</v>
      </c>
      <c r="AO60" s="529"/>
      <c r="AP60" s="530">
        <f t="shared" si="75"/>
        <v>6773.3047500000102</v>
      </c>
      <c r="AQ60" s="531">
        <f t="shared" si="76"/>
        <v>3.3751916047635951E-2</v>
      </c>
      <c r="AR60" s="532"/>
    </row>
    <row r="61" spans="1:44" ht="15.75" customHeight="1">
      <c r="A61" s="512"/>
      <c r="B61" s="644" t="s">
        <v>277</v>
      </c>
      <c r="C61" s="623"/>
      <c r="D61" s="623"/>
      <c r="E61" s="514"/>
      <c r="F61" s="534"/>
      <c r="G61" s="529"/>
      <c r="H61" s="535">
        <f>F61*H58</f>
        <v>0</v>
      </c>
      <c r="I61" s="526"/>
      <c r="J61" s="526"/>
      <c r="K61" s="526"/>
      <c r="L61" s="536">
        <f>J61*L58</f>
        <v>0</v>
      </c>
      <c r="M61" s="529"/>
      <c r="N61" s="537">
        <f t="shared" si="67"/>
        <v>0</v>
      </c>
      <c r="O61" s="538" t="str">
        <f t="shared" si="68"/>
        <v/>
      </c>
      <c r="P61" s="512"/>
      <c r="Q61" s="526"/>
      <c r="R61" s="526"/>
      <c r="S61" s="536">
        <f>Q61*S58</f>
        <v>0</v>
      </c>
      <c r="T61" s="529"/>
      <c r="U61" s="537">
        <f t="shared" si="69"/>
        <v>0</v>
      </c>
      <c r="V61" s="538" t="str">
        <f t="shared" si="70"/>
        <v/>
      </c>
      <c r="W61" s="512"/>
      <c r="X61" s="526"/>
      <c r="Y61" s="526"/>
      <c r="Z61" s="536">
        <f>X61*Z58</f>
        <v>0</v>
      </c>
      <c r="AA61" s="529"/>
      <c r="AB61" s="537">
        <f t="shared" si="71"/>
        <v>0</v>
      </c>
      <c r="AC61" s="538" t="str">
        <f t="shared" si="72"/>
        <v/>
      </c>
      <c r="AD61" s="512"/>
      <c r="AE61" s="526"/>
      <c r="AF61" s="526"/>
      <c r="AG61" s="536">
        <f>AE61*AG58</f>
        <v>0</v>
      </c>
      <c r="AH61" s="529"/>
      <c r="AI61" s="537">
        <f t="shared" si="73"/>
        <v>0</v>
      </c>
      <c r="AJ61" s="538" t="str">
        <f t="shared" si="74"/>
        <v/>
      </c>
      <c r="AK61" s="512"/>
      <c r="AL61" s="526"/>
      <c r="AM61" s="526"/>
      <c r="AN61" s="536">
        <f>AL61*AN58</f>
        <v>0</v>
      </c>
      <c r="AO61" s="529"/>
      <c r="AP61" s="537">
        <f t="shared" si="75"/>
        <v>0</v>
      </c>
      <c r="AQ61" s="538" t="str">
        <f t="shared" si="76"/>
        <v/>
      </c>
      <c r="AR61" s="539"/>
    </row>
    <row r="62" spans="1:44" ht="13.5" customHeight="1">
      <c r="A62" s="512"/>
      <c r="B62" s="643" t="s">
        <v>325</v>
      </c>
      <c r="C62" s="615"/>
      <c r="D62" s="615"/>
      <c r="E62" s="540"/>
      <c r="F62" s="541"/>
      <c r="G62" s="542"/>
      <c r="H62" s="543">
        <f>H60-H61</f>
        <v>192293.20740000001</v>
      </c>
      <c r="I62" s="544"/>
      <c r="J62" s="544"/>
      <c r="K62" s="544"/>
      <c r="L62" s="545">
        <f>L60-L61</f>
        <v>195622.0857</v>
      </c>
      <c r="M62" s="546"/>
      <c r="N62" s="547">
        <f t="shared" si="67"/>
        <v>3328.8782999999821</v>
      </c>
      <c r="O62" s="548">
        <f t="shared" si="68"/>
        <v>1.7311471086315564E-2</v>
      </c>
      <c r="P62" s="512"/>
      <c r="Q62" s="544"/>
      <c r="R62" s="544"/>
      <c r="S62" s="545">
        <f>S60-S61</f>
        <v>187452.27044999995</v>
      </c>
      <c r="T62" s="546"/>
      <c r="U62" s="547">
        <f t="shared" si="69"/>
        <v>-8169.8152500000433</v>
      </c>
      <c r="V62" s="548">
        <f t="shared" si="70"/>
        <v>-4.1763256028918026E-2</v>
      </c>
      <c r="W62" s="512"/>
      <c r="X62" s="544"/>
      <c r="Y62" s="544"/>
      <c r="Z62" s="545">
        <f>Z60-Z61</f>
        <v>193668.17444999999</v>
      </c>
      <c r="AA62" s="546"/>
      <c r="AB62" s="547">
        <f t="shared" si="71"/>
        <v>6215.9040000000386</v>
      </c>
      <c r="AC62" s="548">
        <f t="shared" si="72"/>
        <v>3.3159929111971131E-2</v>
      </c>
      <c r="AD62" s="512"/>
      <c r="AE62" s="544"/>
      <c r="AF62" s="544"/>
      <c r="AG62" s="545">
        <f>AG60-AG61</f>
        <v>200679.11819999997</v>
      </c>
      <c r="AH62" s="546"/>
      <c r="AI62" s="547">
        <f t="shared" si="73"/>
        <v>7010.9437499999767</v>
      </c>
      <c r="AJ62" s="548">
        <f t="shared" si="74"/>
        <v>3.6200804649036529E-2</v>
      </c>
      <c r="AK62" s="512"/>
      <c r="AL62" s="544"/>
      <c r="AM62" s="544"/>
      <c r="AN62" s="545">
        <f>AN60-AN61</f>
        <v>207452.42294999998</v>
      </c>
      <c r="AO62" s="546"/>
      <c r="AP62" s="547">
        <f t="shared" si="75"/>
        <v>6773.3047500000102</v>
      </c>
      <c r="AQ62" s="548">
        <f t="shared" si="76"/>
        <v>3.3751916047635951E-2</v>
      </c>
      <c r="AR62" s="549"/>
    </row>
    <row r="63" spans="1:44"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75" customHeight="1">
      <c r="A65" s="52"/>
      <c r="B65" s="307" t="s">
        <v>326</v>
      </c>
      <c r="C65" s="554"/>
      <c r="D65" s="52"/>
      <c r="E65" s="52"/>
      <c r="F65" s="477">
        <f>'Proposed Rates'!$E$307</f>
        <v>5.1000000000000004E-3</v>
      </c>
      <c r="G65" s="52"/>
      <c r="H65" s="52"/>
      <c r="I65" s="52"/>
      <c r="J65" s="477">
        <f>'Proposed Rates'!$F$307</f>
        <v>4.7999999999999996E-3</v>
      </c>
      <c r="K65" s="52"/>
      <c r="L65" s="52"/>
      <c r="M65" s="52"/>
      <c r="N65" s="52"/>
      <c r="O65" s="52"/>
      <c r="P65" s="52"/>
      <c r="Q65" s="477">
        <f>'Proposed Rates'!$G$307</f>
        <v>4.7999999999999996E-3</v>
      </c>
      <c r="R65" s="52"/>
      <c r="S65" s="52"/>
      <c r="T65" s="52"/>
      <c r="U65" s="52"/>
      <c r="V65" s="52"/>
      <c r="W65" s="52"/>
      <c r="X65" s="477">
        <f>'Proposed Rates'!$H$307</f>
        <v>4.7999999999999996E-3</v>
      </c>
      <c r="Y65" s="52"/>
      <c r="Z65" s="52"/>
      <c r="AA65" s="52"/>
      <c r="AB65" s="52"/>
      <c r="AC65" s="52"/>
      <c r="AD65" s="52"/>
      <c r="AE65" s="477">
        <f>'Proposed Rates'!$I$307</f>
        <v>4.7999999999999996E-3</v>
      </c>
      <c r="AF65" s="52"/>
      <c r="AG65" s="52"/>
      <c r="AH65" s="52"/>
      <c r="AI65" s="52"/>
      <c r="AJ65" s="52"/>
      <c r="AK65" s="52"/>
      <c r="AL65" s="477">
        <f>'Proposed Rates'!$J$307</f>
        <v>4.7999999999999996E-3</v>
      </c>
      <c r="AM65" s="52"/>
      <c r="AN65" s="52"/>
      <c r="AO65" s="52"/>
      <c r="AP65" s="52"/>
      <c r="AQ65" s="52"/>
      <c r="AR65" s="52"/>
    </row>
    <row r="66" spans="1:44"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8" t="s">
        <v>411</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100-000000000000}">
      <formula1>"TOU,non-TOU"</formula1>
    </dataValidation>
    <dataValidation type="list" allowBlank="1" showErrorMessage="1" sqref="E15:E28 E30:E38 E40:E41 E43:E51 E57 E63" xr:uid="{00000000-0002-0000-2100-000001000000}">
      <formula1>#REF!</formula1>
    </dataValidation>
    <dataValidation type="list" allowBlank="1" showInputMessage="1" showErrorMessage="1" prompt="Select Charge Unit - monthly, per kWh, per kW" sqref="D15:D28 D30:D38 D40:D41 D43:D51 D57 D63" xr:uid="{00000000-0002-0000-2100-000002000000}">
      <formula1>"Monthly,per kWh,per kW"</formula1>
    </dataValidation>
  </dataValidations>
  <pageMargins left="0.74803149606299213" right="0.74803149606299213" top="0.98425196850393704" bottom="0.98425196850393704"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2"/>
      <c r="B1" s="52"/>
      <c r="C1" s="554"/>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4" ht="18.75" customHeight="1">
      <c r="A2" s="52"/>
      <c r="B2" s="52"/>
      <c r="C2" s="555"/>
      <c r="D2" s="378"/>
      <c r="E2" s="378"/>
      <c r="F2" s="378" t="s">
        <v>295</v>
      </c>
      <c r="G2" s="378"/>
      <c r="H2" s="378"/>
      <c r="I2" s="378"/>
      <c r="J2" s="378"/>
      <c r="K2" s="378"/>
      <c r="L2" s="378"/>
      <c r="M2" s="378"/>
      <c r="N2" s="378"/>
      <c r="O2" s="378"/>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8.75" customHeight="1">
      <c r="A3" s="52"/>
      <c r="B3" s="52"/>
      <c r="C3" s="555"/>
      <c r="D3" s="378"/>
      <c r="E3" s="378"/>
      <c r="F3" s="378" t="s">
        <v>297</v>
      </c>
      <c r="G3" s="378"/>
      <c r="H3" s="378"/>
      <c r="I3" s="378"/>
      <c r="J3" s="378"/>
      <c r="K3" s="378"/>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54"/>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54"/>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20" t="s">
        <v>298</v>
      </c>
      <c r="C6" s="554"/>
      <c r="D6" s="380" t="s">
        <v>226</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2"/>
      <c r="C7" s="554"/>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20" t="s">
        <v>299</v>
      </c>
      <c r="C8" s="554"/>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2"/>
      <c r="C9" s="554"/>
      <c r="D9" s="307" t="s">
        <v>301</v>
      </c>
      <c r="E9" s="307"/>
      <c r="F9" s="385">
        <v>4290127</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54"/>
      <c r="D10" s="52"/>
      <c r="E10" s="52"/>
      <c r="F10" s="385">
        <v>7900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54"/>
      <c r="D11" s="3"/>
      <c r="E11" s="3"/>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4"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4"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4"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4" ht="12.75" customHeight="1">
      <c r="A15" s="52"/>
      <c r="B15" s="321" t="s">
        <v>221</v>
      </c>
      <c r="C15" s="394" t="str">
        <f t="shared" ref="C15:C28" si="0">D$6&amp;"."&amp;B15</f>
        <v>Large User.Monthly Service Charge</v>
      </c>
      <c r="D15" s="395" t="s">
        <v>310</v>
      </c>
      <c r="E15" s="321"/>
      <c r="F15" s="396">
        <f>IFERROR(VLOOKUP($C15,'Proposed Rates'!$B:$J,F$11,FALSE),0)</f>
        <v>14946.93</v>
      </c>
      <c r="G15" s="414">
        <f t="shared" ref="G15:G28" si="1">IF($D15="Monthly",1,IF($D15="per KW",$F$10,IF($D15="per kWh",$F$9,0)))</f>
        <v>1</v>
      </c>
      <c r="H15" s="399">
        <f t="shared" ref="H15:H28" si="2">G15*F15</f>
        <v>14946.93</v>
      </c>
      <c r="I15" s="132"/>
      <c r="J15" s="396">
        <f>IFERROR(VLOOKUP($C15,'Proposed Rates'!$B:$J,J$11,FALSE),0)</f>
        <v>14946.93</v>
      </c>
      <c r="K15" s="414">
        <f t="shared" ref="K15:K28" si="3">IF($D15="Monthly",1,IF($D15="per KW",$F$10,IF($D15="per kWh",$F$9,0)))</f>
        <v>1</v>
      </c>
      <c r="L15" s="399">
        <f t="shared" ref="L15:L28" si="4">K15*J15</f>
        <v>14946.93</v>
      </c>
      <c r="M15" s="132"/>
      <c r="N15" s="400">
        <f t="shared" ref="N15:N46" si="5">L15-H15</f>
        <v>0</v>
      </c>
      <c r="O15" s="401">
        <f t="shared" ref="O15:O46" si="6">IF((H15)=0,"",(N15/H15))</f>
        <v>0</v>
      </c>
      <c r="P15" s="52"/>
      <c r="Q15" s="396">
        <f>IFERROR(VLOOKUP($C15,'Proposed Rates'!$B:$J,Q$11,FALSE),0)</f>
        <v>14946.93</v>
      </c>
      <c r="R15" s="414">
        <f t="shared" ref="R15:R28" si="7">IF($D15="Monthly",1,IF($D15="per KW",$F$10,IF($D15="per kWh",$F$9,0)))</f>
        <v>1</v>
      </c>
      <c r="S15" s="399">
        <f t="shared" ref="S15:S28" si="8">R15*Q15</f>
        <v>14946.93</v>
      </c>
      <c r="T15" s="132"/>
      <c r="U15" s="400">
        <f t="shared" ref="U15:U46" si="9">S15-L15</f>
        <v>0</v>
      </c>
      <c r="V15" s="401">
        <f t="shared" ref="V15:V46" si="10">IF((L15)=0,"",(U15/L15))</f>
        <v>0</v>
      </c>
      <c r="W15" s="52"/>
      <c r="X15" s="396">
        <f>IFERROR(VLOOKUP($C15,'Proposed Rates'!$B:$J,X$11,FALSE),0)</f>
        <v>14946.93</v>
      </c>
      <c r="Y15" s="414">
        <f t="shared" ref="Y15:Y28" si="11">IF($D15="Monthly",1,IF($D15="per KW",$F$10,IF($D15="per kWh",$F$9,0)))</f>
        <v>1</v>
      </c>
      <c r="Z15" s="399">
        <f t="shared" ref="Z15:Z28" si="12">Y15*X15</f>
        <v>14946.93</v>
      </c>
      <c r="AA15" s="132"/>
      <c r="AB15" s="400">
        <f t="shared" ref="AB15:AB46" si="13">Z15-S15</f>
        <v>0</v>
      </c>
      <c r="AC15" s="401">
        <f t="shared" ref="AC15:AC46" si="14">IF((S15)=0,"",(AB15/S15))</f>
        <v>0</v>
      </c>
      <c r="AD15" s="52"/>
      <c r="AE15" s="396">
        <f>IFERROR(VLOOKUP($C15,'Proposed Rates'!$B:$J,AE$11,FALSE),0)</f>
        <v>14946.93</v>
      </c>
      <c r="AF15" s="414">
        <f t="shared" ref="AF15:AF28" si="15">IF($D15="Monthly",1,IF($D15="per KW",$F$10,IF($D15="per kWh",$F$9,0)))</f>
        <v>1</v>
      </c>
      <c r="AG15" s="399">
        <f t="shared" ref="AG15:AG28" si="16">AF15*AE15</f>
        <v>14946.93</v>
      </c>
      <c r="AH15" s="132"/>
      <c r="AI15" s="400">
        <f t="shared" ref="AI15:AI46" si="17">AG15-Z15</f>
        <v>0</v>
      </c>
      <c r="AJ15" s="401">
        <f t="shared" ref="AJ15:AJ46" si="18">IF((Z15)=0,"",(AI15/Z15))</f>
        <v>0</v>
      </c>
      <c r="AK15" s="52"/>
      <c r="AL15" s="396">
        <f>IFERROR(VLOOKUP($C15,'Proposed Rates'!$B:$J,AL$11,FALSE),0)</f>
        <v>14946.93</v>
      </c>
      <c r="AM15" s="414">
        <f t="shared" ref="AM15:AM28" si="19">IF($D15="Monthly",1,IF($D15="per KW",$F$10,IF($D15="per kWh",$F$9,0)))</f>
        <v>1</v>
      </c>
      <c r="AN15" s="399">
        <f t="shared" ref="AN15:AN28" si="20">AM15*AL15</f>
        <v>14946.93</v>
      </c>
      <c r="AO15" s="132"/>
      <c r="AP15" s="400">
        <f t="shared" ref="AP15:AP46" si="21">AN15-AG15</f>
        <v>0</v>
      </c>
      <c r="AQ15" s="401">
        <f t="shared" ref="AQ15:AQ46" si="22">IF((AG15)=0,"",(AP15/AG15))</f>
        <v>0</v>
      </c>
      <c r="AR15" s="402"/>
    </row>
    <row r="16" spans="1:44" ht="12.75" customHeight="1">
      <c r="A16" s="52"/>
      <c r="B16" s="321" t="s">
        <v>311</v>
      </c>
      <c r="C16" s="394" t="str">
        <f t="shared" si="0"/>
        <v>Large User.Smart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Large User.Rate Rider Calculation for PILs</v>
      </c>
      <c r="D17" s="395" t="s">
        <v>381</v>
      </c>
      <c r="E17" s="321"/>
      <c r="F17" s="396">
        <f>IFERROR(VLOOKUP($C17,'Proposed Rates'!$B:$J,F$11,FALSE),0)</f>
        <v>0</v>
      </c>
      <c r="G17" s="414">
        <f t="shared" si="1"/>
        <v>7900</v>
      </c>
      <c r="H17" s="399">
        <f t="shared" si="2"/>
        <v>0</v>
      </c>
      <c r="I17" s="132"/>
      <c r="J17" s="396">
        <f>IFERROR(VLOOKUP($C17,'Proposed Rates'!$B:$J,J$11,FALSE),0)</f>
        <v>0</v>
      </c>
      <c r="K17" s="414">
        <f t="shared" si="3"/>
        <v>7900</v>
      </c>
      <c r="L17" s="399">
        <f t="shared" si="4"/>
        <v>0</v>
      </c>
      <c r="M17" s="132"/>
      <c r="N17" s="400">
        <f t="shared" si="5"/>
        <v>0</v>
      </c>
      <c r="O17" s="401" t="str">
        <f t="shared" si="6"/>
        <v/>
      </c>
      <c r="P17" s="52"/>
      <c r="Q17" s="396">
        <f>IFERROR(VLOOKUP($C17,'Proposed Rates'!$B:$J,Q$11,FALSE),0)</f>
        <v>0</v>
      </c>
      <c r="R17" s="414">
        <f t="shared" si="7"/>
        <v>7900</v>
      </c>
      <c r="S17" s="399">
        <f t="shared" si="8"/>
        <v>0</v>
      </c>
      <c r="T17" s="132"/>
      <c r="U17" s="400">
        <f t="shared" si="9"/>
        <v>0</v>
      </c>
      <c r="V17" s="401" t="str">
        <f t="shared" si="10"/>
        <v/>
      </c>
      <c r="W17" s="52"/>
      <c r="X17" s="396">
        <f>IFERROR(VLOOKUP($C17,'Proposed Rates'!$B:$J,X$11,FALSE),0)</f>
        <v>0</v>
      </c>
      <c r="Y17" s="414">
        <f t="shared" si="11"/>
        <v>7900</v>
      </c>
      <c r="Z17" s="399">
        <f t="shared" si="12"/>
        <v>0</v>
      </c>
      <c r="AA17" s="132"/>
      <c r="AB17" s="400">
        <f t="shared" si="13"/>
        <v>0</v>
      </c>
      <c r="AC17" s="401" t="str">
        <f t="shared" si="14"/>
        <v/>
      </c>
      <c r="AD17" s="52"/>
      <c r="AE17" s="396">
        <f>IFERROR(VLOOKUP($C17,'Proposed Rates'!$B:$J,AE$11,FALSE),0)</f>
        <v>0</v>
      </c>
      <c r="AF17" s="414">
        <f t="shared" si="15"/>
        <v>7900</v>
      </c>
      <c r="AG17" s="399">
        <f t="shared" si="16"/>
        <v>0</v>
      </c>
      <c r="AH17" s="132"/>
      <c r="AI17" s="400">
        <f t="shared" si="17"/>
        <v>0</v>
      </c>
      <c r="AJ17" s="401" t="str">
        <f t="shared" si="18"/>
        <v/>
      </c>
      <c r="AK17" s="52"/>
      <c r="AL17" s="396">
        <f>IFERROR(VLOOKUP($C17,'Proposed Rates'!$B:$J,AL$11,FALSE),0)</f>
        <v>0</v>
      </c>
      <c r="AM17" s="414">
        <f t="shared" si="19"/>
        <v>7900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Large User.Rate Rider Calculation for Generic</v>
      </c>
      <c r="D18" s="395" t="s">
        <v>381</v>
      </c>
      <c r="E18" s="321"/>
      <c r="F18" s="396">
        <f>IFERROR(VLOOKUP($C18,'Proposed Rates'!$B:$J,F$11,FALSE),0)</f>
        <v>0</v>
      </c>
      <c r="G18" s="414">
        <f t="shared" si="1"/>
        <v>7900</v>
      </c>
      <c r="H18" s="399">
        <f t="shared" si="2"/>
        <v>0</v>
      </c>
      <c r="I18" s="132"/>
      <c r="J18" s="396">
        <f>IFERROR(VLOOKUP($C18,'Proposed Rates'!$B:$J,J$11,FALSE),0)</f>
        <v>0</v>
      </c>
      <c r="K18" s="414">
        <f t="shared" si="3"/>
        <v>7900</v>
      </c>
      <c r="L18" s="399">
        <f t="shared" si="4"/>
        <v>0</v>
      </c>
      <c r="M18" s="132"/>
      <c r="N18" s="400">
        <f t="shared" si="5"/>
        <v>0</v>
      </c>
      <c r="O18" s="401" t="str">
        <f t="shared" si="6"/>
        <v/>
      </c>
      <c r="P18" s="52"/>
      <c r="Q18" s="396">
        <f>IFERROR(VLOOKUP($C18,'Proposed Rates'!$B:$J,Q$11,FALSE),0)</f>
        <v>0</v>
      </c>
      <c r="R18" s="414">
        <f t="shared" si="7"/>
        <v>7900</v>
      </c>
      <c r="S18" s="399">
        <f t="shared" si="8"/>
        <v>0</v>
      </c>
      <c r="T18" s="132"/>
      <c r="U18" s="400">
        <f t="shared" si="9"/>
        <v>0</v>
      </c>
      <c r="V18" s="401" t="str">
        <f t="shared" si="10"/>
        <v/>
      </c>
      <c r="W18" s="52"/>
      <c r="X18" s="396">
        <f>IFERROR(VLOOKUP($C18,'Proposed Rates'!$B:$J,X$11,FALSE),0)</f>
        <v>0</v>
      </c>
      <c r="Y18" s="414">
        <f t="shared" si="11"/>
        <v>7900</v>
      </c>
      <c r="Z18" s="399">
        <f t="shared" si="12"/>
        <v>0</v>
      </c>
      <c r="AA18" s="132"/>
      <c r="AB18" s="400">
        <f t="shared" si="13"/>
        <v>0</v>
      </c>
      <c r="AC18" s="401" t="str">
        <f t="shared" si="14"/>
        <v/>
      </c>
      <c r="AD18" s="52"/>
      <c r="AE18" s="396">
        <f>IFERROR(VLOOKUP($C18,'Proposed Rates'!$B:$J,AE$11,FALSE),0)</f>
        <v>0</v>
      </c>
      <c r="AF18" s="414">
        <f t="shared" si="15"/>
        <v>7900</v>
      </c>
      <c r="AG18" s="399">
        <f t="shared" si="16"/>
        <v>0</v>
      </c>
      <c r="AH18" s="132"/>
      <c r="AI18" s="400">
        <f t="shared" si="17"/>
        <v>0</v>
      </c>
      <c r="AJ18" s="401" t="str">
        <f t="shared" si="18"/>
        <v/>
      </c>
      <c r="AK18" s="52"/>
      <c r="AL18" s="396">
        <f>IFERROR(VLOOKUP($C18,'Proposed Rates'!$B:$J,AL$11,FALSE),0)</f>
        <v>0</v>
      </c>
      <c r="AM18" s="414">
        <f t="shared" si="19"/>
        <v>7900</v>
      </c>
      <c r="AN18" s="399">
        <f t="shared" si="20"/>
        <v>0</v>
      </c>
      <c r="AO18" s="132"/>
      <c r="AP18" s="400">
        <f t="shared" si="21"/>
        <v>0</v>
      </c>
      <c r="AQ18" s="401" t="str">
        <f t="shared" si="22"/>
        <v/>
      </c>
      <c r="AR18" s="402"/>
    </row>
    <row r="19" spans="1:44" ht="12.75" customHeight="1">
      <c r="A19" s="52"/>
      <c r="B19" s="321" t="s">
        <v>59</v>
      </c>
      <c r="C19" s="394" t="str">
        <f t="shared" si="0"/>
        <v>Large User.Distribution Volumetric Rate</v>
      </c>
      <c r="D19" s="395" t="s">
        <v>381</v>
      </c>
      <c r="E19" s="321"/>
      <c r="F19" s="413">
        <f>IFERROR(VLOOKUP($C19,'Proposed Rates'!$B:$J,F$11,FALSE),0)</f>
        <v>6.0316000000000001</v>
      </c>
      <c r="G19" s="414">
        <f t="shared" si="1"/>
        <v>7900</v>
      </c>
      <c r="H19" s="399">
        <f t="shared" si="2"/>
        <v>47649.64</v>
      </c>
      <c r="I19" s="132"/>
      <c r="J19" s="413">
        <f>IFERROR(VLOOKUP($C19,'Proposed Rates'!$B:$J,J$11,FALSE),0)</f>
        <v>8.2606000000000002</v>
      </c>
      <c r="K19" s="414">
        <f t="shared" si="3"/>
        <v>7900</v>
      </c>
      <c r="L19" s="399">
        <f t="shared" si="4"/>
        <v>65258.74</v>
      </c>
      <c r="M19" s="132"/>
      <c r="N19" s="400">
        <f t="shared" si="5"/>
        <v>17609.099999999999</v>
      </c>
      <c r="O19" s="401">
        <f t="shared" si="6"/>
        <v>0.36955368393129517</v>
      </c>
      <c r="P19" s="52"/>
      <c r="Q19" s="413">
        <f>IFERROR(VLOOKUP($C19,'Proposed Rates'!$B:$J,Q$11,FALSE),0)</f>
        <v>8.9039000000000001</v>
      </c>
      <c r="R19" s="414">
        <f t="shared" si="7"/>
        <v>7900</v>
      </c>
      <c r="S19" s="399">
        <f t="shared" si="8"/>
        <v>70340.81</v>
      </c>
      <c r="T19" s="132"/>
      <c r="U19" s="400">
        <f t="shared" si="9"/>
        <v>5082.07</v>
      </c>
      <c r="V19" s="401">
        <f t="shared" si="10"/>
        <v>7.7875699101760162E-2</v>
      </c>
      <c r="W19" s="52"/>
      <c r="X19" s="413">
        <f>IFERROR(VLOOKUP($C19,'Proposed Rates'!$B:$J,X$11,FALSE),0)</f>
        <v>9.6370000000000005</v>
      </c>
      <c r="Y19" s="414">
        <f t="shared" si="11"/>
        <v>7900</v>
      </c>
      <c r="Z19" s="399">
        <f t="shared" si="12"/>
        <v>76132.3</v>
      </c>
      <c r="AA19" s="132"/>
      <c r="AB19" s="400">
        <f t="shared" si="13"/>
        <v>5791.4900000000052</v>
      </c>
      <c r="AC19" s="401">
        <f t="shared" si="14"/>
        <v>8.2334707263109499E-2</v>
      </c>
      <c r="AD19" s="52"/>
      <c r="AE19" s="413">
        <f>IFERROR(VLOOKUP($C19,'Proposed Rates'!$B:$J,AE$11,FALSE),0)</f>
        <v>10.463800000000001</v>
      </c>
      <c r="AF19" s="414">
        <f t="shared" si="15"/>
        <v>7900</v>
      </c>
      <c r="AG19" s="399">
        <f t="shared" si="16"/>
        <v>82664.02</v>
      </c>
      <c r="AH19" s="132"/>
      <c r="AI19" s="400">
        <f t="shared" si="17"/>
        <v>6531.7200000000012</v>
      </c>
      <c r="AJ19" s="401">
        <f t="shared" si="18"/>
        <v>8.5794334336411759E-2</v>
      </c>
      <c r="AK19" s="52"/>
      <c r="AL19" s="413">
        <f>IFERROR(VLOOKUP($C19,'Proposed Rates'!$B:$J,AL$11,FALSE),0)</f>
        <v>11.262499999999999</v>
      </c>
      <c r="AM19" s="414">
        <f t="shared" si="19"/>
        <v>7900</v>
      </c>
      <c r="AN19" s="399">
        <f t="shared" si="20"/>
        <v>88973.75</v>
      </c>
      <c r="AO19" s="132"/>
      <c r="AP19" s="400">
        <f t="shared" si="21"/>
        <v>6309.7299999999959</v>
      </c>
      <c r="AQ19" s="401">
        <f t="shared" si="22"/>
        <v>7.6329822817714346E-2</v>
      </c>
      <c r="AR19" s="402"/>
    </row>
    <row r="20" spans="1:44" ht="12.75" customHeight="1">
      <c r="A20" s="52"/>
      <c r="B20" s="321" t="s">
        <v>313</v>
      </c>
      <c r="C20" s="394" t="str">
        <f t="shared" si="0"/>
        <v>Large User.Smart Meter Disposition Rider</v>
      </c>
      <c r="D20" s="395" t="s">
        <v>312</v>
      </c>
      <c r="E20" s="321"/>
      <c r="F20" s="396">
        <f>IFERROR(VLOOKUP($C20,'Proposed Rates'!$B:$J,F$11,FALSE),0)</f>
        <v>0</v>
      </c>
      <c r="G20" s="414">
        <f t="shared" si="1"/>
        <v>4290127</v>
      </c>
      <c r="H20" s="399">
        <f t="shared" si="2"/>
        <v>0</v>
      </c>
      <c r="I20" s="132"/>
      <c r="J20" s="396">
        <f>IFERROR(VLOOKUP($C20,'Proposed Rates'!$B:$J,J$11,FALSE),0)</f>
        <v>0</v>
      </c>
      <c r="K20" s="414">
        <f t="shared" si="3"/>
        <v>4290127</v>
      </c>
      <c r="L20" s="399">
        <f t="shared" si="4"/>
        <v>0</v>
      </c>
      <c r="M20" s="132"/>
      <c r="N20" s="400">
        <f t="shared" si="5"/>
        <v>0</v>
      </c>
      <c r="O20" s="401" t="str">
        <f t="shared" si="6"/>
        <v/>
      </c>
      <c r="P20" s="52"/>
      <c r="Q20" s="396">
        <f>IFERROR(VLOOKUP($C20,'Proposed Rates'!$B:$J,Q$11,FALSE),0)</f>
        <v>0</v>
      </c>
      <c r="R20" s="414">
        <f t="shared" si="7"/>
        <v>4290127</v>
      </c>
      <c r="S20" s="399">
        <f t="shared" si="8"/>
        <v>0</v>
      </c>
      <c r="T20" s="132"/>
      <c r="U20" s="400">
        <f t="shared" si="9"/>
        <v>0</v>
      </c>
      <c r="V20" s="401" t="str">
        <f t="shared" si="10"/>
        <v/>
      </c>
      <c r="W20" s="52"/>
      <c r="X20" s="396">
        <f>IFERROR(VLOOKUP($C20,'Proposed Rates'!$B:$J,X$11,FALSE),0)</f>
        <v>0</v>
      </c>
      <c r="Y20" s="414">
        <f t="shared" si="11"/>
        <v>4290127</v>
      </c>
      <c r="Z20" s="399">
        <f t="shared" si="12"/>
        <v>0</v>
      </c>
      <c r="AA20" s="132"/>
      <c r="AB20" s="400">
        <f t="shared" si="13"/>
        <v>0</v>
      </c>
      <c r="AC20" s="401" t="str">
        <f t="shared" si="14"/>
        <v/>
      </c>
      <c r="AD20" s="52"/>
      <c r="AE20" s="396">
        <f>IFERROR(VLOOKUP($C20,'Proposed Rates'!$B:$J,AE$11,FALSE),0)</f>
        <v>0</v>
      </c>
      <c r="AF20" s="414">
        <f t="shared" si="15"/>
        <v>4290127</v>
      </c>
      <c r="AG20" s="399">
        <f t="shared" si="16"/>
        <v>0</v>
      </c>
      <c r="AH20" s="132"/>
      <c r="AI20" s="400">
        <f t="shared" si="17"/>
        <v>0</v>
      </c>
      <c r="AJ20" s="401" t="str">
        <f t="shared" si="18"/>
        <v/>
      </c>
      <c r="AK20" s="52"/>
      <c r="AL20" s="396">
        <f>IFERROR(VLOOKUP($C20,'Proposed Rates'!$B:$J,AL$11,FALSE),0)</f>
        <v>0</v>
      </c>
      <c r="AM20" s="414">
        <f t="shared" si="19"/>
        <v>4290127</v>
      </c>
      <c r="AN20" s="399">
        <f t="shared" si="20"/>
        <v>0</v>
      </c>
      <c r="AO20" s="132"/>
      <c r="AP20" s="400">
        <f t="shared" si="21"/>
        <v>0</v>
      </c>
      <c r="AQ20" s="401" t="str">
        <f t="shared" si="22"/>
        <v/>
      </c>
      <c r="AR20" s="402"/>
    </row>
    <row r="21" spans="1:44" ht="12.75" customHeight="1">
      <c r="A21" s="52"/>
      <c r="B21" s="321" t="s">
        <v>244</v>
      </c>
      <c r="C21" s="394" t="str">
        <f t="shared" si="0"/>
        <v>Large User.LRAM Rate Rider</v>
      </c>
      <c r="D21" s="395" t="s">
        <v>381</v>
      </c>
      <c r="E21" s="321"/>
      <c r="F21" s="413">
        <f>'Proposed Rates'!E81+'Proposed Rates'!E94</f>
        <v>0.2011</v>
      </c>
      <c r="G21" s="414">
        <f t="shared" si="1"/>
        <v>7900</v>
      </c>
      <c r="H21" s="399">
        <f t="shared" si="2"/>
        <v>1588.69</v>
      </c>
      <c r="I21" s="132"/>
      <c r="J21" s="413">
        <f>'Proposed Rates'!F81+'Proposed Rates'!F94</f>
        <v>-0.50439999999999996</v>
      </c>
      <c r="K21" s="414">
        <f t="shared" si="3"/>
        <v>7900</v>
      </c>
      <c r="L21" s="399">
        <f t="shared" si="4"/>
        <v>-3984.7599999999998</v>
      </c>
      <c r="M21" s="132"/>
      <c r="N21" s="400">
        <f t="shared" si="5"/>
        <v>-5573.45</v>
      </c>
      <c r="O21" s="401">
        <f t="shared" si="6"/>
        <v>-3.508204873197414</v>
      </c>
      <c r="P21" s="52"/>
      <c r="Q21" s="413">
        <f>'Proposed Rates'!G81+'Proposed Rates'!G94</f>
        <v>0</v>
      </c>
      <c r="R21" s="414">
        <f t="shared" si="7"/>
        <v>7900</v>
      </c>
      <c r="S21" s="399">
        <f t="shared" si="8"/>
        <v>0</v>
      </c>
      <c r="T21" s="132"/>
      <c r="U21" s="400">
        <f t="shared" si="9"/>
        <v>3984.7599999999998</v>
      </c>
      <c r="V21" s="401">
        <f t="shared" si="10"/>
        <v>-1</v>
      </c>
      <c r="W21" s="52"/>
      <c r="X21" s="413">
        <f>IFERROR(VLOOKUP($C21,'Proposed Rates'!$B:$J,X$11,FALSE),0)</f>
        <v>0</v>
      </c>
      <c r="Y21" s="414">
        <f t="shared" si="11"/>
        <v>7900</v>
      </c>
      <c r="Z21" s="399">
        <f t="shared" si="12"/>
        <v>0</v>
      </c>
      <c r="AA21" s="132"/>
      <c r="AB21" s="400">
        <f t="shared" si="13"/>
        <v>0</v>
      </c>
      <c r="AC21" s="401" t="str">
        <f t="shared" si="14"/>
        <v/>
      </c>
      <c r="AD21" s="52"/>
      <c r="AE21" s="413">
        <f>IFERROR(VLOOKUP($C21,'Proposed Rates'!$B:$J,AE$11,FALSE),0)</f>
        <v>0</v>
      </c>
      <c r="AF21" s="414">
        <f t="shared" si="15"/>
        <v>7900</v>
      </c>
      <c r="AG21" s="399">
        <f t="shared" si="16"/>
        <v>0</v>
      </c>
      <c r="AH21" s="132"/>
      <c r="AI21" s="400">
        <f t="shared" si="17"/>
        <v>0</v>
      </c>
      <c r="AJ21" s="401" t="str">
        <f t="shared" si="18"/>
        <v/>
      </c>
      <c r="AK21" s="52"/>
      <c r="AL21" s="413">
        <f>IFERROR(VLOOKUP($C21,'Proposed Rates'!$B:$J,AL$11,FALSE),0)</f>
        <v>0</v>
      </c>
      <c r="AM21" s="414">
        <f t="shared" si="19"/>
        <v>7900</v>
      </c>
      <c r="AN21" s="399">
        <f t="shared" si="20"/>
        <v>0</v>
      </c>
      <c r="AO21" s="132"/>
      <c r="AP21" s="400">
        <f t="shared" si="21"/>
        <v>0</v>
      </c>
      <c r="AQ21" s="401" t="str">
        <f t="shared" si="22"/>
        <v/>
      </c>
      <c r="AR21" s="402"/>
    </row>
    <row r="22" spans="1:44" ht="12.75" customHeight="1">
      <c r="A22" s="52"/>
      <c r="B22" s="483" t="s">
        <v>240</v>
      </c>
      <c r="C22" s="394" t="str">
        <f t="shared" si="0"/>
        <v>Large User.Deferral/Variance Account Disposition Rate Rider Group 2</v>
      </c>
      <c r="D22" s="395" t="s">
        <v>381</v>
      </c>
      <c r="E22" s="321"/>
      <c r="F22" s="396">
        <f>IFERROR(VLOOKUP($C22,'Proposed Rates'!$B:$J,F$11,FALSE),0)</f>
        <v>0</v>
      </c>
      <c r="G22" s="414">
        <f t="shared" si="1"/>
        <v>7900</v>
      </c>
      <c r="H22" s="399">
        <f t="shared" si="2"/>
        <v>0</v>
      </c>
      <c r="I22" s="132"/>
      <c r="J22" s="396">
        <f>IFERROR(VLOOKUP($C22,'Proposed Rates'!$B:$J,J$11,FALSE),0)</f>
        <v>-0.1731</v>
      </c>
      <c r="K22" s="414">
        <f t="shared" si="3"/>
        <v>7900</v>
      </c>
      <c r="L22" s="399">
        <f t="shared" si="4"/>
        <v>-1367.49</v>
      </c>
      <c r="M22" s="132"/>
      <c r="N22" s="400">
        <f t="shared" si="5"/>
        <v>-1367.49</v>
      </c>
      <c r="O22" s="401" t="str">
        <f t="shared" si="6"/>
        <v/>
      </c>
      <c r="P22" s="52"/>
      <c r="Q22" s="396">
        <f>IFERROR(VLOOKUP($C22,'Proposed Rates'!$B:$J,Q$11,FALSE),0)</f>
        <v>0</v>
      </c>
      <c r="R22" s="414">
        <f t="shared" si="7"/>
        <v>7900</v>
      </c>
      <c r="S22" s="399">
        <f t="shared" si="8"/>
        <v>0</v>
      </c>
      <c r="T22" s="132"/>
      <c r="U22" s="400">
        <f t="shared" si="9"/>
        <v>1367.49</v>
      </c>
      <c r="V22" s="401">
        <f t="shared" si="10"/>
        <v>-1</v>
      </c>
      <c r="W22" s="52"/>
      <c r="X22" s="396">
        <f>IFERROR(VLOOKUP($C22,'Proposed Rates'!$B:$J,X$11,FALSE),0)</f>
        <v>0</v>
      </c>
      <c r="Y22" s="414">
        <f t="shared" si="11"/>
        <v>7900</v>
      </c>
      <c r="Z22" s="399">
        <f t="shared" si="12"/>
        <v>0</v>
      </c>
      <c r="AA22" s="132"/>
      <c r="AB22" s="400">
        <f t="shared" si="13"/>
        <v>0</v>
      </c>
      <c r="AC22" s="401" t="str">
        <f t="shared" si="14"/>
        <v/>
      </c>
      <c r="AD22" s="52"/>
      <c r="AE22" s="396">
        <f>IFERROR(VLOOKUP($C22,'Proposed Rates'!$B:$J,AE$11,FALSE),0)</f>
        <v>0</v>
      </c>
      <c r="AF22" s="414">
        <f t="shared" si="15"/>
        <v>7900</v>
      </c>
      <c r="AG22" s="399">
        <f t="shared" si="16"/>
        <v>0</v>
      </c>
      <c r="AH22" s="132"/>
      <c r="AI22" s="400">
        <f t="shared" si="17"/>
        <v>0</v>
      </c>
      <c r="AJ22" s="401" t="str">
        <f t="shared" si="18"/>
        <v/>
      </c>
      <c r="AK22" s="52"/>
      <c r="AL22" s="396">
        <f>IFERROR(VLOOKUP($C22,'Proposed Rates'!$B:$J,AL$11,FALSE),0)</f>
        <v>0</v>
      </c>
      <c r="AM22" s="414">
        <f t="shared" si="19"/>
        <v>7900</v>
      </c>
      <c r="AN22" s="399">
        <f t="shared" si="20"/>
        <v>0</v>
      </c>
      <c r="AO22" s="132"/>
      <c r="AP22" s="400">
        <f t="shared" si="21"/>
        <v>0</v>
      </c>
      <c r="AQ22" s="401" t="str">
        <f t="shared" si="22"/>
        <v/>
      </c>
      <c r="AR22" s="402"/>
    </row>
    <row r="23" spans="1:44" ht="12.75" customHeight="1">
      <c r="A23" s="52"/>
      <c r="B23" s="403"/>
      <c r="C23" s="394" t="str">
        <f t="shared" si="0"/>
        <v>Large User.</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75" customHeight="1">
      <c r="A24" s="52"/>
      <c r="B24" s="403"/>
      <c r="C24" s="394" t="str">
        <f t="shared" si="0"/>
        <v>Large User.</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75" customHeight="1">
      <c r="A25" s="52"/>
      <c r="B25" s="403"/>
      <c r="C25" s="394" t="str">
        <f t="shared" si="0"/>
        <v>Large User.</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75" customHeight="1">
      <c r="A26" s="52"/>
      <c r="B26" s="483"/>
      <c r="C26" s="394" t="str">
        <f t="shared" si="0"/>
        <v>Large User.</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75" customHeight="1">
      <c r="A27" s="52"/>
      <c r="B27" s="403"/>
      <c r="C27" s="394" t="str">
        <f t="shared" si="0"/>
        <v>Large User.</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75" customHeight="1">
      <c r="A28" s="52"/>
      <c r="B28" s="403"/>
      <c r="C28" s="394" t="str">
        <f t="shared" si="0"/>
        <v>Large User.</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75" customHeight="1">
      <c r="A29" s="307"/>
      <c r="B29" s="404" t="s">
        <v>314</v>
      </c>
      <c r="C29" s="556"/>
      <c r="D29" s="405"/>
      <c r="E29" s="405"/>
      <c r="F29" s="406"/>
      <c r="G29" s="499"/>
      <c r="H29" s="408">
        <f>SUM(H15:H28)</f>
        <v>64185.26</v>
      </c>
      <c r="I29" s="409"/>
      <c r="J29" s="406"/>
      <c r="K29" s="499"/>
      <c r="L29" s="408">
        <f>SUM(L15:L28)</f>
        <v>74853.42</v>
      </c>
      <c r="M29" s="409"/>
      <c r="N29" s="410">
        <f t="shared" si="5"/>
        <v>10668.159999999996</v>
      </c>
      <c r="O29" s="411">
        <f t="shared" si="6"/>
        <v>0.16620887724066236</v>
      </c>
      <c r="P29" s="307"/>
      <c r="Q29" s="406"/>
      <c r="R29" s="499"/>
      <c r="S29" s="408">
        <f>SUM(S15:S28)</f>
        <v>85287.739999999991</v>
      </c>
      <c r="T29" s="409"/>
      <c r="U29" s="410">
        <f t="shared" si="9"/>
        <v>10434.319999999992</v>
      </c>
      <c r="V29" s="411">
        <f t="shared" si="10"/>
        <v>0.13939670358415143</v>
      </c>
      <c r="W29" s="307"/>
      <c r="X29" s="406"/>
      <c r="Y29" s="499"/>
      <c r="Z29" s="408">
        <f>SUM(Z15:Z28)</f>
        <v>91079.23000000001</v>
      </c>
      <c r="AA29" s="409"/>
      <c r="AB29" s="410">
        <f t="shared" si="13"/>
        <v>5791.4900000000198</v>
      </c>
      <c r="AC29" s="411">
        <f t="shared" si="14"/>
        <v>6.7905305029773572E-2</v>
      </c>
      <c r="AD29" s="307"/>
      <c r="AE29" s="406"/>
      <c r="AF29" s="499"/>
      <c r="AG29" s="408">
        <f>SUM(AG15:AG28)</f>
        <v>97610.950000000012</v>
      </c>
      <c r="AH29" s="409"/>
      <c r="AI29" s="410">
        <f t="shared" si="17"/>
        <v>6531.7200000000012</v>
      </c>
      <c r="AJ29" s="411">
        <f t="shared" si="18"/>
        <v>7.1714703780433806E-2</v>
      </c>
      <c r="AK29" s="307"/>
      <c r="AL29" s="406"/>
      <c r="AM29" s="499"/>
      <c r="AN29" s="408">
        <f>SUM(AN15:AN28)</f>
        <v>103920.68</v>
      </c>
      <c r="AO29" s="409"/>
      <c r="AP29" s="410">
        <f t="shared" si="21"/>
        <v>6309.7299999999814</v>
      </c>
      <c r="AQ29" s="411">
        <f t="shared" si="22"/>
        <v>6.4641620637848327E-2</v>
      </c>
      <c r="AR29" s="412"/>
    </row>
    <row r="30" spans="1:44" ht="12.75" customHeight="1">
      <c r="A30" s="52"/>
      <c r="B30" s="403" t="s">
        <v>237</v>
      </c>
      <c r="C30" s="394" t="str">
        <f t="shared" ref="C30:C38" si="23">D$6&amp;"."&amp;B30</f>
        <v>Large User.DVA Disposition Rate Rider Group 1 -2025</v>
      </c>
      <c r="D30" s="395" t="s">
        <v>381</v>
      </c>
      <c r="E30" s="321"/>
      <c r="F30" s="413">
        <f>IFERROR(VLOOKUP($C30,'Proposed Rates'!$B:$J,F$11,FALSE),0)</f>
        <v>6.3399999999999998E-2</v>
      </c>
      <c r="G30" s="414">
        <f t="shared" ref="G30:G36" si="24">IF($D30="Monthly",1,IF($D30="per KW",$F$10,IF($D30="per kWh",$F$9,0)))</f>
        <v>7900</v>
      </c>
      <c r="H30" s="399">
        <f t="shared" ref="H30:H38" si="25">G30*F30</f>
        <v>500.85999999999996</v>
      </c>
      <c r="I30" s="132"/>
      <c r="J30" s="413">
        <f>IFERROR(VLOOKUP($C30,'Proposed Rates'!$B:$J,J$11,FALSE),0)</f>
        <v>-0.27450000000000002</v>
      </c>
      <c r="K30" s="414">
        <f t="shared" ref="K30:K36" si="26">IF($D30="Monthly",1,IF($D30="per KW",$F$10,IF($D30="per kWh",$F$9,0)))</f>
        <v>7900</v>
      </c>
      <c r="L30" s="399">
        <f t="shared" ref="L30:L38" si="27">K30*J30</f>
        <v>-2168.5500000000002</v>
      </c>
      <c r="M30" s="132"/>
      <c r="N30" s="400">
        <f t="shared" si="5"/>
        <v>-2669.4100000000003</v>
      </c>
      <c r="O30" s="401">
        <f t="shared" si="6"/>
        <v>-5.3296529968454269</v>
      </c>
      <c r="P30" s="52"/>
      <c r="Q30" s="413">
        <f>IFERROR(VLOOKUP($C30,'Proposed Rates'!$B:$J,Q$11,FALSE),0)</f>
        <v>0</v>
      </c>
      <c r="R30" s="414">
        <f t="shared" ref="R30:R36" si="28">IF($D30="Monthly",1,IF($D30="per KW",$F$10,IF($D30="per kWh",$F$9,0)))</f>
        <v>7900</v>
      </c>
      <c r="S30" s="399">
        <f t="shared" ref="S30:S38" si="29">R30*Q30</f>
        <v>0</v>
      </c>
      <c r="T30" s="132"/>
      <c r="U30" s="400">
        <f t="shared" si="9"/>
        <v>2168.5500000000002</v>
      </c>
      <c r="V30" s="401">
        <f t="shared" si="10"/>
        <v>-1</v>
      </c>
      <c r="W30" s="52"/>
      <c r="X30" s="413">
        <f>IFERROR(VLOOKUP($C30,'Proposed Rates'!$B:$J,X$11,FALSE),0)</f>
        <v>0</v>
      </c>
      <c r="Y30" s="414">
        <f t="shared" ref="Y30:Y36" si="30">IF($D30="Monthly",1,IF($D30="per KW",$F$10,IF($D30="per kWh",$F$9,0)))</f>
        <v>7900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7900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7900</v>
      </c>
      <c r="AN30" s="399">
        <f t="shared" ref="AN30:AN38" si="35">AM30*AL30</f>
        <v>0</v>
      </c>
      <c r="AO30" s="132"/>
      <c r="AP30" s="400">
        <f t="shared" si="21"/>
        <v>0</v>
      </c>
      <c r="AQ30" s="401" t="str">
        <f t="shared" si="22"/>
        <v/>
      </c>
      <c r="AR30" s="402"/>
    </row>
    <row r="31" spans="1:44" ht="12.75" customHeight="1">
      <c r="A31" s="52"/>
      <c r="B31" s="483" t="s">
        <v>239</v>
      </c>
      <c r="C31" s="394" t="str">
        <f t="shared" si="23"/>
        <v>Large User.DVA Disposition Rate Rider Group 1 - 2024</v>
      </c>
      <c r="D31" s="395" t="s">
        <v>381</v>
      </c>
      <c r="E31" s="321"/>
      <c r="F31" s="396">
        <f>IFERROR(VLOOKUP($C31,'Proposed Rates'!$B:$J,F$11,FALSE),0)</f>
        <v>0</v>
      </c>
      <c r="G31" s="414">
        <f t="shared" si="24"/>
        <v>7900</v>
      </c>
      <c r="H31" s="399">
        <f t="shared" si="25"/>
        <v>0</v>
      </c>
      <c r="I31" s="132"/>
      <c r="J31" s="396">
        <f>IFERROR(VLOOKUP($C31,'Proposed Rates'!$B:$J,J$11,FALSE),0)</f>
        <v>0</v>
      </c>
      <c r="K31" s="414">
        <f t="shared" si="26"/>
        <v>7900</v>
      </c>
      <c r="L31" s="399">
        <f t="shared" si="27"/>
        <v>0</v>
      </c>
      <c r="M31" s="132"/>
      <c r="N31" s="400">
        <f t="shared" si="5"/>
        <v>0</v>
      </c>
      <c r="O31" s="401" t="str">
        <f t="shared" si="6"/>
        <v/>
      </c>
      <c r="P31" s="52"/>
      <c r="Q31" s="396">
        <f>IFERROR(VLOOKUP($C31,'Proposed Rates'!$B:$J,Q$11,FALSE),0)</f>
        <v>0</v>
      </c>
      <c r="R31" s="414">
        <f t="shared" si="28"/>
        <v>7900</v>
      </c>
      <c r="S31" s="399">
        <f t="shared" si="29"/>
        <v>0</v>
      </c>
      <c r="T31" s="132"/>
      <c r="U31" s="400">
        <f t="shared" si="9"/>
        <v>0</v>
      </c>
      <c r="V31" s="401" t="str">
        <f t="shared" si="10"/>
        <v/>
      </c>
      <c r="W31" s="52"/>
      <c r="X31" s="396">
        <f>IFERROR(VLOOKUP($C31,'Proposed Rates'!$B:$J,X$11,FALSE),0)</f>
        <v>0</v>
      </c>
      <c r="Y31" s="414">
        <f t="shared" si="30"/>
        <v>7900</v>
      </c>
      <c r="Z31" s="399">
        <f t="shared" si="31"/>
        <v>0</v>
      </c>
      <c r="AA31" s="132"/>
      <c r="AB31" s="400">
        <f t="shared" si="13"/>
        <v>0</v>
      </c>
      <c r="AC31" s="401" t="str">
        <f t="shared" si="14"/>
        <v/>
      </c>
      <c r="AD31" s="52"/>
      <c r="AE31" s="396">
        <f>IFERROR(VLOOKUP($C31,'Proposed Rates'!$B:$J,AE$11,FALSE),0)</f>
        <v>0</v>
      </c>
      <c r="AF31" s="414">
        <f t="shared" si="32"/>
        <v>7900</v>
      </c>
      <c r="AG31" s="399">
        <f t="shared" si="33"/>
        <v>0</v>
      </c>
      <c r="AH31" s="132"/>
      <c r="AI31" s="400">
        <f t="shared" si="17"/>
        <v>0</v>
      </c>
      <c r="AJ31" s="401" t="str">
        <f t="shared" si="18"/>
        <v/>
      </c>
      <c r="AK31" s="52"/>
      <c r="AL31" s="396">
        <f>IFERROR(VLOOKUP($C31,'Proposed Rates'!$B:$J,AL$11,FALSE),0)</f>
        <v>0</v>
      </c>
      <c r="AM31" s="414">
        <f t="shared" si="34"/>
        <v>7900</v>
      </c>
      <c r="AN31" s="399">
        <f t="shared" si="35"/>
        <v>0</v>
      </c>
      <c r="AO31" s="132"/>
      <c r="AP31" s="400">
        <f t="shared" si="21"/>
        <v>0</v>
      </c>
      <c r="AQ31" s="401" t="str">
        <f t="shared" si="22"/>
        <v/>
      </c>
      <c r="AR31" s="402"/>
    </row>
    <row r="32" spans="1:44" ht="12.75" customHeight="1">
      <c r="A32" s="52"/>
      <c r="B32" s="483" t="s">
        <v>247</v>
      </c>
      <c r="C32" s="394" t="str">
        <f t="shared" si="23"/>
        <v>Large User.CBR Class B Rate Riders</v>
      </c>
      <c r="D32" s="395" t="s">
        <v>312</v>
      </c>
      <c r="E32" s="321"/>
      <c r="F32" s="413">
        <f>IFERROR(VLOOKUP($C32,'Proposed Rates'!$B:$J,F$11,FALSE),0)</f>
        <v>2.0000000000000001E-4</v>
      </c>
      <c r="G32" s="414">
        <f t="shared" si="24"/>
        <v>4290127</v>
      </c>
      <c r="H32" s="399">
        <f t="shared" si="25"/>
        <v>858.02539999999999</v>
      </c>
      <c r="I32" s="484"/>
      <c r="J32" s="413">
        <f>IFERROR(VLOOKUP($C32,'Proposed Rates'!$B:$J,J$11,FALSE),0)</f>
        <v>4.0000000000000002E-4</v>
      </c>
      <c r="K32" s="414">
        <f t="shared" si="26"/>
        <v>4290127</v>
      </c>
      <c r="L32" s="399">
        <f t="shared" si="27"/>
        <v>1716.0508</v>
      </c>
      <c r="M32" s="416"/>
      <c r="N32" s="400">
        <f t="shared" si="5"/>
        <v>858.02539999999999</v>
      </c>
      <c r="O32" s="401">
        <f t="shared" si="6"/>
        <v>1</v>
      </c>
      <c r="P32" s="52"/>
      <c r="Q32" s="413">
        <f>IFERROR(VLOOKUP($C32,'Proposed Rates'!$B:$J,Q$11,FALSE),0)</f>
        <v>0</v>
      </c>
      <c r="R32" s="414">
        <f t="shared" si="28"/>
        <v>4290127</v>
      </c>
      <c r="S32" s="399">
        <f t="shared" si="29"/>
        <v>0</v>
      </c>
      <c r="T32" s="416"/>
      <c r="U32" s="400">
        <f t="shared" si="9"/>
        <v>-1716.0508</v>
      </c>
      <c r="V32" s="401">
        <f t="shared" si="10"/>
        <v>-1</v>
      </c>
      <c r="W32" s="52"/>
      <c r="X32" s="413">
        <f>IFERROR(VLOOKUP($C32,'Proposed Rates'!$B:$J,X$11,FALSE),0)</f>
        <v>0</v>
      </c>
      <c r="Y32" s="414">
        <f t="shared" si="30"/>
        <v>4290127</v>
      </c>
      <c r="Z32" s="399">
        <f t="shared" si="31"/>
        <v>0</v>
      </c>
      <c r="AA32" s="132"/>
      <c r="AB32" s="400">
        <f t="shared" si="13"/>
        <v>0</v>
      </c>
      <c r="AC32" s="401" t="str">
        <f t="shared" si="14"/>
        <v/>
      </c>
      <c r="AD32" s="52"/>
      <c r="AE32" s="413">
        <f>IFERROR(VLOOKUP($C32,'Proposed Rates'!$B:$J,AE$11,FALSE),0)</f>
        <v>0</v>
      </c>
      <c r="AF32" s="414">
        <f t="shared" si="32"/>
        <v>4290127</v>
      </c>
      <c r="AG32" s="399">
        <f t="shared" si="33"/>
        <v>0</v>
      </c>
      <c r="AH32" s="132"/>
      <c r="AI32" s="400">
        <f t="shared" si="17"/>
        <v>0</v>
      </c>
      <c r="AJ32" s="401" t="str">
        <f t="shared" si="18"/>
        <v/>
      </c>
      <c r="AK32" s="52"/>
      <c r="AL32" s="413">
        <f>IFERROR(VLOOKUP($C32,'Proposed Rates'!$B:$J,AL$11,FALSE),0)</f>
        <v>0</v>
      </c>
      <c r="AM32" s="414">
        <f t="shared" si="34"/>
        <v>4290127</v>
      </c>
      <c r="AN32" s="399">
        <f t="shared" si="35"/>
        <v>0</v>
      </c>
      <c r="AO32" s="416"/>
      <c r="AP32" s="400">
        <f t="shared" si="21"/>
        <v>0</v>
      </c>
      <c r="AQ32" s="401" t="str">
        <f t="shared" si="22"/>
        <v/>
      </c>
      <c r="AR32" s="402"/>
    </row>
    <row r="33" spans="1:44" ht="12.75" customHeight="1">
      <c r="A33" s="52"/>
      <c r="B33" s="483" t="s">
        <v>252</v>
      </c>
      <c r="C33" s="394" t="str">
        <f t="shared" si="23"/>
        <v>Large User.GA Rate Riders</v>
      </c>
      <c r="D33" s="395" t="s">
        <v>312</v>
      </c>
      <c r="E33" s="321"/>
      <c r="F33" s="413">
        <f>IFERROR(VLOOKUP($C33,'Proposed Rates'!$B:$J,F$11,FALSE),0)</f>
        <v>3.8999999999999998E-3</v>
      </c>
      <c r="G33" s="414">
        <f t="shared" si="24"/>
        <v>4290127</v>
      </c>
      <c r="H33" s="399">
        <f t="shared" si="25"/>
        <v>16731.495299999999</v>
      </c>
      <c r="I33" s="484"/>
      <c r="J33" s="413">
        <f>IFERROR(VLOOKUP($C33,'Proposed Rates'!$B:$J,J$11,FALSE),0)</f>
        <v>4.4000000000000003E-3</v>
      </c>
      <c r="K33" s="414">
        <f t="shared" si="26"/>
        <v>4290127</v>
      </c>
      <c r="L33" s="399">
        <f t="shared" si="27"/>
        <v>18876.558800000003</v>
      </c>
      <c r="M33" s="416"/>
      <c r="N33" s="400">
        <f t="shared" si="5"/>
        <v>2145.0635000000038</v>
      </c>
      <c r="O33" s="401">
        <f t="shared" si="6"/>
        <v>0.12820512820512844</v>
      </c>
      <c r="P33" s="52"/>
      <c r="Q33" s="413">
        <f>IFERROR(VLOOKUP($C33,'Proposed Rates'!$B:$J,Q$11,FALSE),0)</f>
        <v>0</v>
      </c>
      <c r="R33" s="414">
        <f t="shared" si="28"/>
        <v>4290127</v>
      </c>
      <c r="S33" s="399">
        <f t="shared" si="29"/>
        <v>0</v>
      </c>
      <c r="T33" s="416"/>
      <c r="U33" s="400">
        <f t="shared" si="9"/>
        <v>-18876.558800000003</v>
      </c>
      <c r="V33" s="401">
        <f t="shared" si="10"/>
        <v>-1</v>
      </c>
      <c r="W33" s="52"/>
      <c r="X33" s="413">
        <f>IFERROR(VLOOKUP($C33,'Proposed Rates'!$B:$J,X$11,FALSE),0)</f>
        <v>0</v>
      </c>
      <c r="Y33" s="414">
        <f t="shared" si="30"/>
        <v>4290127</v>
      </c>
      <c r="Z33" s="399">
        <f t="shared" si="31"/>
        <v>0</v>
      </c>
      <c r="AA33" s="416"/>
      <c r="AB33" s="400">
        <f t="shared" si="13"/>
        <v>0</v>
      </c>
      <c r="AC33" s="401" t="str">
        <f t="shared" si="14"/>
        <v/>
      </c>
      <c r="AD33" s="52"/>
      <c r="AE33" s="413">
        <f>IFERROR(VLOOKUP($C33,'Proposed Rates'!$B:$J,AE$11,FALSE),0)</f>
        <v>0</v>
      </c>
      <c r="AF33" s="414">
        <f t="shared" si="32"/>
        <v>4290127</v>
      </c>
      <c r="AG33" s="399">
        <f t="shared" si="33"/>
        <v>0</v>
      </c>
      <c r="AH33" s="416"/>
      <c r="AI33" s="400">
        <f t="shared" si="17"/>
        <v>0</v>
      </c>
      <c r="AJ33" s="401" t="str">
        <f t="shared" si="18"/>
        <v/>
      </c>
      <c r="AK33" s="52"/>
      <c r="AL33" s="413">
        <f>IFERROR(VLOOKUP($C33,'Proposed Rates'!$B:$J,AL$11,FALSE),0)</f>
        <v>0</v>
      </c>
      <c r="AM33" s="414">
        <f t="shared" si="34"/>
        <v>4290127</v>
      </c>
      <c r="AN33" s="399">
        <f t="shared" si="35"/>
        <v>0</v>
      </c>
      <c r="AO33" s="416"/>
      <c r="AP33" s="400">
        <f t="shared" si="21"/>
        <v>0</v>
      </c>
      <c r="AQ33" s="401" t="str">
        <f t="shared" si="22"/>
        <v/>
      </c>
      <c r="AR33" s="402"/>
    </row>
    <row r="34" spans="1:44" ht="12.75" customHeight="1">
      <c r="A34" s="52"/>
      <c r="B34" s="483" t="s">
        <v>255</v>
      </c>
      <c r="C34" s="394" t="str">
        <f t="shared" si="23"/>
        <v>Large User.Total Deferral/Variance Account Rate RidersYr2</v>
      </c>
      <c r="D34" s="395" t="s">
        <v>381</v>
      </c>
      <c r="E34" s="321"/>
      <c r="F34" s="396">
        <f>IFERROR(VLOOKUP($C34,'Proposed Rates'!$B:$J,F$11,FALSE),0)</f>
        <v>0</v>
      </c>
      <c r="G34" s="414">
        <f t="shared" si="24"/>
        <v>7900</v>
      </c>
      <c r="H34" s="399">
        <f t="shared" si="25"/>
        <v>0</v>
      </c>
      <c r="I34" s="484"/>
      <c r="J34" s="396">
        <f>IFERROR(VLOOKUP($C34,'Proposed Rates'!$B:$J,J$11,FALSE),0)</f>
        <v>0</v>
      </c>
      <c r="K34" s="414">
        <f t="shared" si="26"/>
        <v>7900</v>
      </c>
      <c r="L34" s="399">
        <f t="shared" si="27"/>
        <v>0</v>
      </c>
      <c r="M34" s="416"/>
      <c r="N34" s="400">
        <f t="shared" si="5"/>
        <v>0</v>
      </c>
      <c r="O34" s="401" t="str">
        <f t="shared" si="6"/>
        <v/>
      </c>
      <c r="P34" s="52"/>
      <c r="Q34" s="396">
        <f>IFERROR(VLOOKUP($C34,'Proposed Rates'!$B:$J,Q$11,FALSE),0)</f>
        <v>0</v>
      </c>
      <c r="R34" s="414">
        <f t="shared" si="28"/>
        <v>7900</v>
      </c>
      <c r="S34" s="399">
        <f t="shared" si="29"/>
        <v>0</v>
      </c>
      <c r="T34" s="416"/>
      <c r="U34" s="400">
        <f t="shared" si="9"/>
        <v>0</v>
      </c>
      <c r="V34" s="401" t="str">
        <f t="shared" si="10"/>
        <v/>
      </c>
      <c r="W34" s="52"/>
      <c r="X34" s="396">
        <f>IFERROR(VLOOKUP($C34,'Proposed Rates'!$B:$J,X$11,FALSE),0)</f>
        <v>0</v>
      </c>
      <c r="Y34" s="414">
        <f t="shared" si="30"/>
        <v>7900</v>
      </c>
      <c r="Z34" s="399">
        <f t="shared" si="31"/>
        <v>0</v>
      </c>
      <c r="AA34" s="416"/>
      <c r="AB34" s="400">
        <f t="shared" si="13"/>
        <v>0</v>
      </c>
      <c r="AC34" s="401" t="str">
        <f t="shared" si="14"/>
        <v/>
      </c>
      <c r="AD34" s="52"/>
      <c r="AE34" s="396">
        <f>IFERROR(VLOOKUP($C34,'Proposed Rates'!$B:$J,AE$11,FALSE),0)</f>
        <v>0</v>
      </c>
      <c r="AF34" s="414">
        <f t="shared" si="32"/>
        <v>7900</v>
      </c>
      <c r="AG34" s="399">
        <f t="shared" si="33"/>
        <v>0</v>
      </c>
      <c r="AH34" s="416"/>
      <c r="AI34" s="400">
        <f t="shared" si="17"/>
        <v>0</v>
      </c>
      <c r="AJ34" s="401" t="str">
        <f t="shared" si="18"/>
        <v/>
      </c>
      <c r="AK34" s="52"/>
      <c r="AL34" s="396">
        <f>IFERROR(VLOOKUP($C34,'Proposed Rates'!$B:$J,AL$11,FALSE),0)</f>
        <v>0</v>
      </c>
      <c r="AM34" s="414">
        <f t="shared" si="34"/>
        <v>7900</v>
      </c>
      <c r="AN34" s="399">
        <f t="shared" si="35"/>
        <v>0</v>
      </c>
      <c r="AO34" s="416"/>
      <c r="AP34" s="400">
        <f t="shared" si="21"/>
        <v>0</v>
      </c>
      <c r="AQ34" s="401" t="str">
        <f t="shared" si="22"/>
        <v/>
      </c>
      <c r="AR34" s="402"/>
    </row>
    <row r="35" spans="1:44" ht="12.75" customHeight="1">
      <c r="A35" s="52"/>
      <c r="B35" s="483" t="s">
        <v>257</v>
      </c>
      <c r="C35" s="394" t="str">
        <f t="shared" si="23"/>
        <v>Large User.Total Deferral/Variance Account Rate Riders</v>
      </c>
      <c r="D35" s="395" t="s">
        <v>381</v>
      </c>
      <c r="E35" s="321"/>
      <c r="F35" s="396">
        <f>IFERROR(VLOOKUP($C35,'Proposed Rates'!$B:$J,F$11,FALSE),0)</f>
        <v>0</v>
      </c>
      <c r="G35" s="414">
        <f t="shared" si="24"/>
        <v>7900</v>
      </c>
      <c r="H35" s="399">
        <f t="shared" si="25"/>
        <v>0</v>
      </c>
      <c r="I35" s="132"/>
      <c r="J35" s="396">
        <f>IFERROR(VLOOKUP($C35,'Proposed Rates'!$B:$J,J$11,FALSE),0)</f>
        <v>0</v>
      </c>
      <c r="K35" s="414">
        <f t="shared" si="26"/>
        <v>7900</v>
      </c>
      <c r="L35" s="399">
        <f t="shared" si="27"/>
        <v>0</v>
      </c>
      <c r="M35" s="132"/>
      <c r="N35" s="400">
        <f t="shared" si="5"/>
        <v>0</v>
      </c>
      <c r="O35" s="401" t="str">
        <f t="shared" si="6"/>
        <v/>
      </c>
      <c r="P35" s="52"/>
      <c r="Q35" s="396">
        <f>IFERROR(VLOOKUP($C35,'Proposed Rates'!$B:$J,Q$11,FALSE),0)</f>
        <v>0</v>
      </c>
      <c r="R35" s="414">
        <f t="shared" si="28"/>
        <v>7900</v>
      </c>
      <c r="S35" s="399">
        <f t="shared" si="29"/>
        <v>0</v>
      </c>
      <c r="T35" s="132"/>
      <c r="U35" s="400">
        <f t="shared" si="9"/>
        <v>0</v>
      </c>
      <c r="V35" s="401" t="str">
        <f t="shared" si="10"/>
        <v/>
      </c>
      <c r="W35" s="52"/>
      <c r="X35" s="396">
        <f>IFERROR(VLOOKUP($C35,'Proposed Rates'!$B:$J,X$11,FALSE),0)</f>
        <v>0</v>
      </c>
      <c r="Y35" s="414">
        <f t="shared" si="30"/>
        <v>7900</v>
      </c>
      <c r="Z35" s="399">
        <f t="shared" si="31"/>
        <v>0</v>
      </c>
      <c r="AA35" s="132"/>
      <c r="AB35" s="400">
        <f t="shared" si="13"/>
        <v>0</v>
      </c>
      <c r="AC35" s="401" t="str">
        <f t="shared" si="14"/>
        <v/>
      </c>
      <c r="AD35" s="52"/>
      <c r="AE35" s="396">
        <f>IFERROR(VLOOKUP($C35,'Proposed Rates'!$B:$J,AE$11,FALSE),0)</f>
        <v>0</v>
      </c>
      <c r="AF35" s="414">
        <f t="shared" si="32"/>
        <v>7900</v>
      </c>
      <c r="AG35" s="399">
        <f t="shared" si="33"/>
        <v>0</v>
      </c>
      <c r="AH35" s="132"/>
      <c r="AI35" s="400">
        <f t="shared" si="17"/>
        <v>0</v>
      </c>
      <c r="AJ35" s="401" t="str">
        <f t="shared" si="18"/>
        <v/>
      </c>
      <c r="AK35" s="52"/>
      <c r="AL35" s="396">
        <f>IFERROR(VLOOKUP($C35,'Proposed Rates'!$B:$J,AL$11,FALSE),0)</f>
        <v>0</v>
      </c>
      <c r="AM35" s="414">
        <f t="shared" si="34"/>
        <v>7900</v>
      </c>
      <c r="AN35" s="399">
        <f t="shared" si="35"/>
        <v>0</v>
      </c>
      <c r="AO35" s="132"/>
      <c r="AP35" s="400">
        <f t="shared" si="21"/>
        <v>0</v>
      </c>
      <c r="AQ35" s="401" t="str">
        <f t="shared" si="22"/>
        <v/>
      </c>
      <c r="AR35" s="402"/>
    </row>
    <row r="36" spans="1:44" ht="12.75" customHeight="1">
      <c r="A36" s="52"/>
      <c r="B36" s="321" t="s">
        <v>273</v>
      </c>
      <c r="C36" s="394" t="str">
        <f t="shared" si="23"/>
        <v>Large User.Low Voltage Service Charge</v>
      </c>
      <c r="D36" s="395" t="s">
        <v>381</v>
      </c>
      <c r="E36" s="321"/>
      <c r="F36" s="417">
        <f>IFERROR(VLOOKUP($C36,'Proposed Rates'!$B:$J,F$11,FALSE),0)</f>
        <v>2.4819999999999998E-2</v>
      </c>
      <c r="G36" s="414">
        <f t="shared" si="24"/>
        <v>7900</v>
      </c>
      <c r="H36" s="399">
        <f t="shared" si="25"/>
        <v>196.07799999999997</v>
      </c>
      <c r="I36" s="132"/>
      <c r="J36" s="417">
        <f>IFERROR(VLOOKUP($C36,'Proposed Rates'!$B:$J,J$11,FALSE),0)</f>
        <v>2.716E-2</v>
      </c>
      <c r="K36" s="414">
        <f t="shared" si="26"/>
        <v>7900</v>
      </c>
      <c r="L36" s="399">
        <f t="shared" si="27"/>
        <v>214.56399999999999</v>
      </c>
      <c r="M36" s="132"/>
      <c r="N36" s="400">
        <f t="shared" si="5"/>
        <v>18.486000000000018</v>
      </c>
      <c r="O36" s="401">
        <f t="shared" si="6"/>
        <v>9.4278807413376409E-2</v>
      </c>
      <c r="P36" s="52"/>
      <c r="Q36" s="417">
        <f>IFERROR(VLOOKUP($C36,'Proposed Rates'!$B:$J,Q$11,FALSE),0)</f>
        <v>2.7869999999999999E-2</v>
      </c>
      <c r="R36" s="414">
        <f t="shared" si="28"/>
        <v>7900</v>
      </c>
      <c r="S36" s="399">
        <f t="shared" si="29"/>
        <v>220.173</v>
      </c>
      <c r="T36" s="132"/>
      <c r="U36" s="400">
        <f t="shared" si="9"/>
        <v>5.6090000000000089</v>
      </c>
      <c r="V36" s="401">
        <f t="shared" si="10"/>
        <v>2.6141384388807112E-2</v>
      </c>
      <c r="W36" s="52"/>
      <c r="X36" s="417">
        <f>IFERROR(VLOOKUP($C36,'Proposed Rates'!$B:$J,X$11,FALSE),0)</f>
        <v>2.8209999999999999E-2</v>
      </c>
      <c r="Y36" s="414">
        <f t="shared" si="30"/>
        <v>7900</v>
      </c>
      <c r="Z36" s="399">
        <f t="shared" si="31"/>
        <v>222.85899999999998</v>
      </c>
      <c r="AA36" s="132"/>
      <c r="AB36" s="400">
        <f t="shared" si="13"/>
        <v>2.6859999999999786</v>
      </c>
      <c r="AC36" s="401">
        <f t="shared" si="14"/>
        <v>1.2199497667742996E-2</v>
      </c>
      <c r="AD36" s="52"/>
      <c r="AE36" s="417">
        <f>IFERROR(VLOOKUP($C36,'Proposed Rates'!$B:$J,AE$11,FALSE),0)</f>
        <v>2.8660000000000001E-2</v>
      </c>
      <c r="AF36" s="414">
        <f t="shared" si="32"/>
        <v>7900</v>
      </c>
      <c r="AG36" s="399">
        <f t="shared" si="33"/>
        <v>226.41400000000002</v>
      </c>
      <c r="AH36" s="132"/>
      <c r="AI36" s="400">
        <f t="shared" si="17"/>
        <v>3.5550000000000352</v>
      </c>
      <c r="AJ36" s="401">
        <f t="shared" si="18"/>
        <v>1.5951790145338693E-2</v>
      </c>
      <c r="AK36" s="52"/>
      <c r="AL36" s="417">
        <f>IFERROR(VLOOKUP($C36,'Proposed Rates'!$B:$J,AL$11,FALSE),0)</f>
        <v>2.9170000000000001E-2</v>
      </c>
      <c r="AM36" s="414">
        <f t="shared" si="34"/>
        <v>7900</v>
      </c>
      <c r="AN36" s="399">
        <f t="shared" si="35"/>
        <v>230.44300000000001</v>
      </c>
      <c r="AO36" s="132"/>
      <c r="AP36" s="400">
        <f t="shared" si="21"/>
        <v>4.0289999999999964</v>
      </c>
      <c r="AQ36" s="401">
        <f t="shared" si="22"/>
        <v>1.7794836008374022E-2</v>
      </c>
      <c r="AR36" s="402"/>
    </row>
    <row r="37" spans="1:44" ht="12.75" customHeight="1">
      <c r="A37" s="52"/>
      <c r="B37" s="321" t="s">
        <v>316</v>
      </c>
      <c r="C37" s="394" t="str">
        <f t="shared" si="23"/>
        <v>Large User.Line Losses on Cost of Power</v>
      </c>
      <c r="D37" s="395" t="s">
        <v>312</v>
      </c>
      <c r="E37" s="321"/>
      <c r="F37" s="557"/>
      <c r="G37" s="506">
        <f>$F$9*(1+F$65)-$F$9</f>
        <v>21879.647700000554</v>
      </c>
      <c r="H37" s="399">
        <f t="shared" si="25"/>
        <v>0</v>
      </c>
      <c r="I37" s="132"/>
      <c r="J37" s="557"/>
      <c r="K37" s="506">
        <f>$F$9*(1+J$65)-$F$9</f>
        <v>20592.609600000083</v>
      </c>
      <c r="L37" s="399">
        <f t="shared" si="27"/>
        <v>0</v>
      </c>
      <c r="M37" s="132"/>
      <c r="N37" s="400">
        <f t="shared" si="5"/>
        <v>0</v>
      </c>
      <c r="O37" s="401" t="str">
        <f t="shared" si="6"/>
        <v/>
      </c>
      <c r="P37" s="52"/>
      <c r="Q37" s="557"/>
      <c r="R37" s="506">
        <f>$F$9*(1+Q$65)-$F$9</f>
        <v>20592.609600000083</v>
      </c>
      <c r="S37" s="399">
        <f t="shared" si="29"/>
        <v>0</v>
      </c>
      <c r="T37" s="132"/>
      <c r="U37" s="400">
        <f t="shared" si="9"/>
        <v>0</v>
      </c>
      <c r="V37" s="401" t="str">
        <f t="shared" si="10"/>
        <v/>
      </c>
      <c r="W37" s="52"/>
      <c r="X37" s="557"/>
      <c r="Y37" s="506">
        <f>$F$9*(1+X$65)-$F$9</f>
        <v>20592.609600000083</v>
      </c>
      <c r="Z37" s="399">
        <f t="shared" si="31"/>
        <v>0</v>
      </c>
      <c r="AA37" s="132"/>
      <c r="AB37" s="400">
        <f t="shared" si="13"/>
        <v>0</v>
      </c>
      <c r="AC37" s="401" t="str">
        <f t="shared" si="14"/>
        <v/>
      </c>
      <c r="AD37" s="52"/>
      <c r="AE37" s="557"/>
      <c r="AF37" s="506">
        <f>$F$9*(1+AE$65)-$F$9</f>
        <v>20592.609600000083</v>
      </c>
      <c r="AG37" s="399">
        <f t="shared" si="33"/>
        <v>0</v>
      </c>
      <c r="AH37" s="132"/>
      <c r="AI37" s="400">
        <f t="shared" si="17"/>
        <v>0</v>
      </c>
      <c r="AJ37" s="401" t="str">
        <f t="shared" si="18"/>
        <v/>
      </c>
      <c r="AK37" s="52"/>
      <c r="AL37" s="557"/>
      <c r="AM37" s="506">
        <f>$F$9*(1+AL$65)-$F$9</f>
        <v>20592.609600000083</v>
      </c>
      <c r="AN37" s="399">
        <f t="shared" si="35"/>
        <v>0</v>
      </c>
      <c r="AO37" s="132"/>
      <c r="AP37" s="400">
        <f t="shared" si="21"/>
        <v>0</v>
      </c>
      <c r="AQ37" s="401" t="str">
        <f t="shared" si="22"/>
        <v/>
      </c>
      <c r="AR37" s="402"/>
    </row>
    <row r="38" spans="1:44" ht="12.75" customHeight="1">
      <c r="A38" s="52"/>
      <c r="B38" s="321" t="s">
        <v>275</v>
      </c>
      <c r="C38" s="394" t="str">
        <f t="shared" si="23"/>
        <v>Large User.Smart Meter Entity Charge</v>
      </c>
      <c r="D38" s="395" t="s">
        <v>310</v>
      </c>
      <c r="E38" s="321"/>
      <c r="F38" s="396">
        <f>IFERROR(VLOOKUP($C38,'Proposed Rates'!$B:$J,F$11,FALSE),0)</f>
        <v>0</v>
      </c>
      <c r="G38" s="414">
        <f>IF($D38="Monthly",1,IF($D38="per KW",$F$10,IF($D38="per kWh",$F$9,0)))</f>
        <v>1</v>
      </c>
      <c r="H38" s="399">
        <f t="shared" si="25"/>
        <v>0</v>
      </c>
      <c r="I38" s="132"/>
      <c r="J38" s="396">
        <f>IFERROR(VLOOKUP($C38,'Proposed Rates'!$B:$J,J$11,FALSE),0)</f>
        <v>0</v>
      </c>
      <c r="K38" s="414">
        <f>IF($D38="Monthly",1,IF($D38="per KW",$F$10,IF($D38="per kWh",$F$9,0)))</f>
        <v>1</v>
      </c>
      <c r="L38" s="399">
        <f t="shared" si="27"/>
        <v>0</v>
      </c>
      <c r="M38" s="132"/>
      <c r="N38" s="400">
        <f t="shared" si="5"/>
        <v>0</v>
      </c>
      <c r="O38" s="401" t="str">
        <f t="shared" si="6"/>
        <v/>
      </c>
      <c r="P38" s="52"/>
      <c r="Q38" s="396">
        <f>IFERROR(VLOOKUP($C38,'Proposed Rates'!$B:$J,Q$11,FALSE),0)</f>
        <v>0</v>
      </c>
      <c r="R38" s="414">
        <f>IF($D38="Monthly",1,IF($D38="per KW",$F$10,IF($D38="per kWh",$F$9,0)))</f>
        <v>1</v>
      </c>
      <c r="S38" s="399">
        <f t="shared" si="29"/>
        <v>0</v>
      </c>
      <c r="T38" s="132"/>
      <c r="U38" s="400">
        <f t="shared" si="9"/>
        <v>0</v>
      </c>
      <c r="V38" s="401" t="str">
        <f t="shared" si="10"/>
        <v/>
      </c>
      <c r="W38" s="52"/>
      <c r="X38" s="396">
        <f>IFERROR(VLOOKUP($C38,'Proposed Rates'!$B:$J,X$11,FALSE),0)</f>
        <v>0</v>
      </c>
      <c r="Y38" s="414">
        <f>IF($D38="Monthly",1,IF($D38="per KW",$F$10,IF($D38="per kWh",$F$9,0)))</f>
        <v>1</v>
      </c>
      <c r="Z38" s="399">
        <f t="shared" si="31"/>
        <v>0</v>
      </c>
      <c r="AA38" s="132"/>
      <c r="AB38" s="400">
        <f t="shared" si="13"/>
        <v>0</v>
      </c>
      <c r="AC38" s="401" t="str">
        <f t="shared" si="14"/>
        <v/>
      </c>
      <c r="AD38" s="52"/>
      <c r="AE38" s="396">
        <f>IFERROR(VLOOKUP($C38,'Proposed Rates'!$B:$J,AE$11,FALSE),0)</f>
        <v>0</v>
      </c>
      <c r="AF38" s="414">
        <f>IF($D38="Monthly",1,IF($D38="per KW",$F$10,IF($D38="per kWh",$F$9,0)))</f>
        <v>1</v>
      </c>
      <c r="AG38" s="399">
        <f t="shared" si="33"/>
        <v>0</v>
      </c>
      <c r="AH38" s="132"/>
      <c r="AI38" s="400">
        <f t="shared" si="17"/>
        <v>0</v>
      </c>
      <c r="AJ38" s="401" t="str">
        <f t="shared" si="18"/>
        <v/>
      </c>
      <c r="AK38" s="52"/>
      <c r="AL38" s="396">
        <f>IFERROR(VLOOKUP($C38,'Proposed Rates'!$B:$J,AL$11,FALSE),0)</f>
        <v>0</v>
      </c>
      <c r="AM38" s="414">
        <f>IF($D38="Monthly",1,IF($D38="per KW",$F$10,IF($D38="per kWh",$F$9,0)))</f>
        <v>1</v>
      </c>
      <c r="AN38" s="399">
        <f t="shared" si="35"/>
        <v>0</v>
      </c>
      <c r="AO38" s="132"/>
      <c r="AP38" s="400">
        <f t="shared" si="21"/>
        <v>0</v>
      </c>
      <c r="AQ38" s="401" t="str">
        <f t="shared" si="22"/>
        <v/>
      </c>
      <c r="AR38" s="402"/>
    </row>
    <row r="39" spans="1:44" ht="12.75" customHeight="1">
      <c r="A39" s="52"/>
      <c r="B39" s="485" t="s">
        <v>317</v>
      </c>
      <c r="C39" s="558"/>
      <c r="D39" s="421"/>
      <c r="E39" s="421"/>
      <c r="F39" s="422"/>
      <c r="G39" s="500"/>
      <c r="H39" s="408">
        <f>SUM(H30:H38)+H29</f>
        <v>82471.718699999998</v>
      </c>
      <c r="I39" s="424"/>
      <c r="J39" s="422"/>
      <c r="K39" s="500"/>
      <c r="L39" s="408">
        <f>SUM(L30:L38)+L29</f>
        <v>93492.043600000005</v>
      </c>
      <c r="M39" s="424"/>
      <c r="N39" s="410">
        <f t="shared" si="5"/>
        <v>11020.324900000007</v>
      </c>
      <c r="O39" s="411">
        <f t="shared" si="6"/>
        <v>0.13362550306593776</v>
      </c>
      <c r="P39" s="52"/>
      <c r="Q39" s="422"/>
      <c r="R39" s="500"/>
      <c r="S39" s="408">
        <f>SUM(S30:S38)+S29</f>
        <v>85507.912999999986</v>
      </c>
      <c r="T39" s="424"/>
      <c r="U39" s="410">
        <f t="shared" si="9"/>
        <v>-7984.1306000000186</v>
      </c>
      <c r="V39" s="411">
        <f t="shared" si="10"/>
        <v>-8.5399038170131711E-2</v>
      </c>
      <c r="W39" s="52"/>
      <c r="X39" s="422"/>
      <c r="Y39" s="500"/>
      <c r="Z39" s="408">
        <f>SUM(Z30:Z38)+Z29</f>
        <v>91302.089000000007</v>
      </c>
      <c r="AA39" s="424"/>
      <c r="AB39" s="410">
        <f t="shared" si="13"/>
        <v>5794.1760000000213</v>
      </c>
      <c r="AC39" s="411">
        <f t="shared" si="14"/>
        <v>6.776186900971401E-2</v>
      </c>
      <c r="AD39" s="52"/>
      <c r="AE39" s="422"/>
      <c r="AF39" s="500"/>
      <c r="AG39" s="408">
        <f>SUM(AG30:AG38)+AG29</f>
        <v>97837.364000000016</v>
      </c>
      <c r="AH39" s="424"/>
      <c r="AI39" s="410">
        <f t="shared" si="17"/>
        <v>6535.2750000000087</v>
      </c>
      <c r="AJ39" s="411">
        <f t="shared" si="18"/>
        <v>7.1578592248858708E-2</v>
      </c>
      <c r="AK39" s="52"/>
      <c r="AL39" s="422"/>
      <c r="AM39" s="500"/>
      <c r="AN39" s="408">
        <f>SUM(AN30:AN38)+AN29</f>
        <v>104151.12299999999</v>
      </c>
      <c r="AO39" s="424"/>
      <c r="AP39" s="410">
        <f t="shared" si="21"/>
        <v>6313.7589999999764</v>
      </c>
      <c r="AQ39" s="411">
        <f t="shared" si="22"/>
        <v>6.4533208396742731E-2</v>
      </c>
      <c r="AR39" s="412"/>
    </row>
    <row r="40" spans="1:44" ht="12.75" customHeight="1">
      <c r="A40" s="52"/>
      <c r="B40" s="132" t="s">
        <v>258</v>
      </c>
      <c r="C40" s="394" t="str">
        <f t="shared" ref="C40:C41" si="36">D$6&amp;"."&amp;B40</f>
        <v>Large User.RTSR - Network</v>
      </c>
      <c r="D40" s="425" t="s">
        <v>381</v>
      </c>
      <c r="E40" s="132"/>
      <c r="F40" s="413">
        <f>IFERROR(VLOOKUP($C40,'Proposed Rates'!$B:$J,F$11,FALSE),0)</f>
        <v>5.5801999999999996</v>
      </c>
      <c r="G40" s="414">
        <f t="shared" ref="G40:G41" si="37">IF($D40="Monthly",1,IF($D40="per KW",$F$10,IF($D40="per kWh",$F$9,0)))</f>
        <v>7900</v>
      </c>
      <c r="H40" s="399">
        <f t="shared" ref="H40:H41" si="38">G40*F40</f>
        <v>44083.579999999994</v>
      </c>
      <c r="I40" s="132"/>
      <c r="J40" s="413">
        <f>IFERROR(VLOOKUP($C40,'Proposed Rates'!$B:$J,J$11,FALSE),0)</f>
        <v>5.3339999999999996</v>
      </c>
      <c r="K40" s="414">
        <f t="shared" ref="K40:K41" si="39">IF($D40="Monthly",1,IF($D40="per KW",$F$10,IF($D40="per kWh",$F$9,0)))</f>
        <v>7900</v>
      </c>
      <c r="L40" s="399">
        <f t="shared" ref="L40:L41" si="40">K40*J40</f>
        <v>42138.6</v>
      </c>
      <c r="M40" s="132"/>
      <c r="N40" s="400">
        <f t="shared" si="5"/>
        <v>-1944.9799999999959</v>
      </c>
      <c r="O40" s="401">
        <f t="shared" si="6"/>
        <v>-4.412028242715306E-2</v>
      </c>
      <c r="P40" s="52"/>
      <c r="Q40" s="413">
        <f>IFERROR(VLOOKUP($C40,'Proposed Rates'!$B:$J,Q$11,FALSE),0)</f>
        <v>5.3339999999999996</v>
      </c>
      <c r="R40" s="414">
        <f t="shared" ref="R40:R41" si="41">IF($D40="Monthly",1,IF($D40="per KW",$F$10,IF($D40="per kWh",$F$9,0)))</f>
        <v>7900</v>
      </c>
      <c r="S40" s="399">
        <f t="shared" ref="S40:S41" si="42">R40*Q40</f>
        <v>42138.6</v>
      </c>
      <c r="T40" s="132"/>
      <c r="U40" s="400">
        <f t="shared" si="9"/>
        <v>0</v>
      </c>
      <c r="V40" s="401">
        <f t="shared" si="10"/>
        <v>0</v>
      </c>
      <c r="W40" s="52"/>
      <c r="X40" s="413">
        <f>IFERROR(VLOOKUP($C40,'Proposed Rates'!$B:$J,X$11,FALSE),0)</f>
        <v>5.3339999999999996</v>
      </c>
      <c r="Y40" s="414">
        <f t="shared" ref="Y40:Y41" si="43">IF($D40="Monthly",1,IF($D40="per KW",$F$10,IF($D40="per kWh",$F$9,0)))</f>
        <v>7900</v>
      </c>
      <c r="Z40" s="399">
        <f t="shared" ref="Z40:Z41" si="44">Y40*X40</f>
        <v>42138.6</v>
      </c>
      <c r="AA40" s="132"/>
      <c r="AB40" s="400">
        <f t="shared" si="13"/>
        <v>0</v>
      </c>
      <c r="AC40" s="401">
        <f t="shared" si="14"/>
        <v>0</v>
      </c>
      <c r="AD40" s="52"/>
      <c r="AE40" s="413">
        <f>IFERROR(VLOOKUP($C40,'Proposed Rates'!$B:$J,AE$11,FALSE),0)</f>
        <v>5.3339999999999996</v>
      </c>
      <c r="AF40" s="414">
        <f t="shared" ref="AF40:AF41" si="45">IF($D40="Monthly",1,IF($D40="per KW",$F$10,IF($D40="per kWh",$F$9,0)))</f>
        <v>7900</v>
      </c>
      <c r="AG40" s="399">
        <f t="shared" ref="AG40:AG41" si="46">AF40*AE40</f>
        <v>42138.6</v>
      </c>
      <c r="AH40" s="132"/>
      <c r="AI40" s="400">
        <f t="shared" si="17"/>
        <v>0</v>
      </c>
      <c r="AJ40" s="401">
        <f t="shared" si="18"/>
        <v>0</v>
      </c>
      <c r="AK40" s="52"/>
      <c r="AL40" s="413">
        <f>IFERROR(VLOOKUP($C40,'Proposed Rates'!$B:$J,AL$11,FALSE),0)</f>
        <v>5.3339999999999996</v>
      </c>
      <c r="AM40" s="414">
        <f t="shared" ref="AM40:AM41" si="47">IF($D40="Monthly",1,IF($D40="per KW",$F$10,IF($D40="per kWh",$F$9,0)))</f>
        <v>7900</v>
      </c>
      <c r="AN40" s="399">
        <f t="shared" ref="AN40:AN41" si="48">AM40*AL40</f>
        <v>42138.6</v>
      </c>
      <c r="AO40" s="132"/>
      <c r="AP40" s="400">
        <f t="shared" si="21"/>
        <v>0</v>
      </c>
      <c r="AQ40" s="401">
        <f t="shared" si="22"/>
        <v>0</v>
      </c>
      <c r="AR40" s="402"/>
    </row>
    <row r="41" spans="1:44" ht="12.75" customHeight="1">
      <c r="A41" s="52"/>
      <c r="B41" s="486" t="s">
        <v>261</v>
      </c>
      <c r="C41" s="394" t="str">
        <f t="shared" si="36"/>
        <v>Large User.RTSR - Line and Transformation Connection</v>
      </c>
      <c r="D41" s="425" t="s">
        <v>381</v>
      </c>
      <c r="E41" s="132"/>
      <c r="F41" s="413">
        <f>IFERROR(VLOOKUP($C41,'Proposed Rates'!$B:$J,F$11,FALSE),0)</f>
        <v>3.3923999999999999</v>
      </c>
      <c r="G41" s="414">
        <f t="shared" si="37"/>
        <v>7900</v>
      </c>
      <c r="H41" s="399">
        <f t="shared" si="38"/>
        <v>26799.96</v>
      </c>
      <c r="I41" s="132"/>
      <c r="J41" s="413">
        <f>IFERROR(VLOOKUP($C41,'Proposed Rates'!$B:$J,J$11,FALSE),0)</f>
        <v>3.0192999999999999</v>
      </c>
      <c r="K41" s="414">
        <f t="shared" si="39"/>
        <v>7900</v>
      </c>
      <c r="L41" s="399">
        <f t="shared" si="40"/>
        <v>23852.469999999998</v>
      </c>
      <c r="M41" s="132"/>
      <c r="N41" s="400">
        <f t="shared" si="5"/>
        <v>-2947.4900000000016</v>
      </c>
      <c r="O41" s="401">
        <f t="shared" si="6"/>
        <v>-0.10998113430020051</v>
      </c>
      <c r="P41" s="52"/>
      <c r="Q41" s="413">
        <f>IFERROR(VLOOKUP($C41,'Proposed Rates'!$B:$J,Q$11,FALSE),0)</f>
        <v>3.0192999999999999</v>
      </c>
      <c r="R41" s="414">
        <f t="shared" si="41"/>
        <v>7900</v>
      </c>
      <c r="S41" s="399">
        <f t="shared" si="42"/>
        <v>23852.469999999998</v>
      </c>
      <c r="T41" s="132"/>
      <c r="U41" s="400">
        <f t="shared" si="9"/>
        <v>0</v>
      </c>
      <c r="V41" s="401">
        <f t="shared" si="10"/>
        <v>0</v>
      </c>
      <c r="W41" s="52"/>
      <c r="X41" s="413">
        <f>IFERROR(VLOOKUP($C41,'Proposed Rates'!$B:$J,X$11,FALSE),0)</f>
        <v>3.0192999999999999</v>
      </c>
      <c r="Y41" s="414">
        <f t="shared" si="43"/>
        <v>7900</v>
      </c>
      <c r="Z41" s="399">
        <f t="shared" si="44"/>
        <v>23852.469999999998</v>
      </c>
      <c r="AA41" s="132"/>
      <c r="AB41" s="400">
        <f t="shared" si="13"/>
        <v>0</v>
      </c>
      <c r="AC41" s="401">
        <f t="shared" si="14"/>
        <v>0</v>
      </c>
      <c r="AD41" s="52"/>
      <c r="AE41" s="413">
        <f>IFERROR(VLOOKUP($C41,'Proposed Rates'!$B:$J,AE$11,FALSE),0)</f>
        <v>3.0192999999999999</v>
      </c>
      <c r="AF41" s="414">
        <f t="shared" si="45"/>
        <v>7900</v>
      </c>
      <c r="AG41" s="399">
        <f t="shared" si="46"/>
        <v>23852.469999999998</v>
      </c>
      <c r="AH41" s="132"/>
      <c r="AI41" s="400">
        <f t="shared" si="17"/>
        <v>0</v>
      </c>
      <c r="AJ41" s="401">
        <f t="shared" si="18"/>
        <v>0</v>
      </c>
      <c r="AK41" s="52"/>
      <c r="AL41" s="413">
        <f>IFERROR(VLOOKUP($C41,'Proposed Rates'!$B:$J,AL$11,FALSE),0)</f>
        <v>3.0192999999999999</v>
      </c>
      <c r="AM41" s="414">
        <f t="shared" si="47"/>
        <v>7900</v>
      </c>
      <c r="AN41" s="399">
        <f t="shared" si="48"/>
        <v>23852.469999999998</v>
      </c>
      <c r="AO41" s="132"/>
      <c r="AP41" s="400">
        <f t="shared" si="21"/>
        <v>0</v>
      </c>
      <c r="AQ41" s="401">
        <f t="shared" si="22"/>
        <v>0</v>
      </c>
      <c r="AR41" s="402"/>
    </row>
    <row r="42" spans="1:44" ht="12.75" customHeight="1">
      <c r="A42" s="52"/>
      <c r="B42" s="485" t="s">
        <v>318</v>
      </c>
      <c r="C42" s="559"/>
      <c r="D42" s="426"/>
      <c r="E42" s="426"/>
      <c r="F42" s="427"/>
      <c r="G42" s="500"/>
      <c r="H42" s="408">
        <f>SUM(H39:H41)</f>
        <v>153355.25869999998</v>
      </c>
      <c r="I42" s="409"/>
      <c r="J42" s="427"/>
      <c r="K42" s="500"/>
      <c r="L42" s="408">
        <f>SUM(L39:L41)</f>
        <v>159483.11360000001</v>
      </c>
      <c r="M42" s="409"/>
      <c r="N42" s="410">
        <f t="shared" si="5"/>
        <v>6127.8549000000348</v>
      </c>
      <c r="O42" s="411">
        <f t="shared" si="6"/>
        <v>3.9958557352034491E-2</v>
      </c>
      <c r="P42" s="52"/>
      <c r="Q42" s="427"/>
      <c r="R42" s="500"/>
      <c r="S42" s="408">
        <f>SUM(S39:S41)</f>
        <v>151498.98299999998</v>
      </c>
      <c r="T42" s="409"/>
      <c r="U42" s="410">
        <f t="shared" si="9"/>
        <v>-7984.1306000000332</v>
      </c>
      <c r="V42" s="411">
        <f t="shared" si="10"/>
        <v>-5.0062545305110173E-2</v>
      </c>
      <c r="W42" s="52"/>
      <c r="X42" s="427"/>
      <c r="Y42" s="500"/>
      <c r="Z42" s="408">
        <f>SUM(Z39:Z41)</f>
        <v>157293.15900000001</v>
      </c>
      <c r="AA42" s="409"/>
      <c r="AB42" s="410">
        <f t="shared" si="13"/>
        <v>5794.1760000000359</v>
      </c>
      <c r="AC42" s="411">
        <f t="shared" si="14"/>
        <v>3.8245642876692028E-2</v>
      </c>
      <c r="AD42" s="52"/>
      <c r="AE42" s="427"/>
      <c r="AF42" s="500"/>
      <c r="AG42" s="408">
        <f>SUM(AG39:AG41)</f>
        <v>163828.43400000001</v>
      </c>
      <c r="AH42" s="409"/>
      <c r="AI42" s="410">
        <f t="shared" si="17"/>
        <v>6535.2749999999942</v>
      </c>
      <c r="AJ42" s="411">
        <f t="shared" si="18"/>
        <v>4.1548374014155273E-2</v>
      </c>
      <c r="AK42" s="52"/>
      <c r="AL42" s="427"/>
      <c r="AM42" s="500"/>
      <c r="AN42" s="408">
        <f>SUM(AN39:AN41)</f>
        <v>170142.193</v>
      </c>
      <c r="AO42" s="409"/>
      <c r="AP42" s="410">
        <f t="shared" si="21"/>
        <v>6313.7589999999909</v>
      </c>
      <c r="AQ42" s="411">
        <f t="shared" si="22"/>
        <v>3.8538847291917533E-2</v>
      </c>
      <c r="AR42" s="412"/>
    </row>
    <row r="43" spans="1:44" ht="12.75" customHeight="1">
      <c r="A43" s="52"/>
      <c r="B43" s="487" t="s">
        <v>262</v>
      </c>
      <c r="C43" s="394" t="str">
        <f t="shared" ref="C43:C45" si="49">D$6&amp;"."&amp;B43</f>
        <v>Large User.Wholesale Market Service Charge (WMSC)</v>
      </c>
      <c r="D43" s="395" t="s">
        <v>312</v>
      </c>
      <c r="E43" s="321"/>
      <c r="F43" s="413">
        <f>IFERROR(VLOOKUP($C43,'Proposed Rates'!$B:$J,F$11,FALSE),0)</f>
        <v>4.4999999999999997E-3</v>
      </c>
      <c r="G43" s="418">
        <f>$F$9+G$37</f>
        <v>4312006.6477000006</v>
      </c>
      <c r="H43" s="399">
        <f t="shared" ref="H43:H46" si="50">G43*F43</f>
        <v>19404.02991465</v>
      </c>
      <c r="I43" s="132"/>
      <c r="J43" s="413">
        <f>IFERROR(VLOOKUP($C43,'Proposed Rates'!$B:$J,J$11,FALSE),0)</f>
        <v>4.7000000000000002E-3</v>
      </c>
      <c r="K43" s="418">
        <f>$F$9+K$37</f>
        <v>4310719.6096000001</v>
      </c>
      <c r="L43" s="399">
        <f t="shared" ref="L43:L46" si="51">K43*J43</f>
        <v>20260.382165120001</v>
      </c>
      <c r="M43" s="132"/>
      <c r="N43" s="400">
        <f t="shared" si="5"/>
        <v>856.35225047000131</v>
      </c>
      <c r="O43" s="401">
        <f t="shared" si="6"/>
        <v>4.4132701002664254E-2</v>
      </c>
      <c r="P43" s="52"/>
      <c r="Q43" s="413">
        <f>IFERROR(VLOOKUP($C43,'Proposed Rates'!$B:$J,Q$11,FALSE),0)</f>
        <v>4.7000000000000002E-3</v>
      </c>
      <c r="R43" s="418">
        <f>$F$9+R$37</f>
        <v>4310719.6096000001</v>
      </c>
      <c r="S43" s="399">
        <f t="shared" ref="S43:S46" si="52">R43*Q43</f>
        <v>20260.382165120001</v>
      </c>
      <c r="T43" s="132"/>
      <c r="U43" s="400">
        <f t="shared" si="9"/>
        <v>0</v>
      </c>
      <c r="V43" s="401">
        <f t="shared" si="10"/>
        <v>0</v>
      </c>
      <c r="W43" s="52"/>
      <c r="X43" s="413">
        <f>IFERROR(VLOOKUP($C43,'Proposed Rates'!$B:$J,X$11,FALSE),0)</f>
        <v>4.7000000000000002E-3</v>
      </c>
      <c r="Y43" s="418">
        <f>$F$9+Y$37</f>
        <v>4310719.6096000001</v>
      </c>
      <c r="Z43" s="399">
        <f t="shared" ref="Z43:Z46" si="53">Y43*X43</f>
        <v>20260.382165120001</v>
      </c>
      <c r="AA43" s="132"/>
      <c r="AB43" s="400">
        <f t="shared" si="13"/>
        <v>0</v>
      </c>
      <c r="AC43" s="401">
        <f t="shared" si="14"/>
        <v>0</v>
      </c>
      <c r="AD43" s="52"/>
      <c r="AE43" s="413">
        <f>IFERROR(VLOOKUP($C43,'Proposed Rates'!$B:$J,AE$11,FALSE),0)</f>
        <v>4.7000000000000002E-3</v>
      </c>
      <c r="AF43" s="418">
        <f>$F$9+AF$37</f>
        <v>4310719.6096000001</v>
      </c>
      <c r="AG43" s="399">
        <f t="shared" ref="AG43:AG46" si="54">AF43*AE43</f>
        <v>20260.382165120001</v>
      </c>
      <c r="AH43" s="132"/>
      <c r="AI43" s="400">
        <f t="shared" si="17"/>
        <v>0</v>
      </c>
      <c r="AJ43" s="401">
        <f t="shared" si="18"/>
        <v>0</v>
      </c>
      <c r="AK43" s="52"/>
      <c r="AL43" s="413">
        <f>IFERROR(VLOOKUP($C43,'Proposed Rates'!$B:$J,AL$11,FALSE),0)</f>
        <v>4.7000000000000002E-3</v>
      </c>
      <c r="AM43" s="418">
        <f>$F$9+AM$37</f>
        <v>4310719.6096000001</v>
      </c>
      <c r="AN43" s="399">
        <f t="shared" ref="AN43:AN46" si="55">AM43*AL43</f>
        <v>20260.382165120001</v>
      </c>
      <c r="AO43" s="132"/>
      <c r="AP43" s="400">
        <f t="shared" si="21"/>
        <v>0</v>
      </c>
      <c r="AQ43" s="401">
        <f t="shared" si="22"/>
        <v>0</v>
      </c>
      <c r="AR43" s="402"/>
    </row>
    <row r="44" spans="1:44" ht="12.75" customHeight="1">
      <c r="A44" s="52"/>
      <c r="B44" s="487" t="s">
        <v>263</v>
      </c>
      <c r="C44" s="394" t="str">
        <f t="shared" si="49"/>
        <v>Large User.Rural and Remote Rate Protection (RRRP)</v>
      </c>
      <c r="D44" s="395" t="s">
        <v>312</v>
      </c>
      <c r="E44" s="321"/>
      <c r="F44" s="413">
        <f>IFERROR(VLOOKUP($C44,'Proposed Rates'!$B:$J,F$11,FALSE),0)</f>
        <v>1.5E-3</v>
      </c>
      <c r="G44" s="418">
        <f>G43</f>
        <v>4312006.6477000006</v>
      </c>
      <c r="H44" s="399">
        <f t="shared" si="50"/>
        <v>6468.009971550001</v>
      </c>
      <c r="I44" s="132"/>
      <c r="J44" s="413">
        <f>IFERROR(VLOOKUP($C44,'Proposed Rates'!$B:$J,J$11,FALSE),0)</f>
        <v>5.9999999999999995E-4</v>
      </c>
      <c r="K44" s="418">
        <f>K43</f>
        <v>4310719.6096000001</v>
      </c>
      <c r="L44" s="399">
        <f t="shared" si="51"/>
        <v>2586.43176576</v>
      </c>
      <c r="M44" s="132"/>
      <c r="N44" s="400">
        <f t="shared" si="5"/>
        <v>-3881.578205790001</v>
      </c>
      <c r="O44" s="401">
        <f t="shared" si="6"/>
        <v>-0.60011939110536272</v>
      </c>
      <c r="P44" s="52"/>
      <c r="Q44" s="413">
        <f>IFERROR(VLOOKUP($C44,'Proposed Rates'!$B:$J,Q$11,FALSE),0)</f>
        <v>5.9999999999999995E-4</v>
      </c>
      <c r="R44" s="418">
        <f>R43</f>
        <v>4310719.6096000001</v>
      </c>
      <c r="S44" s="399">
        <f t="shared" si="52"/>
        <v>2586.43176576</v>
      </c>
      <c r="T44" s="132"/>
      <c r="U44" s="400">
        <f t="shared" si="9"/>
        <v>0</v>
      </c>
      <c r="V44" s="401">
        <f t="shared" si="10"/>
        <v>0</v>
      </c>
      <c r="W44" s="52"/>
      <c r="X44" s="413">
        <f>IFERROR(VLOOKUP($C44,'Proposed Rates'!$B:$J,X$11,FALSE),0)</f>
        <v>5.9999999999999995E-4</v>
      </c>
      <c r="Y44" s="418">
        <f>Y43</f>
        <v>4310719.6096000001</v>
      </c>
      <c r="Z44" s="399">
        <f t="shared" si="53"/>
        <v>2586.43176576</v>
      </c>
      <c r="AA44" s="132"/>
      <c r="AB44" s="400">
        <f t="shared" si="13"/>
        <v>0</v>
      </c>
      <c r="AC44" s="401">
        <f t="shared" si="14"/>
        <v>0</v>
      </c>
      <c r="AD44" s="52"/>
      <c r="AE44" s="413">
        <f>IFERROR(VLOOKUP($C44,'Proposed Rates'!$B:$J,AE$11,FALSE),0)</f>
        <v>5.9999999999999995E-4</v>
      </c>
      <c r="AF44" s="418">
        <f>AF43</f>
        <v>4310719.6096000001</v>
      </c>
      <c r="AG44" s="399">
        <f t="shared" si="54"/>
        <v>2586.43176576</v>
      </c>
      <c r="AH44" s="132"/>
      <c r="AI44" s="400">
        <f t="shared" si="17"/>
        <v>0</v>
      </c>
      <c r="AJ44" s="401">
        <f t="shared" si="18"/>
        <v>0</v>
      </c>
      <c r="AK44" s="52"/>
      <c r="AL44" s="413">
        <f>IFERROR(VLOOKUP($C44,'Proposed Rates'!$B:$J,AL$11,FALSE),0)</f>
        <v>5.9999999999999995E-4</v>
      </c>
      <c r="AM44" s="418">
        <f>AM43</f>
        <v>4310719.6096000001</v>
      </c>
      <c r="AN44" s="399">
        <f t="shared" si="55"/>
        <v>2586.43176576</v>
      </c>
      <c r="AO44" s="132"/>
      <c r="AP44" s="400">
        <f t="shared" si="21"/>
        <v>0</v>
      </c>
      <c r="AQ44" s="401">
        <f t="shared" si="22"/>
        <v>0</v>
      </c>
      <c r="AR44" s="402"/>
    </row>
    <row r="45" spans="1:44" ht="12.75" customHeight="1">
      <c r="A45" s="52"/>
      <c r="B45" s="321" t="s">
        <v>264</v>
      </c>
      <c r="C45" s="394" t="str">
        <f t="shared" si="49"/>
        <v>Large User.Standard Supply Service Charge</v>
      </c>
      <c r="D45" s="395" t="s">
        <v>310</v>
      </c>
      <c r="E45" s="321"/>
      <c r="F45" s="396">
        <f>IFERROR(VLOOKUP($C45,'Proposed Rates'!$B:$J,F$11,FALSE),0)</f>
        <v>0.25</v>
      </c>
      <c r="G45" s="414">
        <f>IF($D45="Monthly",1,IF($D45="per KW",$F$10,IF($D45="per kWh",$F$9,0)))</f>
        <v>1</v>
      </c>
      <c r="H45" s="399">
        <f t="shared" si="50"/>
        <v>0.25</v>
      </c>
      <c r="I45" s="132"/>
      <c r="J45" s="396">
        <f>IFERROR(VLOOKUP($C45,'Proposed Rates'!$B:$J,J$11,FALSE),0)</f>
        <v>0.25</v>
      </c>
      <c r="K45" s="414">
        <f>IF($D45="Monthly",1,IF($D45="per KW",$F$10,IF($D45="per kWh",$F$9,0)))</f>
        <v>1</v>
      </c>
      <c r="L45" s="399">
        <f t="shared" si="51"/>
        <v>0.25</v>
      </c>
      <c r="M45" s="132"/>
      <c r="N45" s="400">
        <f t="shared" si="5"/>
        <v>0</v>
      </c>
      <c r="O45" s="401">
        <f t="shared" si="6"/>
        <v>0</v>
      </c>
      <c r="P45" s="52"/>
      <c r="Q45" s="396">
        <f>IFERROR(VLOOKUP($C45,'Proposed Rates'!$B:$J,Q$11,FALSE),0)</f>
        <v>0.25</v>
      </c>
      <c r="R45" s="414">
        <f>IF($D45="Monthly",1,IF($D45="per KW",$F$10,IF($D45="per kWh",$F$9,0)))</f>
        <v>1</v>
      </c>
      <c r="S45" s="399">
        <f t="shared" si="52"/>
        <v>0.25</v>
      </c>
      <c r="T45" s="132"/>
      <c r="U45" s="400">
        <f t="shared" si="9"/>
        <v>0</v>
      </c>
      <c r="V45" s="401">
        <f t="shared" si="10"/>
        <v>0</v>
      </c>
      <c r="W45" s="52"/>
      <c r="X45" s="396">
        <f>IFERROR(VLOOKUP($C45,'Proposed Rates'!$B:$J,X$11,FALSE),0)</f>
        <v>0.25</v>
      </c>
      <c r="Y45" s="414">
        <f>IF($D45="Monthly",1,IF($D45="per KW",$F$10,IF($D45="per kWh",$F$9,0)))</f>
        <v>1</v>
      </c>
      <c r="Z45" s="399">
        <f t="shared" si="53"/>
        <v>0.25</v>
      </c>
      <c r="AA45" s="132"/>
      <c r="AB45" s="400">
        <f t="shared" si="13"/>
        <v>0</v>
      </c>
      <c r="AC45" s="401">
        <f t="shared" si="14"/>
        <v>0</v>
      </c>
      <c r="AD45" s="52"/>
      <c r="AE45" s="396">
        <f>IFERROR(VLOOKUP($C45,'Proposed Rates'!$B:$J,AE$11,FALSE),0)</f>
        <v>0.25</v>
      </c>
      <c r="AF45" s="414">
        <f>IF($D45="Monthly",1,IF($D45="per KW",$F$10,IF($D45="per kWh",$F$9,0)))</f>
        <v>1</v>
      </c>
      <c r="AG45" s="399">
        <f t="shared" si="54"/>
        <v>0.25</v>
      </c>
      <c r="AH45" s="132"/>
      <c r="AI45" s="400">
        <f t="shared" si="17"/>
        <v>0</v>
      </c>
      <c r="AJ45" s="401">
        <f t="shared" si="18"/>
        <v>0</v>
      </c>
      <c r="AK45" s="52"/>
      <c r="AL45" s="396">
        <f>IFERROR(VLOOKUP($C45,'Proposed Rates'!$B:$J,AL$11,FALSE),0)</f>
        <v>0.25</v>
      </c>
      <c r="AM45" s="414">
        <f>IF($D45="Monthly",1,IF($D45="per KW",$F$10,IF($D45="per kWh",$F$9,0)))</f>
        <v>1</v>
      </c>
      <c r="AN45" s="399">
        <f t="shared" si="55"/>
        <v>0.25</v>
      </c>
      <c r="AO45" s="132"/>
      <c r="AP45" s="400">
        <f t="shared" si="21"/>
        <v>0</v>
      </c>
      <c r="AQ45" s="401">
        <f t="shared" si="22"/>
        <v>0</v>
      </c>
      <c r="AR45" s="402"/>
    </row>
    <row r="46" spans="1:44" ht="12.75" customHeight="1">
      <c r="A46" s="52"/>
      <c r="B46" s="321" t="s">
        <v>271</v>
      </c>
      <c r="C46" s="394" t="str">
        <f>B46</f>
        <v>Average IESO Wholesale Market Price</v>
      </c>
      <c r="D46" s="395" t="s">
        <v>312</v>
      </c>
      <c r="E46" s="321"/>
      <c r="F46" s="413">
        <f>IFERROR(VLOOKUP($C46,'Proposed Rates'!$B:$J,F$11,FALSE),0)</f>
        <v>0.10453</v>
      </c>
      <c r="G46" s="418">
        <f>G43</f>
        <v>4312006.6477000006</v>
      </c>
      <c r="H46" s="399">
        <f t="shared" si="50"/>
        <v>450734.05488408107</v>
      </c>
      <c r="I46" s="132"/>
      <c r="J46" s="413">
        <f>IFERROR(VLOOKUP($C46,'Proposed Rates'!$B:$J,J$11,FALSE),0)</f>
        <v>0.10453</v>
      </c>
      <c r="K46" s="418">
        <f>K43</f>
        <v>4310719.6096000001</v>
      </c>
      <c r="L46" s="399">
        <f t="shared" si="51"/>
        <v>450599.520791488</v>
      </c>
      <c r="M46" s="132"/>
      <c r="N46" s="400">
        <f t="shared" si="5"/>
        <v>-134.534092593065</v>
      </c>
      <c r="O46" s="401">
        <f t="shared" si="6"/>
        <v>-2.9847776340677037E-4</v>
      </c>
      <c r="P46" s="52"/>
      <c r="Q46" s="413">
        <f>IFERROR(VLOOKUP($C46,'Proposed Rates'!$B:$J,Q$11,FALSE),0)</f>
        <v>0.10453</v>
      </c>
      <c r="R46" s="418">
        <f>R43</f>
        <v>4310719.6096000001</v>
      </c>
      <c r="S46" s="399">
        <f t="shared" si="52"/>
        <v>450599.520791488</v>
      </c>
      <c r="T46" s="132"/>
      <c r="U46" s="400">
        <f t="shared" si="9"/>
        <v>0</v>
      </c>
      <c r="V46" s="401">
        <f t="shared" si="10"/>
        <v>0</v>
      </c>
      <c r="W46" s="52"/>
      <c r="X46" s="413">
        <f>IFERROR(VLOOKUP($C46,'Proposed Rates'!$B:$J,X$11,FALSE),0)</f>
        <v>0.10453</v>
      </c>
      <c r="Y46" s="418">
        <f>Y43</f>
        <v>4310719.6096000001</v>
      </c>
      <c r="Z46" s="399">
        <f t="shared" si="53"/>
        <v>450599.520791488</v>
      </c>
      <c r="AA46" s="132"/>
      <c r="AB46" s="400">
        <f t="shared" si="13"/>
        <v>0</v>
      </c>
      <c r="AC46" s="401">
        <f t="shared" si="14"/>
        <v>0</v>
      </c>
      <c r="AD46" s="52"/>
      <c r="AE46" s="413">
        <f>IFERROR(VLOOKUP($C46,'Proposed Rates'!$B:$J,AE$11,FALSE),0)</f>
        <v>0.10453</v>
      </c>
      <c r="AF46" s="418">
        <f>AF43</f>
        <v>4310719.6096000001</v>
      </c>
      <c r="AG46" s="399">
        <f t="shared" si="54"/>
        <v>450599.520791488</v>
      </c>
      <c r="AH46" s="132"/>
      <c r="AI46" s="400">
        <f t="shared" si="17"/>
        <v>0</v>
      </c>
      <c r="AJ46" s="401">
        <f t="shared" si="18"/>
        <v>0</v>
      </c>
      <c r="AK46" s="52"/>
      <c r="AL46" s="413">
        <f>IFERROR(VLOOKUP($C46,'Proposed Rates'!$B:$J,AL$11,FALSE),0)</f>
        <v>0.10453</v>
      </c>
      <c r="AM46" s="418">
        <f>AM43</f>
        <v>4310719.6096000001</v>
      </c>
      <c r="AN46" s="399">
        <f t="shared" si="55"/>
        <v>450599.520791488</v>
      </c>
      <c r="AO46" s="132"/>
      <c r="AP46" s="400">
        <f t="shared" si="21"/>
        <v>0</v>
      </c>
      <c r="AQ46" s="401">
        <f t="shared" si="22"/>
        <v>0</v>
      </c>
      <c r="AR46" s="402"/>
    </row>
    <row r="47" spans="1:44" ht="7.5" customHeight="1">
      <c r="A47" s="52"/>
      <c r="B47" s="321"/>
      <c r="C47" s="394" t="str">
        <f t="shared" ref="C47:C50" si="56">D$6&amp;"."&amp;B47</f>
        <v>Large User.</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7.5" customHeight="1">
      <c r="A48" s="52"/>
      <c r="B48" s="52"/>
      <c r="C48" s="394" t="str">
        <f t="shared" si="56"/>
        <v>Large User.</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7.5" customHeight="1">
      <c r="A49" s="52"/>
      <c r="B49" s="321"/>
      <c r="C49" s="394" t="str">
        <f t="shared" si="56"/>
        <v>Large User.</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7.5" customHeight="1">
      <c r="A50" s="52"/>
      <c r="B50" s="321"/>
      <c r="C50" s="394" t="str">
        <f t="shared" si="56"/>
        <v>Large User.</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8.2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75" customHeight="1">
      <c r="A52" s="52"/>
      <c r="B52" s="443" t="s">
        <v>319</v>
      </c>
      <c r="C52" s="561"/>
      <c r="D52" s="321"/>
      <c r="E52" s="321"/>
      <c r="F52" s="444"/>
      <c r="G52" s="488"/>
      <c r="H52" s="446">
        <f>SUM(H43:H48,H42)</f>
        <v>629961.603470281</v>
      </c>
      <c r="I52" s="481"/>
      <c r="J52" s="445"/>
      <c r="K52" s="445"/>
      <c r="L52" s="446">
        <f>SUM(L43:L48,L42)</f>
        <v>632929.69832236797</v>
      </c>
      <c r="M52" s="448"/>
      <c r="N52" s="447">
        <f t="shared" ref="N52:N56" si="57">L52-H52</f>
        <v>2968.0948520869715</v>
      </c>
      <c r="O52" s="449">
        <f t="shared" ref="O52:O56" si="58">IF((H52)=0,"",(N52/H52))</f>
        <v>4.7115488241451118E-3</v>
      </c>
      <c r="P52" s="52"/>
      <c r="Q52" s="445"/>
      <c r="R52" s="445"/>
      <c r="S52" s="446">
        <f>SUM(S43:S48,S42)</f>
        <v>624945.56772236794</v>
      </c>
      <c r="T52" s="448"/>
      <c r="U52" s="447">
        <f t="shared" ref="U52:U56" si="59">S52-L52</f>
        <v>-7984.1306000000332</v>
      </c>
      <c r="V52" s="449">
        <f t="shared" ref="V52:V56" si="60">IF((L52)=0,"",(U52/L52))</f>
        <v>-1.2614561492631212E-2</v>
      </c>
      <c r="W52" s="52"/>
      <c r="X52" s="445"/>
      <c r="Y52" s="445"/>
      <c r="Z52" s="446">
        <f>SUM(Z43:Z48,Z42)</f>
        <v>630739.74372236803</v>
      </c>
      <c r="AA52" s="448"/>
      <c r="AB52" s="447">
        <f t="shared" ref="AB52:AB56" si="61">Z52-S52</f>
        <v>5794.1760000000941</v>
      </c>
      <c r="AC52" s="449">
        <f t="shared" ref="AC52:AC56" si="62">IF((S52)=0,"",(AB52/S52))</f>
        <v>9.271489069227477E-3</v>
      </c>
      <c r="AD52" s="52"/>
      <c r="AE52" s="445"/>
      <c r="AF52" s="445"/>
      <c r="AG52" s="446">
        <f>SUM(AG43:AG48,AG42)</f>
        <v>637275.01872236794</v>
      </c>
      <c r="AH52" s="448"/>
      <c r="AI52" s="447">
        <f t="shared" ref="AI52:AI56" si="63">AG52-Z52</f>
        <v>6535.2749999999069</v>
      </c>
      <c r="AJ52" s="449">
        <f t="shared" ref="AJ52:AJ56" si="64">IF((Z52)=0,"",(AI52/Z52))</f>
        <v>1.0361286196159745E-2</v>
      </c>
      <c r="AK52" s="52"/>
      <c r="AL52" s="445"/>
      <c r="AM52" s="445"/>
      <c r="AN52" s="446">
        <f>SUM(AN43:AN48,AN42)</f>
        <v>643588.77772236802</v>
      </c>
      <c r="AO52" s="448"/>
      <c r="AP52" s="447">
        <f t="shared" ref="AP52:AP56" si="65">AN52-AG52</f>
        <v>6313.7590000000782</v>
      </c>
      <c r="AQ52" s="449">
        <f t="shared" ref="AQ52:AQ56" si="66">IF((AG52)=0,"",(AP52/AG52))</f>
        <v>9.9074321360629065E-3</v>
      </c>
      <c r="AR52" s="450"/>
    </row>
    <row r="53" spans="1:44" ht="12.75" customHeight="1">
      <c r="A53" s="52"/>
      <c r="B53" s="451" t="s">
        <v>320</v>
      </c>
      <c r="C53" s="561"/>
      <c r="D53" s="321"/>
      <c r="E53" s="321"/>
      <c r="F53" s="444">
        <v>0.13</v>
      </c>
      <c r="G53" s="132"/>
      <c r="H53" s="489">
        <f>H52*F53</f>
        <v>81895.008451136528</v>
      </c>
      <c r="I53" s="416"/>
      <c r="J53" s="452">
        <v>0.13</v>
      </c>
      <c r="K53" s="416"/>
      <c r="L53" s="399">
        <f>L52*J53</f>
        <v>82280.860781907846</v>
      </c>
      <c r="M53" s="132"/>
      <c r="N53" s="400">
        <f t="shared" si="57"/>
        <v>385.85233077131852</v>
      </c>
      <c r="O53" s="401">
        <f t="shared" si="58"/>
        <v>4.711548824145261E-3</v>
      </c>
      <c r="P53" s="52"/>
      <c r="Q53" s="452">
        <v>0.13</v>
      </c>
      <c r="R53" s="416"/>
      <c r="S53" s="399">
        <f>S52*Q53</f>
        <v>81242.923803907834</v>
      </c>
      <c r="T53" s="132"/>
      <c r="U53" s="400">
        <f t="shared" si="59"/>
        <v>-1037.9369780000125</v>
      </c>
      <c r="V53" s="401">
        <f t="shared" si="60"/>
        <v>-1.2614561492631311E-2</v>
      </c>
      <c r="W53" s="52"/>
      <c r="X53" s="452">
        <v>0.13</v>
      </c>
      <c r="Y53" s="416"/>
      <c r="Z53" s="399">
        <f>Z52*X53</f>
        <v>81996.166683907853</v>
      </c>
      <c r="AA53" s="132"/>
      <c r="AB53" s="400">
        <f t="shared" si="61"/>
        <v>753.2428800000198</v>
      </c>
      <c r="AC53" s="401">
        <f t="shared" si="62"/>
        <v>9.2714890692275689E-3</v>
      </c>
      <c r="AD53" s="52"/>
      <c r="AE53" s="452">
        <v>0.13</v>
      </c>
      <c r="AF53" s="416"/>
      <c r="AG53" s="399">
        <f>AG52*AE53</f>
        <v>82845.752433907837</v>
      </c>
      <c r="AH53" s="132"/>
      <c r="AI53" s="400">
        <f t="shared" si="63"/>
        <v>849.58574999998382</v>
      </c>
      <c r="AJ53" s="401">
        <f t="shared" si="64"/>
        <v>1.0361286196159693E-2</v>
      </c>
      <c r="AK53" s="52"/>
      <c r="AL53" s="452">
        <v>0.13</v>
      </c>
      <c r="AM53" s="416"/>
      <c r="AN53" s="399">
        <f>AN52*AL53</f>
        <v>83666.541103907846</v>
      </c>
      <c r="AO53" s="132"/>
      <c r="AP53" s="400">
        <f t="shared" si="65"/>
        <v>820.78867000000901</v>
      </c>
      <c r="AQ53" s="401">
        <f t="shared" si="66"/>
        <v>9.9074321360628909E-3</v>
      </c>
      <c r="AR53" s="402"/>
    </row>
    <row r="54" spans="1:44" ht="12.75" customHeight="1">
      <c r="A54" s="52"/>
      <c r="B54" s="490" t="s">
        <v>412</v>
      </c>
      <c r="C54" s="561"/>
      <c r="D54" s="321"/>
      <c r="E54" s="321"/>
      <c r="F54" s="454"/>
      <c r="G54" s="132"/>
      <c r="H54" s="489">
        <f>H52+H53</f>
        <v>711856.61192141753</v>
      </c>
      <c r="I54" s="416"/>
      <c r="J54" s="416"/>
      <c r="K54" s="416"/>
      <c r="L54" s="399">
        <f>L52+L53</f>
        <v>715210.55910427577</v>
      </c>
      <c r="M54" s="132"/>
      <c r="N54" s="400">
        <f t="shared" si="57"/>
        <v>3353.9471828582464</v>
      </c>
      <c r="O54" s="401">
        <f t="shared" si="58"/>
        <v>4.7115488241450676E-3</v>
      </c>
      <c r="P54" s="52"/>
      <c r="Q54" s="416"/>
      <c r="R54" s="416"/>
      <c r="S54" s="399">
        <f>S52+S53</f>
        <v>706188.49152627576</v>
      </c>
      <c r="T54" s="132"/>
      <c r="U54" s="400">
        <f t="shared" si="59"/>
        <v>-9022.0675780000165</v>
      </c>
      <c r="V54" s="401">
        <f t="shared" si="60"/>
        <v>-1.2614561492631184E-2</v>
      </c>
      <c r="W54" s="52"/>
      <c r="X54" s="416"/>
      <c r="Y54" s="416"/>
      <c r="Z54" s="399">
        <f>Z52+Z53</f>
        <v>712735.91040627589</v>
      </c>
      <c r="AA54" s="132"/>
      <c r="AB54" s="400">
        <f t="shared" si="61"/>
        <v>6547.4188800001284</v>
      </c>
      <c r="AC54" s="401">
        <f t="shared" si="62"/>
        <v>9.2714890692275082E-3</v>
      </c>
      <c r="AD54" s="52"/>
      <c r="AE54" s="416"/>
      <c r="AF54" s="416"/>
      <c r="AG54" s="399">
        <f>AG52+AG53</f>
        <v>720120.77115627576</v>
      </c>
      <c r="AH54" s="132"/>
      <c r="AI54" s="400">
        <f t="shared" si="63"/>
        <v>7384.8607499998761</v>
      </c>
      <c r="AJ54" s="401">
        <f t="shared" si="64"/>
        <v>1.0361286196159718E-2</v>
      </c>
      <c r="AK54" s="52"/>
      <c r="AL54" s="416"/>
      <c r="AM54" s="416"/>
      <c r="AN54" s="399">
        <f>AN52+AN53</f>
        <v>727255.31882627588</v>
      </c>
      <c r="AO54" s="132"/>
      <c r="AP54" s="400">
        <f t="shared" si="65"/>
        <v>7134.5476700001163</v>
      </c>
      <c r="AQ54" s="401">
        <f t="shared" si="66"/>
        <v>9.9074321360629446E-3</v>
      </c>
      <c r="AR54" s="402"/>
    </row>
    <row r="55" spans="1:44" ht="15.75" customHeight="1">
      <c r="A55" s="52"/>
      <c r="B55" s="632" t="s">
        <v>277</v>
      </c>
      <c r="C55" s="623"/>
      <c r="D55" s="623"/>
      <c r="E55" s="321"/>
      <c r="F55" s="454"/>
      <c r="G55" s="132"/>
      <c r="H55" s="491">
        <f>F55*H52</f>
        <v>0</v>
      </c>
      <c r="I55" s="416"/>
      <c r="J55" s="416"/>
      <c r="K55" s="416"/>
      <c r="L55" s="511">
        <f>J55*L52</f>
        <v>0</v>
      </c>
      <c r="M55" s="132"/>
      <c r="N55" s="456">
        <f t="shared" si="57"/>
        <v>0</v>
      </c>
      <c r="O55" s="458" t="str">
        <f t="shared" si="58"/>
        <v/>
      </c>
      <c r="P55" s="52"/>
      <c r="Q55" s="416"/>
      <c r="R55" s="416"/>
      <c r="S55" s="511">
        <f>Q55*S52</f>
        <v>0</v>
      </c>
      <c r="T55" s="132"/>
      <c r="U55" s="456">
        <f t="shared" si="59"/>
        <v>0</v>
      </c>
      <c r="V55" s="458" t="str">
        <f t="shared" si="60"/>
        <v/>
      </c>
      <c r="W55" s="52"/>
      <c r="X55" s="416"/>
      <c r="Y55" s="416"/>
      <c r="Z55" s="511">
        <f>X55*Z52</f>
        <v>0</v>
      </c>
      <c r="AA55" s="132"/>
      <c r="AB55" s="456">
        <f t="shared" si="61"/>
        <v>0</v>
      </c>
      <c r="AC55" s="458" t="str">
        <f t="shared" si="62"/>
        <v/>
      </c>
      <c r="AD55" s="52"/>
      <c r="AE55" s="416"/>
      <c r="AF55" s="416"/>
      <c r="AG55" s="511">
        <f>AE55*AG52</f>
        <v>0</v>
      </c>
      <c r="AH55" s="132"/>
      <c r="AI55" s="456">
        <f t="shared" si="63"/>
        <v>0</v>
      </c>
      <c r="AJ55" s="458" t="str">
        <f t="shared" si="64"/>
        <v/>
      </c>
      <c r="AK55" s="52"/>
      <c r="AL55" s="416"/>
      <c r="AM55" s="416"/>
      <c r="AN55" s="511">
        <f>AL55*AN52</f>
        <v>0</v>
      </c>
      <c r="AO55" s="132"/>
      <c r="AP55" s="456">
        <f t="shared" si="65"/>
        <v>0</v>
      </c>
      <c r="AQ55" s="458" t="str">
        <f t="shared" si="66"/>
        <v/>
      </c>
      <c r="AR55" s="459"/>
    </row>
    <row r="56" spans="1:44" ht="13.5" customHeight="1">
      <c r="A56" s="52"/>
      <c r="B56" s="634" t="s">
        <v>322</v>
      </c>
      <c r="C56" s="615"/>
      <c r="D56" s="615"/>
      <c r="E56" s="460"/>
      <c r="F56" s="461"/>
      <c r="G56" s="492"/>
      <c r="H56" s="493">
        <f>H54-H55</f>
        <v>711856.61192141753</v>
      </c>
      <c r="I56" s="462"/>
      <c r="J56" s="462"/>
      <c r="K56" s="462"/>
      <c r="L56" s="463">
        <f>L54-L55</f>
        <v>715210.55910427577</v>
      </c>
      <c r="M56" s="464"/>
      <c r="N56" s="465">
        <f t="shared" si="57"/>
        <v>3353.9471828582464</v>
      </c>
      <c r="O56" s="466">
        <f t="shared" si="58"/>
        <v>4.7115488241450676E-3</v>
      </c>
      <c r="P56" s="52"/>
      <c r="Q56" s="462"/>
      <c r="R56" s="462"/>
      <c r="S56" s="463">
        <f>S54-S55</f>
        <v>706188.49152627576</v>
      </c>
      <c r="T56" s="464"/>
      <c r="U56" s="465">
        <f t="shared" si="59"/>
        <v>-9022.0675780000165</v>
      </c>
      <c r="V56" s="466">
        <f t="shared" si="60"/>
        <v>-1.2614561492631184E-2</v>
      </c>
      <c r="W56" s="52"/>
      <c r="X56" s="462"/>
      <c r="Y56" s="462"/>
      <c r="Z56" s="463">
        <f>Z54-Z55</f>
        <v>712735.91040627589</v>
      </c>
      <c r="AA56" s="464"/>
      <c r="AB56" s="465">
        <f t="shared" si="61"/>
        <v>6547.4188800001284</v>
      </c>
      <c r="AC56" s="466">
        <f t="shared" si="62"/>
        <v>9.2714890692275082E-3</v>
      </c>
      <c r="AD56" s="52"/>
      <c r="AE56" s="462"/>
      <c r="AF56" s="462"/>
      <c r="AG56" s="463">
        <f>AG54-AG55</f>
        <v>720120.77115627576</v>
      </c>
      <c r="AH56" s="464"/>
      <c r="AI56" s="465">
        <f t="shared" si="63"/>
        <v>7384.8607499998761</v>
      </c>
      <c r="AJ56" s="466">
        <f t="shared" si="64"/>
        <v>1.0361286196159718E-2</v>
      </c>
      <c r="AK56" s="52"/>
      <c r="AL56" s="462"/>
      <c r="AM56" s="462"/>
      <c r="AN56" s="463">
        <f>AN54-AN55</f>
        <v>727255.31882627588</v>
      </c>
      <c r="AO56" s="464"/>
      <c r="AP56" s="465">
        <f t="shared" si="65"/>
        <v>7134.5476700001163</v>
      </c>
      <c r="AQ56" s="466">
        <f t="shared" si="66"/>
        <v>9.9074321360629446E-3</v>
      </c>
      <c r="AR56" s="467"/>
    </row>
    <row r="57" spans="1:44"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75" customHeight="1">
      <c r="A58" s="512"/>
      <c r="B58" s="513" t="s">
        <v>323</v>
      </c>
      <c r="C58" s="562"/>
      <c r="D58" s="514"/>
      <c r="E58" s="514"/>
      <c r="F58" s="515"/>
      <c r="G58" s="516"/>
      <c r="H58" s="517">
        <f>SUM(H49:H50,H42,H43:H45)</f>
        <v>179227.54858619996</v>
      </c>
      <c r="I58" s="518"/>
      <c r="J58" s="519"/>
      <c r="K58" s="519"/>
      <c r="L58" s="517">
        <f>SUM(L49:L50,L42,L43:L45)</f>
        <v>182330.17753088003</v>
      </c>
      <c r="M58" s="520"/>
      <c r="N58" s="521">
        <f t="shared" ref="N58:N62" si="67">L58-H58</f>
        <v>3102.6289446800656</v>
      </c>
      <c r="O58" s="522">
        <f t="shared" ref="O58:O62" si="68">IF((H58)=0,"",(N58/H58))</f>
        <v>1.7311116338724279E-2</v>
      </c>
      <c r="P58" s="512"/>
      <c r="Q58" s="519"/>
      <c r="R58" s="519"/>
      <c r="S58" s="517">
        <f>SUM(S49:S50,S42,S43:S45)</f>
        <v>174346.04693087999</v>
      </c>
      <c r="T58" s="520"/>
      <c r="U58" s="521">
        <f t="shared" ref="U58:U62" si="69">S58-L58</f>
        <v>-7984.1306000000332</v>
      </c>
      <c r="V58" s="522">
        <f t="shared" ref="V58:V62" si="70">IF((L58)=0,"",(U58/L58))</f>
        <v>-4.3789408358623549E-2</v>
      </c>
      <c r="W58" s="512"/>
      <c r="X58" s="519"/>
      <c r="Y58" s="519"/>
      <c r="Z58" s="517">
        <f>SUM(Z49:Z50,Z42,Z43:Z45)</f>
        <v>180140.22293088003</v>
      </c>
      <c r="AA58" s="520"/>
      <c r="AB58" s="521">
        <f t="shared" ref="AB58:AB62" si="71">Z58-S58</f>
        <v>5794.1760000000359</v>
      </c>
      <c r="AC58" s="522">
        <f t="shared" ref="AC58:AC62" si="72">IF((S58)=0,"",(AB58/S58))</f>
        <v>3.3233767567423848E-2</v>
      </c>
      <c r="AD58" s="512"/>
      <c r="AE58" s="519"/>
      <c r="AF58" s="519"/>
      <c r="AG58" s="517">
        <f>SUM(AG49:AG50,AG42,AG43:AG45)</f>
        <v>186675.49793088002</v>
      </c>
      <c r="AH58" s="520"/>
      <c r="AI58" s="521">
        <f t="shared" ref="AI58:AI62" si="73">AG58-Z58</f>
        <v>6535.2749999999942</v>
      </c>
      <c r="AJ58" s="522">
        <f t="shared" ref="AJ58:AJ62" si="74">IF((Z58)=0,"",(AI58/Z58))</f>
        <v>3.6278821540637184E-2</v>
      </c>
      <c r="AK58" s="512"/>
      <c r="AL58" s="519"/>
      <c r="AM58" s="519"/>
      <c r="AN58" s="517">
        <f>SUM(AN49:AN50,AN42,AN43:AN45)</f>
        <v>192989.25693088002</v>
      </c>
      <c r="AO58" s="520"/>
      <c r="AP58" s="521">
        <f t="shared" ref="AP58:AP62" si="75">AN58-AG58</f>
        <v>6313.7589999999909</v>
      </c>
      <c r="AQ58" s="522">
        <f t="shared" ref="AQ58:AQ62" si="76">IF((AG58)=0,"",(AP58/AG58))</f>
        <v>3.3822108792969575E-2</v>
      </c>
      <c r="AR58" s="523"/>
    </row>
    <row r="59" spans="1:44" ht="12.75" customHeight="1">
      <c r="A59" s="512"/>
      <c r="B59" s="524" t="s">
        <v>320</v>
      </c>
      <c r="C59" s="562"/>
      <c r="D59" s="514"/>
      <c r="E59" s="514"/>
      <c r="F59" s="515">
        <v>0.13</v>
      </c>
      <c r="G59" s="516"/>
      <c r="H59" s="525">
        <f>H58*F59</f>
        <v>23299.581316205997</v>
      </c>
      <c r="I59" s="526"/>
      <c r="J59" s="515">
        <v>0.13</v>
      </c>
      <c r="K59" s="527"/>
      <c r="L59" s="528">
        <f>L58*J59</f>
        <v>23702.923079014403</v>
      </c>
      <c r="M59" s="529"/>
      <c r="N59" s="530">
        <f t="shared" si="67"/>
        <v>403.3417628084062</v>
      </c>
      <c r="O59" s="531">
        <f t="shared" si="68"/>
        <v>1.7311116338724179E-2</v>
      </c>
      <c r="P59" s="512"/>
      <c r="Q59" s="515">
        <v>0.13</v>
      </c>
      <c r="R59" s="527"/>
      <c r="S59" s="528">
        <f>S58*Q59</f>
        <v>22664.986101014401</v>
      </c>
      <c r="T59" s="529"/>
      <c r="U59" s="530">
        <f t="shared" si="69"/>
        <v>-1037.9369780000015</v>
      </c>
      <c r="V59" s="531">
        <f t="shared" si="70"/>
        <v>-4.3789408358623431E-2</v>
      </c>
      <c r="W59" s="512"/>
      <c r="X59" s="515">
        <v>0.13</v>
      </c>
      <c r="Y59" s="527"/>
      <c r="Z59" s="528">
        <f>Z58*X59</f>
        <v>23418.228981014407</v>
      </c>
      <c r="AA59" s="529"/>
      <c r="AB59" s="530">
        <f t="shared" si="71"/>
        <v>753.24288000000524</v>
      </c>
      <c r="AC59" s="531">
        <f t="shared" si="72"/>
        <v>3.3233767567423869E-2</v>
      </c>
      <c r="AD59" s="512"/>
      <c r="AE59" s="515">
        <v>0.13</v>
      </c>
      <c r="AF59" s="527"/>
      <c r="AG59" s="528">
        <f>AG58*AE59</f>
        <v>24267.814731014405</v>
      </c>
      <c r="AH59" s="529"/>
      <c r="AI59" s="530">
        <f t="shared" si="73"/>
        <v>849.58574999999837</v>
      </c>
      <c r="AJ59" s="531">
        <f t="shared" si="74"/>
        <v>3.6278821540637142E-2</v>
      </c>
      <c r="AK59" s="512"/>
      <c r="AL59" s="515">
        <v>0.13</v>
      </c>
      <c r="AM59" s="527"/>
      <c r="AN59" s="528">
        <f>AN58*AL59</f>
        <v>25088.603401014403</v>
      </c>
      <c r="AO59" s="529"/>
      <c r="AP59" s="530">
        <f t="shared" si="75"/>
        <v>820.78866999999809</v>
      </c>
      <c r="AQ59" s="531">
        <f t="shared" si="76"/>
        <v>3.3822108792969541E-2</v>
      </c>
      <c r="AR59" s="532"/>
    </row>
    <row r="60" spans="1:44" ht="12.75" customHeight="1">
      <c r="A60" s="512"/>
      <c r="B60" s="553" t="s">
        <v>413</v>
      </c>
      <c r="C60" s="562"/>
      <c r="D60" s="514"/>
      <c r="E60" s="514"/>
      <c r="F60" s="534"/>
      <c r="G60" s="529"/>
      <c r="H60" s="525">
        <f>H58+H59</f>
        <v>202527.12990240596</v>
      </c>
      <c r="I60" s="526"/>
      <c r="J60" s="526"/>
      <c r="K60" s="526"/>
      <c r="L60" s="528">
        <f>L58+L59</f>
        <v>206033.10060989443</v>
      </c>
      <c r="M60" s="529"/>
      <c r="N60" s="530">
        <f t="shared" si="67"/>
        <v>3505.9707074884791</v>
      </c>
      <c r="O60" s="531">
        <f t="shared" si="68"/>
        <v>1.7311116338724303E-2</v>
      </c>
      <c r="P60" s="512"/>
      <c r="Q60" s="526"/>
      <c r="R60" s="526"/>
      <c r="S60" s="528">
        <f>S58+S59</f>
        <v>197011.03303189439</v>
      </c>
      <c r="T60" s="529"/>
      <c r="U60" s="530">
        <f t="shared" si="69"/>
        <v>-9022.0675780000456</v>
      </c>
      <c r="V60" s="531">
        <f t="shared" si="70"/>
        <v>-4.3789408358623584E-2</v>
      </c>
      <c r="W60" s="512"/>
      <c r="X60" s="526"/>
      <c r="Y60" s="526"/>
      <c r="Z60" s="528">
        <f>Z58+Z59</f>
        <v>203558.45191189443</v>
      </c>
      <c r="AA60" s="529"/>
      <c r="AB60" s="530">
        <f t="shared" si="71"/>
        <v>6547.4188800000411</v>
      </c>
      <c r="AC60" s="531">
        <f t="shared" si="72"/>
        <v>3.3233767567423855E-2</v>
      </c>
      <c r="AD60" s="512"/>
      <c r="AE60" s="526"/>
      <c r="AF60" s="526"/>
      <c r="AG60" s="528">
        <f>AG58+AG59</f>
        <v>210943.31266189442</v>
      </c>
      <c r="AH60" s="529"/>
      <c r="AI60" s="530">
        <f t="shared" si="73"/>
        <v>7384.8607499999925</v>
      </c>
      <c r="AJ60" s="531">
        <f t="shared" si="74"/>
        <v>3.6278821540637177E-2</v>
      </c>
      <c r="AK60" s="512"/>
      <c r="AL60" s="526"/>
      <c r="AM60" s="526"/>
      <c r="AN60" s="528">
        <f>AN58+AN59</f>
        <v>218077.86033189442</v>
      </c>
      <c r="AO60" s="529"/>
      <c r="AP60" s="530">
        <f t="shared" si="75"/>
        <v>7134.5476699999999</v>
      </c>
      <c r="AQ60" s="531">
        <f t="shared" si="76"/>
        <v>3.3822108792969624E-2</v>
      </c>
      <c r="AR60" s="532"/>
    </row>
    <row r="61" spans="1:44" ht="15.75" customHeight="1">
      <c r="A61" s="512"/>
      <c r="B61" s="644" t="s">
        <v>277</v>
      </c>
      <c r="C61" s="623"/>
      <c r="D61" s="623"/>
      <c r="E61" s="514"/>
      <c r="F61" s="534"/>
      <c r="G61" s="529"/>
      <c r="H61" s="535">
        <f>F61*H58</f>
        <v>0</v>
      </c>
      <c r="I61" s="526"/>
      <c r="J61" s="526"/>
      <c r="K61" s="526"/>
      <c r="L61" s="536">
        <f>J61*L58</f>
        <v>0</v>
      </c>
      <c r="M61" s="529"/>
      <c r="N61" s="537">
        <f t="shared" si="67"/>
        <v>0</v>
      </c>
      <c r="O61" s="538" t="str">
        <f t="shared" si="68"/>
        <v/>
      </c>
      <c r="P61" s="512"/>
      <c r="Q61" s="526"/>
      <c r="R61" s="526"/>
      <c r="S61" s="536">
        <f>Q61*S58</f>
        <v>0</v>
      </c>
      <c r="T61" s="529"/>
      <c r="U61" s="537">
        <f t="shared" si="69"/>
        <v>0</v>
      </c>
      <c r="V61" s="538" t="str">
        <f t="shared" si="70"/>
        <v/>
      </c>
      <c r="W61" s="512"/>
      <c r="X61" s="526"/>
      <c r="Y61" s="526"/>
      <c r="Z61" s="536">
        <f>X61*Z58</f>
        <v>0</v>
      </c>
      <c r="AA61" s="529"/>
      <c r="AB61" s="537">
        <f t="shared" si="71"/>
        <v>0</v>
      </c>
      <c r="AC61" s="538" t="str">
        <f t="shared" si="72"/>
        <v/>
      </c>
      <c r="AD61" s="512"/>
      <c r="AE61" s="526"/>
      <c r="AF61" s="526"/>
      <c r="AG61" s="536">
        <f>AE61*AG58</f>
        <v>0</v>
      </c>
      <c r="AH61" s="529"/>
      <c r="AI61" s="537">
        <f t="shared" si="73"/>
        <v>0</v>
      </c>
      <c r="AJ61" s="538" t="str">
        <f t="shared" si="74"/>
        <v/>
      </c>
      <c r="AK61" s="512"/>
      <c r="AL61" s="526"/>
      <c r="AM61" s="526"/>
      <c r="AN61" s="536">
        <f>AL61*AN58</f>
        <v>0</v>
      </c>
      <c r="AO61" s="529"/>
      <c r="AP61" s="537">
        <f t="shared" si="75"/>
        <v>0</v>
      </c>
      <c r="AQ61" s="538" t="str">
        <f t="shared" si="76"/>
        <v/>
      </c>
      <c r="AR61" s="539"/>
    </row>
    <row r="62" spans="1:44" ht="13.5" customHeight="1">
      <c r="A62" s="512"/>
      <c r="B62" s="643" t="s">
        <v>325</v>
      </c>
      <c r="C62" s="615"/>
      <c r="D62" s="615"/>
      <c r="E62" s="540"/>
      <c r="F62" s="541"/>
      <c r="G62" s="542"/>
      <c r="H62" s="543">
        <f>H60-H61</f>
        <v>202527.12990240596</v>
      </c>
      <c r="I62" s="544"/>
      <c r="J62" s="544"/>
      <c r="K62" s="544"/>
      <c r="L62" s="545">
        <f>L60-L61</f>
        <v>206033.10060989443</v>
      </c>
      <c r="M62" s="546"/>
      <c r="N62" s="547">
        <f t="shared" si="67"/>
        <v>3505.9707074884791</v>
      </c>
      <c r="O62" s="548">
        <f t="shared" si="68"/>
        <v>1.7311116338724303E-2</v>
      </c>
      <c r="P62" s="512"/>
      <c r="Q62" s="544"/>
      <c r="R62" s="544"/>
      <c r="S62" s="545">
        <f>S60-S61</f>
        <v>197011.03303189439</v>
      </c>
      <c r="T62" s="546"/>
      <c r="U62" s="547">
        <f t="shared" si="69"/>
        <v>-9022.0675780000456</v>
      </c>
      <c r="V62" s="548">
        <f t="shared" si="70"/>
        <v>-4.3789408358623584E-2</v>
      </c>
      <c r="W62" s="512"/>
      <c r="X62" s="544"/>
      <c r="Y62" s="544"/>
      <c r="Z62" s="545">
        <f>Z60-Z61</f>
        <v>203558.45191189443</v>
      </c>
      <c r="AA62" s="546"/>
      <c r="AB62" s="547">
        <f t="shared" si="71"/>
        <v>6547.4188800000411</v>
      </c>
      <c r="AC62" s="548">
        <f t="shared" si="72"/>
        <v>3.3233767567423855E-2</v>
      </c>
      <c r="AD62" s="512"/>
      <c r="AE62" s="544"/>
      <c r="AF62" s="544"/>
      <c r="AG62" s="545">
        <f>AG60-AG61</f>
        <v>210943.31266189442</v>
      </c>
      <c r="AH62" s="546"/>
      <c r="AI62" s="547">
        <f t="shared" si="73"/>
        <v>7384.8607499999925</v>
      </c>
      <c r="AJ62" s="548">
        <f t="shared" si="74"/>
        <v>3.6278821540637177E-2</v>
      </c>
      <c r="AK62" s="512"/>
      <c r="AL62" s="544"/>
      <c r="AM62" s="544"/>
      <c r="AN62" s="545">
        <f>AN60-AN61</f>
        <v>218077.86033189442</v>
      </c>
      <c r="AO62" s="546"/>
      <c r="AP62" s="547">
        <f t="shared" si="75"/>
        <v>7134.5476699999999</v>
      </c>
      <c r="AQ62" s="548">
        <f t="shared" si="76"/>
        <v>3.3822108792969624E-2</v>
      </c>
      <c r="AR62" s="549"/>
    </row>
    <row r="63" spans="1:44"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75" customHeight="1">
      <c r="A65" s="52"/>
      <c r="B65" s="307" t="s">
        <v>326</v>
      </c>
      <c r="C65" s="554"/>
      <c r="D65" s="52"/>
      <c r="E65" s="52"/>
      <c r="F65" s="477">
        <f>'Proposed Rates'!$E$307</f>
        <v>5.1000000000000004E-3</v>
      </c>
      <c r="G65" s="52"/>
      <c r="H65" s="52"/>
      <c r="I65" s="52"/>
      <c r="J65" s="477">
        <f>'Proposed Rates'!$F$307</f>
        <v>4.7999999999999996E-3</v>
      </c>
      <c r="K65" s="52"/>
      <c r="L65" s="52"/>
      <c r="M65" s="52"/>
      <c r="N65" s="52"/>
      <c r="O65" s="52"/>
      <c r="P65" s="52"/>
      <c r="Q65" s="477">
        <f>'Proposed Rates'!$G$307</f>
        <v>4.7999999999999996E-3</v>
      </c>
      <c r="R65" s="52"/>
      <c r="S65" s="52"/>
      <c r="T65" s="52"/>
      <c r="U65" s="52"/>
      <c r="V65" s="52"/>
      <c r="W65" s="52"/>
      <c r="X65" s="477">
        <f>'Proposed Rates'!$H$307</f>
        <v>4.7999999999999996E-3</v>
      </c>
      <c r="Y65" s="52"/>
      <c r="Z65" s="52"/>
      <c r="AA65" s="52"/>
      <c r="AB65" s="52"/>
      <c r="AC65" s="52"/>
      <c r="AD65" s="52"/>
      <c r="AE65" s="477">
        <f>'Proposed Rates'!$I$307</f>
        <v>4.7999999999999996E-3</v>
      </c>
      <c r="AF65" s="52"/>
      <c r="AG65" s="52"/>
      <c r="AH65" s="52"/>
      <c r="AI65" s="52"/>
      <c r="AJ65" s="52"/>
      <c r="AK65" s="52"/>
      <c r="AL65" s="477">
        <f>'Proposed Rates'!$J$307</f>
        <v>4.7999999999999996E-3</v>
      </c>
      <c r="AM65" s="52"/>
      <c r="AN65" s="52"/>
      <c r="AO65" s="52"/>
      <c r="AP65" s="52"/>
      <c r="AQ65" s="52"/>
      <c r="AR65" s="52"/>
    </row>
    <row r="66" spans="1:44"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8" t="s">
        <v>414</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3"/>
    </row>
    <row r="193" spans="1:44"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3"/>
    </row>
    <row r="194" spans="1:44"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3"/>
    </row>
    <row r="195" spans="1:44"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3"/>
    </row>
    <row r="196" spans="1:44"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3"/>
    </row>
    <row r="197" spans="1:44"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3"/>
    </row>
    <row r="198" spans="1:44"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3"/>
    </row>
    <row r="199" spans="1:44"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3"/>
    </row>
    <row r="200" spans="1:44"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3"/>
    </row>
    <row r="201" spans="1:44"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3"/>
    </row>
    <row r="202" spans="1:44"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3"/>
    </row>
    <row r="203" spans="1:44"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3"/>
    </row>
    <row r="204" spans="1:44"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3"/>
    </row>
    <row r="205" spans="1:44"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3"/>
    </row>
    <row r="206" spans="1:44"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3"/>
    </row>
    <row r="207" spans="1:44"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3"/>
    </row>
    <row r="208" spans="1:44"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3"/>
    </row>
    <row r="209" spans="1:44"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3"/>
    </row>
    <row r="210" spans="1:44"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3"/>
    </row>
    <row r="211" spans="1:44"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3"/>
    </row>
    <row r="212" spans="1:44"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3"/>
    </row>
    <row r="213" spans="1:44"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3"/>
    </row>
    <row r="214" spans="1:44"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3"/>
    </row>
    <row r="215" spans="1:44"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3"/>
    </row>
    <row r="216" spans="1:44"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3"/>
    </row>
    <row r="217" spans="1:44"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3"/>
    </row>
    <row r="218" spans="1:44"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3"/>
    </row>
    <row r="219" spans="1:44"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3"/>
    </row>
    <row r="220" spans="1:44"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3"/>
    </row>
    <row r="221" spans="1:44"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3"/>
    </row>
    <row r="222" spans="1:44"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3"/>
    </row>
    <row r="223" spans="1:44"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3"/>
    </row>
    <row r="224" spans="1:44"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3"/>
    </row>
    <row r="225" spans="1:44"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3"/>
    </row>
    <row r="226" spans="1:44"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3"/>
    </row>
    <row r="227" spans="1:44"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3"/>
    </row>
    <row r="228" spans="1:44"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3"/>
    </row>
    <row r="229" spans="1:44"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3"/>
    </row>
    <row r="230" spans="1:44"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3"/>
    </row>
    <row r="231" spans="1:44"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3"/>
    </row>
    <row r="232" spans="1:44"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3"/>
    </row>
    <row r="233" spans="1:44"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3"/>
    </row>
    <row r="234" spans="1:44"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3"/>
    </row>
    <row r="235" spans="1:44"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3"/>
    </row>
    <row r="236" spans="1:44"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3"/>
    </row>
    <row r="237" spans="1:44"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3"/>
    </row>
    <row r="238" spans="1:44"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3"/>
    </row>
    <row r="239" spans="1:44"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3"/>
    </row>
    <row r="240" spans="1:44"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3"/>
    </row>
    <row r="241" spans="1:44"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3"/>
    </row>
    <row r="242" spans="1:44"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3"/>
    </row>
    <row r="243" spans="1:44"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3"/>
    </row>
    <row r="244" spans="1:44"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3"/>
    </row>
    <row r="245" spans="1:44"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3"/>
    </row>
    <row r="246" spans="1:44"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3"/>
    </row>
    <row r="247" spans="1:44"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3"/>
    </row>
    <row r="248" spans="1:44"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3"/>
    </row>
    <row r="249" spans="1:44"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3"/>
    </row>
    <row r="250" spans="1:44"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3"/>
    </row>
    <row r="251" spans="1:44"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3"/>
    </row>
    <row r="252" spans="1:44"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3"/>
    </row>
    <row r="253" spans="1:44"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3"/>
    </row>
    <row r="254" spans="1:44"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3"/>
    </row>
    <row r="255" spans="1:44"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3"/>
    </row>
    <row r="256" spans="1:44"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3"/>
    </row>
    <row r="257" spans="1:44"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3"/>
    </row>
    <row r="258" spans="1:44"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3"/>
    </row>
    <row r="259" spans="1:44"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3"/>
    </row>
    <row r="260" spans="1:44"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3"/>
    </row>
    <row r="261" spans="1:44"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3"/>
    </row>
    <row r="262" spans="1:44"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3"/>
    </row>
    <row r="263" spans="1:44"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3"/>
    </row>
    <row r="264" spans="1:44"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3"/>
    </row>
    <row r="265" spans="1:44"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3"/>
    </row>
    <row r="266" spans="1:44"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3"/>
    </row>
    <row r="267" spans="1:44"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3"/>
    </row>
    <row r="268" spans="1:44"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3"/>
    </row>
    <row r="269" spans="1:44"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3"/>
    </row>
    <row r="270" spans="1:44"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3"/>
    </row>
    <row r="271" spans="1:44"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3"/>
    </row>
    <row r="272" spans="1:44"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3"/>
    </row>
    <row r="273" spans="1:44"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3"/>
    </row>
    <row r="274" spans="1:44"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3"/>
    </row>
    <row r="275" spans="1:44"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3"/>
    </row>
    <row r="276" spans="1:44"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3"/>
    </row>
    <row r="277" spans="1:44"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3"/>
    </row>
    <row r="278" spans="1:44"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3"/>
    </row>
    <row r="279" spans="1:44"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3"/>
    </row>
    <row r="280" spans="1:44"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3"/>
    </row>
    <row r="281" spans="1:44"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3"/>
    </row>
    <row r="282" spans="1:44"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3"/>
    </row>
    <row r="283" spans="1:44"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3"/>
    </row>
    <row r="284" spans="1:4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row>
    <row r="285" spans="1:4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row>
    <row r="286" spans="1:4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spans="1:4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spans="1:4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spans="1:4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spans="1:4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spans="1:4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spans="1:4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spans="1:4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spans="1:4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spans="1:4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spans="1:4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spans="1:4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spans="1:4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spans="1:4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spans="1:4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spans="1:4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spans="1:4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spans="1:4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spans="1:4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spans="1:4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spans="1:4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spans="1:4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spans="1:4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spans="1:4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spans="1:4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spans="1:4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spans="1:4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spans="1:4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spans="1:4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spans="1:4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spans="1:4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spans="1:4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spans="1:4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spans="1:4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spans="1:4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spans="1:4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spans="1:4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spans="1:4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spans="1:4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spans="1:4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spans="1:4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spans="1:4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spans="1:4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spans="1:4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row>
    <row r="341" spans="1:4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row>
    <row r="342" spans="1:4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row>
    <row r="343" spans="1:4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row>
    <row r="344" spans="1: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row>
    <row r="345" spans="1:4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spans="1:4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row>
    <row r="347" spans="1:4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row>
    <row r="348" spans="1:4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row>
    <row r="349" spans="1:4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row>
    <row r="350" spans="1:4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row>
    <row r="351" spans="1:4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row>
    <row r="352" spans="1:4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row>
    <row r="353" spans="1:4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row>
    <row r="354" spans="1:4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row>
    <row r="355" spans="1:4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row>
    <row r="356" spans="1:4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row>
    <row r="357" spans="1:4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spans="1:4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row>
    <row r="359" spans="1:4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row>
    <row r="360" spans="1:4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row>
    <row r="361" spans="1:4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row>
    <row r="362" spans="1:4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row>
    <row r="364" spans="1:4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row>
    <row r="365" spans="1:4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row>
    <row r="366" spans="1:4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row>
    <row r="367" spans="1:4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row>
    <row r="368" spans="1:4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row>
    <row r="369" spans="1:4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row>
    <row r="370" spans="1:4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row>
    <row r="371" spans="1:4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row>
    <row r="372" spans="1:4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row>
    <row r="373" spans="1:4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row>
    <row r="374" spans="1:4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row>
    <row r="375" spans="1:4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row>
    <row r="376" spans="1:4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row>
    <row r="377" spans="1:4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row>
    <row r="378" spans="1:4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row>
    <row r="379" spans="1:4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row>
    <row r="380" spans="1:4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spans="1:4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row>
    <row r="382" spans="1:4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row>
    <row r="383" spans="1:4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row>
    <row r="384" spans="1:4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row>
    <row r="385" spans="1:4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row>
    <row r="386" spans="1:4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spans="1:4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row>
    <row r="388" spans="1:4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spans="1:4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row>
    <row r="390" spans="1:4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row>
    <row r="391" spans="1:4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row>
    <row r="392" spans="1:4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row>
    <row r="393" spans="1:4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row>
    <row r="394" spans="1:4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row>
    <row r="395" spans="1:4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row>
    <row r="396" spans="1:4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row>
    <row r="397" spans="1:4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row>
    <row r="398" spans="1:4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row>
    <row r="399" spans="1:4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row>
    <row r="400" spans="1:4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row>
    <row r="401" spans="1:4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row>
    <row r="402" spans="1:4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row>
    <row r="403" spans="1:4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row>
    <row r="404" spans="1:4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row>
    <row r="405" spans="1:4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row>
    <row r="406" spans="1:4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row>
    <row r="407" spans="1:4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row>
    <row r="408" spans="1:4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row>
    <row r="409" spans="1:4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row>
    <row r="410" spans="1:4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row>
    <row r="411" spans="1:4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row>
    <row r="412" spans="1:4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row>
    <row r="413" spans="1:4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row>
    <row r="414" spans="1:4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row>
    <row r="415" spans="1:4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row>
    <row r="416" spans="1:4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row>
    <row r="417" spans="1:4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row>
    <row r="418" spans="1:4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row>
    <row r="419" spans="1:4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row>
    <row r="420" spans="1:4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row>
    <row r="421" spans="1:4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row>
    <row r="422" spans="1:4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spans="1:4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row>
    <row r="424" spans="1:4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row>
    <row r="425" spans="1:4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row>
    <row r="426" spans="1:4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spans="1:4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row>
    <row r="428" spans="1:4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row>
    <row r="429" spans="1:4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row>
    <row r="430" spans="1:4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row>
    <row r="431" spans="1:4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row>
    <row r="432" spans="1:4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row>
    <row r="433" spans="1:4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row>
    <row r="434" spans="1:4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row>
    <row r="435" spans="1:4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row>
    <row r="436" spans="1:4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row>
    <row r="437" spans="1:4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row>
    <row r="438" spans="1:4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row>
    <row r="439" spans="1:4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spans="1:4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row>
    <row r="441" spans="1:4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row>
    <row r="442" spans="1:4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row>
    <row r="443" spans="1:4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row>
    <row r="444" spans="1: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row>
    <row r="445" spans="1:4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row>
    <row r="446" spans="1:4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row>
    <row r="447" spans="1:4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row>
    <row r="448" spans="1:4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row>
    <row r="449" spans="1:4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row>
    <row r="450" spans="1:4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row>
    <row r="451" spans="1:4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row>
    <row r="452" spans="1:4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row>
    <row r="453" spans="1:4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spans="1:4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row>
    <row r="455" spans="1:4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row>
    <row r="456" spans="1:4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row>
    <row r="457" spans="1:4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row>
    <row r="458" spans="1:4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row>
    <row r="459" spans="1:4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row>
    <row r="460" spans="1:4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row>
    <row r="461" spans="1:4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row>
    <row r="462" spans="1:4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row>
    <row r="463" spans="1:4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row>
    <row r="464" spans="1:4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row>
    <row r="465" spans="1:4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row>
    <row r="466" spans="1:4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row>
    <row r="467" spans="1:4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row>
    <row r="468" spans="1:4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row>
    <row r="469" spans="1:4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row>
    <row r="470" spans="1:4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row>
    <row r="471" spans="1:4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row>
    <row r="472" spans="1:4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row>
    <row r="473" spans="1:4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row>
    <row r="474" spans="1:4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row>
    <row r="475" spans="1:4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row>
    <row r="476" spans="1:4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row>
    <row r="477" spans="1:4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row>
    <row r="478" spans="1:4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row>
    <row r="479" spans="1:4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row>
    <row r="480" spans="1:4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row>
    <row r="481" spans="1:4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row>
    <row r="482" spans="1:4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row>
    <row r="483" spans="1:4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row>
    <row r="484" spans="1:4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row>
    <row r="485" spans="1:4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row>
    <row r="486" spans="1:4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row>
    <row r="487" spans="1:4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row>
    <row r="488" spans="1:4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row>
    <row r="489" spans="1:4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row>
    <row r="490" spans="1:4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row>
    <row r="491" spans="1:4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row>
    <row r="492" spans="1:4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row>
    <row r="493" spans="1:4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row>
    <row r="494" spans="1:4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row>
    <row r="495" spans="1:4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row>
    <row r="496" spans="1:4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row>
    <row r="497" spans="1:4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row>
    <row r="498" spans="1:4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row>
    <row r="499" spans="1:4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spans="1:4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row>
    <row r="501" spans="1:4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row>
    <row r="502" spans="1:4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row>
    <row r="503" spans="1:4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spans="1:4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spans="1:4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spans="1:4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row>
    <row r="507" spans="1:4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row>
    <row r="508" spans="1:4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row>
    <row r="509" spans="1:4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row>
    <row r="510" spans="1:4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row>
    <row r="511" spans="1:4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row>
    <row r="512" spans="1:4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row>
    <row r="513" spans="1:4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row>
    <row r="514" spans="1:4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row>
    <row r="515" spans="1:4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row>
    <row r="516" spans="1:4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row>
    <row r="517" spans="1:4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row>
    <row r="518" spans="1:4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row>
    <row r="519" spans="1:4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row>
    <row r="520" spans="1:4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row>
    <row r="521" spans="1:4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row>
    <row r="522" spans="1:4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row>
    <row r="523" spans="1:4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row>
    <row r="524" spans="1:4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row>
    <row r="525" spans="1:4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row>
    <row r="526" spans="1:4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row>
    <row r="527" spans="1:4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row>
    <row r="528" spans="1:4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row>
    <row r="529" spans="1:4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row>
    <row r="530" spans="1:4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row>
    <row r="531" spans="1:4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row>
    <row r="532" spans="1:4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row>
    <row r="533" spans="1:4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row>
    <row r="534" spans="1:4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row>
    <row r="535" spans="1:4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row>
    <row r="536" spans="1:4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row>
    <row r="537" spans="1:4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row>
    <row r="538" spans="1:4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spans="1:4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row>
    <row r="540" spans="1:4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row>
    <row r="541" spans="1:4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spans="1:4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spans="1:4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spans="1: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spans="1:4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spans="1:4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spans="1:4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row>
    <row r="548" spans="1:4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row>
    <row r="549" spans="1:4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row>
    <row r="550" spans="1:4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row>
    <row r="551" spans="1:4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row>
    <row r="552" spans="1:4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row>
    <row r="553" spans="1:4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row>
    <row r="554" spans="1:4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row>
    <row r="555" spans="1:4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row>
    <row r="556" spans="1:4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row>
    <row r="557" spans="1:4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row>
    <row r="558" spans="1:4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row>
    <row r="559" spans="1:4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row>
    <row r="560" spans="1:4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row>
    <row r="561" spans="1:4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row>
    <row r="562" spans="1:4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row>
    <row r="563" spans="1:4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row>
    <row r="564" spans="1:4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row>
    <row r="565" spans="1:4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row>
    <row r="566" spans="1:4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row>
    <row r="567" spans="1:4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row>
    <row r="568" spans="1:4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row>
    <row r="569" spans="1:4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row>
    <row r="570" spans="1:4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row>
    <row r="571" spans="1:4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row>
    <row r="572" spans="1:4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row>
    <row r="573" spans="1:4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row>
    <row r="574" spans="1:4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row>
    <row r="575" spans="1:4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row>
    <row r="576" spans="1:4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row>
    <row r="577" spans="1:4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row>
    <row r="578" spans="1:4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row>
    <row r="579" spans="1:4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row>
    <row r="580" spans="1:4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row>
    <row r="581" spans="1:4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row>
    <row r="582" spans="1:4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row>
    <row r="583" spans="1:4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row>
    <row r="584" spans="1:4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row>
    <row r="585" spans="1:4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row>
    <row r="586" spans="1:4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row>
    <row r="587" spans="1:4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row>
    <row r="588" spans="1:4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row>
    <row r="589" spans="1:4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row>
    <row r="590" spans="1:4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row>
    <row r="591" spans="1:4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row>
    <row r="592" spans="1:4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row>
    <row r="593" spans="1:4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row>
    <row r="594" spans="1:4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row>
    <row r="595" spans="1:4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row>
    <row r="596" spans="1:4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row>
    <row r="597" spans="1:4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row>
    <row r="598" spans="1:4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row>
    <row r="599" spans="1:4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row>
    <row r="600" spans="1:4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row>
    <row r="601" spans="1:4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spans="1:4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spans="1:4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row>
    <row r="604" spans="1:4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row>
    <row r="605" spans="1:4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row>
    <row r="606" spans="1:4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row>
    <row r="607" spans="1:4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row>
    <row r="608" spans="1:4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row>
    <row r="609" spans="1:4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row>
    <row r="610" spans="1:4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spans="1:4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spans="1:4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spans="1:4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row>
    <row r="614" spans="1:4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row>
    <row r="615" spans="1:4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row>
    <row r="616" spans="1:4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row>
    <row r="617" spans="1:4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row>
    <row r="618" spans="1:4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row>
    <row r="619" spans="1:4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row>
    <row r="620" spans="1:4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row>
    <row r="621" spans="1:4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row>
    <row r="622" spans="1:4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spans="1:4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row>
    <row r="624" spans="1:4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row>
    <row r="625" spans="1:4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row>
    <row r="626" spans="1:4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row>
    <row r="627" spans="1:4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row>
    <row r="628" spans="1:4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row>
    <row r="629" spans="1:4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row>
    <row r="630" spans="1:4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row>
    <row r="631" spans="1:4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row>
    <row r="632" spans="1:4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row>
    <row r="633" spans="1:4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row>
    <row r="634" spans="1:4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row>
    <row r="635" spans="1:4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row>
    <row r="636" spans="1:4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row>
    <row r="637" spans="1:4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row>
    <row r="638" spans="1:4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row>
    <row r="639" spans="1:4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row>
    <row r="640" spans="1:4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row>
    <row r="641" spans="1:4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row>
    <row r="642" spans="1:4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row>
    <row r="643" spans="1:4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row>
    <row r="644" spans="1: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row>
    <row r="645" spans="1:4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row>
    <row r="646" spans="1:4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row>
    <row r="647" spans="1:4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row>
    <row r="648" spans="1:4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spans="1:4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row>
    <row r="650" spans="1:4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row>
    <row r="651" spans="1:4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row>
    <row r="652" spans="1:4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row>
    <row r="653" spans="1:4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row>
    <row r="654" spans="1:4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row>
    <row r="655" spans="1:4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row>
    <row r="656" spans="1:4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row>
    <row r="657" spans="1:4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row>
    <row r="658" spans="1:4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row>
    <row r="659" spans="1:4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row>
    <row r="660" spans="1:4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row>
    <row r="661" spans="1:4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row>
    <row r="662" spans="1:4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spans="1:4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row>
    <row r="664" spans="1:4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row>
    <row r="665" spans="1:4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row>
    <row r="666" spans="1:4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row>
    <row r="667" spans="1:4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row>
    <row r="668" spans="1:4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row>
    <row r="669" spans="1:4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row>
    <row r="670" spans="1:4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row>
    <row r="671" spans="1:4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row>
    <row r="672" spans="1:4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row>
    <row r="673" spans="1:4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row>
    <row r="674" spans="1:4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row>
    <row r="675" spans="1:4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row>
    <row r="676" spans="1:4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row>
    <row r="677" spans="1:4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row>
    <row r="678" spans="1:4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row>
    <row r="679" spans="1:4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spans="1:4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row>
    <row r="681" spans="1:4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row>
    <row r="682" spans="1:4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row>
    <row r="683" spans="1:4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row>
    <row r="684" spans="1:4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spans="1:4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spans="1:4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row>
    <row r="687" spans="1:4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row>
    <row r="688" spans="1:4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row>
    <row r="689" spans="1:4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row>
    <row r="690" spans="1:4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row>
    <row r="691" spans="1:4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row>
    <row r="692" spans="1:4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row>
    <row r="693" spans="1:4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row>
    <row r="694" spans="1:4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row>
    <row r="695" spans="1:4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row>
    <row r="696" spans="1:4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row>
    <row r="697" spans="1:4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row>
    <row r="698" spans="1:4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row>
    <row r="699" spans="1:4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row>
    <row r="700" spans="1:4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row>
    <row r="701" spans="1:4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row>
    <row r="702" spans="1:4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row>
    <row r="703" spans="1:4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row>
    <row r="704" spans="1:4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row>
    <row r="705" spans="1:4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row>
    <row r="706" spans="1:4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row>
    <row r="707" spans="1:4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row>
    <row r="708" spans="1:4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row>
    <row r="709" spans="1:4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row>
    <row r="710" spans="1:4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row>
    <row r="711" spans="1:4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row>
    <row r="712" spans="1:4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row>
    <row r="713" spans="1:4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row>
    <row r="714" spans="1:4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row>
    <row r="715" spans="1:4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row>
    <row r="716" spans="1:4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row>
    <row r="717" spans="1:4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row>
    <row r="718" spans="1:4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row>
    <row r="719" spans="1:4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row>
    <row r="720" spans="1:4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row>
    <row r="721" spans="1:4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row>
    <row r="722" spans="1:4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row>
    <row r="723" spans="1:4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row>
    <row r="724" spans="1:4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row>
    <row r="725" spans="1:4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row>
    <row r="726" spans="1:4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spans="1:4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spans="1:4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spans="1:4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spans="1:4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spans="1:4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spans="1:4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spans="1:4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spans="1:4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spans="1:4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spans="1:4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spans="1:4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spans="1:4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spans="1:4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spans="1:4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spans="1:4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spans="1:4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spans="1:4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spans="1: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spans="1:4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spans="1:4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spans="1:4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spans="1:4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spans="1:4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spans="1:4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row>
    <row r="751" spans="1:4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spans="1:4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spans="1:4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spans="1:4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spans="1:4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row>
    <row r="756" spans="1:4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row>
    <row r="757" spans="1:4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row>
    <row r="758" spans="1:4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row>
    <row r="759" spans="1:4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row>
    <row r="760" spans="1:4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row>
    <row r="761" spans="1:4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row>
    <row r="762" spans="1:4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row>
    <row r="763" spans="1:4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row>
    <row r="764" spans="1:4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row>
    <row r="765" spans="1:4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row>
    <row r="766" spans="1:4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row>
    <row r="767" spans="1:4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row>
    <row r="768" spans="1:4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row>
    <row r="769" spans="1:4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row>
    <row r="770" spans="1:4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row>
    <row r="771" spans="1:4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row>
    <row r="772" spans="1:4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row>
    <row r="773" spans="1:4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row>
    <row r="774" spans="1:4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row>
    <row r="775" spans="1:4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row>
    <row r="776" spans="1:4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row>
    <row r="777" spans="1:4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row>
    <row r="778" spans="1:4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row>
    <row r="779" spans="1:4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row>
    <row r="780" spans="1:4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spans="1:4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row>
    <row r="782" spans="1:4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row>
    <row r="783" spans="1:4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row>
    <row r="784" spans="1:4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row>
    <row r="785" spans="1:4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spans="1:4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row>
    <row r="787" spans="1:4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spans="1:4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row>
    <row r="789" spans="1:4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spans="1:4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spans="1:4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row>
    <row r="792" spans="1:4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row>
    <row r="793" spans="1:4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row>
    <row r="794" spans="1:4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row>
    <row r="795" spans="1:4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row>
    <row r="796" spans="1:4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row>
    <row r="797" spans="1:4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row>
    <row r="798" spans="1:4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row>
    <row r="799" spans="1:4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row>
    <row r="800" spans="1:4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row>
    <row r="801" spans="1:4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spans="1:4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row>
    <row r="803" spans="1:4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row>
    <row r="804" spans="1:4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row>
    <row r="805" spans="1:4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row>
    <row r="806" spans="1:4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row>
    <row r="807" spans="1:4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row>
    <row r="808" spans="1:4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row>
    <row r="809" spans="1:4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row>
    <row r="810" spans="1:4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row>
    <row r="811" spans="1:4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row>
    <row r="812" spans="1:4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row>
    <row r="813" spans="1:4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row>
    <row r="814" spans="1:4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row>
    <row r="815" spans="1:4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row>
    <row r="816" spans="1:4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row>
    <row r="817" spans="1:4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row>
    <row r="818" spans="1:4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row>
    <row r="819" spans="1:4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row>
    <row r="820" spans="1:4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row>
    <row r="821" spans="1:4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row>
    <row r="822" spans="1:4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row>
    <row r="823" spans="1:4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row>
    <row r="824" spans="1:4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row>
    <row r="825" spans="1:4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row>
    <row r="826" spans="1:4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row>
    <row r="827" spans="1:4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row>
    <row r="828" spans="1:4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row>
    <row r="829" spans="1:4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row>
    <row r="830" spans="1:4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row>
    <row r="831" spans="1:4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row>
    <row r="832" spans="1:4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row>
    <row r="833" spans="1:4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row>
    <row r="834" spans="1:4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row>
    <row r="835" spans="1:4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row>
    <row r="836" spans="1:4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row>
    <row r="837" spans="1:4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row>
    <row r="838" spans="1:4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row>
    <row r="839" spans="1:4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row>
    <row r="840" spans="1:4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row>
    <row r="841" spans="1:4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row>
    <row r="842" spans="1:4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row>
    <row r="843" spans="1:4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row>
    <row r="844" spans="1: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row>
    <row r="845" spans="1:4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row>
    <row r="846" spans="1:4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row>
    <row r="847" spans="1:4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row>
    <row r="848" spans="1:4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row>
    <row r="849" spans="1:4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row>
    <row r="850" spans="1:4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row>
    <row r="851" spans="1:4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row>
    <row r="852" spans="1:4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row>
    <row r="853" spans="1:4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row>
    <row r="854" spans="1:4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row>
    <row r="855" spans="1:4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row>
    <row r="856" spans="1:4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row>
    <row r="857" spans="1:4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row>
    <row r="858" spans="1:4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row>
    <row r="859" spans="1:4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row>
    <row r="860" spans="1:4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row>
    <row r="861" spans="1:4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row>
    <row r="862" spans="1:4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row>
    <row r="863" spans="1:4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row>
    <row r="864" spans="1:4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row>
    <row r="865" spans="1:4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row>
    <row r="866" spans="1:4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row>
    <row r="867" spans="1:4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row>
    <row r="868" spans="1:4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row>
    <row r="869" spans="1:4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row>
    <row r="870" spans="1:4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row>
    <row r="871" spans="1:4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row>
    <row r="872" spans="1:4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row>
    <row r="873" spans="1:4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row>
    <row r="874" spans="1:4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row>
    <row r="875" spans="1:4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row>
    <row r="876" spans="1:4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row>
    <row r="877" spans="1:4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row>
    <row r="878" spans="1:4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row>
    <row r="879" spans="1:4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row>
    <row r="880" spans="1:4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row>
    <row r="881" spans="1:4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row>
    <row r="882" spans="1:4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row>
    <row r="883" spans="1:4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row>
    <row r="884" spans="1:4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row>
    <row r="885" spans="1:4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row>
    <row r="886" spans="1:4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row>
    <row r="887" spans="1:4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row>
    <row r="888" spans="1:4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spans="1:4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row>
    <row r="890" spans="1:4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spans="1:4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spans="1:4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spans="1:4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row>
    <row r="894" spans="1:4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spans="1:4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spans="1:4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spans="1:4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spans="1:4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spans="1:4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spans="1:4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spans="1:4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spans="1:4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spans="1:4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row>
    <row r="904" spans="1:4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row>
    <row r="905" spans="1:4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spans="1:4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row>
    <row r="907" spans="1:4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spans="1:4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spans="1:4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spans="1:4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spans="1:4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spans="1:4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row>
    <row r="913" spans="1:4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row>
    <row r="914" spans="1:4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row>
    <row r="915" spans="1:4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row>
    <row r="916" spans="1:4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row>
    <row r="917" spans="1:4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row>
    <row r="918" spans="1:4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row>
    <row r="919" spans="1:4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row>
    <row r="920" spans="1:4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row>
    <row r="921" spans="1:4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row>
    <row r="922" spans="1:4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row>
    <row r="923" spans="1:4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row>
    <row r="924" spans="1:4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row>
    <row r="925" spans="1:4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row>
    <row r="926" spans="1:4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row>
    <row r="927" spans="1:4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row>
    <row r="928" spans="1:4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row>
    <row r="929" spans="1:4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row>
    <row r="930" spans="1:4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row>
    <row r="931" spans="1:4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row>
    <row r="932" spans="1:4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row>
    <row r="933" spans="1:4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row>
    <row r="934" spans="1:4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row>
    <row r="935" spans="1:4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row>
    <row r="936" spans="1:4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row>
    <row r="937" spans="1:4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row>
    <row r="938" spans="1:4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row>
    <row r="939" spans="1:4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row>
    <row r="940" spans="1:4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row>
    <row r="941" spans="1:4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row>
    <row r="942" spans="1:4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row>
    <row r="943" spans="1:4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row>
    <row r="944" spans="1: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row>
    <row r="945" spans="1:4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row>
    <row r="946" spans="1:4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row>
    <row r="947" spans="1:4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row>
    <row r="948" spans="1:4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row>
    <row r="949" spans="1:4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row>
    <row r="950" spans="1:4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row>
    <row r="951" spans="1:4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row>
    <row r="952" spans="1:4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row>
    <row r="953" spans="1:4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row>
    <row r="954" spans="1:4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row>
    <row r="955" spans="1:4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row>
    <row r="956" spans="1:4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row>
    <row r="957" spans="1:4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row>
    <row r="958" spans="1:4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row>
    <row r="959" spans="1:4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row>
    <row r="960" spans="1:4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row>
    <row r="961" spans="1:4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row>
    <row r="962" spans="1:4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row>
    <row r="963" spans="1:4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row>
    <row r="964" spans="1:4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row>
    <row r="965" spans="1:4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row>
    <row r="966" spans="1:4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row>
    <row r="967" spans="1:4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row>
    <row r="968" spans="1:4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row>
    <row r="969" spans="1:4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row>
    <row r="970" spans="1:4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row>
    <row r="971" spans="1:4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row>
    <row r="972" spans="1:4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row>
    <row r="973" spans="1:4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row>
    <row r="974" spans="1:4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row>
    <row r="975" spans="1:4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row>
    <row r="976" spans="1:4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row>
    <row r="977" spans="1:4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row>
    <row r="978" spans="1:4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row>
    <row r="979" spans="1:4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row>
    <row r="980" spans="1:4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row>
    <row r="981" spans="1:4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row>
    <row r="982" spans="1:4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row>
    <row r="983" spans="1:4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row>
    <row r="984" spans="1:4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row>
    <row r="985" spans="1:4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row>
    <row r="986" spans="1:4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row>
    <row r="987" spans="1:4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row>
    <row r="988" spans="1:4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row>
    <row r="989" spans="1:4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row>
    <row r="990" spans="1:4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row>
    <row r="991" spans="1:4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row>
    <row r="992" spans="1:4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row>
    <row r="993" spans="1:4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row>
    <row r="994" spans="1:4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row>
    <row r="995" spans="1:4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row>
    <row r="996" spans="1:4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row>
    <row r="997" spans="1:4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row>
    <row r="998" spans="1:4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row>
    <row r="999" spans="1:4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row>
    <row r="1000" spans="1:4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row>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200-000000000000}">
      <formula1>"TOU,non-TOU"</formula1>
    </dataValidation>
    <dataValidation type="list" allowBlank="1" showErrorMessage="1" sqref="E15:E28 E30:E38 E40:E41 E43:E51 E57 E63" xr:uid="{00000000-0002-0000-2200-000001000000}">
      <formula1>#REF!</formula1>
    </dataValidation>
    <dataValidation type="list" allowBlank="1" showInputMessage="1" showErrorMessage="1" prompt="Select Charge Unit - monthly, per kWh, per kW" sqref="D15:D28 D30:D38 D40:D41 D43:D51 D57 D63" xr:uid="{00000000-0002-0000-2200-000002000000}">
      <formula1>"Monthly,per kWh,per kW"</formula1>
    </dataValidation>
  </dataValidations>
  <pageMargins left="0.74803149606299213" right="0.74803149606299213" top="0.98425196850393704" bottom="0.98425196850393704"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1.42578125" customWidth="1"/>
    <col min="6" max="6" width="13.28515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2.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28515625" customWidth="1"/>
    <col min="36" max="36" width="10" customWidth="1"/>
    <col min="37" max="37" width="0.7109375" customWidth="1"/>
    <col min="38" max="38" width="12.28515625" customWidth="1"/>
    <col min="39" max="39" width="11" customWidth="1"/>
    <col min="40" max="40" width="13" customWidth="1"/>
    <col min="41" max="41" width="1.28515625" customWidth="1"/>
    <col min="42" max="42" width="12.28515625" customWidth="1"/>
    <col min="43" max="43" width="10" customWidth="1"/>
    <col min="44" max="44" width="1.28515625" customWidth="1"/>
  </cols>
  <sheetData>
    <row r="1" spans="1:44" ht="7.5" customHeight="1">
      <c r="A1" s="52"/>
      <c r="B1" s="52"/>
      <c r="C1" s="554"/>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row>
    <row r="2" spans="1:44" ht="18.75" customHeight="1">
      <c r="A2" s="52"/>
      <c r="B2" s="52"/>
      <c r="C2" s="555"/>
      <c r="D2" s="378"/>
      <c r="E2" s="378"/>
      <c r="F2" s="378" t="s">
        <v>295</v>
      </c>
      <c r="G2" s="378"/>
      <c r="H2" s="378"/>
      <c r="I2" s="378"/>
      <c r="J2" s="378"/>
      <c r="K2" s="378"/>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row>
    <row r="3" spans="1:44" ht="18.75" customHeight="1">
      <c r="A3" s="52"/>
      <c r="B3" s="52"/>
      <c r="C3" s="555"/>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4" ht="7.5" customHeight="1">
      <c r="A4" s="52"/>
      <c r="B4" s="52"/>
      <c r="C4" s="554"/>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4" ht="7.5" customHeight="1">
      <c r="A5" s="52"/>
      <c r="B5" s="52"/>
      <c r="C5" s="554"/>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4" ht="12.75" customHeight="1">
      <c r="A6" s="52"/>
      <c r="B6" s="320" t="s">
        <v>298</v>
      </c>
      <c r="C6" s="554"/>
      <c r="D6" s="380" t="s">
        <v>226</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row>
    <row r="7" spans="1:44" ht="7.5" customHeight="1">
      <c r="A7" s="52"/>
      <c r="B7" s="382"/>
      <c r="C7" s="554"/>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2.75" customHeight="1">
      <c r="A8" s="52"/>
      <c r="B8" s="320" t="s">
        <v>299</v>
      </c>
      <c r="C8" s="554"/>
      <c r="D8" s="384" t="s">
        <v>379</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4" ht="12.75" customHeight="1">
      <c r="A9" s="52"/>
      <c r="B9" s="382"/>
      <c r="C9" s="554"/>
      <c r="D9" s="307" t="s">
        <v>301</v>
      </c>
      <c r="E9" s="307"/>
      <c r="F9" s="385">
        <v>4000000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4" ht="12.75" customHeight="1">
      <c r="A10" s="52"/>
      <c r="B10" s="52"/>
      <c r="C10" s="554"/>
      <c r="D10" s="52"/>
      <c r="E10" s="52"/>
      <c r="F10" s="385">
        <v>10000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4" ht="12.75" customHeight="1">
      <c r="A11" s="52"/>
      <c r="B11" s="52"/>
      <c r="C11" s="554"/>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4"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4"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4"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4" ht="12.75" customHeight="1">
      <c r="A15" s="52"/>
      <c r="B15" s="321" t="s">
        <v>221</v>
      </c>
      <c r="C15" s="394" t="str">
        <f t="shared" ref="C15:C28" si="0">D$6&amp;"."&amp;B15</f>
        <v>Large User.Monthly Service Charge</v>
      </c>
      <c r="D15" s="395" t="s">
        <v>310</v>
      </c>
      <c r="E15" s="321"/>
      <c r="F15" s="396">
        <f>IFERROR(VLOOKUP($C15,'Proposed Rates'!$B:$J,F$11,FALSE),0)</f>
        <v>14946.93</v>
      </c>
      <c r="G15" s="414">
        <f t="shared" ref="G15:G28" si="1">IF($D15="Monthly",1,IF($D15="per KW",$F$10,IF($D15="per kWh",$F$9,0)))</f>
        <v>1</v>
      </c>
      <c r="H15" s="399">
        <f t="shared" ref="H15:H28" si="2">G15*F15</f>
        <v>14946.93</v>
      </c>
      <c r="I15" s="132"/>
      <c r="J15" s="396">
        <f>IFERROR(VLOOKUP($C15,'Proposed Rates'!$B:$J,J$11,FALSE),0)</f>
        <v>14946.93</v>
      </c>
      <c r="K15" s="414">
        <f t="shared" ref="K15:K28" si="3">IF($D15="Monthly",1,IF($D15="per KW",$F$10,IF($D15="per kWh",$F$9,0)))</f>
        <v>1</v>
      </c>
      <c r="L15" s="399">
        <f t="shared" ref="L15:L28" si="4">K15*J15</f>
        <v>14946.93</v>
      </c>
      <c r="M15" s="132"/>
      <c r="N15" s="400">
        <f t="shared" ref="N15:N46" si="5">L15-H15</f>
        <v>0</v>
      </c>
      <c r="O15" s="401">
        <f t="shared" ref="O15:O46" si="6">IF((H15)=0,"",(N15/H15))</f>
        <v>0</v>
      </c>
      <c r="P15" s="52"/>
      <c r="Q15" s="396">
        <f>IFERROR(VLOOKUP($C15,'Proposed Rates'!$B:$J,Q$11,FALSE),0)</f>
        <v>14946.93</v>
      </c>
      <c r="R15" s="414">
        <f t="shared" ref="R15:R28" si="7">IF($D15="Monthly",1,IF($D15="per KW",$F$10,IF($D15="per kWh",$F$9,0)))</f>
        <v>1</v>
      </c>
      <c r="S15" s="399">
        <f t="shared" ref="S15:S28" si="8">R15*Q15</f>
        <v>14946.93</v>
      </c>
      <c r="T15" s="132"/>
      <c r="U15" s="400">
        <f t="shared" ref="U15:U46" si="9">S15-L15</f>
        <v>0</v>
      </c>
      <c r="V15" s="401">
        <f t="shared" ref="V15:V46" si="10">IF((L15)=0,"",(U15/L15))</f>
        <v>0</v>
      </c>
      <c r="W15" s="52"/>
      <c r="X15" s="396">
        <f>IFERROR(VLOOKUP($C15,'Proposed Rates'!$B:$J,X$11,FALSE),0)</f>
        <v>14946.93</v>
      </c>
      <c r="Y15" s="414">
        <f t="shared" ref="Y15:Y28" si="11">IF($D15="Monthly",1,IF($D15="per KW",$F$10,IF($D15="per kWh",$F$9,0)))</f>
        <v>1</v>
      </c>
      <c r="Z15" s="399">
        <f t="shared" ref="Z15:Z28" si="12">Y15*X15</f>
        <v>14946.93</v>
      </c>
      <c r="AA15" s="132"/>
      <c r="AB15" s="400">
        <f t="shared" ref="AB15:AB46" si="13">Z15-S15</f>
        <v>0</v>
      </c>
      <c r="AC15" s="401">
        <f t="shared" ref="AC15:AC46" si="14">IF((S15)=0,"",(AB15/S15))</f>
        <v>0</v>
      </c>
      <c r="AD15" s="52"/>
      <c r="AE15" s="396">
        <f>IFERROR(VLOOKUP($C15,'Proposed Rates'!$B:$J,AE$11,FALSE),0)</f>
        <v>14946.93</v>
      </c>
      <c r="AF15" s="414">
        <f t="shared" ref="AF15:AF28" si="15">IF($D15="Monthly",1,IF($D15="per KW",$F$10,IF($D15="per kWh",$F$9,0)))</f>
        <v>1</v>
      </c>
      <c r="AG15" s="399">
        <f t="shared" ref="AG15:AG28" si="16">AF15*AE15</f>
        <v>14946.93</v>
      </c>
      <c r="AH15" s="132"/>
      <c r="AI15" s="400">
        <f t="shared" ref="AI15:AI46" si="17">AG15-Z15</f>
        <v>0</v>
      </c>
      <c r="AJ15" s="401">
        <f t="shared" ref="AJ15:AJ46" si="18">IF((Z15)=0,"",(AI15/Z15))</f>
        <v>0</v>
      </c>
      <c r="AK15" s="52"/>
      <c r="AL15" s="396">
        <f>IFERROR(VLOOKUP($C15,'Proposed Rates'!$B:$J,AL$11,FALSE),0)</f>
        <v>14946.93</v>
      </c>
      <c r="AM15" s="414">
        <f t="shared" ref="AM15:AM28" si="19">IF($D15="Monthly",1,IF($D15="per KW",$F$10,IF($D15="per kWh",$F$9,0)))</f>
        <v>1</v>
      </c>
      <c r="AN15" s="399">
        <f t="shared" ref="AN15:AN28" si="20">AM15*AL15</f>
        <v>14946.93</v>
      </c>
      <c r="AO15" s="132"/>
      <c r="AP15" s="400">
        <f t="shared" ref="AP15:AP46" si="21">AN15-AG15</f>
        <v>0</v>
      </c>
      <c r="AQ15" s="401">
        <f t="shared" ref="AQ15:AQ46" si="22">IF((AG15)=0,"",(AP15/AG15))</f>
        <v>0</v>
      </c>
      <c r="AR15" s="402"/>
    </row>
    <row r="16" spans="1:44" ht="12.75" customHeight="1">
      <c r="A16" s="52"/>
      <c r="B16" s="321" t="s">
        <v>311</v>
      </c>
      <c r="C16" s="394" t="str">
        <f t="shared" si="0"/>
        <v>Large User.Smart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75" customHeight="1">
      <c r="A17" s="52"/>
      <c r="B17" s="403" t="str">
        <f>'Proposed Rates'!C115</f>
        <v>Rate Rider Calculation for PILs</v>
      </c>
      <c r="C17" s="394" t="str">
        <f t="shared" si="0"/>
        <v>Large User.Rate Rider Calculation for PILs</v>
      </c>
      <c r="D17" s="395" t="s">
        <v>381</v>
      </c>
      <c r="E17" s="321"/>
      <c r="F17" s="396">
        <f>IFERROR(VLOOKUP($C17,'Proposed Rates'!$B:$J,F$11,FALSE),0)</f>
        <v>0</v>
      </c>
      <c r="G17" s="414">
        <f t="shared" si="1"/>
        <v>10000</v>
      </c>
      <c r="H17" s="399">
        <f t="shared" si="2"/>
        <v>0</v>
      </c>
      <c r="I17" s="132"/>
      <c r="J17" s="396">
        <f>IFERROR(VLOOKUP($C17,'Proposed Rates'!$B:$J,J$11,FALSE),0)</f>
        <v>0</v>
      </c>
      <c r="K17" s="414">
        <f t="shared" si="3"/>
        <v>10000</v>
      </c>
      <c r="L17" s="399">
        <f t="shared" si="4"/>
        <v>0</v>
      </c>
      <c r="M17" s="132"/>
      <c r="N17" s="400">
        <f t="shared" si="5"/>
        <v>0</v>
      </c>
      <c r="O17" s="401" t="str">
        <f t="shared" si="6"/>
        <v/>
      </c>
      <c r="P17" s="52"/>
      <c r="Q17" s="396">
        <f>IFERROR(VLOOKUP($C17,'Proposed Rates'!$B:$J,Q$11,FALSE),0)</f>
        <v>0</v>
      </c>
      <c r="R17" s="414">
        <f t="shared" si="7"/>
        <v>10000</v>
      </c>
      <c r="S17" s="399">
        <f t="shared" si="8"/>
        <v>0</v>
      </c>
      <c r="T17" s="132"/>
      <c r="U17" s="400">
        <f t="shared" si="9"/>
        <v>0</v>
      </c>
      <c r="V17" s="401" t="str">
        <f t="shared" si="10"/>
        <v/>
      </c>
      <c r="W17" s="52"/>
      <c r="X17" s="396">
        <f>IFERROR(VLOOKUP($C17,'Proposed Rates'!$B:$J,X$11,FALSE),0)</f>
        <v>0</v>
      </c>
      <c r="Y17" s="414">
        <f t="shared" si="11"/>
        <v>10000</v>
      </c>
      <c r="Z17" s="399">
        <f t="shared" si="12"/>
        <v>0</v>
      </c>
      <c r="AA17" s="132"/>
      <c r="AB17" s="400">
        <f t="shared" si="13"/>
        <v>0</v>
      </c>
      <c r="AC17" s="401" t="str">
        <f t="shared" si="14"/>
        <v/>
      </c>
      <c r="AD17" s="52"/>
      <c r="AE17" s="396">
        <f>IFERROR(VLOOKUP($C17,'Proposed Rates'!$B:$J,AE$11,FALSE),0)</f>
        <v>0</v>
      </c>
      <c r="AF17" s="414">
        <f t="shared" si="15"/>
        <v>10000</v>
      </c>
      <c r="AG17" s="399">
        <f t="shared" si="16"/>
        <v>0</v>
      </c>
      <c r="AH17" s="132"/>
      <c r="AI17" s="400">
        <f t="shared" si="17"/>
        <v>0</v>
      </c>
      <c r="AJ17" s="401" t="str">
        <f t="shared" si="18"/>
        <v/>
      </c>
      <c r="AK17" s="52"/>
      <c r="AL17" s="396">
        <f>IFERROR(VLOOKUP($C17,'Proposed Rates'!$B:$J,AL$11,FALSE),0)</f>
        <v>0</v>
      </c>
      <c r="AM17" s="414">
        <f t="shared" si="19"/>
        <v>10000</v>
      </c>
      <c r="AN17" s="399">
        <f t="shared" si="20"/>
        <v>0</v>
      </c>
      <c r="AO17" s="132"/>
      <c r="AP17" s="400">
        <f t="shared" si="21"/>
        <v>0</v>
      </c>
      <c r="AQ17" s="401" t="str">
        <f t="shared" si="22"/>
        <v/>
      </c>
      <c r="AR17" s="402"/>
    </row>
    <row r="18" spans="1:44" ht="12.75" customHeight="1">
      <c r="A18" s="52"/>
      <c r="B18" s="403" t="str">
        <f>'Proposed Rates'!C128</f>
        <v>Rate Rider Calculation for Generic</v>
      </c>
      <c r="C18" s="394" t="str">
        <f t="shared" si="0"/>
        <v>Large User.Rate Rider Calculation for Generic</v>
      </c>
      <c r="D18" s="395" t="s">
        <v>381</v>
      </c>
      <c r="E18" s="321"/>
      <c r="F18" s="396">
        <f>IFERROR(VLOOKUP($C18,'Proposed Rates'!$B:$J,F$11,FALSE),0)</f>
        <v>0</v>
      </c>
      <c r="G18" s="414">
        <f t="shared" si="1"/>
        <v>10000</v>
      </c>
      <c r="H18" s="399">
        <f t="shared" si="2"/>
        <v>0</v>
      </c>
      <c r="I18" s="132"/>
      <c r="J18" s="396">
        <f>IFERROR(VLOOKUP($C18,'Proposed Rates'!$B:$J,J$11,FALSE),0)</f>
        <v>0</v>
      </c>
      <c r="K18" s="414">
        <f t="shared" si="3"/>
        <v>10000</v>
      </c>
      <c r="L18" s="399">
        <f t="shared" si="4"/>
        <v>0</v>
      </c>
      <c r="M18" s="132"/>
      <c r="N18" s="400">
        <f t="shared" si="5"/>
        <v>0</v>
      </c>
      <c r="O18" s="401" t="str">
        <f t="shared" si="6"/>
        <v/>
      </c>
      <c r="P18" s="52"/>
      <c r="Q18" s="396">
        <f>IFERROR(VLOOKUP($C18,'Proposed Rates'!$B:$J,Q$11,FALSE),0)</f>
        <v>0</v>
      </c>
      <c r="R18" s="414">
        <f t="shared" si="7"/>
        <v>10000</v>
      </c>
      <c r="S18" s="399">
        <f t="shared" si="8"/>
        <v>0</v>
      </c>
      <c r="T18" s="132"/>
      <c r="U18" s="400">
        <f t="shared" si="9"/>
        <v>0</v>
      </c>
      <c r="V18" s="401" t="str">
        <f t="shared" si="10"/>
        <v/>
      </c>
      <c r="W18" s="52"/>
      <c r="X18" s="396">
        <f>IFERROR(VLOOKUP($C18,'Proposed Rates'!$B:$J,X$11,FALSE),0)</f>
        <v>0</v>
      </c>
      <c r="Y18" s="414">
        <f t="shared" si="11"/>
        <v>10000</v>
      </c>
      <c r="Z18" s="399">
        <f t="shared" si="12"/>
        <v>0</v>
      </c>
      <c r="AA18" s="132"/>
      <c r="AB18" s="400">
        <f t="shared" si="13"/>
        <v>0</v>
      </c>
      <c r="AC18" s="401" t="str">
        <f t="shared" si="14"/>
        <v/>
      </c>
      <c r="AD18" s="52"/>
      <c r="AE18" s="396">
        <f>IFERROR(VLOOKUP($C18,'Proposed Rates'!$B:$J,AE$11,FALSE),0)</f>
        <v>0</v>
      </c>
      <c r="AF18" s="414">
        <f t="shared" si="15"/>
        <v>10000</v>
      </c>
      <c r="AG18" s="399">
        <f t="shared" si="16"/>
        <v>0</v>
      </c>
      <c r="AH18" s="132"/>
      <c r="AI18" s="400">
        <f t="shared" si="17"/>
        <v>0</v>
      </c>
      <c r="AJ18" s="401" t="str">
        <f t="shared" si="18"/>
        <v/>
      </c>
      <c r="AK18" s="52"/>
      <c r="AL18" s="396">
        <f>IFERROR(VLOOKUP($C18,'Proposed Rates'!$B:$J,AL$11,FALSE),0)</f>
        <v>0</v>
      </c>
      <c r="AM18" s="414">
        <f t="shared" si="19"/>
        <v>10000</v>
      </c>
      <c r="AN18" s="399">
        <f t="shared" si="20"/>
        <v>0</v>
      </c>
      <c r="AO18" s="132"/>
      <c r="AP18" s="400">
        <f t="shared" si="21"/>
        <v>0</v>
      </c>
      <c r="AQ18" s="401" t="str">
        <f t="shared" si="22"/>
        <v/>
      </c>
      <c r="AR18" s="402"/>
    </row>
    <row r="19" spans="1:44" ht="12.75" customHeight="1">
      <c r="A19" s="52"/>
      <c r="B19" s="321" t="s">
        <v>59</v>
      </c>
      <c r="C19" s="394" t="str">
        <f t="shared" si="0"/>
        <v>Large User.Distribution Volumetric Rate</v>
      </c>
      <c r="D19" s="395" t="s">
        <v>381</v>
      </c>
      <c r="E19" s="321"/>
      <c r="F19" s="413">
        <f>IFERROR(VLOOKUP($C19,'Proposed Rates'!$B:$J,F$11,FALSE),0)</f>
        <v>6.0316000000000001</v>
      </c>
      <c r="G19" s="414">
        <f t="shared" si="1"/>
        <v>10000</v>
      </c>
      <c r="H19" s="399">
        <f t="shared" si="2"/>
        <v>60316</v>
      </c>
      <c r="I19" s="132"/>
      <c r="J19" s="413">
        <f>IFERROR(VLOOKUP($C19,'Proposed Rates'!$B:$J,J$11,FALSE),0)</f>
        <v>8.2606000000000002</v>
      </c>
      <c r="K19" s="414">
        <f t="shared" si="3"/>
        <v>10000</v>
      </c>
      <c r="L19" s="399">
        <f t="shared" si="4"/>
        <v>82606</v>
      </c>
      <c r="M19" s="132"/>
      <c r="N19" s="400">
        <f t="shared" si="5"/>
        <v>22290</v>
      </c>
      <c r="O19" s="401">
        <f t="shared" si="6"/>
        <v>0.36955368393129517</v>
      </c>
      <c r="P19" s="52"/>
      <c r="Q19" s="413">
        <f>IFERROR(VLOOKUP($C19,'Proposed Rates'!$B:$J,Q$11,FALSE),0)</f>
        <v>8.9039000000000001</v>
      </c>
      <c r="R19" s="414">
        <f t="shared" si="7"/>
        <v>10000</v>
      </c>
      <c r="S19" s="399">
        <f t="shared" si="8"/>
        <v>89039</v>
      </c>
      <c r="T19" s="132"/>
      <c r="U19" s="400">
        <f t="shared" si="9"/>
        <v>6433</v>
      </c>
      <c r="V19" s="401">
        <f t="shared" si="10"/>
        <v>7.7875699101760162E-2</v>
      </c>
      <c r="W19" s="52"/>
      <c r="X19" s="413">
        <f>IFERROR(VLOOKUP($C19,'Proposed Rates'!$B:$J,X$11,FALSE),0)</f>
        <v>9.6370000000000005</v>
      </c>
      <c r="Y19" s="414">
        <f t="shared" si="11"/>
        <v>10000</v>
      </c>
      <c r="Z19" s="399">
        <f t="shared" si="12"/>
        <v>96370</v>
      </c>
      <c r="AA19" s="132"/>
      <c r="AB19" s="400">
        <f t="shared" si="13"/>
        <v>7331</v>
      </c>
      <c r="AC19" s="401">
        <f t="shared" si="14"/>
        <v>8.233470726310943E-2</v>
      </c>
      <c r="AD19" s="52"/>
      <c r="AE19" s="413">
        <f>IFERROR(VLOOKUP($C19,'Proposed Rates'!$B:$J,AE$11,FALSE),0)</f>
        <v>10.463800000000001</v>
      </c>
      <c r="AF19" s="414">
        <f t="shared" si="15"/>
        <v>10000</v>
      </c>
      <c r="AG19" s="399">
        <f t="shared" si="16"/>
        <v>104638.00000000001</v>
      </c>
      <c r="AH19" s="132"/>
      <c r="AI19" s="400">
        <f t="shared" si="17"/>
        <v>8268.0000000000146</v>
      </c>
      <c r="AJ19" s="401">
        <f t="shared" si="18"/>
        <v>8.5794334336411898E-2</v>
      </c>
      <c r="AK19" s="52"/>
      <c r="AL19" s="413">
        <f>IFERROR(VLOOKUP($C19,'Proposed Rates'!$B:$J,AL$11,FALSE),0)</f>
        <v>11.262499999999999</v>
      </c>
      <c r="AM19" s="414">
        <f t="shared" si="19"/>
        <v>10000</v>
      </c>
      <c r="AN19" s="399">
        <f t="shared" si="20"/>
        <v>112625</v>
      </c>
      <c r="AO19" s="132"/>
      <c r="AP19" s="400">
        <f t="shared" si="21"/>
        <v>7986.9999999999854</v>
      </c>
      <c r="AQ19" s="401">
        <f t="shared" si="22"/>
        <v>7.6329822817714263E-2</v>
      </c>
      <c r="AR19" s="402"/>
    </row>
    <row r="20" spans="1:44" ht="12.75" customHeight="1">
      <c r="A20" s="52"/>
      <c r="B20" s="321" t="s">
        <v>313</v>
      </c>
      <c r="C20" s="394" t="str">
        <f t="shared" si="0"/>
        <v>Large User.Smart Meter Disposition Rider</v>
      </c>
      <c r="D20" s="395" t="s">
        <v>312</v>
      </c>
      <c r="E20" s="321"/>
      <c r="F20" s="396">
        <f>IFERROR(VLOOKUP($C20,'Proposed Rates'!$B:$J,F$11,FALSE),0)</f>
        <v>0</v>
      </c>
      <c r="G20" s="414">
        <f t="shared" si="1"/>
        <v>4000000</v>
      </c>
      <c r="H20" s="399">
        <f t="shared" si="2"/>
        <v>0</v>
      </c>
      <c r="I20" s="132"/>
      <c r="J20" s="396">
        <f>IFERROR(VLOOKUP($C20,'Proposed Rates'!$B:$J,J$11,FALSE),0)</f>
        <v>0</v>
      </c>
      <c r="K20" s="414">
        <f t="shared" si="3"/>
        <v>4000000</v>
      </c>
      <c r="L20" s="399">
        <f t="shared" si="4"/>
        <v>0</v>
      </c>
      <c r="M20" s="132"/>
      <c r="N20" s="400">
        <f t="shared" si="5"/>
        <v>0</v>
      </c>
      <c r="O20" s="401" t="str">
        <f t="shared" si="6"/>
        <v/>
      </c>
      <c r="P20" s="52"/>
      <c r="Q20" s="396">
        <f>IFERROR(VLOOKUP($C20,'Proposed Rates'!$B:$J,Q$11,FALSE),0)</f>
        <v>0</v>
      </c>
      <c r="R20" s="414">
        <f t="shared" si="7"/>
        <v>4000000</v>
      </c>
      <c r="S20" s="399">
        <f t="shared" si="8"/>
        <v>0</v>
      </c>
      <c r="T20" s="132"/>
      <c r="U20" s="400">
        <f t="shared" si="9"/>
        <v>0</v>
      </c>
      <c r="V20" s="401" t="str">
        <f t="shared" si="10"/>
        <v/>
      </c>
      <c r="W20" s="52"/>
      <c r="X20" s="396">
        <f>IFERROR(VLOOKUP($C20,'Proposed Rates'!$B:$J,X$11,FALSE),0)</f>
        <v>0</v>
      </c>
      <c r="Y20" s="414">
        <f t="shared" si="11"/>
        <v>4000000</v>
      </c>
      <c r="Z20" s="399">
        <f t="shared" si="12"/>
        <v>0</v>
      </c>
      <c r="AA20" s="132"/>
      <c r="AB20" s="400">
        <f t="shared" si="13"/>
        <v>0</v>
      </c>
      <c r="AC20" s="401" t="str">
        <f t="shared" si="14"/>
        <v/>
      </c>
      <c r="AD20" s="52"/>
      <c r="AE20" s="396">
        <f>IFERROR(VLOOKUP($C20,'Proposed Rates'!$B:$J,AE$11,FALSE),0)</f>
        <v>0</v>
      </c>
      <c r="AF20" s="414">
        <f t="shared" si="15"/>
        <v>4000000</v>
      </c>
      <c r="AG20" s="399">
        <f t="shared" si="16"/>
        <v>0</v>
      </c>
      <c r="AH20" s="132"/>
      <c r="AI20" s="400">
        <f t="shared" si="17"/>
        <v>0</v>
      </c>
      <c r="AJ20" s="401" t="str">
        <f t="shared" si="18"/>
        <v/>
      </c>
      <c r="AK20" s="52"/>
      <c r="AL20" s="396">
        <f>IFERROR(VLOOKUP($C20,'Proposed Rates'!$B:$J,AL$11,FALSE),0)</f>
        <v>0</v>
      </c>
      <c r="AM20" s="414">
        <f t="shared" si="19"/>
        <v>4000000</v>
      </c>
      <c r="AN20" s="399">
        <f t="shared" si="20"/>
        <v>0</v>
      </c>
      <c r="AO20" s="132"/>
      <c r="AP20" s="400">
        <f t="shared" si="21"/>
        <v>0</v>
      </c>
      <c r="AQ20" s="401" t="str">
        <f t="shared" si="22"/>
        <v/>
      </c>
      <c r="AR20" s="402"/>
    </row>
    <row r="21" spans="1:44" ht="12.75" customHeight="1">
      <c r="A21" s="52"/>
      <c r="B21" s="321" t="s">
        <v>244</v>
      </c>
      <c r="C21" s="394" t="str">
        <f t="shared" si="0"/>
        <v>Large User.LRAM Rate Rider</v>
      </c>
      <c r="D21" s="395" t="s">
        <v>381</v>
      </c>
      <c r="E21" s="321"/>
      <c r="F21" s="413">
        <f>'Proposed Rates'!E81+'Proposed Rates'!E94</f>
        <v>0.2011</v>
      </c>
      <c r="G21" s="414">
        <f t="shared" si="1"/>
        <v>10000</v>
      </c>
      <c r="H21" s="399">
        <f t="shared" si="2"/>
        <v>2011</v>
      </c>
      <c r="I21" s="132"/>
      <c r="J21" s="413">
        <f>'Proposed Rates'!F81+'Proposed Rates'!F94</f>
        <v>-0.50439999999999996</v>
      </c>
      <c r="K21" s="414">
        <f t="shared" si="3"/>
        <v>10000</v>
      </c>
      <c r="L21" s="399">
        <f t="shared" si="4"/>
        <v>-5044</v>
      </c>
      <c r="M21" s="132"/>
      <c r="N21" s="400">
        <f t="shared" si="5"/>
        <v>-7055</v>
      </c>
      <c r="O21" s="401">
        <f t="shared" si="6"/>
        <v>-3.508204873197414</v>
      </c>
      <c r="P21" s="52"/>
      <c r="Q21" s="413">
        <f>'Proposed Rates'!G81+'Proposed Rates'!G94</f>
        <v>0</v>
      </c>
      <c r="R21" s="414">
        <f t="shared" si="7"/>
        <v>10000</v>
      </c>
      <c r="S21" s="399">
        <f t="shared" si="8"/>
        <v>0</v>
      </c>
      <c r="T21" s="132"/>
      <c r="U21" s="400">
        <f t="shared" si="9"/>
        <v>5044</v>
      </c>
      <c r="V21" s="401">
        <f t="shared" si="10"/>
        <v>-1</v>
      </c>
      <c r="W21" s="52"/>
      <c r="X21" s="413">
        <f>IFERROR(VLOOKUP($C21,'Proposed Rates'!$B:$J,X$11,FALSE),0)</f>
        <v>0</v>
      </c>
      <c r="Y21" s="414">
        <f t="shared" si="11"/>
        <v>10000</v>
      </c>
      <c r="Z21" s="399">
        <f t="shared" si="12"/>
        <v>0</v>
      </c>
      <c r="AA21" s="132"/>
      <c r="AB21" s="400">
        <f t="shared" si="13"/>
        <v>0</v>
      </c>
      <c r="AC21" s="401" t="str">
        <f t="shared" si="14"/>
        <v/>
      </c>
      <c r="AD21" s="52"/>
      <c r="AE21" s="413">
        <f>IFERROR(VLOOKUP($C21,'Proposed Rates'!$B:$J,AE$11,FALSE),0)</f>
        <v>0</v>
      </c>
      <c r="AF21" s="414">
        <f t="shared" si="15"/>
        <v>10000</v>
      </c>
      <c r="AG21" s="399">
        <f t="shared" si="16"/>
        <v>0</v>
      </c>
      <c r="AH21" s="132"/>
      <c r="AI21" s="400">
        <f t="shared" si="17"/>
        <v>0</v>
      </c>
      <c r="AJ21" s="401" t="str">
        <f t="shared" si="18"/>
        <v/>
      </c>
      <c r="AK21" s="52"/>
      <c r="AL21" s="413">
        <f>IFERROR(VLOOKUP($C21,'Proposed Rates'!$B:$J,AL$11,FALSE),0)</f>
        <v>0</v>
      </c>
      <c r="AM21" s="414">
        <f t="shared" si="19"/>
        <v>10000</v>
      </c>
      <c r="AN21" s="399">
        <f t="shared" si="20"/>
        <v>0</v>
      </c>
      <c r="AO21" s="132"/>
      <c r="AP21" s="400">
        <f t="shared" si="21"/>
        <v>0</v>
      </c>
      <c r="AQ21" s="401" t="str">
        <f t="shared" si="22"/>
        <v/>
      </c>
      <c r="AR21" s="402"/>
    </row>
    <row r="22" spans="1:44" ht="12.75" customHeight="1">
      <c r="A22" s="52"/>
      <c r="B22" s="483" t="s">
        <v>240</v>
      </c>
      <c r="C22" s="394" t="str">
        <f t="shared" si="0"/>
        <v>Large User.Deferral/Variance Account Disposition Rate Rider Group 2</v>
      </c>
      <c r="D22" s="395" t="s">
        <v>381</v>
      </c>
      <c r="E22" s="321"/>
      <c r="F22" s="396">
        <f>IFERROR(VLOOKUP($C22,'Proposed Rates'!$B:$J,F$11,FALSE),0)</f>
        <v>0</v>
      </c>
      <c r="G22" s="414">
        <f t="shared" si="1"/>
        <v>10000</v>
      </c>
      <c r="H22" s="399">
        <f t="shared" si="2"/>
        <v>0</v>
      </c>
      <c r="I22" s="132"/>
      <c r="J22" s="396">
        <f>IFERROR(VLOOKUP($C22,'Proposed Rates'!$B:$J,J$11,FALSE),0)</f>
        <v>-0.1731</v>
      </c>
      <c r="K22" s="414">
        <f t="shared" si="3"/>
        <v>10000</v>
      </c>
      <c r="L22" s="399">
        <f t="shared" si="4"/>
        <v>-1731</v>
      </c>
      <c r="M22" s="132"/>
      <c r="N22" s="400">
        <f t="shared" si="5"/>
        <v>-1731</v>
      </c>
      <c r="O22" s="401" t="str">
        <f t="shared" si="6"/>
        <v/>
      </c>
      <c r="P22" s="52"/>
      <c r="Q22" s="396">
        <f>IFERROR(VLOOKUP($C22,'Proposed Rates'!$B:$J,Q$11,FALSE),0)</f>
        <v>0</v>
      </c>
      <c r="R22" s="414">
        <f t="shared" si="7"/>
        <v>10000</v>
      </c>
      <c r="S22" s="399">
        <f t="shared" si="8"/>
        <v>0</v>
      </c>
      <c r="T22" s="132"/>
      <c r="U22" s="400">
        <f t="shared" si="9"/>
        <v>1731</v>
      </c>
      <c r="V22" s="401">
        <f t="shared" si="10"/>
        <v>-1</v>
      </c>
      <c r="W22" s="52"/>
      <c r="X22" s="396">
        <f>IFERROR(VLOOKUP($C22,'Proposed Rates'!$B:$J,X$11,FALSE),0)</f>
        <v>0</v>
      </c>
      <c r="Y22" s="414">
        <f t="shared" si="11"/>
        <v>10000</v>
      </c>
      <c r="Z22" s="399">
        <f t="shared" si="12"/>
        <v>0</v>
      </c>
      <c r="AA22" s="132"/>
      <c r="AB22" s="400">
        <f t="shared" si="13"/>
        <v>0</v>
      </c>
      <c r="AC22" s="401" t="str">
        <f t="shared" si="14"/>
        <v/>
      </c>
      <c r="AD22" s="52"/>
      <c r="AE22" s="396">
        <f>IFERROR(VLOOKUP($C22,'Proposed Rates'!$B:$J,AE$11,FALSE),0)</f>
        <v>0</v>
      </c>
      <c r="AF22" s="414">
        <f t="shared" si="15"/>
        <v>10000</v>
      </c>
      <c r="AG22" s="399">
        <f t="shared" si="16"/>
        <v>0</v>
      </c>
      <c r="AH22" s="132"/>
      <c r="AI22" s="400">
        <f t="shared" si="17"/>
        <v>0</v>
      </c>
      <c r="AJ22" s="401" t="str">
        <f t="shared" si="18"/>
        <v/>
      </c>
      <c r="AK22" s="52"/>
      <c r="AL22" s="396">
        <f>IFERROR(VLOOKUP($C22,'Proposed Rates'!$B:$J,AL$11,FALSE),0)</f>
        <v>0</v>
      </c>
      <c r="AM22" s="414">
        <f t="shared" si="19"/>
        <v>10000</v>
      </c>
      <c r="AN22" s="399">
        <f t="shared" si="20"/>
        <v>0</v>
      </c>
      <c r="AO22" s="132"/>
      <c r="AP22" s="400">
        <f t="shared" si="21"/>
        <v>0</v>
      </c>
      <c r="AQ22" s="401" t="str">
        <f t="shared" si="22"/>
        <v/>
      </c>
      <c r="AR22" s="402"/>
    </row>
    <row r="23" spans="1:44" ht="12.75" customHeight="1">
      <c r="A23" s="52"/>
      <c r="B23" s="403"/>
      <c r="C23" s="394" t="str">
        <f t="shared" si="0"/>
        <v>Large User.</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75" customHeight="1">
      <c r="A24" s="52"/>
      <c r="B24" s="403"/>
      <c r="C24" s="394" t="str">
        <f t="shared" si="0"/>
        <v>Large User.</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75" customHeight="1">
      <c r="A25" s="52"/>
      <c r="B25" s="403"/>
      <c r="C25" s="394" t="str">
        <f t="shared" si="0"/>
        <v>Large User.</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75" customHeight="1">
      <c r="A26" s="52"/>
      <c r="B26" s="483"/>
      <c r="C26" s="394" t="str">
        <f t="shared" si="0"/>
        <v>Large User.</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75" customHeight="1">
      <c r="A27" s="52"/>
      <c r="B27" s="403"/>
      <c r="C27" s="394" t="str">
        <f t="shared" si="0"/>
        <v>Large User.</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75" customHeight="1">
      <c r="A28" s="52"/>
      <c r="B28" s="403"/>
      <c r="C28" s="394" t="str">
        <f t="shared" si="0"/>
        <v>Large User.</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75" customHeight="1">
      <c r="A29" s="307"/>
      <c r="B29" s="404" t="s">
        <v>314</v>
      </c>
      <c r="C29" s="556"/>
      <c r="D29" s="405"/>
      <c r="E29" s="405"/>
      <c r="F29" s="406"/>
      <c r="G29" s="499"/>
      <c r="H29" s="408">
        <f>SUM(H15:H28)</f>
        <v>77273.929999999993</v>
      </c>
      <c r="I29" s="409"/>
      <c r="J29" s="406"/>
      <c r="K29" s="499"/>
      <c r="L29" s="408">
        <f>SUM(L15:L28)</f>
        <v>90777.93</v>
      </c>
      <c r="M29" s="409"/>
      <c r="N29" s="410">
        <f t="shared" si="5"/>
        <v>13504</v>
      </c>
      <c r="O29" s="411">
        <f t="shared" si="6"/>
        <v>0.17475492704978252</v>
      </c>
      <c r="P29" s="307"/>
      <c r="Q29" s="406"/>
      <c r="R29" s="499"/>
      <c r="S29" s="408">
        <f>SUM(S15:S28)</f>
        <v>103985.93</v>
      </c>
      <c r="T29" s="409"/>
      <c r="U29" s="410">
        <f t="shared" si="9"/>
        <v>13208</v>
      </c>
      <c r="V29" s="411">
        <f t="shared" si="10"/>
        <v>0.1454979200340876</v>
      </c>
      <c r="W29" s="307"/>
      <c r="X29" s="406"/>
      <c r="Y29" s="499"/>
      <c r="Z29" s="408">
        <f>SUM(Z15:Z28)</f>
        <v>111316.93</v>
      </c>
      <c r="AA29" s="409"/>
      <c r="AB29" s="410">
        <f t="shared" si="13"/>
        <v>7331</v>
      </c>
      <c r="AC29" s="411">
        <f t="shared" si="14"/>
        <v>7.0499922441430302E-2</v>
      </c>
      <c r="AD29" s="307"/>
      <c r="AE29" s="406"/>
      <c r="AF29" s="499"/>
      <c r="AG29" s="408">
        <f>SUM(AG15:AG28)</f>
        <v>119584.93000000002</v>
      </c>
      <c r="AH29" s="409"/>
      <c r="AI29" s="410">
        <f t="shared" si="17"/>
        <v>8268.0000000000291</v>
      </c>
      <c r="AJ29" s="411">
        <f t="shared" si="18"/>
        <v>7.4274416299479604E-2</v>
      </c>
      <c r="AK29" s="307"/>
      <c r="AL29" s="406"/>
      <c r="AM29" s="499"/>
      <c r="AN29" s="408">
        <f>SUM(AN15:AN28)</f>
        <v>127571.93</v>
      </c>
      <c r="AO29" s="409"/>
      <c r="AP29" s="410">
        <f t="shared" si="21"/>
        <v>7986.9999999999709</v>
      </c>
      <c r="AQ29" s="411">
        <f t="shared" si="22"/>
        <v>6.6789352136594218E-2</v>
      </c>
      <c r="AR29" s="412"/>
    </row>
    <row r="30" spans="1:44" ht="12.75" customHeight="1">
      <c r="A30" s="52"/>
      <c r="B30" s="403" t="s">
        <v>237</v>
      </c>
      <c r="C30" s="394" t="str">
        <f t="shared" ref="C30:C38" si="23">D$6&amp;"."&amp;B30</f>
        <v>Large User.DVA Disposition Rate Rider Group 1 -2025</v>
      </c>
      <c r="D30" s="395" t="s">
        <v>381</v>
      </c>
      <c r="E30" s="321"/>
      <c r="F30" s="413">
        <f>IFERROR(VLOOKUP($C30,'Proposed Rates'!$B:$J,F$11,FALSE),0)</f>
        <v>6.3399999999999998E-2</v>
      </c>
      <c r="G30" s="414">
        <f t="shared" ref="G30:G36" si="24">IF($D30="Monthly",1,IF($D30="per KW",$F$10,IF($D30="per kWh",$F$9,0)))</f>
        <v>10000</v>
      </c>
      <c r="H30" s="399">
        <f t="shared" ref="H30:H38" si="25">G30*F30</f>
        <v>634</v>
      </c>
      <c r="I30" s="132"/>
      <c r="J30" s="413">
        <f>IFERROR(VLOOKUP($C30,'Proposed Rates'!$B:$J,J$11,FALSE),0)</f>
        <v>-0.27450000000000002</v>
      </c>
      <c r="K30" s="414">
        <f t="shared" ref="K30:K36" si="26">IF($D30="Monthly",1,IF($D30="per KW",$F$10,IF($D30="per kWh",$F$9,0)))</f>
        <v>10000</v>
      </c>
      <c r="L30" s="399">
        <f t="shared" ref="L30:L38" si="27">K30*J30</f>
        <v>-2745</v>
      </c>
      <c r="M30" s="132"/>
      <c r="N30" s="400">
        <f t="shared" si="5"/>
        <v>-3379</v>
      </c>
      <c r="O30" s="401">
        <f t="shared" si="6"/>
        <v>-5.329652996845426</v>
      </c>
      <c r="P30" s="52"/>
      <c r="Q30" s="413">
        <f>IFERROR(VLOOKUP($C30,'Proposed Rates'!$B:$J,Q$11,FALSE),0)</f>
        <v>0</v>
      </c>
      <c r="R30" s="414">
        <f t="shared" ref="R30:R36" si="28">IF($D30="Monthly",1,IF($D30="per KW",$F$10,IF($D30="per kWh",$F$9,0)))</f>
        <v>10000</v>
      </c>
      <c r="S30" s="399">
        <f t="shared" ref="S30:S38" si="29">R30*Q30</f>
        <v>0</v>
      </c>
      <c r="T30" s="132"/>
      <c r="U30" s="400">
        <f t="shared" si="9"/>
        <v>2745</v>
      </c>
      <c r="V30" s="401">
        <f t="shared" si="10"/>
        <v>-1</v>
      </c>
      <c r="W30" s="52"/>
      <c r="X30" s="413">
        <f>IFERROR(VLOOKUP($C30,'Proposed Rates'!$B:$J,X$11,FALSE),0)</f>
        <v>0</v>
      </c>
      <c r="Y30" s="414">
        <f t="shared" ref="Y30:Y36" si="30">IF($D30="Monthly",1,IF($D30="per KW",$F$10,IF($D30="per kWh",$F$9,0)))</f>
        <v>10000</v>
      </c>
      <c r="Z30" s="399">
        <f t="shared" ref="Z30:Z38" si="31">Y30*X30</f>
        <v>0</v>
      </c>
      <c r="AA30" s="132"/>
      <c r="AB30" s="400">
        <f t="shared" si="13"/>
        <v>0</v>
      </c>
      <c r="AC30" s="401" t="str">
        <f t="shared" si="14"/>
        <v/>
      </c>
      <c r="AD30" s="52"/>
      <c r="AE30" s="413">
        <f>IFERROR(VLOOKUP($C30,'Proposed Rates'!$B:$J,AE$11,FALSE),0)</f>
        <v>0</v>
      </c>
      <c r="AF30" s="414">
        <f t="shared" ref="AF30:AF36" si="32">IF($D30="Monthly",1,IF($D30="per KW",$F$10,IF($D30="per kWh",$F$9,0)))</f>
        <v>10000</v>
      </c>
      <c r="AG30" s="399">
        <f t="shared" ref="AG30:AG38" si="33">AF30*AE30</f>
        <v>0</v>
      </c>
      <c r="AH30" s="132"/>
      <c r="AI30" s="400">
        <f t="shared" si="17"/>
        <v>0</v>
      </c>
      <c r="AJ30" s="401" t="str">
        <f t="shared" si="18"/>
        <v/>
      </c>
      <c r="AK30" s="52"/>
      <c r="AL30" s="413">
        <f>IFERROR(VLOOKUP($C30,'Proposed Rates'!$B:$J,AL$11,FALSE),0)</f>
        <v>0</v>
      </c>
      <c r="AM30" s="414">
        <f t="shared" ref="AM30:AM36" si="34">IF($D30="Monthly",1,IF($D30="per KW",$F$10,IF($D30="per kWh",$F$9,0)))</f>
        <v>10000</v>
      </c>
      <c r="AN30" s="399">
        <f t="shared" ref="AN30:AN38" si="35">AM30*AL30</f>
        <v>0</v>
      </c>
      <c r="AO30" s="132"/>
      <c r="AP30" s="400">
        <f t="shared" si="21"/>
        <v>0</v>
      </c>
      <c r="AQ30" s="401" t="str">
        <f t="shared" si="22"/>
        <v/>
      </c>
      <c r="AR30" s="402"/>
    </row>
    <row r="31" spans="1:44" ht="12.75" customHeight="1">
      <c r="A31" s="52"/>
      <c r="B31" s="483" t="s">
        <v>239</v>
      </c>
      <c r="C31" s="394" t="str">
        <f t="shared" si="23"/>
        <v>Large User.DVA Disposition Rate Rider Group 1 - 2024</v>
      </c>
      <c r="D31" s="395" t="s">
        <v>381</v>
      </c>
      <c r="E31" s="321"/>
      <c r="F31" s="396">
        <f>IFERROR(VLOOKUP($C31,'Proposed Rates'!$B:$J,F$11,FALSE),0)</f>
        <v>0</v>
      </c>
      <c r="G31" s="414">
        <f t="shared" si="24"/>
        <v>10000</v>
      </c>
      <c r="H31" s="399">
        <f t="shared" si="25"/>
        <v>0</v>
      </c>
      <c r="I31" s="132"/>
      <c r="J31" s="396">
        <f>IFERROR(VLOOKUP($C31,'Proposed Rates'!$B:$J,J$11,FALSE),0)</f>
        <v>0</v>
      </c>
      <c r="K31" s="414">
        <f t="shared" si="26"/>
        <v>10000</v>
      </c>
      <c r="L31" s="399">
        <f t="shared" si="27"/>
        <v>0</v>
      </c>
      <c r="M31" s="132"/>
      <c r="N31" s="400">
        <f t="shared" si="5"/>
        <v>0</v>
      </c>
      <c r="O31" s="401" t="str">
        <f t="shared" si="6"/>
        <v/>
      </c>
      <c r="P31" s="52"/>
      <c r="Q31" s="396">
        <f>IFERROR(VLOOKUP($C31,'Proposed Rates'!$B:$J,Q$11,FALSE),0)</f>
        <v>0</v>
      </c>
      <c r="R31" s="414">
        <f t="shared" si="28"/>
        <v>10000</v>
      </c>
      <c r="S31" s="399">
        <f t="shared" si="29"/>
        <v>0</v>
      </c>
      <c r="T31" s="132"/>
      <c r="U31" s="400">
        <f t="shared" si="9"/>
        <v>0</v>
      </c>
      <c r="V31" s="401" t="str">
        <f t="shared" si="10"/>
        <v/>
      </c>
      <c r="W31" s="52"/>
      <c r="X31" s="396">
        <f>IFERROR(VLOOKUP($C31,'Proposed Rates'!$B:$J,X$11,FALSE),0)</f>
        <v>0</v>
      </c>
      <c r="Y31" s="414">
        <f t="shared" si="30"/>
        <v>10000</v>
      </c>
      <c r="Z31" s="399">
        <f t="shared" si="31"/>
        <v>0</v>
      </c>
      <c r="AA31" s="132"/>
      <c r="AB31" s="400">
        <f t="shared" si="13"/>
        <v>0</v>
      </c>
      <c r="AC31" s="401" t="str">
        <f t="shared" si="14"/>
        <v/>
      </c>
      <c r="AD31" s="52"/>
      <c r="AE31" s="396">
        <f>IFERROR(VLOOKUP($C31,'Proposed Rates'!$B:$J,AE$11,FALSE),0)</f>
        <v>0</v>
      </c>
      <c r="AF31" s="414">
        <f t="shared" si="32"/>
        <v>10000</v>
      </c>
      <c r="AG31" s="399">
        <f t="shared" si="33"/>
        <v>0</v>
      </c>
      <c r="AH31" s="132"/>
      <c r="AI31" s="400">
        <f t="shared" si="17"/>
        <v>0</v>
      </c>
      <c r="AJ31" s="401" t="str">
        <f t="shared" si="18"/>
        <v/>
      </c>
      <c r="AK31" s="52"/>
      <c r="AL31" s="396">
        <f>IFERROR(VLOOKUP($C31,'Proposed Rates'!$B:$J,AL$11,FALSE),0)</f>
        <v>0</v>
      </c>
      <c r="AM31" s="414">
        <f t="shared" si="34"/>
        <v>10000</v>
      </c>
      <c r="AN31" s="399">
        <f t="shared" si="35"/>
        <v>0</v>
      </c>
      <c r="AO31" s="132"/>
      <c r="AP31" s="400">
        <f t="shared" si="21"/>
        <v>0</v>
      </c>
      <c r="AQ31" s="401" t="str">
        <f t="shared" si="22"/>
        <v/>
      </c>
      <c r="AR31" s="402"/>
    </row>
    <row r="32" spans="1:44" ht="12.75" customHeight="1">
      <c r="A32" s="52"/>
      <c r="B32" s="483" t="s">
        <v>247</v>
      </c>
      <c r="C32" s="394" t="str">
        <f t="shared" si="23"/>
        <v>Large User.CBR Class B Rate Riders</v>
      </c>
      <c r="D32" s="395" t="s">
        <v>312</v>
      </c>
      <c r="E32" s="321"/>
      <c r="F32" s="413">
        <f>IFERROR(VLOOKUP($C32,'Proposed Rates'!$B:$J,F$11,FALSE),0)</f>
        <v>2.0000000000000001E-4</v>
      </c>
      <c r="G32" s="414">
        <f t="shared" si="24"/>
        <v>4000000</v>
      </c>
      <c r="H32" s="399">
        <f t="shared" si="25"/>
        <v>800</v>
      </c>
      <c r="I32" s="484"/>
      <c r="J32" s="413">
        <f>IFERROR(VLOOKUP($C32,'Proposed Rates'!$B:$J,J$11,FALSE),0)</f>
        <v>4.0000000000000002E-4</v>
      </c>
      <c r="K32" s="414">
        <f t="shared" si="26"/>
        <v>4000000</v>
      </c>
      <c r="L32" s="399">
        <f t="shared" si="27"/>
        <v>1600</v>
      </c>
      <c r="M32" s="416"/>
      <c r="N32" s="400">
        <f t="shared" si="5"/>
        <v>800</v>
      </c>
      <c r="O32" s="401">
        <f t="shared" si="6"/>
        <v>1</v>
      </c>
      <c r="P32" s="52"/>
      <c r="Q32" s="413">
        <f>IFERROR(VLOOKUP($C32,'Proposed Rates'!$B:$J,Q$11,FALSE),0)</f>
        <v>0</v>
      </c>
      <c r="R32" s="414">
        <f t="shared" si="28"/>
        <v>4000000</v>
      </c>
      <c r="S32" s="399">
        <f t="shared" si="29"/>
        <v>0</v>
      </c>
      <c r="T32" s="416"/>
      <c r="U32" s="400">
        <f t="shared" si="9"/>
        <v>-1600</v>
      </c>
      <c r="V32" s="401">
        <f t="shared" si="10"/>
        <v>-1</v>
      </c>
      <c r="W32" s="52"/>
      <c r="X32" s="413">
        <f>IFERROR(VLOOKUP($C32,'Proposed Rates'!$B:$J,X$11,FALSE),0)</f>
        <v>0</v>
      </c>
      <c r="Y32" s="414">
        <f t="shared" si="30"/>
        <v>4000000</v>
      </c>
      <c r="Z32" s="399">
        <f t="shared" si="31"/>
        <v>0</v>
      </c>
      <c r="AA32" s="132"/>
      <c r="AB32" s="400">
        <f t="shared" si="13"/>
        <v>0</v>
      </c>
      <c r="AC32" s="401" t="str">
        <f t="shared" si="14"/>
        <v/>
      </c>
      <c r="AD32" s="52"/>
      <c r="AE32" s="413">
        <f>IFERROR(VLOOKUP($C32,'Proposed Rates'!$B:$J,AE$11,FALSE),0)</f>
        <v>0</v>
      </c>
      <c r="AF32" s="414">
        <f t="shared" si="32"/>
        <v>4000000</v>
      </c>
      <c r="AG32" s="399">
        <f t="shared" si="33"/>
        <v>0</v>
      </c>
      <c r="AH32" s="132"/>
      <c r="AI32" s="400">
        <f t="shared" si="17"/>
        <v>0</v>
      </c>
      <c r="AJ32" s="401" t="str">
        <f t="shared" si="18"/>
        <v/>
      </c>
      <c r="AK32" s="52"/>
      <c r="AL32" s="413">
        <f>IFERROR(VLOOKUP($C32,'Proposed Rates'!$B:$J,AL$11,FALSE),0)</f>
        <v>0</v>
      </c>
      <c r="AM32" s="414">
        <f t="shared" si="34"/>
        <v>4000000</v>
      </c>
      <c r="AN32" s="399">
        <f t="shared" si="35"/>
        <v>0</v>
      </c>
      <c r="AO32" s="416"/>
      <c r="AP32" s="400">
        <f t="shared" si="21"/>
        <v>0</v>
      </c>
      <c r="AQ32" s="401" t="str">
        <f t="shared" si="22"/>
        <v/>
      </c>
      <c r="AR32" s="402"/>
    </row>
    <row r="33" spans="1:44" ht="12.75" customHeight="1">
      <c r="A33" s="52"/>
      <c r="B33" s="483" t="s">
        <v>252</v>
      </c>
      <c r="C33" s="394" t="str">
        <f t="shared" si="23"/>
        <v>Large User.GA Rate Riders</v>
      </c>
      <c r="D33" s="395" t="s">
        <v>312</v>
      </c>
      <c r="E33" s="321"/>
      <c r="F33" s="413">
        <f>IFERROR(VLOOKUP($C33,'Proposed Rates'!$B:$J,F$11,FALSE),0)</f>
        <v>3.8999999999999998E-3</v>
      </c>
      <c r="G33" s="414">
        <f t="shared" si="24"/>
        <v>4000000</v>
      </c>
      <c r="H33" s="399">
        <f t="shared" si="25"/>
        <v>15600</v>
      </c>
      <c r="I33" s="484"/>
      <c r="J33" s="413">
        <f>IFERROR(VLOOKUP($C33,'Proposed Rates'!$B:$J,J$11,FALSE),0)</f>
        <v>4.4000000000000003E-3</v>
      </c>
      <c r="K33" s="414">
        <f t="shared" si="26"/>
        <v>4000000</v>
      </c>
      <c r="L33" s="399">
        <f t="shared" si="27"/>
        <v>17600</v>
      </c>
      <c r="M33" s="416"/>
      <c r="N33" s="400">
        <f t="shared" si="5"/>
        <v>2000</v>
      </c>
      <c r="O33" s="401">
        <f t="shared" si="6"/>
        <v>0.12820512820512819</v>
      </c>
      <c r="P33" s="52"/>
      <c r="Q33" s="413">
        <f>IFERROR(VLOOKUP($C33,'Proposed Rates'!$B:$J,Q$11,FALSE),0)</f>
        <v>0</v>
      </c>
      <c r="R33" s="414">
        <f t="shared" si="28"/>
        <v>4000000</v>
      </c>
      <c r="S33" s="399">
        <f t="shared" si="29"/>
        <v>0</v>
      </c>
      <c r="T33" s="416"/>
      <c r="U33" s="400">
        <f t="shared" si="9"/>
        <v>-17600</v>
      </c>
      <c r="V33" s="401">
        <f t="shared" si="10"/>
        <v>-1</v>
      </c>
      <c r="W33" s="52"/>
      <c r="X33" s="413">
        <f>IFERROR(VLOOKUP($C33,'Proposed Rates'!$B:$J,X$11,FALSE),0)</f>
        <v>0</v>
      </c>
      <c r="Y33" s="414">
        <f t="shared" si="30"/>
        <v>4000000</v>
      </c>
      <c r="Z33" s="399">
        <f t="shared" si="31"/>
        <v>0</v>
      </c>
      <c r="AA33" s="416"/>
      <c r="AB33" s="400">
        <f t="shared" si="13"/>
        <v>0</v>
      </c>
      <c r="AC33" s="401" t="str">
        <f t="shared" si="14"/>
        <v/>
      </c>
      <c r="AD33" s="52"/>
      <c r="AE33" s="413">
        <f>IFERROR(VLOOKUP($C33,'Proposed Rates'!$B:$J,AE$11,FALSE),0)</f>
        <v>0</v>
      </c>
      <c r="AF33" s="414">
        <f t="shared" si="32"/>
        <v>4000000</v>
      </c>
      <c r="AG33" s="399">
        <f t="shared" si="33"/>
        <v>0</v>
      </c>
      <c r="AH33" s="416"/>
      <c r="AI33" s="400">
        <f t="shared" si="17"/>
        <v>0</v>
      </c>
      <c r="AJ33" s="401" t="str">
        <f t="shared" si="18"/>
        <v/>
      </c>
      <c r="AK33" s="52"/>
      <c r="AL33" s="413">
        <f>IFERROR(VLOOKUP($C33,'Proposed Rates'!$B:$J,AL$11,FALSE),0)</f>
        <v>0</v>
      </c>
      <c r="AM33" s="414">
        <f t="shared" si="34"/>
        <v>4000000</v>
      </c>
      <c r="AN33" s="399">
        <f t="shared" si="35"/>
        <v>0</v>
      </c>
      <c r="AO33" s="416"/>
      <c r="AP33" s="400">
        <f t="shared" si="21"/>
        <v>0</v>
      </c>
      <c r="AQ33" s="401" t="str">
        <f t="shared" si="22"/>
        <v/>
      </c>
      <c r="AR33" s="402"/>
    </row>
    <row r="34" spans="1:44" ht="12.75" customHeight="1">
      <c r="A34" s="52"/>
      <c r="B34" s="483" t="s">
        <v>255</v>
      </c>
      <c r="C34" s="394" t="str">
        <f t="shared" si="23"/>
        <v>Large User.Total Deferral/Variance Account Rate RidersYr2</v>
      </c>
      <c r="D34" s="395" t="s">
        <v>381</v>
      </c>
      <c r="E34" s="321"/>
      <c r="F34" s="396">
        <f>IFERROR(VLOOKUP($C34,'Proposed Rates'!$B:$J,F$11,FALSE),0)</f>
        <v>0</v>
      </c>
      <c r="G34" s="414">
        <f t="shared" si="24"/>
        <v>10000</v>
      </c>
      <c r="H34" s="399">
        <f t="shared" si="25"/>
        <v>0</v>
      </c>
      <c r="I34" s="484"/>
      <c r="J34" s="396">
        <f>IFERROR(VLOOKUP($C34,'Proposed Rates'!$B:$J,J$11,FALSE),0)</f>
        <v>0</v>
      </c>
      <c r="K34" s="414">
        <f t="shared" si="26"/>
        <v>10000</v>
      </c>
      <c r="L34" s="399">
        <f t="shared" si="27"/>
        <v>0</v>
      </c>
      <c r="M34" s="416"/>
      <c r="N34" s="400">
        <f t="shared" si="5"/>
        <v>0</v>
      </c>
      <c r="O34" s="401" t="str">
        <f t="shared" si="6"/>
        <v/>
      </c>
      <c r="P34" s="52"/>
      <c r="Q34" s="396">
        <f>IFERROR(VLOOKUP($C34,'Proposed Rates'!$B:$J,Q$11,FALSE),0)</f>
        <v>0</v>
      </c>
      <c r="R34" s="414">
        <f t="shared" si="28"/>
        <v>10000</v>
      </c>
      <c r="S34" s="399">
        <f t="shared" si="29"/>
        <v>0</v>
      </c>
      <c r="T34" s="416"/>
      <c r="U34" s="400">
        <f t="shared" si="9"/>
        <v>0</v>
      </c>
      <c r="V34" s="401" t="str">
        <f t="shared" si="10"/>
        <v/>
      </c>
      <c r="W34" s="52"/>
      <c r="X34" s="396">
        <f>IFERROR(VLOOKUP($C34,'Proposed Rates'!$B:$J,X$11,FALSE),0)</f>
        <v>0</v>
      </c>
      <c r="Y34" s="414">
        <f t="shared" si="30"/>
        <v>10000</v>
      </c>
      <c r="Z34" s="399">
        <f t="shared" si="31"/>
        <v>0</v>
      </c>
      <c r="AA34" s="416"/>
      <c r="AB34" s="400">
        <f t="shared" si="13"/>
        <v>0</v>
      </c>
      <c r="AC34" s="401" t="str">
        <f t="shared" si="14"/>
        <v/>
      </c>
      <c r="AD34" s="52"/>
      <c r="AE34" s="396">
        <f>IFERROR(VLOOKUP($C34,'Proposed Rates'!$B:$J,AE$11,FALSE),0)</f>
        <v>0</v>
      </c>
      <c r="AF34" s="414">
        <f t="shared" si="32"/>
        <v>10000</v>
      </c>
      <c r="AG34" s="399">
        <f t="shared" si="33"/>
        <v>0</v>
      </c>
      <c r="AH34" s="416"/>
      <c r="AI34" s="400">
        <f t="shared" si="17"/>
        <v>0</v>
      </c>
      <c r="AJ34" s="401" t="str">
        <f t="shared" si="18"/>
        <v/>
      </c>
      <c r="AK34" s="52"/>
      <c r="AL34" s="396">
        <f>IFERROR(VLOOKUP($C34,'Proposed Rates'!$B:$J,AL$11,FALSE),0)</f>
        <v>0</v>
      </c>
      <c r="AM34" s="414">
        <f t="shared" si="34"/>
        <v>10000</v>
      </c>
      <c r="AN34" s="399">
        <f t="shared" si="35"/>
        <v>0</v>
      </c>
      <c r="AO34" s="416"/>
      <c r="AP34" s="400">
        <f t="shared" si="21"/>
        <v>0</v>
      </c>
      <c r="AQ34" s="401" t="str">
        <f t="shared" si="22"/>
        <v/>
      </c>
      <c r="AR34" s="402"/>
    </row>
    <row r="35" spans="1:44" ht="12.75" customHeight="1">
      <c r="A35" s="52"/>
      <c r="B35" s="483" t="s">
        <v>257</v>
      </c>
      <c r="C35" s="394" t="str">
        <f t="shared" si="23"/>
        <v>Large User.Total Deferral/Variance Account Rate Riders</v>
      </c>
      <c r="D35" s="395" t="s">
        <v>381</v>
      </c>
      <c r="E35" s="321"/>
      <c r="F35" s="396">
        <f>IFERROR(VLOOKUP($C35,'Proposed Rates'!$B:$J,F$11,FALSE),0)</f>
        <v>0</v>
      </c>
      <c r="G35" s="414">
        <f t="shared" si="24"/>
        <v>10000</v>
      </c>
      <c r="H35" s="399">
        <f t="shared" si="25"/>
        <v>0</v>
      </c>
      <c r="I35" s="132"/>
      <c r="J35" s="396">
        <f>IFERROR(VLOOKUP($C35,'Proposed Rates'!$B:$J,J$11,FALSE),0)</f>
        <v>0</v>
      </c>
      <c r="K35" s="414">
        <f t="shared" si="26"/>
        <v>10000</v>
      </c>
      <c r="L35" s="399">
        <f t="shared" si="27"/>
        <v>0</v>
      </c>
      <c r="M35" s="132"/>
      <c r="N35" s="400">
        <f t="shared" si="5"/>
        <v>0</v>
      </c>
      <c r="O35" s="401" t="str">
        <f t="shared" si="6"/>
        <v/>
      </c>
      <c r="P35" s="52"/>
      <c r="Q35" s="396">
        <f>IFERROR(VLOOKUP($C35,'Proposed Rates'!$B:$J,Q$11,FALSE),0)</f>
        <v>0</v>
      </c>
      <c r="R35" s="414">
        <f t="shared" si="28"/>
        <v>10000</v>
      </c>
      <c r="S35" s="399">
        <f t="shared" si="29"/>
        <v>0</v>
      </c>
      <c r="T35" s="132"/>
      <c r="U35" s="400">
        <f t="shared" si="9"/>
        <v>0</v>
      </c>
      <c r="V35" s="401" t="str">
        <f t="shared" si="10"/>
        <v/>
      </c>
      <c r="W35" s="52"/>
      <c r="X35" s="396">
        <f>IFERROR(VLOOKUP($C35,'Proposed Rates'!$B:$J,X$11,FALSE),0)</f>
        <v>0</v>
      </c>
      <c r="Y35" s="414">
        <f t="shared" si="30"/>
        <v>10000</v>
      </c>
      <c r="Z35" s="399">
        <f t="shared" si="31"/>
        <v>0</v>
      </c>
      <c r="AA35" s="132"/>
      <c r="AB35" s="400">
        <f t="shared" si="13"/>
        <v>0</v>
      </c>
      <c r="AC35" s="401" t="str">
        <f t="shared" si="14"/>
        <v/>
      </c>
      <c r="AD35" s="52"/>
      <c r="AE35" s="396">
        <f>IFERROR(VLOOKUP($C35,'Proposed Rates'!$B:$J,AE$11,FALSE),0)</f>
        <v>0</v>
      </c>
      <c r="AF35" s="414">
        <f t="shared" si="32"/>
        <v>10000</v>
      </c>
      <c r="AG35" s="399">
        <f t="shared" si="33"/>
        <v>0</v>
      </c>
      <c r="AH35" s="132"/>
      <c r="AI35" s="400">
        <f t="shared" si="17"/>
        <v>0</v>
      </c>
      <c r="AJ35" s="401" t="str">
        <f t="shared" si="18"/>
        <v/>
      </c>
      <c r="AK35" s="52"/>
      <c r="AL35" s="396">
        <f>IFERROR(VLOOKUP($C35,'Proposed Rates'!$B:$J,AL$11,FALSE),0)</f>
        <v>0</v>
      </c>
      <c r="AM35" s="414">
        <f t="shared" si="34"/>
        <v>10000</v>
      </c>
      <c r="AN35" s="399">
        <f t="shared" si="35"/>
        <v>0</v>
      </c>
      <c r="AO35" s="132"/>
      <c r="AP35" s="400">
        <f t="shared" si="21"/>
        <v>0</v>
      </c>
      <c r="AQ35" s="401" t="str">
        <f t="shared" si="22"/>
        <v/>
      </c>
      <c r="AR35" s="402"/>
    </row>
    <row r="36" spans="1:44" ht="12.75" customHeight="1">
      <c r="A36" s="52"/>
      <c r="B36" s="321" t="s">
        <v>273</v>
      </c>
      <c r="C36" s="394" t="str">
        <f t="shared" si="23"/>
        <v>Large User.Low Voltage Service Charge</v>
      </c>
      <c r="D36" s="395" t="s">
        <v>381</v>
      </c>
      <c r="E36" s="321"/>
      <c r="F36" s="417">
        <f>IFERROR(VLOOKUP($C36,'Proposed Rates'!$B:$J,F$11,FALSE),0)</f>
        <v>2.4819999999999998E-2</v>
      </c>
      <c r="G36" s="414">
        <f t="shared" si="24"/>
        <v>10000</v>
      </c>
      <c r="H36" s="399">
        <f t="shared" si="25"/>
        <v>248.2</v>
      </c>
      <c r="I36" s="132"/>
      <c r="J36" s="417">
        <f>IFERROR(VLOOKUP($C36,'Proposed Rates'!$B:$J,J$11,FALSE),0)</f>
        <v>2.716E-2</v>
      </c>
      <c r="K36" s="414">
        <f t="shared" si="26"/>
        <v>10000</v>
      </c>
      <c r="L36" s="399">
        <f t="shared" si="27"/>
        <v>271.60000000000002</v>
      </c>
      <c r="M36" s="132"/>
      <c r="N36" s="400">
        <f t="shared" si="5"/>
        <v>23.400000000000034</v>
      </c>
      <c r="O36" s="401">
        <f t="shared" si="6"/>
        <v>9.427880741337645E-2</v>
      </c>
      <c r="P36" s="52"/>
      <c r="Q36" s="417">
        <f>IFERROR(VLOOKUP($C36,'Proposed Rates'!$B:$J,Q$11,FALSE),0)</f>
        <v>2.7869999999999999E-2</v>
      </c>
      <c r="R36" s="414">
        <f t="shared" si="28"/>
        <v>10000</v>
      </c>
      <c r="S36" s="399">
        <f t="shared" si="29"/>
        <v>278.7</v>
      </c>
      <c r="T36" s="132"/>
      <c r="U36" s="400">
        <f t="shared" si="9"/>
        <v>7.0999999999999659</v>
      </c>
      <c r="V36" s="401">
        <f t="shared" si="10"/>
        <v>2.6141384388806942E-2</v>
      </c>
      <c r="W36" s="52"/>
      <c r="X36" s="417">
        <f>IFERROR(VLOOKUP($C36,'Proposed Rates'!$B:$J,X$11,FALSE),0)</f>
        <v>2.8209999999999999E-2</v>
      </c>
      <c r="Y36" s="414">
        <f t="shared" si="30"/>
        <v>10000</v>
      </c>
      <c r="Z36" s="399">
        <f t="shared" si="31"/>
        <v>282.09999999999997</v>
      </c>
      <c r="AA36" s="132"/>
      <c r="AB36" s="400">
        <f t="shared" si="13"/>
        <v>3.3999999999999773</v>
      </c>
      <c r="AC36" s="401">
        <f t="shared" si="14"/>
        <v>1.2199497667743012E-2</v>
      </c>
      <c r="AD36" s="52"/>
      <c r="AE36" s="417">
        <f>IFERROR(VLOOKUP($C36,'Proposed Rates'!$B:$J,AE$11,FALSE),0)</f>
        <v>2.8660000000000001E-2</v>
      </c>
      <c r="AF36" s="414">
        <f t="shared" si="32"/>
        <v>10000</v>
      </c>
      <c r="AG36" s="399">
        <f t="shared" si="33"/>
        <v>286.60000000000002</v>
      </c>
      <c r="AH36" s="132"/>
      <c r="AI36" s="400">
        <f t="shared" si="17"/>
        <v>4.5000000000000568</v>
      </c>
      <c r="AJ36" s="401">
        <f t="shared" si="18"/>
        <v>1.5951790145338735E-2</v>
      </c>
      <c r="AK36" s="52"/>
      <c r="AL36" s="417">
        <f>IFERROR(VLOOKUP($C36,'Proposed Rates'!$B:$J,AL$11,FALSE),0)</f>
        <v>2.9170000000000001E-2</v>
      </c>
      <c r="AM36" s="414">
        <f t="shared" si="34"/>
        <v>10000</v>
      </c>
      <c r="AN36" s="399">
        <f t="shared" si="35"/>
        <v>291.7</v>
      </c>
      <c r="AO36" s="132"/>
      <c r="AP36" s="400">
        <f t="shared" si="21"/>
        <v>5.0999999999999659</v>
      </c>
      <c r="AQ36" s="401">
        <f t="shared" si="22"/>
        <v>1.7794836008373921E-2</v>
      </c>
      <c r="AR36" s="402"/>
    </row>
    <row r="37" spans="1:44" ht="12.75" customHeight="1">
      <c r="A37" s="52"/>
      <c r="B37" s="321" t="s">
        <v>316</v>
      </c>
      <c r="C37" s="394" t="str">
        <f t="shared" si="23"/>
        <v>Large User.Line Losses on Cost of Power</v>
      </c>
      <c r="D37" s="395" t="s">
        <v>312</v>
      </c>
      <c r="E37" s="321"/>
      <c r="F37" s="557"/>
      <c r="G37" s="506">
        <f>$F$9*(1+F$65)-$F$9</f>
        <v>20400.000000000466</v>
      </c>
      <c r="H37" s="399">
        <f t="shared" si="25"/>
        <v>0</v>
      </c>
      <c r="I37" s="132"/>
      <c r="J37" s="557"/>
      <c r="K37" s="506">
        <f>$F$9*(1+J$65)-$F$9</f>
        <v>19199.999999999534</v>
      </c>
      <c r="L37" s="399">
        <f t="shared" si="27"/>
        <v>0</v>
      </c>
      <c r="M37" s="132"/>
      <c r="N37" s="400">
        <f t="shared" si="5"/>
        <v>0</v>
      </c>
      <c r="O37" s="401" t="str">
        <f t="shared" si="6"/>
        <v/>
      </c>
      <c r="P37" s="52"/>
      <c r="Q37" s="557"/>
      <c r="R37" s="506">
        <f>$F$9*(1+Q$65)-$F$9</f>
        <v>19199.999999999534</v>
      </c>
      <c r="S37" s="399">
        <f t="shared" si="29"/>
        <v>0</v>
      </c>
      <c r="T37" s="132"/>
      <c r="U37" s="400">
        <f t="shared" si="9"/>
        <v>0</v>
      </c>
      <c r="V37" s="401" t="str">
        <f t="shared" si="10"/>
        <v/>
      </c>
      <c r="W37" s="52"/>
      <c r="X37" s="557"/>
      <c r="Y37" s="506">
        <f>$F$9*(1+X$65)-$F$9</f>
        <v>19199.999999999534</v>
      </c>
      <c r="Z37" s="399">
        <f t="shared" si="31"/>
        <v>0</v>
      </c>
      <c r="AA37" s="132"/>
      <c r="AB37" s="400">
        <f t="shared" si="13"/>
        <v>0</v>
      </c>
      <c r="AC37" s="401" t="str">
        <f t="shared" si="14"/>
        <v/>
      </c>
      <c r="AD37" s="52"/>
      <c r="AE37" s="557"/>
      <c r="AF37" s="506">
        <f>$F$9*(1+AE$65)-$F$9</f>
        <v>19199.999999999534</v>
      </c>
      <c r="AG37" s="399">
        <f t="shared" si="33"/>
        <v>0</v>
      </c>
      <c r="AH37" s="132"/>
      <c r="AI37" s="400">
        <f t="shared" si="17"/>
        <v>0</v>
      </c>
      <c r="AJ37" s="401" t="str">
        <f t="shared" si="18"/>
        <v/>
      </c>
      <c r="AK37" s="52"/>
      <c r="AL37" s="557"/>
      <c r="AM37" s="506">
        <f>$F$9*(1+AL$65)-$F$9</f>
        <v>19199.999999999534</v>
      </c>
      <c r="AN37" s="399">
        <f t="shared" si="35"/>
        <v>0</v>
      </c>
      <c r="AO37" s="132"/>
      <c r="AP37" s="400">
        <f t="shared" si="21"/>
        <v>0</v>
      </c>
      <c r="AQ37" s="401" t="str">
        <f t="shared" si="22"/>
        <v/>
      </c>
      <c r="AR37" s="402"/>
    </row>
    <row r="38" spans="1:44" ht="12.75" customHeight="1">
      <c r="A38" s="52"/>
      <c r="B38" s="321" t="s">
        <v>275</v>
      </c>
      <c r="C38" s="394" t="str">
        <f t="shared" si="23"/>
        <v>Large User.Smart Meter Entity Charge</v>
      </c>
      <c r="D38" s="395" t="s">
        <v>310</v>
      </c>
      <c r="E38" s="321"/>
      <c r="F38" s="396">
        <f>IFERROR(VLOOKUP($C38,'Proposed Rates'!$B:$J,F$11,FALSE),0)</f>
        <v>0</v>
      </c>
      <c r="G38" s="414">
        <f>IF($D38="Monthly",1,IF($D38="per KW",$F$10,IF($D38="per kWh",$F$9,0)))</f>
        <v>1</v>
      </c>
      <c r="H38" s="399">
        <f t="shared" si="25"/>
        <v>0</v>
      </c>
      <c r="I38" s="132"/>
      <c r="J38" s="396">
        <f>IFERROR(VLOOKUP($C38,'Proposed Rates'!$B:$J,J$11,FALSE),0)</f>
        <v>0</v>
      </c>
      <c r="K38" s="414">
        <f>IF($D38="Monthly",1,IF($D38="per KW",$F$10,IF($D38="per kWh",$F$9,0)))</f>
        <v>1</v>
      </c>
      <c r="L38" s="399">
        <f t="shared" si="27"/>
        <v>0</v>
      </c>
      <c r="M38" s="132"/>
      <c r="N38" s="400">
        <f t="shared" si="5"/>
        <v>0</v>
      </c>
      <c r="O38" s="401" t="str">
        <f t="shared" si="6"/>
        <v/>
      </c>
      <c r="P38" s="52"/>
      <c r="Q38" s="396">
        <f>IFERROR(VLOOKUP($C38,'Proposed Rates'!$B:$J,Q$11,FALSE),0)</f>
        <v>0</v>
      </c>
      <c r="R38" s="414">
        <f>IF($D38="Monthly",1,IF($D38="per KW",$F$10,IF($D38="per kWh",$F$9,0)))</f>
        <v>1</v>
      </c>
      <c r="S38" s="399">
        <f t="shared" si="29"/>
        <v>0</v>
      </c>
      <c r="T38" s="132"/>
      <c r="U38" s="400">
        <f t="shared" si="9"/>
        <v>0</v>
      </c>
      <c r="V38" s="401" t="str">
        <f t="shared" si="10"/>
        <v/>
      </c>
      <c r="W38" s="52"/>
      <c r="X38" s="396">
        <f>IFERROR(VLOOKUP($C38,'Proposed Rates'!$B:$J,X$11,FALSE),0)</f>
        <v>0</v>
      </c>
      <c r="Y38" s="414">
        <f>IF($D38="Monthly",1,IF($D38="per KW",$F$10,IF($D38="per kWh",$F$9,0)))</f>
        <v>1</v>
      </c>
      <c r="Z38" s="399">
        <f t="shared" si="31"/>
        <v>0</v>
      </c>
      <c r="AA38" s="132"/>
      <c r="AB38" s="400">
        <f t="shared" si="13"/>
        <v>0</v>
      </c>
      <c r="AC38" s="401" t="str">
        <f t="shared" si="14"/>
        <v/>
      </c>
      <c r="AD38" s="52"/>
      <c r="AE38" s="396">
        <f>IFERROR(VLOOKUP($C38,'Proposed Rates'!$B:$J,AE$11,FALSE),0)</f>
        <v>0</v>
      </c>
      <c r="AF38" s="414">
        <f>IF($D38="Monthly",1,IF($D38="per KW",$F$10,IF($D38="per kWh",$F$9,0)))</f>
        <v>1</v>
      </c>
      <c r="AG38" s="399">
        <f t="shared" si="33"/>
        <v>0</v>
      </c>
      <c r="AH38" s="132"/>
      <c r="AI38" s="400">
        <f t="shared" si="17"/>
        <v>0</v>
      </c>
      <c r="AJ38" s="401" t="str">
        <f t="shared" si="18"/>
        <v/>
      </c>
      <c r="AK38" s="52"/>
      <c r="AL38" s="396">
        <f>IFERROR(VLOOKUP($C38,'Proposed Rates'!$B:$J,AL$11,FALSE),0)</f>
        <v>0</v>
      </c>
      <c r="AM38" s="414">
        <f>IF($D38="Monthly",1,IF($D38="per KW",$F$10,IF($D38="per kWh",$F$9,0)))</f>
        <v>1</v>
      </c>
      <c r="AN38" s="399">
        <f t="shared" si="35"/>
        <v>0</v>
      </c>
      <c r="AO38" s="132"/>
      <c r="AP38" s="400">
        <f t="shared" si="21"/>
        <v>0</v>
      </c>
      <c r="AQ38" s="401" t="str">
        <f t="shared" si="22"/>
        <v/>
      </c>
      <c r="AR38" s="402"/>
    </row>
    <row r="39" spans="1:44" ht="12.75" customHeight="1">
      <c r="A39" s="52"/>
      <c r="B39" s="485" t="s">
        <v>317</v>
      </c>
      <c r="C39" s="558"/>
      <c r="D39" s="421"/>
      <c r="E39" s="421"/>
      <c r="F39" s="422"/>
      <c r="G39" s="500"/>
      <c r="H39" s="408">
        <f>SUM(H30:H38)+H29</f>
        <v>94556.12999999999</v>
      </c>
      <c r="I39" s="424"/>
      <c r="J39" s="422"/>
      <c r="K39" s="500"/>
      <c r="L39" s="408">
        <f>SUM(L30:L38)+L29</f>
        <v>107504.53</v>
      </c>
      <c r="M39" s="424"/>
      <c r="N39" s="410">
        <f t="shared" si="5"/>
        <v>12948.400000000009</v>
      </c>
      <c r="O39" s="411">
        <f t="shared" si="6"/>
        <v>0.13693876853885634</v>
      </c>
      <c r="P39" s="52"/>
      <c r="Q39" s="422"/>
      <c r="R39" s="500"/>
      <c r="S39" s="408">
        <f>SUM(S30:S38)+S29</f>
        <v>104264.62999999999</v>
      </c>
      <c r="T39" s="424"/>
      <c r="U39" s="410">
        <f t="shared" si="9"/>
        <v>-3239.9000000000087</v>
      </c>
      <c r="V39" s="411">
        <f t="shared" si="10"/>
        <v>-3.013733467789691E-2</v>
      </c>
      <c r="W39" s="52"/>
      <c r="X39" s="422"/>
      <c r="Y39" s="500"/>
      <c r="Z39" s="408">
        <f>SUM(Z30:Z38)+Z29</f>
        <v>111599.03</v>
      </c>
      <c r="AA39" s="424"/>
      <c r="AB39" s="410">
        <f t="shared" si="13"/>
        <v>7334.4000000000087</v>
      </c>
      <c r="AC39" s="411">
        <f t="shared" si="14"/>
        <v>7.0344085045906835E-2</v>
      </c>
      <c r="AD39" s="52"/>
      <c r="AE39" s="422"/>
      <c r="AF39" s="500"/>
      <c r="AG39" s="408">
        <f>SUM(AG30:AG38)+AG29</f>
        <v>119871.53000000003</v>
      </c>
      <c r="AH39" s="424"/>
      <c r="AI39" s="410">
        <f t="shared" si="17"/>
        <v>8272.5000000000291</v>
      </c>
      <c r="AJ39" s="411">
        <f t="shared" si="18"/>
        <v>7.4126988379737968E-2</v>
      </c>
      <c r="AK39" s="52"/>
      <c r="AL39" s="422"/>
      <c r="AM39" s="500"/>
      <c r="AN39" s="408">
        <f>SUM(AN30:AN38)+AN29</f>
        <v>127863.62999999999</v>
      </c>
      <c r="AO39" s="424"/>
      <c r="AP39" s="410">
        <f t="shared" si="21"/>
        <v>7992.0999999999622</v>
      </c>
      <c r="AQ39" s="411">
        <f t="shared" si="22"/>
        <v>6.667221149175255E-2</v>
      </c>
      <c r="AR39" s="412"/>
    </row>
    <row r="40" spans="1:44" ht="12.75" customHeight="1">
      <c r="A40" s="52"/>
      <c r="B40" s="132" t="s">
        <v>258</v>
      </c>
      <c r="C40" s="394" t="str">
        <f t="shared" ref="C40:C41" si="36">D$6&amp;"."&amp;B40</f>
        <v>Large User.RTSR - Network</v>
      </c>
      <c r="D40" s="425" t="s">
        <v>381</v>
      </c>
      <c r="E40" s="132"/>
      <c r="F40" s="413">
        <f>IFERROR(VLOOKUP($C40,'Proposed Rates'!$B:$J,F$11,FALSE),0)</f>
        <v>5.5801999999999996</v>
      </c>
      <c r="G40" s="414">
        <f t="shared" ref="G40:G41" si="37">IF($D40="Monthly",1,IF($D40="per KW",$F$10,IF($D40="per kWh",$F$9,0)))</f>
        <v>10000</v>
      </c>
      <c r="H40" s="399">
        <f t="shared" ref="H40:H41" si="38">G40*F40</f>
        <v>55801.999999999993</v>
      </c>
      <c r="I40" s="132"/>
      <c r="J40" s="413">
        <f>IFERROR(VLOOKUP($C40,'Proposed Rates'!$B:$J,J$11,FALSE),0)</f>
        <v>5.3339999999999996</v>
      </c>
      <c r="K40" s="414">
        <f t="shared" ref="K40:K41" si="39">IF($D40="Monthly",1,IF($D40="per KW",$F$10,IF($D40="per kWh",$F$9,0)))</f>
        <v>10000</v>
      </c>
      <c r="L40" s="399">
        <f t="shared" ref="L40:L41" si="40">K40*J40</f>
        <v>53339.999999999993</v>
      </c>
      <c r="M40" s="132"/>
      <c r="N40" s="400">
        <f t="shared" si="5"/>
        <v>-2462</v>
      </c>
      <c r="O40" s="401">
        <f t="shared" si="6"/>
        <v>-4.4120282427153157E-2</v>
      </c>
      <c r="P40" s="52"/>
      <c r="Q40" s="413">
        <f>IFERROR(VLOOKUP($C40,'Proposed Rates'!$B:$J,Q$11,FALSE),0)</f>
        <v>5.3339999999999996</v>
      </c>
      <c r="R40" s="414">
        <f t="shared" ref="R40:R41" si="41">IF($D40="Monthly",1,IF($D40="per KW",$F$10,IF($D40="per kWh",$F$9,0)))</f>
        <v>10000</v>
      </c>
      <c r="S40" s="399">
        <f t="shared" ref="S40:S41" si="42">R40*Q40</f>
        <v>53339.999999999993</v>
      </c>
      <c r="T40" s="132"/>
      <c r="U40" s="400">
        <f t="shared" si="9"/>
        <v>0</v>
      </c>
      <c r="V40" s="401">
        <f t="shared" si="10"/>
        <v>0</v>
      </c>
      <c r="W40" s="52"/>
      <c r="X40" s="413">
        <f>IFERROR(VLOOKUP($C40,'Proposed Rates'!$B:$J,X$11,FALSE),0)</f>
        <v>5.3339999999999996</v>
      </c>
      <c r="Y40" s="414">
        <f t="shared" ref="Y40:Y41" si="43">IF($D40="Monthly",1,IF($D40="per KW",$F$10,IF($D40="per kWh",$F$9,0)))</f>
        <v>10000</v>
      </c>
      <c r="Z40" s="399">
        <f t="shared" ref="Z40:Z41" si="44">Y40*X40</f>
        <v>53339.999999999993</v>
      </c>
      <c r="AA40" s="132"/>
      <c r="AB40" s="400">
        <f t="shared" si="13"/>
        <v>0</v>
      </c>
      <c r="AC40" s="401">
        <f t="shared" si="14"/>
        <v>0</v>
      </c>
      <c r="AD40" s="52"/>
      <c r="AE40" s="413">
        <f>IFERROR(VLOOKUP($C40,'Proposed Rates'!$B:$J,AE$11,FALSE),0)</f>
        <v>5.3339999999999996</v>
      </c>
      <c r="AF40" s="414">
        <f t="shared" ref="AF40:AF41" si="45">IF($D40="Monthly",1,IF($D40="per KW",$F$10,IF($D40="per kWh",$F$9,0)))</f>
        <v>10000</v>
      </c>
      <c r="AG40" s="399">
        <f t="shared" ref="AG40:AG41" si="46">AF40*AE40</f>
        <v>53339.999999999993</v>
      </c>
      <c r="AH40" s="132"/>
      <c r="AI40" s="400">
        <f t="shared" si="17"/>
        <v>0</v>
      </c>
      <c r="AJ40" s="401">
        <f t="shared" si="18"/>
        <v>0</v>
      </c>
      <c r="AK40" s="52"/>
      <c r="AL40" s="413">
        <f>IFERROR(VLOOKUP($C40,'Proposed Rates'!$B:$J,AL$11,FALSE),0)</f>
        <v>5.3339999999999996</v>
      </c>
      <c r="AM40" s="414">
        <f t="shared" ref="AM40:AM41" si="47">IF($D40="Monthly",1,IF($D40="per KW",$F$10,IF($D40="per kWh",$F$9,0)))</f>
        <v>10000</v>
      </c>
      <c r="AN40" s="399">
        <f t="shared" ref="AN40:AN41" si="48">AM40*AL40</f>
        <v>53339.999999999993</v>
      </c>
      <c r="AO40" s="132"/>
      <c r="AP40" s="400">
        <f t="shared" si="21"/>
        <v>0</v>
      </c>
      <c r="AQ40" s="401">
        <f t="shared" si="22"/>
        <v>0</v>
      </c>
      <c r="AR40" s="402"/>
    </row>
    <row r="41" spans="1:44" ht="12.75" customHeight="1">
      <c r="A41" s="52"/>
      <c r="B41" s="486" t="s">
        <v>261</v>
      </c>
      <c r="C41" s="394" t="str">
        <f t="shared" si="36"/>
        <v>Large User.RTSR - Line and Transformation Connection</v>
      </c>
      <c r="D41" s="425" t="s">
        <v>381</v>
      </c>
      <c r="E41" s="132"/>
      <c r="F41" s="413">
        <f>IFERROR(VLOOKUP($C41,'Proposed Rates'!$B:$J,F$11,FALSE),0)</f>
        <v>3.3923999999999999</v>
      </c>
      <c r="G41" s="414">
        <f t="shared" si="37"/>
        <v>10000</v>
      </c>
      <c r="H41" s="399">
        <f t="shared" si="38"/>
        <v>33924</v>
      </c>
      <c r="I41" s="132"/>
      <c r="J41" s="413">
        <f>IFERROR(VLOOKUP($C41,'Proposed Rates'!$B:$J,J$11,FALSE),0)</f>
        <v>3.0192999999999999</v>
      </c>
      <c r="K41" s="414">
        <f t="shared" si="39"/>
        <v>10000</v>
      </c>
      <c r="L41" s="399">
        <f t="shared" si="40"/>
        <v>30193</v>
      </c>
      <c r="M41" s="132"/>
      <c r="N41" s="400">
        <f t="shared" si="5"/>
        <v>-3731</v>
      </c>
      <c r="O41" s="401">
        <f t="shared" si="6"/>
        <v>-0.10998113430020044</v>
      </c>
      <c r="P41" s="52"/>
      <c r="Q41" s="413">
        <f>IFERROR(VLOOKUP($C41,'Proposed Rates'!$B:$J,Q$11,FALSE),0)</f>
        <v>3.0192999999999999</v>
      </c>
      <c r="R41" s="414">
        <f t="shared" si="41"/>
        <v>10000</v>
      </c>
      <c r="S41" s="399">
        <f t="shared" si="42"/>
        <v>30193</v>
      </c>
      <c r="T41" s="132"/>
      <c r="U41" s="400">
        <f t="shared" si="9"/>
        <v>0</v>
      </c>
      <c r="V41" s="401">
        <f t="shared" si="10"/>
        <v>0</v>
      </c>
      <c r="W41" s="52"/>
      <c r="X41" s="413">
        <f>IFERROR(VLOOKUP($C41,'Proposed Rates'!$B:$J,X$11,FALSE),0)</f>
        <v>3.0192999999999999</v>
      </c>
      <c r="Y41" s="414">
        <f t="shared" si="43"/>
        <v>10000</v>
      </c>
      <c r="Z41" s="399">
        <f t="shared" si="44"/>
        <v>30193</v>
      </c>
      <c r="AA41" s="132"/>
      <c r="AB41" s="400">
        <f t="shared" si="13"/>
        <v>0</v>
      </c>
      <c r="AC41" s="401">
        <f t="shared" si="14"/>
        <v>0</v>
      </c>
      <c r="AD41" s="52"/>
      <c r="AE41" s="413">
        <f>IFERROR(VLOOKUP($C41,'Proposed Rates'!$B:$J,AE$11,FALSE),0)</f>
        <v>3.0192999999999999</v>
      </c>
      <c r="AF41" s="414">
        <f t="shared" si="45"/>
        <v>10000</v>
      </c>
      <c r="AG41" s="399">
        <f t="shared" si="46"/>
        <v>30193</v>
      </c>
      <c r="AH41" s="132"/>
      <c r="AI41" s="400">
        <f t="shared" si="17"/>
        <v>0</v>
      </c>
      <c r="AJ41" s="401">
        <f t="shared" si="18"/>
        <v>0</v>
      </c>
      <c r="AK41" s="52"/>
      <c r="AL41" s="413">
        <f>IFERROR(VLOOKUP($C41,'Proposed Rates'!$B:$J,AL$11,FALSE),0)</f>
        <v>3.0192999999999999</v>
      </c>
      <c r="AM41" s="414">
        <f t="shared" si="47"/>
        <v>10000</v>
      </c>
      <c r="AN41" s="399">
        <f t="shared" si="48"/>
        <v>30193</v>
      </c>
      <c r="AO41" s="132"/>
      <c r="AP41" s="400">
        <f t="shared" si="21"/>
        <v>0</v>
      </c>
      <c r="AQ41" s="401">
        <f t="shared" si="22"/>
        <v>0</v>
      </c>
      <c r="AR41" s="402"/>
    </row>
    <row r="42" spans="1:44" ht="12.75" customHeight="1">
      <c r="A42" s="52"/>
      <c r="B42" s="485" t="s">
        <v>318</v>
      </c>
      <c r="C42" s="559"/>
      <c r="D42" s="426"/>
      <c r="E42" s="426"/>
      <c r="F42" s="427"/>
      <c r="G42" s="500"/>
      <c r="H42" s="408">
        <f>SUM(H39:H41)</f>
        <v>184282.12999999998</v>
      </c>
      <c r="I42" s="409"/>
      <c r="J42" s="427"/>
      <c r="K42" s="500"/>
      <c r="L42" s="408">
        <f>SUM(L39:L41)</f>
        <v>191037.53</v>
      </c>
      <c r="M42" s="409"/>
      <c r="N42" s="410">
        <f t="shared" si="5"/>
        <v>6755.4000000000233</v>
      </c>
      <c r="O42" s="411">
        <f t="shared" si="6"/>
        <v>3.665792228470565E-2</v>
      </c>
      <c r="P42" s="52"/>
      <c r="Q42" s="427"/>
      <c r="R42" s="500"/>
      <c r="S42" s="408">
        <f>SUM(S39:S41)</f>
        <v>187797.62999999998</v>
      </c>
      <c r="T42" s="409"/>
      <c r="U42" s="410">
        <f t="shared" si="9"/>
        <v>-3239.9000000000233</v>
      </c>
      <c r="V42" s="411">
        <f t="shared" si="10"/>
        <v>-1.6959494817589106E-2</v>
      </c>
      <c r="W42" s="52"/>
      <c r="X42" s="427"/>
      <c r="Y42" s="500"/>
      <c r="Z42" s="408">
        <f>SUM(Z39:Z41)</f>
        <v>195132.03</v>
      </c>
      <c r="AA42" s="409"/>
      <c r="AB42" s="410">
        <f t="shared" si="13"/>
        <v>7334.4000000000233</v>
      </c>
      <c r="AC42" s="411">
        <f t="shared" si="14"/>
        <v>3.9054805963206374E-2</v>
      </c>
      <c r="AD42" s="52"/>
      <c r="AE42" s="427"/>
      <c r="AF42" s="500"/>
      <c r="AG42" s="408">
        <f>SUM(AG39:AG41)</f>
        <v>203404.53000000003</v>
      </c>
      <c r="AH42" s="409"/>
      <c r="AI42" s="410">
        <f t="shared" si="17"/>
        <v>8272.5000000000291</v>
      </c>
      <c r="AJ42" s="411">
        <f t="shared" si="18"/>
        <v>4.2394372671672759E-2</v>
      </c>
      <c r="AK42" s="52"/>
      <c r="AL42" s="427"/>
      <c r="AM42" s="500"/>
      <c r="AN42" s="408">
        <f>SUM(AN39:AN41)</f>
        <v>211396.62999999998</v>
      </c>
      <c r="AO42" s="409"/>
      <c r="AP42" s="410">
        <f t="shared" si="21"/>
        <v>7992.0999999999476</v>
      </c>
      <c r="AQ42" s="411">
        <f t="shared" si="22"/>
        <v>3.9291651960750074E-2</v>
      </c>
      <c r="AR42" s="412"/>
    </row>
    <row r="43" spans="1:44" ht="12.75" customHeight="1">
      <c r="A43" s="52"/>
      <c r="B43" s="487" t="s">
        <v>262</v>
      </c>
      <c r="C43" s="394" t="str">
        <f t="shared" ref="C43:C45" si="49">D$6&amp;"."&amp;B43</f>
        <v>Large User.Wholesale Market Service Charge (WMSC)</v>
      </c>
      <c r="D43" s="395" t="s">
        <v>312</v>
      </c>
      <c r="E43" s="321"/>
      <c r="F43" s="413">
        <f>IFERROR(VLOOKUP($C43,'Proposed Rates'!$B:$J,F$11,FALSE),0)</f>
        <v>4.4999999999999997E-3</v>
      </c>
      <c r="G43" s="418">
        <f>$F$9+G$37</f>
        <v>4020400.0000000005</v>
      </c>
      <c r="H43" s="399">
        <f t="shared" ref="H43:H46" si="50">G43*F43</f>
        <v>18091.8</v>
      </c>
      <c r="I43" s="132"/>
      <c r="J43" s="413">
        <f>IFERROR(VLOOKUP($C43,'Proposed Rates'!$B:$J,J$11,FALSE),0)</f>
        <v>4.7000000000000002E-3</v>
      </c>
      <c r="K43" s="418">
        <f>$F$9+K$37</f>
        <v>4019199.9999999995</v>
      </c>
      <c r="L43" s="399">
        <f t="shared" ref="L43:L46" si="51">K43*J43</f>
        <v>18890.239999999998</v>
      </c>
      <c r="M43" s="132"/>
      <c r="N43" s="400">
        <f t="shared" si="5"/>
        <v>798.43999999999869</v>
      </c>
      <c r="O43" s="401">
        <f t="shared" si="6"/>
        <v>4.4132701002664122E-2</v>
      </c>
      <c r="P43" s="52"/>
      <c r="Q43" s="413">
        <f>IFERROR(VLOOKUP($C43,'Proposed Rates'!$B:$J,Q$11,FALSE),0)</f>
        <v>4.7000000000000002E-3</v>
      </c>
      <c r="R43" s="418">
        <f>$F$9+R$37</f>
        <v>4019199.9999999995</v>
      </c>
      <c r="S43" s="399">
        <f t="shared" ref="S43:S46" si="52">R43*Q43</f>
        <v>18890.239999999998</v>
      </c>
      <c r="T43" s="132"/>
      <c r="U43" s="400">
        <f t="shared" si="9"/>
        <v>0</v>
      </c>
      <c r="V43" s="401">
        <f t="shared" si="10"/>
        <v>0</v>
      </c>
      <c r="W43" s="52"/>
      <c r="X43" s="413">
        <f>IFERROR(VLOOKUP($C43,'Proposed Rates'!$B:$J,X$11,FALSE),0)</f>
        <v>4.7000000000000002E-3</v>
      </c>
      <c r="Y43" s="418">
        <f>$F$9+Y$37</f>
        <v>4019199.9999999995</v>
      </c>
      <c r="Z43" s="399">
        <f t="shared" ref="Z43:Z46" si="53">Y43*X43</f>
        <v>18890.239999999998</v>
      </c>
      <c r="AA43" s="132"/>
      <c r="AB43" s="400">
        <f t="shared" si="13"/>
        <v>0</v>
      </c>
      <c r="AC43" s="401">
        <f t="shared" si="14"/>
        <v>0</v>
      </c>
      <c r="AD43" s="52"/>
      <c r="AE43" s="413">
        <f>IFERROR(VLOOKUP($C43,'Proposed Rates'!$B:$J,AE$11,FALSE),0)</f>
        <v>4.7000000000000002E-3</v>
      </c>
      <c r="AF43" s="418">
        <f>$F$9+AF$37</f>
        <v>4019199.9999999995</v>
      </c>
      <c r="AG43" s="399">
        <f t="shared" ref="AG43:AG46" si="54">AF43*AE43</f>
        <v>18890.239999999998</v>
      </c>
      <c r="AH43" s="132"/>
      <c r="AI43" s="400">
        <f t="shared" si="17"/>
        <v>0</v>
      </c>
      <c r="AJ43" s="401">
        <f t="shared" si="18"/>
        <v>0</v>
      </c>
      <c r="AK43" s="52"/>
      <c r="AL43" s="413">
        <f>IFERROR(VLOOKUP($C43,'Proposed Rates'!$B:$J,AL$11,FALSE),0)</f>
        <v>4.7000000000000002E-3</v>
      </c>
      <c r="AM43" s="418">
        <f>$F$9+AM$37</f>
        <v>4019199.9999999995</v>
      </c>
      <c r="AN43" s="399">
        <f t="shared" ref="AN43:AN46" si="55">AM43*AL43</f>
        <v>18890.239999999998</v>
      </c>
      <c r="AO43" s="132"/>
      <c r="AP43" s="400">
        <f t="shared" si="21"/>
        <v>0</v>
      </c>
      <c r="AQ43" s="401">
        <f t="shared" si="22"/>
        <v>0</v>
      </c>
      <c r="AR43" s="402"/>
    </row>
    <row r="44" spans="1:44" ht="12.75" customHeight="1">
      <c r="A44" s="52"/>
      <c r="B44" s="487" t="s">
        <v>263</v>
      </c>
      <c r="C44" s="394" t="str">
        <f t="shared" si="49"/>
        <v>Large User.Rural and Remote Rate Protection (RRRP)</v>
      </c>
      <c r="D44" s="395" t="s">
        <v>312</v>
      </c>
      <c r="E44" s="321"/>
      <c r="F44" s="413">
        <f>IFERROR(VLOOKUP($C44,'Proposed Rates'!$B:$J,F$11,FALSE),0)</f>
        <v>1.5E-3</v>
      </c>
      <c r="G44" s="418">
        <f>G43</f>
        <v>4020400.0000000005</v>
      </c>
      <c r="H44" s="399">
        <f t="shared" si="50"/>
        <v>6030.6000000000013</v>
      </c>
      <c r="I44" s="132"/>
      <c r="J44" s="413">
        <f>IFERROR(VLOOKUP($C44,'Proposed Rates'!$B:$J,J$11,FALSE),0)</f>
        <v>5.9999999999999995E-4</v>
      </c>
      <c r="K44" s="418">
        <f>K43</f>
        <v>4019199.9999999995</v>
      </c>
      <c r="L44" s="399">
        <f t="shared" si="51"/>
        <v>2411.5199999999995</v>
      </c>
      <c r="M44" s="132"/>
      <c r="N44" s="400">
        <f t="shared" si="5"/>
        <v>-3619.0800000000017</v>
      </c>
      <c r="O44" s="401">
        <f t="shared" si="6"/>
        <v>-0.60011939110536283</v>
      </c>
      <c r="P44" s="52"/>
      <c r="Q44" s="413">
        <f>IFERROR(VLOOKUP($C44,'Proposed Rates'!$B:$J,Q$11,FALSE),0)</f>
        <v>5.9999999999999995E-4</v>
      </c>
      <c r="R44" s="418">
        <f>R43</f>
        <v>4019199.9999999995</v>
      </c>
      <c r="S44" s="399">
        <f t="shared" si="52"/>
        <v>2411.5199999999995</v>
      </c>
      <c r="T44" s="132"/>
      <c r="U44" s="400">
        <f t="shared" si="9"/>
        <v>0</v>
      </c>
      <c r="V44" s="401">
        <f t="shared" si="10"/>
        <v>0</v>
      </c>
      <c r="W44" s="52"/>
      <c r="X44" s="413">
        <f>IFERROR(VLOOKUP($C44,'Proposed Rates'!$B:$J,X$11,FALSE),0)</f>
        <v>5.9999999999999995E-4</v>
      </c>
      <c r="Y44" s="418">
        <f>Y43</f>
        <v>4019199.9999999995</v>
      </c>
      <c r="Z44" s="399">
        <f t="shared" si="53"/>
        <v>2411.5199999999995</v>
      </c>
      <c r="AA44" s="132"/>
      <c r="AB44" s="400">
        <f t="shared" si="13"/>
        <v>0</v>
      </c>
      <c r="AC44" s="401">
        <f t="shared" si="14"/>
        <v>0</v>
      </c>
      <c r="AD44" s="52"/>
      <c r="AE44" s="413">
        <f>IFERROR(VLOOKUP($C44,'Proposed Rates'!$B:$J,AE$11,FALSE),0)</f>
        <v>5.9999999999999995E-4</v>
      </c>
      <c r="AF44" s="418">
        <f>AF43</f>
        <v>4019199.9999999995</v>
      </c>
      <c r="AG44" s="399">
        <f t="shared" si="54"/>
        <v>2411.5199999999995</v>
      </c>
      <c r="AH44" s="132"/>
      <c r="AI44" s="400">
        <f t="shared" si="17"/>
        <v>0</v>
      </c>
      <c r="AJ44" s="401">
        <f t="shared" si="18"/>
        <v>0</v>
      </c>
      <c r="AK44" s="52"/>
      <c r="AL44" s="413">
        <f>IFERROR(VLOOKUP($C44,'Proposed Rates'!$B:$J,AL$11,FALSE),0)</f>
        <v>5.9999999999999995E-4</v>
      </c>
      <c r="AM44" s="418">
        <f>AM43</f>
        <v>4019199.9999999995</v>
      </c>
      <c r="AN44" s="399">
        <f t="shared" si="55"/>
        <v>2411.5199999999995</v>
      </c>
      <c r="AO44" s="132"/>
      <c r="AP44" s="400">
        <f t="shared" si="21"/>
        <v>0</v>
      </c>
      <c r="AQ44" s="401">
        <f t="shared" si="22"/>
        <v>0</v>
      </c>
      <c r="AR44" s="402"/>
    </row>
    <row r="45" spans="1:44" ht="12.75" customHeight="1">
      <c r="A45" s="52"/>
      <c r="B45" s="321" t="s">
        <v>264</v>
      </c>
      <c r="C45" s="394" t="str">
        <f t="shared" si="49"/>
        <v>Large User.Standard Supply Service Charge</v>
      </c>
      <c r="D45" s="395" t="s">
        <v>310</v>
      </c>
      <c r="E45" s="321"/>
      <c r="F45" s="396">
        <f>IFERROR(VLOOKUP($C45,'Proposed Rates'!$B:$J,F$11,FALSE),0)</f>
        <v>0.25</v>
      </c>
      <c r="G45" s="414">
        <f>IF($D45="Monthly",1,IF($D45="per KW",$F$10,IF($D45="per kWh",$F$9,0)))</f>
        <v>1</v>
      </c>
      <c r="H45" s="399">
        <f t="shared" si="50"/>
        <v>0.25</v>
      </c>
      <c r="I45" s="132"/>
      <c r="J45" s="396">
        <f>IFERROR(VLOOKUP($C45,'Proposed Rates'!$B:$J,J$11,FALSE),0)</f>
        <v>0.25</v>
      </c>
      <c r="K45" s="414">
        <f>IF($D45="Monthly",1,IF($D45="per KW",$F$10,IF($D45="per kWh",$F$9,0)))</f>
        <v>1</v>
      </c>
      <c r="L45" s="399">
        <f t="shared" si="51"/>
        <v>0.25</v>
      </c>
      <c r="M45" s="132"/>
      <c r="N45" s="400">
        <f t="shared" si="5"/>
        <v>0</v>
      </c>
      <c r="O45" s="401">
        <f t="shared" si="6"/>
        <v>0</v>
      </c>
      <c r="P45" s="52"/>
      <c r="Q45" s="396">
        <f>IFERROR(VLOOKUP($C45,'Proposed Rates'!$B:$J,Q$11,FALSE),0)</f>
        <v>0.25</v>
      </c>
      <c r="R45" s="414">
        <f>IF($D45="Monthly",1,IF($D45="per KW",$F$10,IF($D45="per kWh",$F$9,0)))</f>
        <v>1</v>
      </c>
      <c r="S45" s="399">
        <f t="shared" si="52"/>
        <v>0.25</v>
      </c>
      <c r="T45" s="132"/>
      <c r="U45" s="400">
        <f t="shared" si="9"/>
        <v>0</v>
      </c>
      <c r="V45" s="401">
        <f t="shared" si="10"/>
        <v>0</v>
      </c>
      <c r="W45" s="52"/>
      <c r="X45" s="396">
        <f>IFERROR(VLOOKUP($C45,'Proposed Rates'!$B:$J,X$11,FALSE),0)</f>
        <v>0.25</v>
      </c>
      <c r="Y45" s="414">
        <f>IF($D45="Monthly",1,IF($D45="per KW",$F$10,IF($D45="per kWh",$F$9,0)))</f>
        <v>1</v>
      </c>
      <c r="Z45" s="399">
        <f t="shared" si="53"/>
        <v>0.25</v>
      </c>
      <c r="AA45" s="132"/>
      <c r="AB45" s="400">
        <f t="shared" si="13"/>
        <v>0</v>
      </c>
      <c r="AC45" s="401">
        <f t="shared" si="14"/>
        <v>0</v>
      </c>
      <c r="AD45" s="52"/>
      <c r="AE45" s="396">
        <f>IFERROR(VLOOKUP($C45,'Proposed Rates'!$B:$J,AE$11,FALSE),0)</f>
        <v>0.25</v>
      </c>
      <c r="AF45" s="414">
        <f>IF($D45="Monthly",1,IF($D45="per KW",$F$10,IF($D45="per kWh",$F$9,0)))</f>
        <v>1</v>
      </c>
      <c r="AG45" s="399">
        <f t="shared" si="54"/>
        <v>0.25</v>
      </c>
      <c r="AH45" s="132"/>
      <c r="AI45" s="400">
        <f t="shared" si="17"/>
        <v>0</v>
      </c>
      <c r="AJ45" s="401">
        <f t="shared" si="18"/>
        <v>0</v>
      </c>
      <c r="AK45" s="52"/>
      <c r="AL45" s="396">
        <f>IFERROR(VLOOKUP($C45,'Proposed Rates'!$B:$J,AL$11,FALSE),0)</f>
        <v>0.25</v>
      </c>
      <c r="AM45" s="414">
        <f>IF($D45="Monthly",1,IF($D45="per KW",$F$10,IF($D45="per kWh",$F$9,0)))</f>
        <v>1</v>
      </c>
      <c r="AN45" s="399">
        <f t="shared" si="55"/>
        <v>0.25</v>
      </c>
      <c r="AO45" s="132"/>
      <c r="AP45" s="400">
        <f t="shared" si="21"/>
        <v>0</v>
      </c>
      <c r="AQ45" s="401">
        <f t="shared" si="22"/>
        <v>0</v>
      </c>
      <c r="AR45" s="402"/>
    </row>
    <row r="46" spans="1:44" ht="12.75" customHeight="1">
      <c r="A46" s="52"/>
      <c r="B46" s="321" t="s">
        <v>271</v>
      </c>
      <c r="C46" s="394" t="str">
        <f>B46</f>
        <v>Average IESO Wholesale Market Price</v>
      </c>
      <c r="D46" s="395" t="s">
        <v>312</v>
      </c>
      <c r="E46" s="321"/>
      <c r="F46" s="413">
        <f>IFERROR(VLOOKUP($C46,'Proposed Rates'!$B:$J,F$11,FALSE),0)</f>
        <v>0.10453</v>
      </c>
      <c r="G46" s="418">
        <f>G43</f>
        <v>4020400.0000000005</v>
      </c>
      <c r="H46" s="399">
        <f t="shared" si="50"/>
        <v>420252.41200000007</v>
      </c>
      <c r="I46" s="132"/>
      <c r="J46" s="413">
        <f>IFERROR(VLOOKUP($C46,'Proposed Rates'!$B:$J,J$11,FALSE),0)</f>
        <v>0.10453</v>
      </c>
      <c r="K46" s="418">
        <f>K43</f>
        <v>4019199.9999999995</v>
      </c>
      <c r="L46" s="399">
        <f t="shared" si="51"/>
        <v>420126.97599999997</v>
      </c>
      <c r="M46" s="132"/>
      <c r="N46" s="400">
        <f t="shared" si="5"/>
        <v>-125.43600000010338</v>
      </c>
      <c r="O46" s="401">
        <f t="shared" si="6"/>
        <v>-2.9847776340687212E-4</v>
      </c>
      <c r="P46" s="52"/>
      <c r="Q46" s="413">
        <f>IFERROR(VLOOKUP($C46,'Proposed Rates'!$B:$J,Q$11,FALSE),0)</f>
        <v>0.10453</v>
      </c>
      <c r="R46" s="418">
        <f>R43</f>
        <v>4019199.9999999995</v>
      </c>
      <c r="S46" s="399">
        <f t="shared" si="52"/>
        <v>420126.97599999997</v>
      </c>
      <c r="T46" s="132"/>
      <c r="U46" s="400">
        <f t="shared" si="9"/>
        <v>0</v>
      </c>
      <c r="V46" s="401">
        <f t="shared" si="10"/>
        <v>0</v>
      </c>
      <c r="W46" s="52"/>
      <c r="X46" s="413">
        <f>IFERROR(VLOOKUP($C46,'Proposed Rates'!$B:$J,X$11,FALSE),0)</f>
        <v>0.10453</v>
      </c>
      <c r="Y46" s="418">
        <f>Y43</f>
        <v>4019199.9999999995</v>
      </c>
      <c r="Z46" s="399">
        <f t="shared" si="53"/>
        <v>420126.97599999997</v>
      </c>
      <c r="AA46" s="132"/>
      <c r="AB46" s="400">
        <f t="shared" si="13"/>
        <v>0</v>
      </c>
      <c r="AC46" s="401">
        <f t="shared" si="14"/>
        <v>0</v>
      </c>
      <c r="AD46" s="52"/>
      <c r="AE46" s="413">
        <f>IFERROR(VLOOKUP($C46,'Proposed Rates'!$B:$J,AE$11,FALSE),0)</f>
        <v>0.10453</v>
      </c>
      <c r="AF46" s="418">
        <f>AF43</f>
        <v>4019199.9999999995</v>
      </c>
      <c r="AG46" s="399">
        <f t="shared" si="54"/>
        <v>420126.97599999997</v>
      </c>
      <c r="AH46" s="132"/>
      <c r="AI46" s="400">
        <f t="shared" si="17"/>
        <v>0</v>
      </c>
      <c r="AJ46" s="401">
        <f t="shared" si="18"/>
        <v>0</v>
      </c>
      <c r="AK46" s="52"/>
      <c r="AL46" s="413">
        <f>IFERROR(VLOOKUP($C46,'Proposed Rates'!$B:$J,AL$11,FALSE),0)</f>
        <v>0.10453</v>
      </c>
      <c r="AM46" s="418">
        <f>AM43</f>
        <v>4019199.9999999995</v>
      </c>
      <c r="AN46" s="399">
        <f t="shared" si="55"/>
        <v>420126.97599999997</v>
      </c>
      <c r="AO46" s="132"/>
      <c r="AP46" s="400">
        <f t="shared" si="21"/>
        <v>0</v>
      </c>
      <c r="AQ46" s="401">
        <f t="shared" si="22"/>
        <v>0</v>
      </c>
      <c r="AR46" s="402"/>
    </row>
    <row r="47" spans="1:44" ht="7.5" customHeight="1">
      <c r="A47" s="52"/>
      <c r="B47" s="321"/>
      <c r="C47" s="394" t="str">
        <f t="shared" ref="C47:C50" si="56">D$6&amp;"."&amp;B47</f>
        <v>Large User.</v>
      </c>
      <c r="D47" s="395"/>
      <c r="E47" s="321"/>
      <c r="F47" s="413"/>
      <c r="G47" s="510"/>
      <c r="H47" s="399"/>
      <c r="I47" s="132"/>
      <c r="J47" s="413"/>
      <c r="K47" s="510"/>
      <c r="L47" s="399"/>
      <c r="M47" s="132"/>
      <c r="N47" s="400"/>
      <c r="O47" s="401"/>
      <c r="P47" s="52"/>
      <c r="Q47" s="413"/>
      <c r="R47" s="510"/>
      <c r="S47" s="399"/>
      <c r="T47" s="132"/>
      <c r="U47" s="400"/>
      <c r="V47" s="401"/>
      <c r="W47" s="52"/>
      <c r="X47" s="413"/>
      <c r="Y47" s="510"/>
      <c r="Z47" s="399"/>
      <c r="AA47" s="132"/>
      <c r="AB47" s="400"/>
      <c r="AC47" s="401"/>
      <c r="AD47" s="52"/>
      <c r="AE47" s="413"/>
      <c r="AF47" s="510"/>
      <c r="AG47" s="399"/>
      <c r="AH47" s="132"/>
      <c r="AI47" s="400"/>
      <c r="AJ47" s="401"/>
      <c r="AK47" s="52"/>
      <c r="AL47" s="413"/>
      <c r="AM47" s="510"/>
      <c r="AN47" s="399"/>
      <c r="AO47" s="132"/>
      <c r="AP47" s="400"/>
      <c r="AQ47" s="401"/>
      <c r="AR47" s="402"/>
    </row>
    <row r="48" spans="1:44" ht="7.5" customHeight="1">
      <c r="A48" s="52"/>
      <c r="B48" s="52"/>
      <c r="C48" s="394" t="str">
        <f t="shared" si="56"/>
        <v>Large User.</v>
      </c>
      <c r="D48" s="395"/>
      <c r="E48" s="321"/>
      <c r="F48" s="413"/>
      <c r="G48" s="510"/>
      <c r="H48" s="399"/>
      <c r="I48" s="132"/>
      <c r="J48" s="413"/>
      <c r="K48" s="510"/>
      <c r="L48" s="399"/>
      <c r="M48" s="132"/>
      <c r="N48" s="400"/>
      <c r="O48" s="401"/>
      <c r="P48" s="52"/>
      <c r="Q48" s="413"/>
      <c r="R48" s="510"/>
      <c r="S48" s="399"/>
      <c r="T48" s="132"/>
      <c r="U48" s="400"/>
      <c r="V48" s="401"/>
      <c r="W48" s="52"/>
      <c r="X48" s="413"/>
      <c r="Y48" s="510"/>
      <c r="Z48" s="399"/>
      <c r="AA48" s="132"/>
      <c r="AB48" s="400"/>
      <c r="AC48" s="401"/>
      <c r="AD48" s="52"/>
      <c r="AE48" s="413"/>
      <c r="AF48" s="510"/>
      <c r="AG48" s="399"/>
      <c r="AH48" s="132"/>
      <c r="AI48" s="400"/>
      <c r="AJ48" s="401"/>
      <c r="AK48" s="52"/>
      <c r="AL48" s="413"/>
      <c r="AM48" s="510"/>
      <c r="AN48" s="399"/>
      <c r="AO48" s="132"/>
      <c r="AP48" s="400"/>
      <c r="AQ48" s="401"/>
      <c r="AR48" s="402"/>
    </row>
    <row r="49" spans="1:44" ht="7.5" customHeight="1">
      <c r="A49" s="52"/>
      <c r="B49" s="321"/>
      <c r="C49" s="394" t="str">
        <f t="shared" si="56"/>
        <v>Large User.</v>
      </c>
      <c r="D49" s="395"/>
      <c r="E49" s="321"/>
      <c r="F49" s="413"/>
      <c r="G49" s="510"/>
      <c r="H49" s="399"/>
      <c r="I49" s="132"/>
      <c r="J49" s="413"/>
      <c r="K49" s="510"/>
      <c r="L49" s="399"/>
      <c r="M49" s="132"/>
      <c r="N49" s="400"/>
      <c r="O49" s="401"/>
      <c r="P49" s="52"/>
      <c r="Q49" s="413"/>
      <c r="R49" s="510"/>
      <c r="S49" s="399"/>
      <c r="T49" s="132"/>
      <c r="U49" s="400"/>
      <c r="V49" s="401"/>
      <c r="W49" s="52"/>
      <c r="X49" s="413"/>
      <c r="Y49" s="510"/>
      <c r="Z49" s="399"/>
      <c r="AA49" s="132"/>
      <c r="AB49" s="400"/>
      <c r="AC49" s="401"/>
      <c r="AD49" s="52"/>
      <c r="AE49" s="413"/>
      <c r="AF49" s="510"/>
      <c r="AG49" s="399"/>
      <c r="AH49" s="132"/>
      <c r="AI49" s="400"/>
      <c r="AJ49" s="401"/>
      <c r="AK49" s="52"/>
      <c r="AL49" s="413"/>
      <c r="AM49" s="510"/>
      <c r="AN49" s="399"/>
      <c r="AO49" s="132"/>
      <c r="AP49" s="400"/>
      <c r="AQ49" s="401"/>
      <c r="AR49" s="402"/>
    </row>
    <row r="50" spans="1:44" ht="7.5" customHeight="1">
      <c r="A50" s="52"/>
      <c r="B50" s="321"/>
      <c r="C50" s="394" t="str">
        <f t="shared" si="56"/>
        <v>Large User.</v>
      </c>
      <c r="D50" s="395"/>
      <c r="E50" s="321"/>
      <c r="F50" s="413"/>
      <c r="G50" s="510"/>
      <c r="H50" s="399"/>
      <c r="I50" s="132"/>
      <c r="J50" s="413"/>
      <c r="K50" s="510"/>
      <c r="L50" s="399"/>
      <c r="M50" s="132"/>
      <c r="N50" s="400"/>
      <c r="O50" s="401"/>
      <c r="P50" s="52"/>
      <c r="Q50" s="413"/>
      <c r="R50" s="510"/>
      <c r="S50" s="399"/>
      <c r="T50" s="132"/>
      <c r="U50" s="400"/>
      <c r="V50" s="401"/>
      <c r="W50" s="52"/>
      <c r="X50" s="413"/>
      <c r="Y50" s="510"/>
      <c r="Z50" s="399"/>
      <c r="AA50" s="132"/>
      <c r="AB50" s="400"/>
      <c r="AC50" s="401"/>
      <c r="AD50" s="52"/>
      <c r="AE50" s="413"/>
      <c r="AF50" s="510"/>
      <c r="AG50" s="399"/>
      <c r="AH50" s="132"/>
      <c r="AI50" s="400"/>
      <c r="AJ50" s="401"/>
      <c r="AK50" s="52"/>
      <c r="AL50" s="413"/>
      <c r="AM50" s="510"/>
      <c r="AN50" s="399"/>
      <c r="AO50" s="132"/>
      <c r="AP50" s="400"/>
      <c r="AQ50" s="401"/>
      <c r="AR50" s="402"/>
    </row>
    <row r="51" spans="1:44" ht="8.2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75" customHeight="1">
      <c r="A52" s="52"/>
      <c r="B52" s="443" t="s">
        <v>319</v>
      </c>
      <c r="C52" s="561"/>
      <c r="D52" s="321"/>
      <c r="E52" s="321"/>
      <c r="F52" s="444"/>
      <c r="G52" s="488"/>
      <c r="H52" s="446">
        <f>SUM(H43:H48,H42)</f>
        <v>628657.19200000004</v>
      </c>
      <c r="I52" s="481"/>
      <c r="J52" s="445"/>
      <c r="K52" s="445"/>
      <c r="L52" s="446">
        <f>SUM(L43:L48,L42)</f>
        <v>632466.51599999995</v>
      </c>
      <c r="M52" s="448"/>
      <c r="N52" s="447">
        <f t="shared" ref="N52:N56" si="57">L52-H52</f>
        <v>3809.3239999999059</v>
      </c>
      <c r="O52" s="449">
        <f t="shared" ref="O52:O56" si="58">IF((H52)=0,"",(N52/H52))</f>
        <v>6.0594614178849726E-3</v>
      </c>
      <c r="P52" s="52"/>
      <c r="Q52" s="445"/>
      <c r="R52" s="445"/>
      <c r="S52" s="446">
        <f>SUM(S43:S48,S42)</f>
        <v>629226.61599999992</v>
      </c>
      <c r="T52" s="448"/>
      <c r="U52" s="447">
        <f t="shared" ref="U52:U56" si="59">S52-L52</f>
        <v>-3239.9000000000233</v>
      </c>
      <c r="V52" s="449">
        <f t="shared" ref="V52:V56" si="60">IF((L52)=0,"",(U52/L52))</f>
        <v>-5.1226427297536544E-3</v>
      </c>
      <c r="W52" s="52"/>
      <c r="X52" s="445"/>
      <c r="Y52" s="445"/>
      <c r="Z52" s="446">
        <f>SUM(Z43:Z48,Z42)</f>
        <v>636561.01599999995</v>
      </c>
      <c r="AA52" s="448"/>
      <c r="AB52" s="447">
        <f t="shared" ref="AB52:AB56" si="61">Z52-S52</f>
        <v>7334.4000000000233</v>
      </c>
      <c r="AC52" s="449">
        <f t="shared" ref="AC52:AC56" si="62">IF((S52)=0,"",(AB52/S52))</f>
        <v>1.1656213856026752E-2</v>
      </c>
      <c r="AD52" s="52"/>
      <c r="AE52" s="445"/>
      <c r="AF52" s="445"/>
      <c r="AG52" s="446">
        <f>SUM(AG43:AG48,AG42)</f>
        <v>644833.51600000006</v>
      </c>
      <c r="AH52" s="448"/>
      <c r="AI52" s="447">
        <f t="shared" ref="AI52:AI56" si="63">AG52-Z52</f>
        <v>8272.5000000001164</v>
      </c>
      <c r="AJ52" s="449">
        <f t="shared" ref="AJ52:AJ56" si="64">IF((Z52)=0,"",(AI52/Z52))</f>
        <v>1.2995612034149633E-2</v>
      </c>
      <c r="AK52" s="52"/>
      <c r="AL52" s="445"/>
      <c r="AM52" s="445"/>
      <c r="AN52" s="446">
        <f>SUM(AN43:AN48,AN42)</f>
        <v>652825.61599999992</v>
      </c>
      <c r="AO52" s="448"/>
      <c r="AP52" s="447">
        <f t="shared" ref="AP52:AP56" si="65">AN52-AG52</f>
        <v>7992.0999999998603</v>
      </c>
      <c r="AQ52" s="449">
        <f t="shared" ref="AQ52:AQ56" si="66">IF((AG52)=0,"",(AP52/AG52))</f>
        <v>1.2394051800495834E-2</v>
      </c>
      <c r="AR52" s="450"/>
    </row>
    <row r="53" spans="1:44" ht="12.75" customHeight="1">
      <c r="A53" s="52"/>
      <c r="B53" s="451" t="s">
        <v>320</v>
      </c>
      <c r="C53" s="561"/>
      <c r="D53" s="321"/>
      <c r="E53" s="321"/>
      <c r="F53" s="444">
        <v>0.13</v>
      </c>
      <c r="G53" s="132"/>
      <c r="H53" s="489">
        <f>H52*F53</f>
        <v>81725.434960000013</v>
      </c>
      <c r="I53" s="416"/>
      <c r="J53" s="452">
        <v>0.13</v>
      </c>
      <c r="K53" s="416"/>
      <c r="L53" s="399">
        <f>L52*J53</f>
        <v>82220.647079999995</v>
      </c>
      <c r="M53" s="132"/>
      <c r="N53" s="400">
        <f t="shared" si="57"/>
        <v>495.21211999998195</v>
      </c>
      <c r="O53" s="401">
        <f t="shared" si="58"/>
        <v>6.0594614178849015E-3</v>
      </c>
      <c r="P53" s="52"/>
      <c r="Q53" s="452">
        <v>0.13</v>
      </c>
      <c r="R53" s="416"/>
      <c r="S53" s="399">
        <f>S52*Q53</f>
        <v>81799.46007999999</v>
      </c>
      <c r="T53" s="132"/>
      <c r="U53" s="400">
        <f t="shared" si="59"/>
        <v>-421.18700000000536</v>
      </c>
      <c r="V53" s="401">
        <f t="shared" si="60"/>
        <v>-5.122642729753683E-3</v>
      </c>
      <c r="W53" s="52"/>
      <c r="X53" s="452">
        <v>0.13</v>
      </c>
      <c r="Y53" s="416"/>
      <c r="Z53" s="399">
        <f>Z52*X53</f>
        <v>82752.932079999999</v>
      </c>
      <c r="AA53" s="132"/>
      <c r="AB53" s="400">
        <f t="shared" si="61"/>
        <v>953.47200000000885</v>
      </c>
      <c r="AC53" s="401">
        <f t="shared" si="62"/>
        <v>1.1656213856026823E-2</v>
      </c>
      <c r="AD53" s="52"/>
      <c r="AE53" s="452">
        <v>0.13</v>
      </c>
      <c r="AF53" s="416"/>
      <c r="AG53" s="399">
        <f>AG52*AE53</f>
        <v>83828.357080000016</v>
      </c>
      <c r="AH53" s="132"/>
      <c r="AI53" s="400">
        <f t="shared" si="63"/>
        <v>1075.4250000000175</v>
      </c>
      <c r="AJ53" s="401">
        <f t="shared" si="64"/>
        <v>1.2995612034149661E-2</v>
      </c>
      <c r="AK53" s="52"/>
      <c r="AL53" s="452">
        <v>0.13</v>
      </c>
      <c r="AM53" s="416"/>
      <c r="AN53" s="399">
        <f>AN52*AL53</f>
        <v>84867.33008</v>
      </c>
      <c r="AO53" s="132"/>
      <c r="AP53" s="400">
        <f t="shared" si="65"/>
        <v>1038.9729999999836</v>
      </c>
      <c r="AQ53" s="401">
        <f t="shared" si="66"/>
        <v>1.2394051800495855E-2</v>
      </c>
      <c r="AR53" s="402"/>
    </row>
    <row r="54" spans="1:44" ht="12.75" customHeight="1">
      <c r="A54" s="52"/>
      <c r="B54" s="490" t="s">
        <v>415</v>
      </c>
      <c r="C54" s="561"/>
      <c r="D54" s="321"/>
      <c r="E54" s="321"/>
      <c r="F54" s="454"/>
      <c r="G54" s="132"/>
      <c r="H54" s="489">
        <f>H52+H53</f>
        <v>710382.62696000002</v>
      </c>
      <c r="I54" s="416"/>
      <c r="J54" s="416"/>
      <c r="K54" s="416"/>
      <c r="L54" s="399">
        <f>L52+L53</f>
        <v>714687.16307999997</v>
      </c>
      <c r="M54" s="132"/>
      <c r="N54" s="400">
        <f t="shared" si="57"/>
        <v>4304.5361199999461</v>
      </c>
      <c r="O54" s="401">
        <f t="shared" si="58"/>
        <v>6.0594614178850472E-3</v>
      </c>
      <c r="P54" s="52"/>
      <c r="Q54" s="416"/>
      <c r="R54" s="416"/>
      <c r="S54" s="399">
        <f>S52+S53</f>
        <v>711026.07607999991</v>
      </c>
      <c r="T54" s="132"/>
      <c r="U54" s="400">
        <f t="shared" si="59"/>
        <v>-3661.0870000000577</v>
      </c>
      <c r="V54" s="401">
        <f t="shared" si="60"/>
        <v>-5.1226427297536986E-3</v>
      </c>
      <c r="W54" s="52"/>
      <c r="X54" s="416"/>
      <c r="Y54" s="416"/>
      <c r="Z54" s="399">
        <f>Z52+Z53</f>
        <v>719313.94808</v>
      </c>
      <c r="AA54" s="132"/>
      <c r="AB54" s="400">
        <f t="shared" si="61"/>
        <v>8287.8720000000903</v>
      </c>
      <c r="AC54" s="401">
        <f t="shared" si="62"/>
        <v>1.1656213856026842E-2</v>
      </c>
      <c r="AD54" s="52"/>
      <c r="AE54" s="416"/>
      <c r="AF54" s="416"/>
      <c r="AG54" s="399">
        <f>AG52+AG53</f>
        <v>728661.87308000005</v>
      </c>
      <c r="AH54" s="132"/>
      <c r="AI54" s="400">
        <f t="shared" si="63"/>
        <v>9347.9250000000466</v>
      </c>
      <c r="AJ54" s="401">
        <f t="shared" si="64"/>
        <v>1.2995612034149513E-2</v>
      </c>
      <c r="AK54" s="52"/>
      <c r="AL54" s="416"/>
      <c r="AM54" s="416"/>
      <c r="AN54" s="399">
        <f>AN52+AN53</f>
        <v>737692.94607999991</v>
      </c>
      <c r="AO54" s="132"/>
      <c r="AP54" s="400">
        <f t="shared" si="65"/>
        <v>9031.0729999998584</v>
      </c>
      <c r="AQ54" s="401">
        <f t="shared" si="66"/>
        <v>1.2394051800495857E-2</v>
      </c>
      <c r="AR54" s="402"/>
    </row>
    <row r="55" spans="1:44" ht="15.75" customHeight="1">
      <c r="A55" s="52"/>
      <c r="B55" s="632" t="s">
        <v>277</v>
      </c>
      <c r="C55" s="623"/>
      <c r="D55" s="623"/>
      <c r="E55" s="321"/>
      <c r="F55" s="454"/>
      <c r="G55" s="132"/>
      <c r="H55" s="491">
        <f>F55*H52</f>
        <v>0</v>
      </c>
      <c r="I55" s="416"/>
      <c r="J55" s="416"/>
      <c r="K55" s="416"/>
      <c r="L55" s="511">
        <f>J55*L52</f>
        <v>0</v>
      </c>
      <c r="M55" s="132"/>
      <c r="N55" s="456">
        <f t="shared" si="57"/>
        <v>0</v>
      </c>
      <c r="O55" s="458" t="str">
        <f t="shared" si="58"/>
        <v/>
      </c>
      <c r="P55" s="52"/>
      <c r="Q55" s="416"/>
      <c r="R55" s="416"/>
      <c r="S55" s="511">
        <f>Q55*S52</f>
        <v>0</v>
      </c>
      <c r="T55" s="132"/>
      <c r="U55" s="456">
        <f t="shared" si="59"/>
        <v>0</v>
      </c>
      <c r="V55" s="458" t="str">
        <f t="shared" si="60"/>
        <v/>
      </c>
      <c r="W55" s="52"/>
      <c r="X55" s="416"/>
      <c r="Y55" s="416"/>
      <c r="Z55" s="511">
        <f>X55*Z52</f>
        <v>0</v>
      </c>
      <c r="AA55" s="132"/>
      <c r="AB55" s="456">
        <f t="shared" si="61"/>
        <v>0</v>
      </c>
      <c r="AC55" s="458" t="str">
        <f t="shared" si="62"/>
        <v/>
      </c>
      <c r="AD55" s="52"/>
      <c r="AE55" s="416"/>
      <c r="AF55" s="416"/>
      <c r="AG55" s="511">
        <f>AE55*AG52</f>
        <v>0</v>
      </c>
      <c r="AH55" s="132"/>
      <c r="AI55" s="456">
        <f t="shared" si="63"/>
        <v>0</v>
      </c>
      <c r="AJ55" s="458" t="str">
        <f t="shared" si="64"/>
        <v/>
      </c>
      <c r="AK55" s="52"/>
      <c r="AL55" s="416"/>
      <c r="AM55" s="416"/>
      <c r="AN55" s="511">
        <f>AL55*AN52</f>
        <v>0</v>
      </c>
      <c r="AO55" s="132"/>
      <c r="AP55" s="456">
        <f t="shared" si="65"/>
        <v>0</v>
      </c>
      <c r="AQ55" s="458" t="str">
        <f t="shared" si="66"/>
        <v/>
      </c>
      <c r="AR55" s="459"/>
    </row>
    <row r="56" spans="1:44" ht="13.5" customHeight="1">
      <c r="A56" s="52"/>
      <c r="B56" s="634" t="s">
        <v>322</v>
      </c>
      <c r="C56" s="615"/>
      <c r="D56" s="615"/>
      <c r="E56" s="460"/>
      <c r="F56" s="461"/>
      <c r="G56" s="492"/>
      <c r="H56" s="493">
        <f>H54-H55</f>
        <v>710382.62696000002</v>
      </c>
      <c r="I56" s="462"/>
      <c r="J56" s="462"/>
      <c r="K56" s="462"/>
      <c r="L56" s="463">
        <f>L54-L55</f>
        <v>714687.16307999997</v>
      </c>
      <c r="M56" s="464"/>
      <c r="N56" s="465">
        <f t="shared" si="57"/>
        <v>4304.5361199999461</v>
      </c>
      <c r="O56" s="466">
        <f t="shared" si="58"/>
        <v>6.0594614178850472E-3</v>
      </c>
      <c r="P56" s="52"/>
      <c r="Q56" s="462"/>
      <c r="R56" s="462"/>
      <c r="S56" s="463">
        <f>S54-S55</f>
        <v>711026.07607999991</v>
      </c>
      <c r="T56" s="464"/>
      <c r="U56" s="465">
        <f t="shared" si="59"/>
        <v>-3661.0870000000577</v>
      </c>
      <c r="V56" s="466">
        <f t="shared" si="60"/>
        <v>-5.1226427297536986E-3</v>
      </c>
      <c r="W56" s="52"/>
      <c r="X56" s="462"/>
      <c r="Y56" s="462"/>
      <c r="Z56" s="463">
        <f>Z54-Z55</f>
        <v>719313.94808</v>
      </c>
      <c r="AA56" s="464"/>
      <c r="AB56" s="465">
        <f t="shared" si="61"/>
        <v>8287.8720000000903</v>
      </c>
      <c r="AC56" s="466">
        <f t="shared" si="62"/>
        <v>1.1656213856026842E-2</v>
      </c>
      <c r="AD56" s="52"/>
      <c r="AE56" s="462"/>
      <c r="AF56" s="462"/>
      <c r="AG56" s="463">
        <f>AG54-AG55</f>
        <v>728661.87308000005</v>
      </c>
      <c r="AH56" s="464"/>
      <c r="AI56" s="465">
        <f t="shared" si="63"/>
        <v>9347.9250000000466</v>
      </c>
      <c r="AJ56" s="466">
        <f t="shared" si="64"/>
        <v>1.2995612034149513E-2</v>
      </c>
      <c r="AK56" s="52"/>
      <c r="AL56" s="462"/>
      <c r="AM56" s="462"/>
      <c r="AN56" s="463">
        <f>AN54-AN55</f>
        <v>737692.94607999991</v>
      </c>
      <c r="AO56" s="464"/>
      <c r="AP56" s="465">
        <f t="shared" si="65"/>
        <v>9031.0729999998584</v>
      </c>
      <c r="AQ56" s="466">
        <f t="shared" si="66"/>
        <v>1.2394051800495857E-2</v>
      </c>
      <c r="AR56" s="467"/>
    </row>
    <row r="57" spans="1:44"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75" customHeight="1">
      <c r="A58" s="512"/>
      <c r="B58" s="513" t="s">
        <v>323</v>
      </c>
      <c r="C58" s="562"/>
      <c r="D58" s="514"/>
      <c r="E58" s="514"/>
      <c r="F58" s="515"/>
      <c r="G58" s="516"/>
      <c r="H58" s="517">
        <f>SUM(H49:H50,H42,H43:H45)</f>
        <v>208404.77999999997</v>
      </c>
      <c r="I58" s="518"/>
      <c r="J58" s="519"/>
      <c r="K58" s="519"/>
      <c r="L58" s="517">
        <f>SUM(L49:L50,L42,L43:L45)</f>
        <v>212339.53999999998</v>
      </c>
      <c r="M58" s="520"/>
      <c r="N58" s="521">
        <f t="shared" ref="N58:N62" si="67">L58-H58</f>
        <v>3934.7600000000093</v>
      </c>
      <c r="O58" s="522">
        <f t="shared" ref="O58:O62" si="68">IF((H58)=0,"",(N58/H58))</f>
        <v>1.8880373089331298E-2</v>
      </c>
      <c r="P58" s="512"/>
      <c r="Q58" s="519"/>
      <c r="R58" s="519"/>
      <c r="S58" s="517">
        <f>SUM(S49:S50,S42,S43:S45)</f>
        <v>209099.63999999996</v>
      </c>
      <c r="T58" s="520"/>
      <c r="U58" s="521">
        <f t="shared" ref="U58:U62" si="69">S58-L58</f>
        <v>-3239.9000000000233</v>
      </c>
      <c r="V58" s="522">
        <f t="shared" ref="V58:V62" si="70">IF((L58)=0,"",(U58/L58))</f>
        <v>-1.5258109723700182E-2</v>
      </c>
      <c r="W58" s="512"/>
      <c r="X58" s="519"/>
      <c r="Y58" s="519"/>
      <c r="Z58" s="517">
        <f>SUM(Z49:Z50,Z42,Z43:Z45)</f>
        <v>216434.03999999998</v>
      </c>
      <c r="AA58" s="520"/>
      <c r="AB58" s="521">
        <f t="shared" ref="AB58:AB62" si="71">Z58-S58</f>
        <v>7334.4000000000233</v>
      </c>
      <c r="AC58" s="522">
        <f t="shared" ref="AC58:AC62" si="72">IF((S58)=0,"",(AB58/S58))</f>
        <v>3.5076100561435807E-2</v>
      </c>
      <c r="AD58" s="512"/>
      <c r="AE58" s="519"/>
      <c r="AF58" s="519"/>
      <c r="AG58" s="517">
        <f>SUM(AG49:AG50,AG42,AG43:AG45)</f>
        <v>224706.54</v>
      </c>
      <c r="AH58" s="520"/>
      <c r="AI58" s="521">
        <f t="shared" ref="AI58:AI62" si="73">AG58-Z58</f>
        <v>8272.5000000000291</v>
      </c>
      <c r="AJ58" s="522">
        <f t="shared" ref="AJ58:AJ62" si="74">IF((Z58)=0,"",(AI58/Z58))</f>
        <v>3.8221806514354348E-2</v>
      </c>
      <c r="AK58" s="512"/>
      <c r="AL58" s="519"/>
      <c r="AM58" s="519"/>
      <c r="AN58" s="517">
        <f>SUM(AN49:AN50,AN42,AN43:AN45)</f>
        <v>232698.63999999996</v>
      </c>
      <c r="AO58" s="520"/>
      <c r="AP58" s="521">
        <f t="shared" ref="AP58:AP62" si="75">AN58-AG58</f>
        <v>7992.0999999999476</v>
      </c>
      <c r="AQ58" s="522">
        <f t="shared" ref="AQ58:AQ62" si="76">IF((AG58)=0,"",(AP58/AG58))</f>
        <v>3.5566833079268396E-2</v>
      </c>
      <c r="AR58" s="523"/>
    </row>
    <row r="59" spans="1:44" ht="12.75" customHeight="1">
      <c r="A59" s="512"/>
      <c r="B59" s="524" t="s">
        <v>320</v>
      </c>
      <c r="C59" s="562"/>
      <c r="D59" s="514"/>
      <c r="E59" s="514"/>
      <c r="F59" s="515">
        <v>0.13</v>
      </c>
      <c r="G59" s="516"/>
      <c r="H59" s="525">
        <f>H58*F59</f>
        <v>27092.621399999996</v>
      </c>
      <c r="I59" s="526"/>
      <c r="J59" s="515">
        <v>0.13</v>
      </c>
      <c r="K59" s="527"/>
      <c r="L59" s="528">
        <f>L58*J59</f>
        <v>27604.140199999998</v>
      </c>
      <c r="M59" s="529"/>
      <c r="N59" s="530">
        <f t="shared" si="67"/>
        <v>511.51880000000165</v>
      </c>
      <c r="O59" s="531">
        <f t="shared" si="68"/>
        <v>1.8880373089331316E-2</v>
      </c>
      <c r="P59" s="512"/>
      <c r="Q59" s="515">
        <v>0.13</v>
      </c>
      <c r="R59" s="527"/>
      <c r="S59" s="528">
        <f>S58*Q59</f>
        <v>27182.953199999996</v>
      </c>
      <c r="T59" s="529"/>
      <c r="U59" s="530">
        <f t="shared" si="69"/>
        <v>-421.18700000000172</v>
      </c>
      <c r="V59" s="531">
        <f t="shared" si="70"/>
        <v>-1.5258109723700133E-2</v>
      </c>
      <c r="W59" s="512"/>
      <c r="X59" s="515">
        <v>0.13</v>
      </c>
      <c r="Y59" s="527"/>
      <c r="Z59" s="528">
        <f>Z58*X59</f>
        <v>28136.425199999998</v>
      </c>
      <c r="AA59" s="529"/>
      <c r="AB59" s="530">
        <f t="shared" si="71"/>
        <v>953.47200000000157</v>
      </c>
      <c r="AC59" s="531">
        <f t="shared" si="72"/>
        <v>3.5076100561435751E-2</v>
      </c>
      <c r="AD59" s="512"/>
      <c r="AE59" s="515">
        <v>0.13</v>
      </c>
      <c r="AF59" s="527"/>
      <c r="AG59" s="528">
        <f>AG58*AE59</f>
        <v>29211.850200000001</v>
      </c>
      <c r="AH59" s="529"/>
      <c r="AI59" s="530">
        <f t="shared" si="73"/>
        <v>1075.4250000000029</v>
      </c>
      <c r="AJ59" s="531">
        <f t="shared" si="74"/>
        <v>3.822180651435432E-2</v>
      </c>
      <c r="AK59" s="512"/>
      <c r="AL59" s="515">
        <v>0.13</v>
      </c>
      <c r="AM59" s="527"/>
      <c r="AN59" s="528">
        <f>AN58*AL59</f>
        <v>30250.823199999995</v>
      </c>
      <c r="AO59" s="529"/>
      <c r="AP59" s="530">
        <f t="shared" si="75"/>
        <v>1038.9729999999945</v>
      </c>
      <c r="AQ59" s="531">
        <f t="shared" si="76"/>
        <v>3.5566833079268445E-2</v>
      </c>
      <c r="AR59" s="532"/>
    </row>
    <row r="60" spans="1:44" ht="12.75" customHeight="1">
      <c r="A60" s="512"/>
      <c r="B60" s="553" t="s">
        <v>416</v>
      </c>
      <c r="C60" s="562"/>
      <c r="D60" s="514"/>
      <c r="E60" s="514"/>
      <c r="F60" s="534"/>
      <c r="G60" s="529"/>
      <c r="H60" s="525">
        <f>H58+H59</f>
        <v>235497.40139999997</v>
      </c>
      <c r="I60" s="526"/>
      <c r="J60" s="526"/>
      <c r="K60" s="526"/>
      <c r="L60" s="528">
        <f>L58+L59</f>
        <v>239943.68019999997</v>
      </c>
      <c r="M60" s="529"/>
      <c r="N60" s="530">
        <f t="shared" si="67"/>
        <v>4446.2788</v>
      </c>
      <c r="O60" s="531">
        <f t="shared" si="68"/>
        <v>1.8880373089331253E-2</v>
      </c>
      <c r="P60" s="512"/>
      <c r="Q60" s="526"/>
      <c r="R60" s="526"/>
      <c r="S60" s="528">
        <f>S58+S59</f>
        <v>236282.59319999994</v>
      </c>
      <c r="T60" s="529"/>
      <c r="U60" s="530">
        <f t="shared" si="69"/>
        <v>-3661.0870000000286</v>
      </c>
      <c r="V60" s="531">
        <f t="shared" si="70"/>
        <v>-1.5258109723700191E-2</v>
      </c>
      <c r="W60" s="512"/>
      <c r="X60" s="526"/>
      <c r="Y60" s="526"/>
      <c r="Z60" s="528">
        <f>Z58+Z59</f>
        <v>244570.46519999998</v>
      </c>
      <c r="AA60" s="529"/>
      <c r="AB60" s="530">
        <f t="shared" si="71"/>
        <v>8287.8720000000321</v>
      </c>
      <c r="AC60" s="531">
        <f t="shared" si="72"/>
        <v>3.5076100561435834E-2</v>
      </c>
      <c r="AD60" s="512"/>
      <c r="AE60" s="526"/>
      <c r="AF60" s="526"/>
      <c r="AG60" s="528">
        <f>AG58+AG59</f>
        <v>253918.39020000002</v>
      </c>
      <c r="AH60" s="529"/>
      <c r="AI60" s="530">
        <f t="shared" si="73"/>
        <v>9347.9250000000466</v>
      </c>
      <c r="AJ60" s="531">
        <f t="shared" si="74"/>
        <v>3.8221806514354403E-2</v>
      </c>
      <c r="AK60" s="512"/>
      <c r="AL60" s="526"/>
      <c r="AM60" s="526"/>
      <c r="AN60" s="528">
        <f>AN58+AN59</f>
        <v>262949.46319999994</v>
      </c>
      <c r="AO60" s="529"/>
      <c r="AP60" s="530">
        <f t="shared" si="75"/>
        <v>9031.0729999999166</v>
      </c>
      <c r="AQ60" s="531">
        <f t="shared" si="76"/>
        <v>3.5566833079268299E-2</v>
      </c>
      <c r="AR60" s="532"/>
    </row>
    <row r="61" spans="1:44" ht="15.75" customHeight="1">
      <c r="A61" s="512"/>
      <c r="B61" s="644" t="s">
        <v>277</v>
      </c>
      <c r="C61" s="623"/>
      <c r="D61" s="623"/>
      <c r="E61" s="514"/>
      <c r="F61" s="534"/>
      <c r="G61" s="529"/>
      <c r="H61" s="535">
        <f>F61*H58</f>
        <v>0</v>
      </c>
      <c r="I61" s="526"/>
      <c r="J61" s="526"/>
      <c r="K61" s="526"/>
      <c r="L61" s="536">
        <f>J61*L58</f>
        <v>0</v>
      </c>
      <c r="M61" s="529"/>
      <c r="N61" s="537">
        <f t="shared" si="67"/>
        <v>0</v>
      </c>
      <c r="O61" s="538" t="str">
        <f t="shared" si="68"/>
        <v/>
      </c>
      <c r="P61" s="512"/>
      <c r="Q61" s="526"/>
      <c r="R61" s="526"/>
      <c r="S61" s="536">
        <f>Q61*S58</f>
        <v>0</v>
      </c>
      <c r="T61" s="529"/>
      <c r="U61" s="537">
        <f t="shared" si="69"/>
        <v>0</v>
      </c>
      <c r="V61" s="538" t="str">
        <f t="shared" si="70"/>
        <v/>
      </c>
      <c r="W61" s="512"/>
      <c r="X61" s="526"/>
      <c r="Y61" s="526"/>
      <c r="Z61" s="536">
        <f>X61*Z58</f>
        <v>0</v>
      </c>
      <c r="AA61" s="529"/>
      <c r="AB61" s="537">
        <f t="shared" si="71"/>
        <v>0</v>
      </c>
      <c r="AC61" s="538" t="str">
        <f t="shared" si="72"/>
        <v/>
      </c>
      <c r="AD61" s="512"/>
      <c r="AE61" s="526"/>
      <c r="AF61" s="526"/>
      <c r="AG61" s="536">
        <f>AE61*AG58</f>
        <v>0</v>
      </c>
      <c r="AH61" s="529"/>
      <c r="AI61" s="537">
        <f t="shared" si="73"/>
        <v>0</v>
      </c>
      <c r="AJ61" s="538" t="str">
        <f t="shared" si="74"/>
        <v/>
      </c>
      <c r="AK61" s="512"/>
      <c r="AL61" s="526"/>
      <c r="AM61" s="526"/>
      <c r="AN61" s="536">
        <f>AL61*AN58</f>
        <v>0</v>
      </c>
      <c r="AO61" s="529"/>
      <c r="AP61" s="537">
        <f t="shared" si="75"/>
        <v>0</v>
      </c>
      <c r="AQ61" s="538" t="str">
        <f t="shared" si="76"/>
        <v/>
      </c>
      <c r="AR61" s="539"/>
    </row>
    <row r="62" spans="1:44" ht="13.5" customHeight="1">
      <c r="A62" s="512"/>
      <c r="B62" s="643" t="s">
        <v>325</v>
      </c>
      <c r="C62" s="615"/>
      <c r="D62" s="615"/>
      <c r="E62" s="540"/>
      <c r="F62" s="541"/>
      <c r="G62" s="542"/>
      <c r="H62" s="543">
        <f>H60-H61</f>
        <v>235497.40139999997</v>
      </c>
      <c r="I62" s="544"/>
      <c r="J62" s="544"/>
      <c r="K62" s="544"/>
      <c r="L62" s="545">
        <f>L60-L61</f>
        <v>239943.68019999997</v>
      </c>
      <c r="M62" s="546"/>
      <c r="N62" s="547">
        <f t="shared" si="67"/>
        <v>4446.2788</v>
      </c>
      <c r="O62" s="548">
        <f t="shared" si="68"/>
        <v>1.8880373089331253E-2</v>
      </c>
      <c r="P62" s="512"/>
      <c r="Q62" s="544"/>
      <c r="R62" s="544"/>
      <c r="S62" s="545">
        <f>S60-S61</f>
        <v>236282.59319999994</v>
      </c>
      <c r="T62" s="546"/>
      <c r="U62" s="547">
        <f t="shared" si="69"/>
        <v>-3661.0870000000286</v>
      </c>
      <c r="V62" s="548">
        <f t="shared" si="70"/>
        <v>-1.5258109723700191E-2</v>
      </c>
      <c r="W62" s="512"/>
      <c r="X62" s="544"/>
      <c r="Y62" s="544"/>
      <c r="Z62" s="545">
        <f>Z60-Z61</f>
        <v>244570.46519999998</v>
      </c>
      <c r="AA62" s="546"/>
      <c r="AB62" s="547">
        <f t="shared" si="71"/>
        <v>8287.8720000000321</v>
      </c>
      <c r="AC62" s="548">
        <f t="shared" si="72"/>
        <v>3.5076100561435834E-2</v>
      </c>
      <c r="AD62" s="512"/>
      <c r="AE62" s="544"/>
      <c r="AF62" s="544"/>
      <c r="AG62" s="545">
        <f>AG60-AG61</f>
        <v>253918.39020000002</v>
      </c>
      <c r="AH62" s="546"/>
      <c r="AI62" s="547">
        <f t="shared" si="73"/>
        <v>9347.9250000000466</v>
      </c>
      <c r="AJ62" s="548">
        <f t="shared" si="74"/>
        <v>3.8221806514354403E-2</v>
      </c>
      <c r="AK62" s="512"/>
      <c r="AL62" s="544"/>
      <c r="AM62" s="544"/>
      <c r="AN62" s="545">
        <f>AN60-AN61</f>
        <v>262949.46319999994</v>
      </c>
      <c r="AO62" s="546"/>
      <c r="AP62" s="547">
        <f t="shared" si="75"/>
        <v>9031.0729999999166</v>
      </c>
      <c r="AQ62" s="548">
        <f t="shared" si="76"/>
        <v>3.5566833079268299E-2</v>
      </c>
      <c r="AR62" s="549"/>
    </row>
    <row r="63" spans="1:44"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75" customHeight="1">
      <c r="A65" s="52"/>
      <c r="B65" s="307" t="s">
        <v>326</v>
      </c>
      <c r="C65" s="554"/>
      <c r="D65" s="52"/>
      <c r="E65" s="52"/>
      <c r="F65" s="477">
        <f>'Proposed Rates'!$E$307</f>
        <v>5.1000000000000004E-3</v>
      </c>
      <c r="G65" s="52"/>
      <c r="H65" s="52"/>
      <c r="I65" s="52"/>
      <c r="J65" s="477">
        <f>'Proposed Rates'!$F$307</f>
        <v>4.7999999999999996E-3</v>
      </c>
      <c r="K65" s="52"/>
      <c r="L65" s="52"/>
      <c r="M65" s="52"/>
      <c r="N65" s="52"/>
      <c r="O65" s="52"/>
      <c r="P65" s="52"/>
      <c r="Q65" s="477">
        <f>'Proposed Rates'!$G$307</f>
        <v>4.7999999999999996E-3</v>
      </c>
      <c r="R65" s="52"/>
      <c r="S65" s="52"/>
      <c r="T65" s="52"/>
      <c r="U65" s="52"/>
      <c r="V65" s="52"/>
      <c r="W65" s="52"/>
      <c r="X65" s="477">
        <f>'Proposed Rates'!$H$307</f>
        <v>4.7999999999999996E-3</v>
      </c>
      <c r="Y65" s="52"/>
      <c r="Z65" s="52"/>
      <c r="AA65" s="52"/>
      <c r="AB65" s="52"/>
      <c r="AC65" s="52"/>
      <c r="AD65" s="52"/>
      <c r="AE65" s="477">
        <f>'Proposed Rates'!$I$307</f>
        <v>4.7999999999999996E-3</v>
      </c>
      <c r="AF65" s="52"/>
      <c r="AG65" s="52"/>
      <c r="AH65" s="52"/>
      <c r="AI65" s="52"/>
      <c r="AJ65" s="52"/>
      <c r="AK65" s="52"/>
      <c r="AL65" s="477">
        <f>'Proposed Rates'!$J$307</f>
        <v>4.7999999999999996E-3</v>
      </c>
      <c r="AM65" s="52"/>
      <c r="AN65" s="52"/>
      <c r="AO65" s="52"/>
      <c r="AP65" s="52"/>
      <c r="AQ65" s="52"/>
      <c r="AR65" s="52"/>
    </row>
    <row r="66" spans="1:44"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5.75" customHeight="1">
      <c r="A67" s="478" t="s">
        <v>417</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300-000000000000}">
      <formula1>"TOU,non-TOU"</formula1>
    </dataValidation>
    <dataValidation type="list" allowBlank="1" showErrorMessage="1" sqref="E15:E28 E30:E38 E40:E41 E43:E51 E57 E63" xr:uid="{00000000-0002-0000-2300-000001000000}">
      <formula1>#REF!</formula1>
    </dataValidation>
    <dataValidation type="list" allowBlank="1" showInputMessage="1" showErrorMessage="1" prompt="Select Charge Unit - monthly, per kWh, per kW" sqref="D15:D28 D30:D38 D40:D41 D43:D51 D57 D63" xr:uid="{00000000-0002-0000-2300-000002000000}">
      <formula1>"Monthly,per kWh,per kW"</formula1>
    </dataValidation>
  </dataValidations>
  <pageMargins left="0.74803149606299213" right="0.74803149606299213" top="0.98425196850393704" bottom="0.98425196850393704"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8.2851562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28515625" customWidth="1"/>
    <col min="20" max="20" width="0.85546875" customWidth="1"/>
    <col min="21" max="21" width="9.42578125" customWidth="1"/>
    <col min="22" max="22" width="10" customWidth="1"/>
    <col min="23" max="23" width="0.4257812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8.28515625" customWidth="1"/>
    <col min="34" max="34" width="0.42578125"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1.28515625" customWidth="1"/>
    <col min="42" max="42" width="9.42578125" customWidth="1"/>
    <col min="43" max="43" width="10" customWidth="1"/>
    <col min="44" max="44" width="1.28515625" customWidth="1"/>
    <col min="45" max="45" width="10.85546875" customWidth="1"/>
    <col min="46" max="46" width="12.42578125" customWidth="1"/>
  </cols>
  <sheetData>
    <row r="1" spans="1:46"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c r="AS1" s="52"/>
    </row>
    <row r="2" spans="1:46"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c r="AS2" s="52"/>
    </row>
    <row r="3" spans="1:46"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row>
    <row r="4" spans="1:46"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row>
    <row r="5" spans="1:46"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row>
    <row r="6" spans="1:46" ht="12" customHeight="1">
      <c r="A6" s="52"/>
      <c r="B6" s="320" t="s">
        <v>298</v>
      </c>
      <c r="C6" s="52"/>
      <c r="D6" s="504" t="s">
        <v>228</v>
      </c>
      <c r="E6" s="505"/>
      <c r="F6" s="505"/>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3"/>
    </row>
    <row r="7" spans="1:46"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row>
    <row r="8" spans="1:46"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row>
    <row r="9" spans="1:46" ht="12" customHeight="1">
      <c r="A9" s="52"/>
      <c r="B9" s="382"/>
      <c r="C9" s="52"/>
      <c r="D9" s="307" t="s">
        <v>301</v>
      </c>
      <c r="E9" s="307"/>
      <c r="F9" s="385">
        <v>94</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row>
    <row r="10" spans="1:46" ht="12" customHeight="1">
      <c r="A10" s="52"/>
      <c r="B10" s="52"/>
      <c r="C10" s="52"/>
      <c r="D10" s="52"/>
      <c r="E10" s="52"/>
      <c r="F10" s="564">
        <v>0.4</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row>
    <row r="11" spans="1:46" ht="12" customHeight="1">
      <c r="A11" s="550"/>
      <c r="B11" s="52"/>
      <c r="C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86"/>
    </row>
    <row r="12" spans="1:46" ht="12" customHeight="1">
      <c r="A12" s="550"/>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565"/>
    </row>
    <row r="13" spans="1:46" ht="12" customHeight="1">
      <c r="A13" s="550"/>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87"/>
    </row>
    <row r="14" spans="1:46" ht="12" customHeight="1">
      <c r="A14" s="550"/>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87"/>
    </row>
    <row r="15" spans="1:46" ht="12" customHeight="1">
      <c r="A15" s="550"/>
      <c r="B15" s="321" t="s">
        <v>221</v>
      </c>
      <c r="C15" s="394" t="str">
        <f t="shared" ref="C15:C28" si="0">D$6&amp;"."&amp;B15</f>
        <v>Sentinel Lights.Monthly Service Charge</v>
      </c>
      <c r="D15" s="395" t="s">
        <v>310</v>
      </c>
      <c r="E15" s="321"/>
      <c r="F15" s="396">
        <f>IFERROR(VLOOKUP($C15,'Proposed Rates'!$B:$J,F$11,FALSE),0)</f>
        <v>7.02</v>
      </c>
      <c r="G15" s="414">
        <f t="shared" ref="G15:G28" si="1">IF($D15="Monthly",1,IF($D15="per KW",$F$10,IF($D15="per kWh",$F$9,0)))</f>
        <v>1</v>
      </c>
      <c r="H15" s="399">
        <f t="shared" ref="H15:H28" si="2">G15*F15</f>
        <v>7.02</v>
      </c>
      <c r="I15" s="132"/>
      <c r="J15" s="396">
        <f>IFERROR(VLOOKUP($C15,'Proposed Rates'!$B:$J,J$11,FALSE),0)</f>
        <v>8.33</v>
      </c>
      <c r="K15" s="414">
        <f t="shared" ref="K15:K28" si="3">IF($D15="Monthly",1,IF($D15="per KW",$F$10,IF($D15="per kWh",$F$9,0)))</f>
        <v>1</v>
      </c>
      <c r="L15" s="399">
        <f t="shared" ref="L15:L28" si="4">K15*J15</f>
        <v>8.33</v>
      </c>
      <c r="M15" s="132"/>
      <c r="N15" s="400">
        <f t="shared" ref="N15:N50" si="5">L15-H15</f>
        <v>1.3100000000000005</v>
      </c>
      <c r="O15" s="401">
        <f t="shared" ref="O15:O50" si="6">IF((H15)=0,"",(N15/H15))</f>
        <v>0.18660968660968669</v>
      </c>
      <c r="P15" s="52"/>
      <c r="Q15" s="396">
        <f>IFERROR(VLOOKUP($C15,'Proposed Rates'!$B:$J,Q$11,FALSE),0)</f>
        <v>8.7200000000000006</v>
      </c>
      <c r="R15" s="414">
        <f t="shared" ref="R15:R28" si="7">IF($D15="Monthly",1,IF($D15="per KW",$F$10,IF($D15="per kWh",$F$9,0)))</f>
        <v>1</v>
      </c>
      <c r="S15" s="399">
        <f t="shared" ref="S15:S28" si="8">R15*Q15</f>
        <v>8.7200000000000006</v>
      </c>
      <c r="T15" s="132"/>
      <c r="U15" s="400">
        <f t="shared" ref="U15:U50" si="9">S15-L15</f>
        <v>0.39000000000000057</v>
      </c>
      <c r="V15" s="401">
        <f t="shared" ref="V15:V50" si="10">IF((L15)=0,"",(U15/L15))</f>
        <v>4.6818727490996463E-2</v>
      </c>
      <c r="W15" s="52"/>
      <c r="X15" s="396">
        <f>IFERROR(VLOOKUP($C15,'Proposed Rates'!$B:$J,X$11,FALSE),0)</f>
        <v>9.3000000000000007</v>
      </c>
      <c r="Y15" s="414">
        <f t="shared" ref="Y15:Y28" si="11">IF($D15="Monthly",1,IF($D15="per KW",$F$10,IF($D15="per kWh",$F$9,0)))</f>
        <v>1</v>
      </c>
      <c r="Z15" s="399">
        <f t="shared" ref="Z15:Z28" si="12">Y15*X15</f>
        <v>9.3000000000000007</v>
      </c>
      <c r="AA15" s="132"/>
      <c r="AB15" s="400">
        <f t="shared" ref="AB15:AB50" si="13">Z15-S15</f>
        <v>0.58000000000000007</v>
      </c>
      <c r="AC15" s="401">
        <f t="shared" ref="AC15:AC50" si="14">IF((S15)=0,"",(AB15/S15))</f>
        <v>6.6513761467889912E-2</v>
      </c>
      <c r="AD15" s="52"/>
      <c r="AE15" s="396">
        <f>IFERROR(VLOOKUP($C15,'Proposed Rates'!$B:$J,AE$11,FALSE),0)</f>
        <v>9.61</v>
      </c>
      <c r="AF15" s="414">
        <f t="shared" ref="AF15:AF28" si="15">IF($D15="Monthly",1,IF($D15="per KW",$F$10,IF($D15="per kWh",$F$9,0)))</f>
        <v>1</v>
      </c>
      <c r="AG15" s="399">
        <f t="shared" ref="AG15:AG28" si="16">AF15*AE15</f>
        <v>9.61</v>
      </c>
      <c r="AH15" s="132"/>
      <c r="AI15" s="400">
        <f t="shared" ref="AI15:AI50" si="17">AG15-Z15</f>
        <v>0.30999999999999872</v>
      </c>
      <c r="AJ15" s="401">
        <f t="shared" ref="AJ15:AJ50" si="18">IF((Z15)=0,"",(AI15/Z15))</f>
        <v>3.3333333333333194E-2</v>
      </c>
      <c r="AK15" s="52"/>
      <c r="AL15" s="396">
        <f>IFERROR(VLOOKUP($C15,'Proposed Rates'!$B:$J,AL$11,FALSE),0)</f>
        <v>9.89</v>
      </c>
      <c r="AM15" s="414">
        <f t="shared" ref="AM15:AM28" si="19">IF($D15="Monthly",1,IF($D15="per KW",$F$10,IF($D15="per kWh",$F$9,0)))</f>
        <v>1</v>
      </c>
      <c r="AN15" s="399">
        <f t="shared" ref="AN15:AN28" si="20">AM15*AL15</f>
        <v>9.89</v>
      </c>
      <c r="AO15" s="132"/>
      <c r="AP15" s="400">
        <f t="shared" ref="AP15:AP50" si="21">AN15-AG15</f>
        <v>0.28000000000000114</v>
      </c>
      <c r="AQ15" s="401">
        <f t="shared" ref="AQ15:AQ50" si="22">IF((AG15)=0,"",(AP15/AG15))</f>
        <v>2.9136316337148922E-2</v>
      </c>
      <c r="AR15" s="402"/>
      <c r="AS15" s="402"/>
    </row>
    <row r="16" spans="1:46" ht="12" customHeight="1">
      <c r="A16" s="550"/>
      <c r="B16" s="321" t="s">
        <v>311</v>
      </c>
      <c r="C16" s="394" t="str">
        <f t="shared" si="0"/>
        <v>Sentinel Lights.Smart Meter Rate Adder</v>
      </c>
      <c r="D16" s="395" t="s">
        <v>310</v>
      </c>
      <c r="E16" s="321"/>
      <c r="F16" s="566">
        <f>IFERROR(VLOOKUP($C16,'Proposed Rates'!$B:$J,F$11,FALSE),0)</f>
        <v>0</v>
      </c>
      <c r="G16" s="414">
        <f t="shared" si="1"/>
        <v>1</v>
      </c>
      <c r="H16" s="399">
        <f t="shared" si="2"/>
        <v>0</v>
      </c>
      <c r="I16" s="132"/>
      <c r="J16" s="566">
        <f>IFERROR(VLOOKUP($C16,'Proposed Rates'!$B:$J,J$11,FALSE),0)</f>
        <v>0</v>
      </c>
      <c r="K16" s="414">
        <f t="shared" si="3"/>
        <v>1</v>
      </c>
      <c r="L16" s="399">
        <f t="shared" si="4"/>
        <v>0</v>
      </c>
      <c r="M16" s="132"/>
      <c r="N16" s="400">
        <f t="shared" si="5"/>
        <v>0</v>
      </c>
      <c r="O16" s="401" t="str">
        <f t="shared" si="6"/>
        <v/>
      </c>
      <c r="P16" s="52"/>
      <c r="Q16" s="566">
        <f>IFERROR(VLOOKUP($C16,'Proposed Rates'!$B:$J,Q$11,FALSE),0)</f>
        <v>0</v>
      </c>
      <c r="R16" s="414">
        <f t="shared" si="7"/>
        <v>1</v>
      </c>
      <c r="S16" s="399">
        <f t="shared" si="8"/>
        <v>0</v>
      </c>
      <c r="T16" s="132"/>
      <c r="U16" s="400">
        <f t="shared" si="9"/>
        <v>0</v>
      </c>
      <c r="V16" s="401" t="str">
        <f t="shared" si="10"/>
        <v/>
      </c>
      <c r="W16" s="52"/>
      <c r="X16" s="566">
        <f>IFERROR(VLOOKUP($C16,'Proposed Rates'!$B:$J,X$11,FALSE),0)</f>
        <v>0</v>
      </c>
      <c r="Y16" s="414">
        <f t="shared" si="11"/>
        <v>1</v>
      </c>
      <c r="Z16" s="399">
        <f t="shared" si="12"/>
        <v>0</v>
      </c>
      <c r="AA16" s="132"/>
      <c r="AB16" s="400">
        <f t="shared" si="13"/>
        <v>0</v>
      </c>
      <c r="AC16" s="401" t="str">
        <f t="shared" si="14"/>
        <v/>
      </c>
      <c r="AD16" s="52"/>
      <c r="AE16" s="566">
        <f>IFERROR(VLOOKUP($C16,'Proposed Rates'!$B:$J,AE$11,FALSE),0)</f>
        <v>0</v>
      </c>
      <c r="AF16" s="414">
        <f t="shared" si="15"/>
        <v>1</v>
      </c>
      <c r="AG16" s="399">
        <f t="shared" si="16"/>
        <v>0</v>
      </c>
      <c r="AH16" s="132"/>
      <c r="AI16" s="400">
        <f t="shared" si="17"/>
        <v>0</v>
      </c>
      <c r="AJ16" s="401" t="str">
        <f t="shared" si="18"/>
        <v/>
      </c>
      <c r="AK16" s="52"/>
      <c r="AL16" s="566">
        <f>IFERROR(VLOOKUP($C16,'Proposed Rates'!$B:$J,AL$11,FALSE),0)</f>
        <v>0</v>
      </c>
      <c r="AM16" s="414">
        <f t="shared" si="19"/>
        <v>1</v>
      </c>
      <c r="AN16" s="399">
        <f t="shared" si="20"/>
        <v>0</v>
      </c>
      <c r="AO16" s="132"/>
      <c r="AP16" s="400">
        <f t="shared" si="21"/>
        <v>0</v>
      </c>
      <c r="AQ16" s="401" t="str">
        <f t="shared" si="22"/>
        <v/>
      </c>
      <c r="AR16" s="402"/>
      <c r="AS16" s="402"/>
    </row>
    <row r="17" spans="1:45" ht="12" customHeight="1">
      <c r="A17" s="550"/>
      <c r="B17" s="403" t="str">
        <f>'Proposed Rates'!C115</f>
        <v>Rate Rider Calculation for PILs</v>
      </c>
      <c r="C17" s="394" t="str">
        <f t="shared" si="0"/>
        <v>Sentinel Lights.Rate Rider Calculation for PILs</v>
      </c>
      <c r="D17" s="395" t="s">
        <v>381</v>
      </c>
      <c r="E17" s="321"/>
      <c r="F17" s="566">
        <f>IFERROR(VLOOKUP($C17,'Proposed Rates'!$B:$J,F$11,FALSE),0)</f>
        <v>0</v>
      </c>
      <c r="G17" s="567">
        <f t="shared" si="1"/>
        <v>0.4</v>
      </c>
      <c r="H17" s="399">
        <f t="shared" si="2"/>
        <v>0</v>
      </c>
      <c r="I17" s="132"/>
      <c r="J17" s="566">
        <f>IFERROR(VLOOKUP($C17,'Proposed Rates'!$B:$J,J$11,FALSE),0)</f>
        <v>0</v>
      </c>
      <c r="K17" s="567">
        <f t="shared" si="3"/>
        <v>0.4</v>
      </c>
      <c r="L17" s="399">
        <f t="shared" si="4"/>
        <v>0</v>
      </c>
      <c r="M17" s="132"/>
      <c r="N17" s="400">
        <f t="shared" si="5"/>
        <v>0</v>
      </c>
      <c r="O17" s="401" t="str">
        <f t="shared" si="6"/>
        <v/>
      </c>
      <c r="P17" s="52"/>
      <c r="Q17" s="566">
        <f>IFERROR(VLOOKUP($C17,'Proposed Rates'!$B:$J,Q$11,FALSE),0)</f>
        <v>0</v>
      </c>
      <c r="R17" s="567">
        <f t="shared" si="7"/>
        <v>0.4</v>
      </c>
      <c r="S17" s="399">
        <f t="shared" si="8"/>
        <v>0</v>
      </c>
      <c r="T17" s="132"/>
      <c r="U17" s="400">
        <f t="shared" si="9"/>
        <v>0</v>
      </c>
      <c r="V17" s="401" t="str">
        <f t="shared" si="10"/>
        <v/>
      </c>
      <c r="W17" s="52"/>
      <c r="X17" s="566">
        <f>IFERROR(VLOOKUP($C17,'Proposed Rates'!$B:$J,X$11,FALSE),0)</f>
        <v>0</v>
      </c>
      <c r="Y17" s="567">
        <f t="shared" si="11"/>
        <v>0.4</v>
      </c>
      <c r="Z17" s="399">
        <f t="shared" si="12"/>
        <v>0</v>
      </c>
      <c r="AA17" s="132"/>
      <c r="AB17" s="400">
        <f t="shared" si="13"/>
        <v>0</v>
      </c>
      <c r="AC17" s="401" t="str">
        <f t="shared" si="14"/>
        <v/>
      </c>
      <c r="AD17" s="52"/>
      <c r="AE17" s="566">
        <f>IFERROR(VLOOKUP($C17,'Proposed Rates'!$B:$J,AE$11,FALSE),0)</f>
        <v>0</v>
      </c>
      <c r="AF17" s="567">
        <f t="shared" si="15"/>
        <v>0.4</v>
      </c>
      <c r="AG17" s="399">
        <f t="shared" si="16"/>
        <v>0</v>
      </c>
      <c r="AH17" s="132"/>
      <c r="AI17" s="400">
        <f t="shared" si="17"/>
        <v>0</v>
      </c>
      <c r="AJ17" s="401" t="str">
        <f t="shared" si="18"/>
        <v/>
      </c>
      <c r="AK17" s="52"/>
      <c r="AL17" s="566">
        <f>IFERROR(VLOOKUP($C17,'Proposed Rates'!$B:$J,AL$11,FALSE),0)</f>
        <v>0</v>
      </c>
      <c r="AM17" s="567">
        <f t="shared" si="19"/>
        <v>0.4</v>
      </c>
      <c r="AN17" s="399">
        <f t="shared" si="20"/>
        <v>0</v>
      </c>
      <c r="AO17" s="132"/>
      <c r="AP17" s="400">
        <f t="shared" si="21"/>
        <v>0</v>
      </c>
      <c r="AQ17" s="401" t="str">
        <f t="shared" si="22"/>
        <v/>
      </c>
      <c r="AR17" s="402"/>
      <c r="AS17" s="402"/>
    </row>
    <row r="18" spans="1:45" ht="12" customHeight="1">
      <c r="A18" s="550"/>
      <c r="B18" s="403" t="str">
        <f>'Proposed Rates'!C128</f>
        <v>Rate Rider Calculation for Generic</v>
      </c>
      <c r="C18" s="394" t="str">
        <f t="shared" si="0"/>
        <v>Sentinel Lights.Rate Rider Calculation for Generic</v>
      </c>
      <c r="D18" s="395" t="s">
        <v>381</v>
      </c>
      <c r="E18" s="321"/>
      <c r="F18" s="566">
        <f>IFERROR(VLOOKUP($C18,'Proposed Rates'!$B:$J,F$11,FALSE),0)</f>
        <v>0</v>
      </c>
      <c r="G18" s="567">
        <f t="shared" si="1"/>
        <v>0.4</v>
      </c>
      <c r="H18" s="399">
        <f t="shared" si="2"/>
        <v>0</v>
      </c>
      <c r="I18" s="132"/>
      <c r="J18" s="566">
        <f>IFERROR(VLOOKUP($C18,'Proposed Rates'!$B:$J,J$11,FALSE),0)</f>
        <v>0</v>
      </c>
      <c r="K18" s="567">
        <f t="shared" si="3"/>
        <v>0.4</v>
      </c>
      <c r="L18" s="399">
        <f t="shared" si="4"/>
        <v>0</v>
      </c>
      <c r="M18" s="132"/>
      <c r="N18" s="400">
        <f t="shared" si="5"/>
        <v>0</v>
      </c>
      <c r="O18" s="401" t="str">
        <f t="shared" si="6"/>
        <v/>
      </c>
      <c r="P18" s="52"/>
      <c r="Q18" s="566">
        <f>IFERROR(VLOOKUP($C18,'Proposed Rates'!$B:$J,Q$11,FALSE),0)</f>
        <v>0</v>
      </c>
      <c r="R18" s="567">
        <f t="shared" si="7"/>
        <v>0.4</v>
      </c>
      <c r="S18" s="399">
        <f t="shared" si="8"/>
        <v>0</v>
      </c>
      <c r="T18" s="132"/>
      <c r="U18" s="400">
        <f t="shared" si="9"/>
        <v>0</v>
      </c>
      <c r="V18" s="401" t="str">
        <f t="shared" si="10"/>
        <v/>
      </c>
      <c r="W18" s="52"/>
      <c r="X18" s="566">
        <f>IFERROR(VLOOKUP($C18,'Proposed Rates'!$B:$J,X$11,FALSE),0)</f>
        <v>0</v>
      </c>
      <c r="Y18" s="567">
        <f t="shared" si="11"/>
        <v>0.4</v>
      </c>
      <c r="Z18" s="399">
        <f t="shared" si="12"/>
        <v>0</v>
      </c>
      <c r="AA18" s="132"/>
      <c r="AB18" s="400">
        <f t="shared" si="13"/>
        <v>0</v>
      </c>
      <c r="AC18" s="401" t="str">
        <f t="shared" si="14"/>
        <v/>
      </c>
      <c r="AD18" s="52"/>
      <c r="AE18" s="566">
        <f>IFERROR(VLOOKUP($C18,'Proposed Rates'!$B:$J,AE$11,FALSE),0)</f>
        <v>0</v>
      </c>
      <c r="AF18" s="567">
        <f t="shared" si="15"/>
        <v>0.4</v>
      </c>
      <c r="AG18" s="399">
        <f t="shared" si="16"/>
        <v>0</v>
      </c>
      <c r="AH18" s="132"/>
      <c r="AI18" s="400">
        <f t="shared" si="17"/>
        <v>0</v>
      </c>
      <c r="AJ18" s="401" t="str">
        <f t="shared" si="18"/>
        <v/>
      </c>
      <c r="AK18" s="52"/>
      <c r="AL18" s="566">
        <f>IFERROR(VLOOKUP($C18,'Proposed Rates'!$B:$J,AL$11,FALSE),0)</f>
        <v>0</v>
      </c>
      <c r="AM18" s="567">
        <f t="shared" si="19"/>
        <v>0.4</v>
      </c>
      <c r="AN18" s="399">
        <f t="shared" si="20"/>
        <v>0</v>
      </c>
      <c r="AO18" s="132"/>
      <c r="AP18" s="400">
        <f t="shared" si="21"/>
        <v>0</v>
      </c>
      <c r="AQ18" s="401" t="str">
        <f t="shared" si="22"/>
        <v/>
      </c>
      <c r="AR18" s="402"/>
      <c r="AS18" s="402"/>
    </row>
    <row r="19" spans="1:45" ht="12" customHeight="1">
      <c r="A19" s="550"/>
      <c r="B19" s="321" t="s">
        <v>59</v>
      </c>
      <c r="C19" s="394" t="str">
        <f t="shared" si="0"/>
        <v>Sentinel Lights.Distribution Volumetric Rate</v>
      </c>
      <c r="D19" s="395" t="s">
        <v>381</v>
      </c>
      <c r="E19" s="321"/>
      <c r="F19" s="396">
        <f>IFERROR(VLOOKUP($C19,'Proposed Rates'!$B:$J,F$11,FALSE),0)</f>
        <v>32.929699999999997</v>
      </c>
      <c r="G19" s="567">
        <f t="shared" si="1"/>
        <v>0.4</v>
      </c>
      <c r="H19" s="399">
        <f t="shared" si="2"/>
        <v>13.17188</v>
      </c>
      <c r="I19" s="132"/>
      <c r="J19" s="396">
        <f>IFERROR(VLOOKUP($C19,'Proposed Rates'!$B:$J,J$11,FALSE),0)</f>
        <v>39.082700000000003</v>
      </c>
      <c r="K19" s="567">
        <f t="shared" si="3"/>
        <v>0.4</v>
      </c>
      <c r="L19" s="399">
        <f t="shared" si="4"/>
        <v>15.633080000000001</v>
      </c>
      <c r="M19" s="132"/>
      <c r="N19" s="400">
        <f t="shared" si="5"/>
        <v>2.4612000000000016</v>
      </c>
      <c r="O19" s="401">
        <f t="shared" si="6"/>
        <v>0.18685259811052041</v>
      </c>
      <c r="P19" s="52"/>
      <c r="Q19" s="396">
        <f>IFERROR(VLOOKUP($C19,'Proposed Rates'!$B:$J,Q$11,FALSE),0)</f>
        <v>40.930700000000002</v>
      </c>
      <c r="R19" s="567">
        <f t="shared" si="7"/>
        <v>0.4</v>
      </c>
      <c r="S19" s="399">
        <f t="shared" si="8"/>
        <v>16.37228</v>
      </c>
      <c r="T19" s="132"/>
      <c r="U19" s="400">
        <f t="shared" si="9"/>
        <v>0.73919999999999852</v>
      </c>
      <c r="V19" s="401">
        <f t="shared" si="10"/>
        <v>4.7284348317797799E-2</v>
      </c>
      <c r="W19" s="52"/>
      <c r="X19" s="396">
        <f>IFERROR(VLOOKUP($C19,'Proposed Rates'!$B:$J,X$11,FALSE),0)</f>
        <v>43.639699999999998</v>
      </c>
      <c r="Y19" s="567">
        <f t="shared" si="11"/>
        <v>0.4</v>
      </c>
      <c r="Z19" s="399">
        <f t="shared" si="12"/>
        <v>17.455880000000001</v>
      </c>
      <c r="AA19" s="132"/>
      <c r="AB19" s="400">
        <f t="shared" si="13"/>
        <v>1.0836000000000006</v>
      </c>
      <c r="AC19" s="401">
        <f t="shared" si="14"/>
        <v>6.6185039591309253E-2</v>
      </c>
      <c r="AD19" s="52"/>
      <c r="AE19" s="396">
        <f>IFERROR(VLOOKUP($C19,'Proposed Rates'!$B:$J,AE$11,FALSE),0)</f>
        <v>45.076900000000002</v>
      </c>
      <c r="AF19" s="567">
        <f t="shared" si="15"/>
        <v>0.4</v>
      </c>
      <c r="AG19" s="399">
        <f t="shared" si="16"/>
        <v>18.030760000000001</v>
      </c>
      <c r="AH19" s="132"/>
      <c r="AI19" s="400">
        <f t="shared" si="17"/>
        <v>0.57488000000000028</v>
      </c>
      <c r="AJ19" s="401">
        <f t="shared" si="18"/>
        <v>3.2933315306933837E-2</v>
      </c>
      <c r="AK19" s="52"/>
      <c r="AL19" s="396">
        <f>IFERROR(VLOOKUP($C19,'Proposed Rates'!$B:$J,AL$11,FALSE),0)</f>
        <v>46.416400000000003</v>
      </c>
      <c r="AM19" s="567">
        <f t="shared" si="19"/>
        <v>0.4</v>
      </c>
      <c r="AN19" s="399">
        <f t="shared" si="20"/>
        <v>18.566560000000003</v>
      </c>
      <c r="AO19" s="132"/>
      <c r="AP19" s="400">
        <f t="shared" si="21"/>
        <v>0.53580000000000183</v>
      </c>
      <c r="AQ19" s="401">
        <f t="shared" si="22"/>
        <v>2.9715885520078013E-2</v>
      </c>
      <c r="AR19" s="402"/>
      <c r="AS19" s="402"/>
    </row>
    <row r="20" spans="1:45" ht="12" customHeight="1">
      <c r="A20" s="550"/>
      <c r="B20" s="321" t="s">
        <v>313</v>
      </c>
      <c r="C20" s="394" t="str">
        <f t="shared" si="0"/>
        <v>Sentinel Lights.Smart Meter Disposition Rider</v>
      </c>
      <c r="D20" s="395" t="s">
        <v>312</v>
      </c>
      <c r="E20" s="321"/>
      <c r="F20" s="396">
        <f>IFERROR(VLOOKUP($C20,'Proposed Rates'!$B:$J,F$11,FALSE),0)</f>
        <v>0</v>
      </c>
      <c r="G20" s="414">
        <f t="shared" si="1"/>
        <v>94</v>
      </c>
      <c r="H20" s="399">
        <f t="shared" si="2"/>
        <v>0</v>
      </c>
      <c r="I20" s="132"/>
      <c r="J20" s="396">
        <f>IFERROR(VLOOKUP($C20,'Proposed Rates'!$B:$J,J$11,FALSE),0)</f>
        <v>0</v>
      </c>
      <c r="K20" s="414">
        <f t="shared" si="3"/>
        <v>94</v>
      </c>
      <c r="L20" s="399">
        <f t="shared" si="4"/>
        <v>0</v>
      </c>
      <c r="M20" s="132"/>
      <c r="N20" s="400">
        <f t="shared" si="5"/>
        <v>0</v>
      </c>
      <c r="O20" s="401" t="str">
        <f t="shared" si="6"/>
        <v/>
      </c>
      <c r="P20" s="52"/>
      <c r="Q20" s="396">
        <f>IFERROR(VLOOKUP($C20,'Proposed Rates'!$B:$J,Q$11,FALSE),0)</f>
        <v>0</v>
      </c>
      <c r="R20" s="414">
        <f t="shared" si="7"/>
        <v>94</v>
      </c>
      <c r="S20" s="399">
        <f t="shared" si="8"/>
        <v>0</v>
      </c>
      <c r="T20" s="132"/>
      <c r="U20" s="400">
        <f t="shared" si="9"/>
        <v>0</v>
      </c>
      <c r="V20" s="401" t="str">
        <f t="shared" si="10"/>
        <v/>
      </c>
      <c r="W20" s="52"/>
      <c r="X20" s="396">
        <f>IFERROR(VLOOKUP($C20,'Proposed Rates'!$B:$J,X$11,FALSE),0)</f>
        <v>0</v>
      </c>
      <c r="Y20" s="414">
        <f t="shared" si="11"/>
        <v>94</v>
      </c>
      <c r="Z20" s="399">
        <f t="shared" si="12"/>
        <v>0</v>
      </c>
      <c r="AA20" s="132"/>
      <c r="AB20" s="400">
        <f t="shared" si="13"/>
        <v>0</v>
      </c>
      <c r="AC20" s="401" t="str">
        <f t="shared" si="14"/>
        <v/>
      </c>
      <c r="AD20" s="52"/>
      <c r="AE20" s="396">
        <f>IFERROR(VLOOKUP($C20,'Proposed Rates'!$B:$J,AE$11,FALSE),0)</f>
        <v>0</v>
      </c>
      <c r="AF20" s="414">
        <f t="shared" si="15"/>
        <v>94</v>
      </c>
      <c r="AG20" s="399">
        <f t="shared" si="16"/>
        <v>0</v>
      </c>
      <c r="AH20" s="132"/>
      <c r="AI20" s="400">
        <f t="shared" si="17"/>
        <v>0</v>
      </c>
      <c r="AJ20" s="401" t="str">
        <f t="shared" si="18"/>
        <v/>
      </c>
      <c r="AK20" s="52"/>
      <c r="AL20" s="396">
        <f>IFERROR(VLOOKUP($C20,'Proposed Rates'!$B:$J,AL$11,FALSE),0)</f>
        <v>0</v>
      </c>
      <c r="AM20" s="414">
        <f t="shared" si="19"/>
        <v>94</v>
      </c>
      <c r="AN20" s="399">
        <f t="shared" si="20"/>
        <v>0</v>
      </c>
      <c r="AO20" s="132"/>
      <c r="AP20" s="400">
        <f t="shared" si="21"/>
        <v>0</v>
      </c>
      <c r="AQ20" s="401" t="str">
        <f t="shared" si="22"/>
        <v/>
      </c>
      <c r="AR20" s="402"/>
      <c r="AS20" s="402"/>
    </row>
    <row r="21" spans="1:45" ht="12" customHeight="1">
      <c r="A21" s="550"/>
      <c r="B21" s="321" t="s">
        <v>244</v>
      </c>
      <c r="C21" s="394" t="str">
        <f t="shared" si="0"/>
        <v>Sentinel Lights.LRAM Rate Rider</v>
      </c>
      <c r="D21" s="395" t="s">
        <v>381</v>
      </c>
      <c r="E21" s="321"/>
      <c r="F21" s="413">
        <f>'Proposed Rates'!E83+'Proposed Rates'!E96</f>
        <v>0</v>
      </c>
      <c r="G21" s="567">
        <f t="shared" si="1"/>
        <v>0.4</v>
      </c>
      <c r="H21" s="399">
        <f t="shared" si="2"/>
        <v>0</v>
      </c>
      <c r="I21" s="132"/>
      <c r="J21" s="413">
        <f>'Proposed Rates'!F83+'Proposed Rates'!F96</f>
        <v>0</v>
      </c>
      <c r="K21" s="567">
        <f t="shared" si="3"/>
        <v>0.4</v>
      </c>
      <c r="L21" s="399">
        <f t="shared" si="4"/>
        <v>0</v>
      </c>
      <c r="M21" s="132"/>
      <c r="N21" s="400">
        <f t="shared" si="5"/>
        <v>0</v>
      </c>
      <c r="O21" s="401" t="str">
        <f t="shared" si="6"/>
        <v/>
      </c>
      <c r="P21" s="52"/>
      <c r="Q21" s="413">
        <f>'Proposed Rates'!G83+'Proposed Rates'!G96</f>
        <v>0</v>
      </c>
      <c r="R21" s="567">
        <f t="shared" si="7"/>
        <v>0.4</v>
      </c>
      <c r="S21" s="399">
        <f t="shared" si="8"/>
        <v>0</v>
      </c>
      <c r="T21" s="132"/>
      <c r="U21" s="400">
        <f t="shared" si="9"/>
        <v>0</v>
      </c>
      <c r="V21" s="401" t="str">
        <f t="shared" si="10"/>
        <v/>
      </c>
      <c r="W21" s="52"/>
      <c r="X21" s="396">
        <f>IFERROR(VLOOKUP($C21,'Proposed Rates'!$B:$J,X$11,FALSE),0)</f>
        <v>0</v>
      </c>
      <c r="Y21" s="567">
        <f t="shared" si="11"/>
        <v>0.4</v>
      </c>
      <c r="Z21" s="399">
        <f t="shared" si="12"/>
        <v>0</v>
      </c>
      <c r="AA21" s="132"/>
      <c r="AB21" s="400">
        <f t="shared" si="13"/>
        <v>0</v>
      </c>
      <c r="AC21" s="401" t="str">
        <f t="shared" si="14"/>
        <v/>
      </c>
      <c r="AD21" s="52"/>
      <c r="AE21" s="396">
        <f>IFERROR(VLOOKUP($C21,'Proposed Rates'!$B:$J,AE$11,FALSE),0)</f>
        <v>0</v>
      </c>
      <c r="AF21" s="567">
        <f t="shared" si="15"/>
        <v>0.4</v>
      </c>
      <c r="AG21" s="399">
        <f t="shared" si="16"/>
        <v>0</v>
      </c>
      <c r="AH21" s="132"/>
      <c r="AI21" s="400">
        <f t="shared" si="17"/>
        <v>0</v>
      </c>
      <c r="AJ21" s="401" t="str">
        <f t="shared" si="18"/>
        <v/>
      </c>
      <c r="AK21" s="52"/>
      <c r="AL21" s="396">
        <f>IFERROR(VLOOKUP($C21,'Proposed Rates'!$B:$J,AL$11,FALSE),0)</f>
        <v>0</v>
      </c>
      <c r="AM21" s="567">
        <f t="shared" si="19"/>
        <v>0.4</v>
      </c>
      <c r="AN21" s="399">
        <f t="shared" si="20"/>
        <v>0</v>
      </c>
      <c r="AO21" s="132"/>
      <c r="AP21" s="400">
        <f t="shared" si="21"/>
        <v>0</v>
      </c>
      <c r="AQ21" s="401" t="str">
        <f t="shared" si="22"/>
        <v/>
      </c>
      <c r="AR21" s="402"/>
      <c r="AS21" s="402"/>
    </row>
    <row r="22" spans="1:45" ht="12" customHeight="1">
      <c r="A22" s="550"/>
      <c r="B22" s="403" t="s">
        <v>240</v>
      </c>
      <c r="C22" s="394" t="str">
        <f t="shared" si="0"/>
        <v>Sentinel Lights.Deferral/Variance Account Disposition Rate Rider Group 2</v>
      </c>
      <c r="D22" s="395" t="s">
        <v>381</v>
      </c>
      <c r="E22" s="321"/>
      <c r="F22" s="396">
        <f>IFERROR(VLOOKUP($C22,'Proposed Rates'!$B:$J,F$11,FALSE),0)</f>
        <v>0</v>
      </c>
      <c r="G22" s="567">
        <f t="shared" si="1"/>
        <v>0.4</v>
      </c>
      <c r="H22" s="399">
        <f t="shared" si="2"/>
        <v>0</v>
      </c>
      <c r="I22" s="132"/>
      <c r="J22" s="396">
        <f>IFERROR(VLOOKUP($C22,'Proposed Rates'!$B:$J,J$11,FALSE),0)</f>
        <v>-1.3140000000000001</v>
      </c>
      <c r="K22" s="567">
        <f t="shared" si="3"/>
        <v>0.4</v>
      </c>
      <c r="L22" s="399">
        <f t="shared" si="4"/>
        <v>-0.52560000000000007</v>
      </c>
      <c r="M22" s="132"/>
      <c r="N22" s="400">
        <f t="shared" si="5"/>
        <v>-0.52560000000000007</v>
      </c>
      <c r="O22" s="401" t="str">
        <f t="shared" si="6"/>
        <v/>
      </c>
      <c r="P22" s="52"/>
      <c r="Q22" s="396">
        <f>IFERROR(VLOOKUP($C22,'Proposed Rates'!$B:$J,Q$11,FALSE),0)</f>
        <v>0</v>
      </c>
      <c r="R22" s="567">
        <f t="shared" si="7"/>
        <v>0.4</v>
      </c>
      <c r="S22" s="399">
        <f t="shared" si="8"/>
        <v>0</v>
      </c>
      <c r="T22" s="132"/>
      <c r="U22" s="400">
        <f t="shared" si="9"/>
        <v>0.52560000000000007</v>
      </c>
      <c r="V22" s="401">
        <f t="shared" si="10"/>
        <v>-1</v>
      </c>
      <c r="W22" s="52"/>
      <c r="X22" s="396">
        <f>IFERROR(VLOOKUP($C22,'Proposed Rates'!$B:$J,X$11,FALSE),0)</f>
        <v>0</v>
      </c>
      <c r="Y22" s="567">
        <f t="shared" si="11"/>
        <v>0.4</v>
      </c>
      <c r="Z22" s="399">
        <f t="shared" si="12"/>
        <v>0</v>
      </c>
      <c r="AA22" s="132"/>
      <c r="AB22" s="400">
        <f t="shared" si="13"/>
        <v>0</v>
      </c>
      <c r="AC22" s="401" t="str">
        <f t="shared" si="14"/>
        <v/>
      </c>
      <c r="AD22" s="52"/>
      <c r="AE22" s="396">
        <f>IFERROR(VLOOKUP($C22,'Proposed Rates'!$B:$J,AE$11,FALSE),0)</f>
        <v>0</v>
      </c>
      <c r="AF22" s="567">
        <f t="shared" si="15"/>
        <v>0.4</v>
      </c>
      <c r="AG22" s="399">
        <f t="shared" si="16"/>
        <v>0</v>
      </c>
      <c r="AH22" s="132"/>
      <c r="AI22" s="400">
        <f t="shared" si="17"/>
        <v>0</v>
      </c>
      <c r="AJ22" s="401" t="str">
        <f t="shared" si="18"/>
        <v/>
      </c>
      <c r="AK22" s="52"/>
      <c r="AL22" s="396">
        <f>IFERROR(VLOOKUP($C22,'Proposed Rates'!$B:$J,AL$11,FALSE),0)</f>
        <v>0</v>
      </c>
      <c r="AM22" s="567">
        <f t="shared" si="19"/>
        <v>0.4</v>
      </c>
      <c r="AN22" s="399">
        <f t="shared" si="20"/>
        <v>0</v>
      </c>
      <c r="AO22" s="132"/>
      <c r="AP22" s="400">
        <f t="shared" si="21"/>
        <v>0</v>
      </c>
      <c r="AQ22" s="401" t="str">
        <f t="shared" si="22"/>
        <v/>
      </c>
      <c r="AR22" s="402"/>
      <c r="AS22" s="402"/>
    </row>
    <row r="23" spans="1:45" ht="12" customHeight="1">
      <c r="A23" s="550"/>
      <c r="B23" s="403"/>
      <c r="C23" s="394" t="str">
        <f t="shared" si="0"/>
        <v>Sentinel Lights.</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c r="AS23" s="402"/>
    </row>
    <row r="24" spans="1:45" ht="12" customHeight="1">
      <c r="A24" s="550"/>
      <c r="B24" s="403"/>
      <c r="C24" s="394" t="str">
        <f t="shared" si="0"/>
        <v>Sentinel Lights.</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c r="AS24" s="402"/>
    </row>
    <row r="25" spans="1:45" ht="12" customHeight="1">
      <c r="A25" s="550"/>
      <c r="B25" s="403"/>
      <c r="C25" s="394" t="str">
        <f t="shared" si="0"/>
        <v>Sentinel Lights.</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c r="AS25" s="402"/>
    </row>
    <row r="26" spans="1:45" ht="12" customHeight="1">
      <c r="A26" s="550"/>
      <c r="B26" s="403"/>
      <c r="C26" s="394" t="str">
        <f t="shared" si="0"/>
        <v>Sentinel Lights.</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c r="AS26" s="402"/>
    </row>
    <row r="27" spans="1:45" ht="12" customHeight="1">
      <c r="A27" s="550"/>
      <c r="B27" s="403"/>
      <c r="C27" s="394" t="str">
        <f t="shared" si="0"/>
        <v>Sentinel Lights.</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c r="AS27" s="402"/>
    </row>
    <row r="28" spans="1:45" ht="12" customHeight="1">
      <c r="A28" s="550"/>
      <c r="B28" s="403"/>
      <c r="C28" s="394" t="str">
        <f t="shared" si="0"/>
        <v>Sentinel Lights.</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c r="AS28" s="402"/>
    </row>
    <row r="29" spans="1:45" ht="12" customHeight="1">
      <c r="A29" s="550"/>
      <c r="B29" s="404" t="s">
        <v>314</v>
      </c>
      <c r="C29" s="405"/>
      <c r="D29" s="405"/>
      <c r="E29" s="405"/>
      <c r="F29" s="406"/>
      <c r="G29" s="499"/>
      <c r="H29" s="408">
        <f>SUM(H15:H28)</f>
        <v>20.191879999999998</v>
      </c>
      <c r="I29" s="409"/>
      <c r="J29" s="406"/>
      <c r="K29" s="499"/>
      <c r="L29" s="408">
        <f>SUM(L15:L28)</f>
        <v>23.437480000000001</v>
      </c>
      <c r="M29" s="409"/>
      <c r="N29" s="410">
        <f t="shared" si="5"/>
        <v>3.2456000000000031</v>
      </c>
      <c r="O29" s="411">
        <f t="shared" si="6"/>
        <v>0.16073788077187481</v>
      </c>
      <c r="P29" s="307"/>
      <c r="Q29" s="406"/>
      <c r="R29" s="499"/>
      <c r="S29" s="408">
        <f>SUM(S15:S28)</f>
        <v>25.092280000000002</v>
      </c>
      <c r="T29" s="409"/>
      <c r="U29" s="410">
        <f t="shared" si="9"/>
        <v>1.6548000000000016</v>
      </c>
      <c r="V29" s="411">
        <f t="shared" si="10"/>
        <v>7.0604860249480816E-2</v>
      </c>
      <c r="W29" s="307"/>
      <c r="X29" s="406"/>
      <c r="Y29" s="499"/>
      <c r="Z29" s="408">
        <f>SUM(Z15:Z28)</f>
        <v>26.755880000000001</v>
      </c>
      <c r="AA29" s="409"/>
      <c r="AB29" s="410">
        <f t="shared" si="13"/>
        <v>1.6635999999999989</v>
      </c>
      <c r="AC29" s="411">
        <f t="shared" si="14"/>
        <v>6.6299276112015276E-2</v>
      </c>
      <c r="AD29" s="307"/>
      <c r="AE29" s="406"/>
      <c r="AF29" s="499"/>
      <c r="AG29" s="408">
        <f>SUM(AG15:AG28)</f>
        <v>27.64076</v>
      </c>
      <c r="AH29" s="409"/>
      <c r="AI29" s="410">
        <f t="shared" si="17"/>
        <v>0.884879999999999</v>
      </c>
      <c r="AJ29" s="411">
        <f t="shared" si="18"/>
        <v>3.3072356431558182E-2</v>
      </c>
      <c r="AK29" s="307"/>
      <c r="AL29" s="406"/>
      <c r="AM29" s="499"/>
      <c r="AN29" s="408">
        <f>SUM(AN15:AN28)</f>
        <v>28.456560000000003</v>
      </c>
      <c r="AO29" s="409"/>
      <c r="AP29" s="410">
        <f t="shared" si="21"/>
        <v>0.81580000000000297</v>
      </c>
      <c r="AQ29" s="411">
        <f t="shared" si="22"/>
        <v>2.9514383830256584E-2</v>
      </c>
      <c r="AR29" s="412"/>
      <c r="AS29" s="412"/>
    </row>
    <row r="30" spans="1:45" ht="12" customHeight="1">
      <c r="A30" s="550"/>
      <c r="B30" s="403" t="s">
        <v>237</v>
      </c>
      <c r="C30" s="394" t="str">
        <f t="shared" ref="C30:C38" si="23">D$6&amp;"."&amp;B30</f>
        <v>Sentinel Lights.DVA Disposition Rate Rider Group 1 -2025</v>
      </c>
      <c r="D30" s="395" t="s">
        <v>381</v>
      </c>
      <c r="E30" s="321"/>
      <c r="F30" s="413">
        <f>IFERROR(VLOOKUP($C30,'Proposed Rates'!$B:$J,F$11,FALSE),0)</f>
        <v>4.1399999999999999E-2</v>
      </c>
      <c r="G30" s="567">
        <f t="shared" ref="G30:G36" si="24">IF($D30="Monthly",1,IF($D30="per KW",$F$10,IF($D30="per kWh",$F$9,0)))</f>
        <v>0.4</v>
      </c>
      <c r="H30" s="399">
        <f t="shared" ref="H30:H38" si="25">G30*F30</f>
        <v>1.6560000000000002E-2</v>
      </c>
      <c r="I30" s="132"/>
      <c r="J30" s="413">
        <f>IFERROR(VLOOKUP($C30,'Proposed Rates'!$B:$J,J$11,FALSE),0)</f>
        <v>-0.15359999999999999</v>
      </c>
      <c r="K30" s="567">
        <f t="shared" ref="K30:K36" si="26">IF($D30="Monthly",1,IF($D30="per KW",$F$10,IF($D30="per kWh",$F$9,0)))</f>
        <v>0.4</v>
      </c>
      <c r="L30" s="399">
        <f t="shared" ref="L30:L38" si="27">K30*J30</f>
        <v>-6.1439999999999995E-2</v>
      </c>
      <c r="M30" s="132"/>
      <c r="N30" s="400">
        <f t="shared" si="5"/>
        <v>-7.8E-2</v>
      </c>
      <c r="O30" s="401">
        <f t="shared" si="6"/>
        <v>-4.7101449275362315</v>
      </c>
      <c r="P30" s="52"/>
      <c r="Q30" s="413">
        <f>IFERROR(VLOOKUP($C30,'Proposed Rates'!$B:$J,Q$11,FALSE),0)</f>
        <v>0</v>
      </c>
      <c r="R30" s="567">
        <f t="shared" ref="R30:R36" si="28">IF($D30="Monthly",1,IF($D30="per KW",$F$10,IF($D30="per kWh",$F$9,0)))</f>
        <v>0.4</v>
      </c>
      <c r="S30" s="399">
        <f t="shared" ref="S30:S38" si="29">R30*Q30</f>
        <v>0</v>
      </c>
      <c r="T30" s="132"/>
      <c r="U30" s="400">
        <f t="shared" si="9"/>
        <v>6.1439999999999995E-2</v>
      </c>
      <c r="V30" s="401">
        <f t="shared" si="10"/>
        <v>-1</v>
      </c>
      <c r="W30" s="52"/>
      <c r="X30" s="413">
        <f>IFERROR(VLOOKUP($C30,'Proposed Rates'!$B:$J,X$11,FALSE),0)</f>
        <v>0</v>
      </c>
      <c r="Y30" s="567">
        <f t="shared" ref="Y30:Y36" si="30">IF($D30="Monthly",1,IF($D30="per KW",$F$10,IF($D30="per kWh",$F$9,0)))</f>
        <v>0.4</v>
      </c>
      <c r="Z30" s="399">
        <f t="shared" ref="Z30:Z38" si="31">Y30*X30</f>
        <v>0</v>
      </c>
      <c r="AA30" s="132"/>
      <c r="AB30" s="400">
        <f t="shared" si="13"/>
        <v>0</v>
      </c>
      <c r="AC30" s="401" t="str">
        <f t="shared" si="14"/>
        <v/>
      </c>
      <c r="AD30" s="52"/>
      <c r="AE30" s="413">
        <f>IFERROR(VLOOKUP($C30,'Proposed Rates'!$B:$J,AE$11,FALSE),0)</f>
        <v>0</v>
      </c>
      <c r="AF30" s="567">
        <f t="shared" ref="AF30:AF36" si="32">IF($D30="Monthly",1,IF($D30="per KW",$F$10,IF($D30="per kWh",$F$9,0)))</f>
        <v>0.4</v>
      </c>
      <c r="AG30" s="399">
        <f t="shared" ref="AG30:AG38" si="33">AF30*AE30</f>
        <v>0</v>
      </c>
      <c r="AH30" s="132"/>
      <c r="AI30" s="400">
        <f t="shared" si="17"/>
        <v>0</v>
      </c>
      <c r="AJ30" s="401" t="str">
        <f t="shared" si="18"/>
        <v/>
      </c>
      <c r="AK30" s="52"/>
      <c r="AL30" s="413">
        <f>IFERROR(VLOOKUP($C30,'Proposed Rates'!$B:$J,AL$11,FALSE),0)</f>
        <v>0</v>
      </c>
      <c r="AM30" s="567">
        <f t="shared" ref="AM30:AM36" si="34">IF($D30="Monthly",1,IF($D30="per KW",$F$10,IF($D30="per kWh",$F$9,0)))</f>
        <v>0.4</v>
      </c>
      <c r="AN30" s="399">
        <f t="shared" ref="AN30:AN38" si="35">AM30*AL30</f>
        <v>0</v>
      </c>
      <c r="AO30" s="132"/>
      <c r="AP30" s="400">
        <f t="shared" si="21"/>
        <v>0</v>
      </c>
      <c r="AQ30" s="401" t="str">
        <f t="shared" si="22"/>
        <v/>
      </c>
      <c r="AR30" s="402"/>
      <c r="AS30" s="402"/>
    </row>
    <row r="31" spans="1:45" ht="12" customHeight="1">
      <c r="A31" s="550"/>
      <c r="B31" s="403" t="s">
        <v>239</v>
      </c>
      <c r="C31" s="394" t="str">
        <f t="shared" si="23"/>
        <v>Sentinel Lights.DVA Disposition Rate Rider Group 1 - 2024</v>
      </c>
      <c r="D31" s="395" t="s">
        <v>381</v>
      </c>
      <c r="E31" s="321"/>
      <c r="F31" s="396">
        <f>IFERROR(VLOOKUP($C31,'Proposed Rates'!$B:$J,F$11,FALSE),0)</f>
        <v>0</v>
      </c>
      <c r="G31" s="567">
        <f t="shared" si="24"/>
        <v>0.4</v>
      </c>
      <c r="H31" s="399">
        <f t="shared" si="25"/>
        <v>0</v>
      </c>
      <c r="I31" s="132"/>
      <c r="J31" s="396">
        <f>IFERROR(VLOOKUP($C31,'Proposed Rates'!$B:$J,J$11,FALSE),0)</f>
        <v>0</v>
      </c>
      <c r="K31" s="567">
        <f t="shared" si="26"/>
        <v>0.4</v>
      </c>
      <c r="L31" s="399">
        <f t="shared" si="27"/>
        <v>0</v>
      </c>
      <c r="M31" s="132"/>
      <c r="N31" s="400">
        <f t="shared" si="5"/>
        <v>0</v>
      </c>
      <c r="O31" s="401" t="str">
        <f t="shared" si="6"/>
        <v/>
      </c>
      <c r="P31" s="52"/>
      <c r="Q31" s="396">
        <f>IFERROR(VLOOKUP($C31,'Proposed Rates'!$B:$J,Q$11,FALSE),0)</f>
        <v>0</v>
      </c>
      <c r="R31" s="567">
        <f t="shared" si="28"/>
        <v>0.4</v>
      </c>
      <c r="S31" s="399">
        <f t="shared" si="29"/>
        <v>0</v>
      </c>
      <c r="T31" s="132"/>
      <c r="U31" s="400">
        <f t="shared" si="9"/>
        <v>0</v>
      </c>
      <c r="V31" s="401" t="str">
        <f t="shared" si="10"/>
        <v/>
      </c>
      <c r="W31" s="52"/>
      <c r="X31" s="396">
        <f>IFERROR(VLOOKUP($C31,'Proposed Rates'!$B:$J,X$11,FALSE),0)</f>
        <v>0</v>
      </c>
      <c r="Y31" s="567">
        <f t="shared" si="30"/>
        <v>0.4</v>
      </c>
      <c r="Z31" s="399">
        <f t="shared" si="31"/>
        <v>0</v>
      </c>
      <c r="AA31" s="132"/>
      <c r="AB31" s="400">
        <f t="shared" si="13"/>
        <v>0</v>
      </c>
      <c r="AC31" s="401" t="str">
        <f t="shared" si="14"/>
        <v/>
      </c>
      <c r="AD31" s="52"/>
      <c r="AE31" s="396">
        <f>IFERROR(VLOOKUP($C31,'Proposed Rates'!$B:$J,AE$11,FALSE),0)</f>
        <v>0</v>
      </c>
      <c r="AF31" s="567">
        <f t="shared" si="32"/>
        <v>0.4</v>
      </c>
      <c r="AG31" s="399">
        <f t="shared" si="33"/>
        <v>0</v>
      </c>
      <c r="AH31" s="132"/>
      <c r="AI31" s="400">
        <f t="shared" si="17"/>
        <v>0</v>
      </c>
      <c r="AJ31" s="401" t="str">
        <f t="shared" si="18"/>
        <v/>
      </c>
      <c r="AK31" s="52"/>
      <c r="AL31" s="396">
        <f>IFERROR(VLOOKUP($C31,'Proposed Rates'!$B:$J,AL$11,FALSE),0)</f>
        <v>0</v>
      </c>
      <c r="AM31" s="567">
        <f t="shared" si="34"/>
        <v>0.4</v>
      </c>
      <c r="AN31" s="399">
        <f t="shared" si="35"/>
        <v>0</v>
      </c>
      <c r="AO31" s="132"/>
      <c r="AP31" s="400">
        <f t="shared" si="21"/>
        <v>0</v>
      </c>
      <c r="AQ31" s="401" t="str">
        <f t="shared" si="22"/>
        <v/>
      </c>
      <c r="AR31" s="402"/>
      <c r="AS31" s="402"/>
    </row>
    <row r="32" spans="1:45" ht="12" customHeight="1">
      <c r="A32" s="550"/>
      <c r="B32" s="403" t="s">
        <v>247</v>
      </c>
      <c r="C32" s="394" t="str">
        <f t="shared" si="23"/>
        <v>Sentinel Lights.CBR Class B Rate Riders</v>
      </c>
      <c r="D32" s="395" t="s">
        <v>312</v>
      </c>
      <c r="E32" s="321"/>
      <c r="F32" s="413">
        <f>IFERROR(VLOOKUP($C32,'Proposed Rates'!$B:$J,F$11,FALSE),0)</f>
        <v>2.0000000000000001E-4</v>
      </c>
      <c r="G32" s="414">
        <f t="shared" si="24"/>
        <v>94</v>
      </c>
      <c r="H32" s="399">
        <f t="shared" si="25"/>
        <v>1.8800000000000001E-2</v>
      </c>
      <c r="I32" s="484"/>
      <c r="J32" s="413">
        <f>IFERROR(VLOOKUP($C32,'Proposed Rates'!$B:$J,J$11,FALSE),0)</f>
        <v>4.0000000000000002E-4</v>
      </c>
      <c r="K32" s="414">
        <f t="shared" si="26"/>
        <v>94</v>
      </c>
      <c r="L32" s="399">
        <f t="shared" si="27"/>
        <v>3.7600000000000001E-2</v>
      </c>
      <c r="M32" s="416"/>
      <c r="N32" s="400">
        <f t="shared" si="5"/>
        <v>1.8800000000000001E-2</v>
      </c>
      <c r="O32" s="401">
        <f t="shared" si="6"/>
        <v>1</v>
      </c>
      <c r="P32" s="52"/>
      <c r="Q32" s="413">
        <f>IFERROR(VLOOKUP($C32,'Proposed Rates'!$B:$J,Q$11,FALSE),0)</f>
        <v>0</v>
      </c>
      <c r="R32" s="414">
        <f t="shared" si="28"/>
        <v>94</v>
      </c>
      <c r="S32" s="399">
        <f t="shared" si="29"/>
        <v>0</v>
      </c>
      <c r="T32" s="416"/>
      <c r="U32" s="400">
        <f t="shared" si="9"/>
        <v>-3.7600000000000001E-2</v>
      </c>
      <c r="V32" s="401">
        <f t="shared" si="10"/>
        <v>-1</v>
      </c>
      <c r="W32" s="52"/>
      <c r="X32" s="413">
        <f>IFERROR(VLOOKUP($C32,'Proposed Rates'!$B:$J,X$11,FALSE),0)</f>
        <v>0</v>
      </c>
      <c r="Y32" s="414">
        <f t="shared" si="30"/>
        <v>94</v>
      </c>
      <c r="Z32" s="399">
        <f t="shared" si="31"/>
        <v>0</v>
      </c>
      <c r="AA32" s="132"/>
      <c r="AB32" s="400">
        <f t="shared" si="13"/>
        <v>0</v>
      </c>
      <c r="AC32" s="401" t="str">
        <f t="shared" si="14"/>
        <v/>
      </c>
      <c r="AD32" s="52"/>
      <c r="AE32" s="413">
        <f>IFERROR(VLOOKUP($C32,'Proposed Rates'!$B:$J,AE$11,FALSE),0)</f>
        <v>0</v>
      </c>
      <c r="AF32" s="414">
        <f t="shared" si="32"/>
        <v>94</v>
      </c>
      <c r="AG32" s="399">
        <f t="shared" si="33"/>
        <v>0</v>
      </c>
      <c r="AH32" s="132"/>
      <c r="AI32" s="400">
        <f t="shared" si="17"/>
        <v>0</v>
      </c>
      <c r="AJ32" s="401" t="str">
        <f t="shared" si="18"/>
        <v/>
      </c>
      <c r="AK32" s="52"/>
      <c r="AL32" s="413">
        <f>IFERROR(VLOOKUP($C32,'Proposed Rates'!$B:$J,AL$11,FALSE),0)</f>
        <v>0</v>
      </c>
      <c r="AM32" s="414">
        <f t="shared" si="34"/>
        <v>94</v>
      </c>
      <c r="AN32" s="399">
        <f t="shared" si="35"/>
        <v>0</v>
      </c>
      <c r="AO32" s="416"/>
      <c r="AP32" s="400">
        <f t="shared" si="21"/>
        <v>0</v>
      </c>
      <c r="AQ32" s="401" t="str">
        <f t="shared" si="22"/>
        <v/>
      </c>
      <c r="AR32" s="402"/>
      <c r="AS32" s="402"/>
    </row>
    <row r="33" spans="1:45" ht="12" customHeight="1">
      <c r="A33" s="550"/>
      <c r="B33" s="403" t="s">
        <v>252</v>
      </c>
      <c r="C33" s="394" t="str">
        <f t="shared" si="23"/>
        <v>Sentinel Lights.GA Rate Riders</v>
      </c>
      <c r="D33" s="395" t="s">
        <v>312</v>
      </c>
      <c r="E33" s="321"/>
      <c r="F33" s="396">
        <f>IFERROR(VLOOKUP($C33,'Proposed Rates'!$B:$J,F$11,FALSE),0)</f>
        <v>0</v>
      </c>
      <c r="G33" s="414">
        <f t="shared" si="24"/>
        <v>94</v>
      </c>
      <c r="H33" s="399">
        <f t="shared" si="25"/>
        <v>0</v>
      </c>
      <c r="I33" s="484"/>
      <c r="J33" s="396">
        <f>IFERROR(VLOOKUP($C33,'Proposed Rates'!$B:$J,J$11,FALSE),0)</f>
        <v>0</v>
      </c>
      <c r="K33" s="414">
        <f t="shared" si="26"/>
        <v>94</v>
      </c>
      <c r="L33" s="399">
        <f t="shared" si="27"/>
        <v>0</v>
      </c>
      <c r="M33" s="416"/>
      <c r="N33" s="400">
        <f t="shared" si="5"/>
        <v>0</v>
      </c>
      <c r="O33" s="401" t="str">
        <f t="shared" si="6"/>
        <v/>
      </c>
      <c r="P33" s="52"/>
      <c r="Q33" s="396">
        <f>IFERROR(VLOOKUP($C33,'Proposed Rates'!$B:$J,Q$11,FALSE),0)</f>
        <v>0</v>
      </c>
      <c r="R33" s="414">
        <f t="shared" si="28"/>
        <v>94</v>
      </c>
      <c r="S33" s="399">
        <f t="shared" si="29"/>
        <v>0</v>
      </c>
      <c r="T33" s="416"/>
      <c r="U33" s="400">
        <f t="shared" si="9"/>
        <v>0</v>
      </c>
      <c r="V33" s="401" t="str">
        <f t="shared" si="10"/>
        <v/>
      </c>
      <c r="W33" s="52"/>
      <c r="X33" s="396">
        <f>IFERROR(VLOOKUP($C33,'Proposed Rates'!$B:$J,X$11,FALSE),0)</f>
        <v>0</v>
      </c>
      <c r="Y33" s="414">
        <f t="shared" si="30"/>
        <v>94</v>
      </c>
      <c r="Z33" s="399">
        <f t="shared" si="31"/>
        <v>0</v>
      </c>
      <c r="AA33" s="416"/>
      <c r="AB33" s="400">
        <f t="shared" si="13"/>
        <v>0</v>
      </c>
      <c r="AC33" s="401" t="str">
        <f t="shared" si="14"/>
        <v/>
      </c>
      <c r="AD33" s="52"/>
      <c r="AE33" s="396">
        <f>IFERROR(VLOOKUP($C33,'Proposed Rates'!$B:$J,AE$11,FALSE),0)</f>
        <v>0</v>
      </c>
      <c r="AF33" s="414">
        <f t="shared" si="32"/>
        <v>94</v>
      </c>
      <c r="AG33" s="399">
        <f t="shared" si="33"/>
        <v>0</v>
      </c>
      <c r="AH33" s="416"/>
      <c r="AI33" s="400">
        <f t="shared" si="17"/>
        <v>0</v>
      </c>
      <c r="AJ33" s="401" t="str">
        <f t="shared" si="18"/>
        <v/>
      </c>
      <c r="AK33" s="52"/>
      <c r="AL33" s="396">
        <f>IFERROR(VLOOKUP($C33,'Proposed Rates'!$B:$J,AL$11,FALSE),0)</f>
        <v>0</v>
      </c>
      <c r="AM33" s="414">
        <f t="shared" si="34"/>
        <v>94</v>
      </c>
      <c r="AN33" s="399">
        <f t="shared" si="35"/>
        <v>0</v>
      </c>
      <c r="AO33" s="416"/>
      <c r="AP33" s="400">
        <f t="shared" si="21"/>
        <v>0</v>
      </c>
      <c r="AQ33" s="401" t="str">
        <f t="shared" si="22"/>
        <v/>
      </c>
      <c r="AR33" s="402"/>
      <c r="AS33" s="402"/>
    </row>
    <row r="34" spans="1:45" ht="12" customHeight="1">
      <c r="A34" s="550"/>
      <c r="B34" s="403" t="s">
        <v>255</v>
      </c>
      <c r="C34" s="394" t="str">
        <f t="shared" si="23"/>
        <v>Sentinel Lights.Total Deferral/Variance Account Rate RidersYr2</v>
      </c>
      <c r="D34" s="395" t="s">
        <v>381</v>
      </c>
      <c r="E34" s="321"/>
      <c r="F34" s="396">
        <f>IFERROR(VLOOKUP($C34,'Proposed Rates'!$B:$J,F$11,FALSE),0)</f>
        <v>0</v>
      </c>
      <c r="G34" s="567">
        <f t="shared" si="24"/>
        <v>0.4</v>
      </c>
      <c r="H34" s="399">
        <f t="shared" si="25"/>
        <v>0</v>
      </c>
      <c r="I34" s="484"/>
      <c r="J34" s="396">
        <f>IFERROR(VLOOKUP($C34,'Proposed Rates'!$B:$J,J$11,FALSE),0)</f>
        <v>0</v>
      </c>
      <c r="K34" s="567">
        <f t="shared" si="26"/>
        <v>0.4</v>
      </c>
      <c r="L34" s="399">
        <f t="shared" si="27"/>
        <v>0</v>
      </c>
      <c r="M34" s="416"/>
      <c r="N34" s="400">
        <f t="shared" si="5"/>
        <v>0</v>
      </c>
      <c r="O34" s="401" t="str">
        <f t="shared" si="6"/>
        <v/>
      </c>
      <c r="P34" s="52"/>
      <c r="Q34" s="396">
        <f>IFERROR(VLOOKUP($C34,'Proposed Rates'!$B:$J,Q$11,FALSE),0)</f>
        <v>0</v>
      </c>
      <c r="R34" s="567">
        <f t="shared" si="28"/>
        <v>0.4</v>
      </c>
      <c r="S34" s="399">
        <f t="shared" si="29"/>
        <v>0</v>
      </c>
      <c r="T34" s="416"/>
      <c r="U34" s="400">
        <f t="shared" si="9"/>
        <v>0</v>
      </c>
      <c r="V34" s="401" t="str">
        <f t="shared" si="10"/>
        <v/>
      </c>
      <c r="W34" s="52"/>
      <c r="X34" s="396">
        <f>IFERROR(VLOOKUP($C34,'Proposed Rates'!$B:$J,X$11,FALSE),0)</f>
        <v>0</v>
      </c>
      <c r="Y34" s="567">
        <f t="shared" si="30"/>
        <v>0.4</v>
      </c>
      <c r="Z34" s="399">
        <f t="shared" si="31"/>
        <v>0</v>
      </c>
      <c r="AA34" s="416"/>
      <c r="AB34" s="400">
        <f t="shared" si="13"/>
        <v>0</v>
      </c>
      <c r="AC34" s="401" t="str">
        <f t="shared" si="14"/>
        <v/>
      </c>
      <c r="AD34" s="52"/>
      <c r="AE34" s="396">
        <f>IFERROR(VLOOKUP($C34,'Proposed Rates'!$B:$J,AE$11,FALSE),0)</f>
        <v>0</v>
      </c>
      <c r="AF34" s="567">
        <f t="shared" si="32"/>
        <v>0.4</v>
      </c>
      <c r="AG34" s="399">
        <f t="shared" si="33"/>
        <v>0</v>
      </c>
      <c r="AH34" s="416"/>
      <c r="AI34" s="400">
        <f t="shared" si="17"/>
        <v>0</v>
      </c>
      <c r="AJ34" s="401" t="str">
        <f t="shared" si="18"/>
        <v/>
      </c>
      <c r="AK34" s="52"/>
      <c r="AL34" s="396">
        <f>IFERROR(VLOOKUP($C34,'Proposed Rates'!$B:$J,AL$11,FALSE),0)</f>
        <v>0</v>
      </c>
      <c r="AM34" s="567">
        <f t="shared" si="34"/>
        <v>0.4</v>
      </c>
      <c r="AN34" s="399">
        <f t="shared" si="35"/>
        <v>0</v>
      </c>
      <c r="AO34" s="416"/>
      <c r="AP34" s="400">
        <f t="shared" si="21"/>
        <v>0</v>
      </c>
      <c r="AQ34" s="401" t="str">
        <f t="shared" si="22"/>
        <v/>
      </c>
      <c r="AR34" s="402"/>
      <c r="AS34" s="402"/>
    </row>
    <row r="35" spans="1:45" ht="12" customHeight="1">
      <c r="A35" s="550"/>
      <c r="B35" s="403" t="s">
        <v>257</v>
      </c>
      <c r="C35" s="394" t="str">
        <f t="shared" si="23"/>
        <v>Sentinel Lights.Total Deferral/Variance Account Rate Riders</v>
      </c>
      <c r="D35" s="395" t="s">
        <v>381</v>
      </c>
      <c r="E35" s="321"/>
      <c r="F35" s="396">
        <f>IFERROR(VLOOKUP($C35,'Proposed Rates'!$B:$J,F$11,FALSE),0)</f>
        <v>0</v>
      </c>
      <c r="G35" s="567">
        <f t="shared" si="24"/>
        <v>0.4</v>
      </c>
      <c r="H35" s="399">
        <f t="shared" si="25"/>
        <v>0</v>
      </c>
      <c r="I35" s="132"/>
      <c r="J35" s="396">
        <f>IFERROR(VLOOKUP($C35,'Proposed Rates'!$B:$J,J$11,FALSE),0)</f>
        <v>0</v>
      </c>
      <c r="K35" s="567">
        <f t="shared" si="26"/>
        <v>0.4</v>
      </c>
      <c r="L35" s="399">
        <f t="shared" si="27"/>
        <v>0</v>
      </c>
      <c r="M35" s="132"/>
      <c r="N35" s="400">
        <f t="shared" si="5"/>
        <v>0</v>
      </c>
      <c r="O35" s="401" t="str">
        <f t="shared" si="6"/>
        <v/>
      </c>
      <c r="P35" s="52"/>
      <c r="Q35" s="396">
        <f>IFERROR(VLOOKUP($C35,'Proposed Rates'!$B:$J,Q$11,FALSE),0)</f>
        <v>0</v>
      </c>
      <c r="R35" s="567">
        <f t="shared" si="28"/>
        <v>0.4</v>
      </c>
      <c r="S35" s="399">
        <f t="shared" si="29"/>
        <v>0</v>
      </c>
      <c r="T35" s="132"/>
      <c r="U35" s="400">
        <f t="shared" si="9"/>
        <v>0</v>
      </c>
      <c r="V35" s="401" t="str">
        <f t="shared" si="10"/>
        <v/>
      </c>
      <c r="W35" s="52"/>
      <c r="X35" s="396">
        <f>IFERROR(VLOOKUP($C35,'Proposed Rates'!$B:$J,X$11,FALSE),0)</f>
        <v>0</v>
      </c>
      <c r="Y35" s="567">
        <f t="shared" si="30"/>
        <v>0.4</v>
      </c>
      <c r="Z35" s="399">
        <f t="shared" si="31"/>
        <v>0</v>
      </c>
      <c r="AA35" s="132"/>
      <c r="AB35" s="400">
        <f t="shared" si="13"/>
        <v>0</v>
      </c>
      <c r="AC35" s="401" t="str">
        <f t="shared" si="14"/>
        <v/>
      </c>
      <c r="AD35" s="52"/>
      <c r="AE35" s="396">
        <f>IFERROR(VLOOKUP($C35,'Proposed Rates'!$B:$J,AE$11,FALSE),0)</f>
        <v>0</v>
      </c>
      <c r="AF35" s="567">
        <f t="shared" si="32"/>
        <v>0.4</v>
      </c>
      <c r="AG35" s="399">
        <f t="shared" si="33"/>
        <v>0</v>
      </c>
      <c r="AH35" s="132"/>
      <c r="AI35" s="400">
        <f t="shared" si="17"/>
        <v>0</v>
      </c>
      <c r="AJ35" s="401" t="str">
        <f t="shared" si="18"/>
        <v/>
      </c>
      <c r="AK35" s="52"/>
      <c r="AL35" s="396">
        <f>IFERROR(VLOOKUP($C35,'Proposed Rates'!$B:$J,AL$11,FALSE),0)</f>
        <v>0</v>
      </c>
      <c r="AM35" s="567">
        <f t="shared" si="34"/>
        <v>0.4</v>
      </c>
      <c r="AN35" s="399">
        <f t="shared" si="35"/>
        <v>0</v>
      </c>
      <c r="AO35" s="132"/>
      <c r="AP35" s="400">
        <f t="shared" si="21"/>
        <v>0</v>
      </c>
      <c r="AQ35" s="401" t="str">
        <f t="shared" si="22"/>
        <v/>
      </c>
      <c r="AR35" s="402"/>
      <c r="AS35" s="402"/>
    </row>
    <row r="36" spans="1:45" ht="12" customHeight="1">
      <c r="A36" s="550"/>
      <c r="B36" s="321" t="s">
        <v>273</v>
      </c>
      <c r="C36" s="394" t="str">
        <f t="shared" si="23"/>
        <v>Sentinel Lights.Low Voltage Service Charge</v>
      </c>
      <c r="D36" s="395" t="s">
        <v>381</v>
      </c>
      <c r="E36" s="321"/>
      <c r="F36" s="417">
        <f>IFERROR(VLOOKUP($C36,'Proposed Rates'!$B:$J,F$11,FALSE),0)</f>
        <v>1.532E-2</v>
      </c>
      <c r="G36" s="567">
        <f t="shared" si="24"/>
        <v>0.4</v>
      </c>
      <c r="H36" s="399">
        <f t="shared" si="25"/>
        <v>6.1280000000000006E-3</v>
      </c>
      <c r="I36" s="132"/>
      <c r="J36" s="417">
        <f>IFERROR(VLOOKUP($C36,'Proposed Rates'!$B:$J,J$11,FALSE),0)</f>
        <v>4.3499999999999997E-3</v>
      </c>
      <c r="K36" s="567">
        <f t="shared" si="26"/>
        <v>0.4</v>
      </c>
      <c r="L36" s="399">
        <f t="shared" si="27"/>
        <v>1.74E-3</v>
      </c>
      <c r="M36" s="132"/>
      <c r="N36" s="400">
        <f t="shared" si="5"/>
        <v>-4.3880000000000004E-3</v>
      </c>
      <c r="O36" s="401">
        <f t="shared" si="6"/>
        <v>-0.71605744125326365</v>
      </c>
      <c r="P36" s="52"/>
      <c r="Q36" s="417">
        <f>IFERROR(VLOOKUP($C36,'Proposed Rates'!$B:$J,Q$11,FALSE),0)</f>
        <v>4.4600000000000004E-3</v>
      </c>
      <c r="R36" s="567">
        <f t="shared" si="28"/>
        <v>0.4</v>
      </c>
      <c r="S36" s="399">
        <f t="shared" si="29"/>
        <v>1.7840000000000002E-3</v>
      </c>
      <c r="T36" s="132"/>
      <c r="U36" s="400">
        <f t="shared" si="9"/>
        <v>4.4000000000000202E-5</v>
      </c>
      <c r="V36" s="401">
        <f t="shared" si="10"/>
        <v>2.5287356321839198E-2</v>
      </c>
      <c r="W36" s="52"/>
      <c r="X36" s="417">
        <f>IFERROR(VLOOKUP($C36,'Proposed Rates'!$B:$J,X$11,FALSE),0)</f>
        <v>4.5199999999999997E-3</v>
      </c>
      <c r="Y36" s="567">
        <f t="shared" si="30"/>
        <v>0.4</v>
      </c>
      <c r="Z36" s="399">
        <f t="shared" si="31"/>
        <v>1.8079999999999999E-3</v>
      </c>
      <c r="AA36" s="132"/>
      <c r="AB36" s="400">
        <f t="shared" si="13"/>
        <v>2.3999999999999716E-5</v>
      </c>
      <c r="AC36" s="401">
        <f t="shared" si="14"/>
        <v>1.3452914798206117E-2</v>
      </c>
      <c r="AD36" s="52"/>
      <c r="AE36" s="417">
        <f>IFERROR(VLOOKUP($C36,'Proposed Rates'!$B:$J,AE$11,FALSE),0)</f>
        <v>4.5900000000000003E-3</v>
      </c>
      <c r="AF36" s="567">
        <f t="shared" si="32"/>
        <v>0.4</v>
      </c>
      <c r="AG36" s="399">
        <f t="shared" si="33"/>
        <v>1.8360000000000002E-3</v>
      </c>
      <c r="AH36" s="132"/>
      <c r="AI36" s="400">
        <f t="shared" si="17"/>
        <v>2.8000000000000247E-5</v>
      </c>
      <c r="AJ36" s="401">
        <f t="shared" si="18"/>
        <v>1.5486725663716951E-2</v>
      </c>
      <c r="AK36" s="52"/>
      <c r="AL36" s="417">
        <f>IFERROR(VLOOKUP($C36,'Proposed Rates'!$B:$J,AL$11,FALSE),0)</f>
        <v>4.6699999999999997E-3</v>
      </c>
      <c r="AM36" s="567">
        <f t="shared" si="34"/>
        <v>0.4</v>
      </c>
      <c r="AN36" s="399">
        <f t="shared" si="35"/>
        <v>1.8679999999999999E-3</v>
      </c>
      <c r="AO36" s="132"/>
      <c r="AP36" s="400">
        <f t="shared" si="21"/>
        <v>3.1999999999999694E-5</v>
      </c>
      <c r="AQ36" s="401">
        <f t="shared" si="22"/>
        <v>1.7429193899781967E-2</v>
      </c>
      <c r="AR36" s="402"/>
      <c r="AS36" s="402"/>
    </row>
    <row r="37" spans="1:45" ht="12" customHeight="1">
      <c r="A37" s="550"/>
      <c r="B37" s="321" t="s">
        <v>316</v>
      </c>
      <c r="C37" s="394" t="str">
        <f t="shared" si="23"/>
        <v>Sentinel Lights.Line Losses on Cost of Power</v>
      </c>
      <c r="D37" s="395" t="s">
        <v>312</v>
      </c>
      <c r="E37" s="321"/>
      <c r="F37" s="557">
        <f>'Res (750)'!F35</f>
        <v>0.12752000000000002</v>
      </c>
      <c r="G37" s="506">
        <f>$F$9*(1+F$65)-$F$9</f>
        <v>3.1771999999999991</v>
      </c>
      <c r="H37" s="399">
        <f t="shared" si="25"/>
        <v>0.40515654399999995</v>
      </c>
      <c r="I37" s="132"/>
      <c r="J37" s="557">
        <f>'Res (750)'!J35</f>
        <v>0.12752000000000002</v>
      </c>
      <c r="K37" s="506">
        <f>$F$9*(1+J$65)-$F$9</f>
        <v>3.1207999999999885</v>
      </c>
      <c r="L37" s="399">
        <f t="shared" si="27"/>
        <v>0.3979644159999986</v>
      </c>
      <c r="M37" s="132"/>
      <c r="N37" s="400">
        <f t="shared" si="5"/>
        <v>-7.1921280000013521E-3</v>
      </c>
      <c r="O37" s="401">
        <f t="shared" si="6"/>
        <v>-1.7751479289944166E-2</v>
      </c>
      <c r="P37" s="52"/>
      <c r="Q37" s="557">
        <f>'Res (750)'!Q35</f>
        <v>0.12752000000000002</v>
      </c>
      <c r="R37" s="506">
        <f>$F$9*(1+Q$65)-$F$9</f>
        <v>3.1207999999999885</v>
      </c>
      <c r="S37" s="399">
        <f t="shared" si="29"/>
        <v>0.3979644159999986</v>
      </c>
      <c r="T37" s="132"/>
      <c r="U37" s="400">
        <f t="shared" si="9"/>
        <v>0</v>
      </c>
      <c r="V37" s="401">
        <f t="shared" si="10"/>
        <v>0</v>
      </c>
      <c r="W37" s="52"/>
      <c r="X37" s="557">
        <f>'Res (750)'!X35</f>
        <v>0.12752000000000002</v>
      </c>
      <c r="Y37" s="506">
        <f>$F$9*(1+X$65)-$F$9</f>
        <v>3.1207999999999885</v>
      </c>
      <c r="Z37" s="399">
        <f t="shared" si="31"/>
        <v>0.3979644159999986</v>
      </c>
      <c r="AA37" s="132"/>
      <c r="AB37" s="400">
        <f t="shared" si="13"/>
        <v>0</v>
      </c>
      <c r="AC37" s="401">
        <f t="shared" si="14"/>
        <v>0</v>
      </c>
      <c r="AD37" s="52"/>
      <c r="AE37" s="557">
        <f>'Res (750)'!AE35</f>
        <v>0.12752000000000002</v>
      </c>
      <c r="AF37" s="506">
        <f>$F$9*(1+AE$65)-$F$9</f>
        <v>3.1207999999999885</v>
      </c>
      <c r="AG37" s="399">
        <f t="shared" si="33"/>
        <v>0.3979644159999986</v>
      </c>
      <c r="AH37" s="132"/>
      <c r="AI37" s="400">
        <f t="shared" si="17"/>
        <v>0</v>
      </c>
      <c r="AJ37" s="401">
        <f t="shared" si="18"/>
        <v>0</v>
      </c>
      <c r="AK37" s="52"/>
      <c r="AL37" s="557">
        <f>'Res (750)'!AL35</f>
        <v>0.12752000000000002</v>
      </c>
      <c r="AM37" s="506">
        <f>$F$9*(1+AL$65)-$F$9</f>
        <v>3.1207999999999885</v>
      </c>
      <c r="AN37" s="399">
        <f t="shared" si="35"/>
        <v>0.3979644159999986</v>
      </c>
      <c r="AO37" s="132"/>
      <c r="AP37" s="400">
        <f t="shared" si="21"/>
        <v>0</v>
      </c>
      <c r="AQ37" s="401">
        <f t="shared" si="22"/>
        <v>0</v>
      </c>
      <c r="AR37" s="402"/>
      <c r="AS37" s="402"/>
    </row>
    <row r="38" spans="1:45" ht="12" customHeight="1">
      <c r="A38" s="550"/>
      <c r="B38" s="321" t="s">
        <v>275</v>
      </c>
      <c r="C38" s="394" t="str">
        <f t="shared" si="23"/>
        <v>Sentinel Lights.Smart Meter Entity Charge</v>
      </c>
      <c r="D38" s="395" t="s">
        <v>310</v>
      </c>
      <c r="E38" s="321"/>
      <c r="F38" s="396">
        <f>IFERROR(VLOOKUP($C38,'Proposed Rates'!$B:$J,F$11,FALSE),0)</f>
        <v>0</v>
      </c>
      <c r="G38" s="414">
        <f>IF($D38="Monthly",1,IF($D38="per KW",$F$10,IF($D38="per kWh",$F$9,0)))</f>
        <v>1</v>
      </c>
      <c r="H38" s="399">
        <f t="shared" si="25"/>
        <v>0</v>
      </c>
      <c r="I38" s="132"/>
      <c r="J38" s="396">
        <f>IFERROR(VLOOKUP($C38,'Proposed Rates'!$B:$J,J$11,FALSE),0)</f>
        <v>0</v>
      </c>
      <c r="K38" s="414">
        <f>IF($D38="Monthly",1,IF($D38="per KW",$F$10,IF($D38="per kWh",$F$9,0)))</f>
        <v>1</v>
      </c>
      <c r="L38" s="399">
        <f t="shared" si="27"/>
        <v>0</v>
      </c>
      <c r="M38" s="132"/>
      <c r="N38" s="400">
        <f t="shared" si="5"/>
        <v>0</v>
      </c>
      <c r="O38" s="401" t="str">
        <f t="shared" si="6"/>
        <v/>
      </c>
      <c r="P38" s="52"/>
      <c r="Q38" s="396">
        <f>IFERROR(VLOOKUP($C38,'Proposed Rates'!$B:$J,Q$11,FALSE),0)</f>
        <v>0</v>
      </c>
      <c r="R38" s="414">
        <f>IF($D38="Monthly",1,IF($D38="per KW",$F$10,IF($D38="per kWh",$F$9,0)))</f>
        <v>1</v>
      </c>
      <c r="S38" s="399">
        <f t="shared" si="29"/>
        <v>0</v>
      </c>
      <c r="T38" s="132"/>
      <c r="U38" s="400">
        <f t="shared" si="9"/>
        <v>0</v>
      </c>
      <c r="V38" s="401" t="str">
        <f t="shared" si="10"/>
        <v/>
      </c>
      <c r="W38" s="52"/>
      <c r="X38" s="396">
        <f>IFERROR(VLOOKUP($C38,'Proposed Rates'!$B:$J,X$11,FALSE),0)</f>
        <v>0</v>
      </c>
      <c r="Y38" s="414">
        <f>IF($D38="Monthly",1,IF($D38="per KW",$F$10,IF($D38="per kWh",$F$9,0)))</f>
        <v>1</v>
      </c>
      <c r="Z38" s="399">
        <f t="shared" si="31"/>
        <v>0</v>
      </c>
      <c r="AA38" s="132"/>
      <c r="AB38" s="400">
        <f t="shared" si="13"/>
        <v>0</v>
      </c>
      <c r="AC38" s="401" t="str">
        <f t="shared" si="14"/>
        <v/>
      </c>
      <c r="AD38" s="52"/>
      <c r="AE38" s="396">
        <f>IFERROR(VLOOKUP($C38,'Proposed Rates'!$B:$J,AE$11,FALSE),0)</f>
        <v>0</v>
      </c>
      <c r="AF38" s="414">
        <f>IF($D38="Monthly",1,IF($D38="per KW",$F$10,IF($D38="per kWh",$F$9,0)))</f>
        <v>1</v>
      </c>
      <c r="AG38" s="399">
        <f t="shared" si="33"/>
        <v>0</v>
      </c>
      <c r="AH38" s="132"/>
      <c r="AI38" s="400">
        <f t="shared" si="17"/>
        <v>0</v>
      </c>
      <c r="AJ38" s="401" t="str">
        <f t="shared" si="18"/>
        <v/>
      </c>
      <c r="AK38" s="52"/>
      <c r="AL38" s="396">
        <f>IFERROR(VLOOKUP($C38,'Proposed Rates'!$B:$J,AL$11,FALSE),0)</f>
        <v>0</v>
      </c>
      <c r="AM38" s="414">
        <f>IF($D38="Monthly",1,IF($D38="per KW",$F$10,IF($D38="per kWh",$F$9,0)))</f>
        <v>1</v>
      </c>
      <c r="AN38" s="399">
        <f t="shared" si="35"/>
        <v>0</v>
      </c>
      <c r="AO38" s="132"/>
      <c r="AP38" s="400">
        <f t="shared" si="21"/>
        <v>0</v>
      </c>
      <c r="AQ38" s="401" t="str">
        <f t="shared" si="22"/>
        <v/>
      </c>
      <c r="AR38" s="402"/>
      <c r="AS38" s="402"/>
    </row>
    <row r="39" spans="1:45" ht="12" customHeight="1">
      <c r="A39" s="550"/>
      <c r="B39" s="404" t="s">
        <v>317</v>
      </c>
      <c r="C39" s="421"/>
      <c r="D39" s="421"/>
      <c r="E39" s="421"/>
      <c r="F39" s="422"/>
      <c r="G39" s="500"/>
      <c r="H39" s="408">
        <f>SUM(H30:H38)+H29</f>
        <v>20.638524543999999</v>
      </c>
      <c r="I39" s="424"/>
      <c r="J39" s="422"/>
      <c r="K39" s="500"/>
      <c r="L39" s="408">
        <f>SUM(L30:L38)+L29</f>
        <v>23.813344416</v>
      </c>
      <c r="M39" s="424"/>
      <c r="N39" s="410">
        <f t="shared" si="5"/>
        <v>3.1748198720000005</v>
      </c>
      <c r="O39" s="411">
        <f t="shared" si="6"/>
        <v>0.15382978881225207</v>
      </c>
      <c r="P39" s="52"/>
      <c r="Q39" s="422"/>
      <c r="R39" s="500"/>
      <c r="S39" s="408">
        <f>SUM(S30:S38)+S29</f>
        <v>25.492028416</v>
      </c>
      <c r="T39" s="424"/>
      <c r="U39" s="410">
        <f t="shared" si="9"/>
        <v>1.6786840000000005</v>
      </c>
      <c r="V39" s="411">
        <f t="shared" si="10"/>
        <v>7.0493416240690068E-2</v>
      </c>
      <c r="W39" s="52"/>
      <c r="X39" s="422"/>
      <c r="Y39" s="500"/>
      <c r="Z39" s="408">
        <f>SUM(Z30:Z38)+Z29</f>
        <v>27.155652415999999</v>
      </c>
      <c r="AA39" s="424"/>
      <c r="AB39" s="410">
        <f t="shared" si="13"/>
        <v>1.6636239999999987</v>
      </c>
      <c r="AC39" s="411">
        <f t="shared" si="14"/>
        <v>6.5260558040011823E-2</v>
      </c>
      <c r="AD39" s="52"/>
      <c r="AE39" s="422"/>
      <c r="AF39" s="500"/>
      <c r="AG39" s="408">
        <f>SUM(AG30:AG38)+AG29</f>
        <v>28.040560415999998</v>
      </c>
      <c r="AH39" s="424"/>
      <c r="AI39" s="410">
        <f t="shared" si="17"/>
        <v>0.88490799999999936</v>
      </c>
      <c r="AJ39" s="411">
        <f t="shared" si="18"/>
        <v>3.2586512245922516E-2</v>
      </c>
      <c r="AK39" s="52"/>
      <c r="AL39" s="422"/>
      <c r="AM39" s="500"/>
      <c r="AN39" s="408">
        <f>SUM(AN30:AN38)+AN29</f>
        <v>28.856392416000002</v>
      </c>
      <c r="AO39" s="424"/>
      <c r="AP39" s="410">
        <f t="shared" si="21"/>
        <v>0.81583200000000389</v>
      </c>
      <c r="AQ39" s="411">
        <f t="shared" si="22"/>
        <v>2.9094710943597567E-2</v>
      </c>
      <c r="AR39" s="412"/>
      <c r="AS39" s="412"/>
    </row>
    <row r="40" spans="1:45" ht="12" customHeight="1">
      <c r="A40" s="550"/>
      <c r="B40" s="132" t="s">
        <v>258</v>
      </c>
      <c r="C40" s="394" t="str">
        <f t="shared" ref="C40:C41" si="36">D$6&amp;"."&amp;B40</f>
        <v>Sentinel Lights.RTSR - Network</v>
      </c>
      <c r="D40" s="425" t="s">
        <v>381</v>
      </c>
      <c r="E40" s="132"/>
      <c r="F40" s="413">
        <f>IFERROR(VLOOKUP($C40,'Proposed Rates'!$B:$J,F$11,FALSE),0)</f>
        <v>3.5788000000000002</v>
      </c>
      <c r="G40" s="567">
        <f t="shared" ref="G40:G41" si="37">IF($D40="Monthly",1,IF($D40="per KW",$F$10,IF($D40="per kWh",$F$9,0)))</f>
        <v>0.4</v>
      </c>
      <c r="H40" s="399">
        <f t="shared" ref="H40:H41" si="38">G40*F40</f>
        <v>1.4315200000000001</v>
      </c>
      <c r="I40" s="132"/>
      <c r="J40" s="413">
        <f>IFERROR(VLOOKUP($C40,'Proposed Rates'!$B:$J,J$11,FALSE),0)</f>
        <v>0.85450000000000004</v>
      </c>
      <c r="K40" s="567">
        <f t="shared" ref="K40:K41" si="39">IF($D40="Monthly",1,IF($D40="per KW",$F$10,IF($D40="per kWh",$F$9,0)))</f>
        <v>0.4</v>
      </c>
      <c r="L40" s="399">
        <f t="shared" ref="L40:L41" si="40">K40*J40</f>
        <v>0.34180000000000005</v>
      </c>
      <c r="M40" s="132"/>
      <c r="N40" s="400">
        <f t="shared" si="5"/>
        <v>-1.08972</v>
      </c>
      <c r="O40" s="401">
        <f t="shared" si="6"/>
        <v>-0.76123281546887223</v>
      </c>
      <c r="P40" s="52"/>
      <c r="Q40" s="413">
        <f>IFERROR(VLOOKUP($C40,'Proposed Rates'!$B:$J,Q$11,FALSE),0)</f>
        <v>0.85450000000000004</v>
      </c>
      <c r="R40" s="567">
        <f t="shared" ref="R40:R41" si="41">IF($D40="Monthly",1,IF($D40="per KW",$F$10,IF($D40="per kWh",$F$9,0)))</f>
        <v>0.4</v>
      </c>
      <c r="S40" s="399">
        <f t="shared" ref="S40:S41" si="42">R40*Q40</f>
        <v>0.34180000000000005</v>
      </c>
      <c r="T40" s="132"/>
      <c r="U40" s="400">
        <f t="shared" si="9"/>
        <v>0</v>
      </c>
      <c r="V40" s="401">
        <f t="shared" si="10"/>
        <v>0</v>
      </c>
      <c r="W40" s="52"/>
      <c r="X40" s="413">
        <f>IFERROR(VLOOKUP($C40,'Proposed Rates'!$B:$J,X$11,FALSE),0)</f>
        <v>0.85450000000000004</v>
      </c>
      <c r="Y40" s="567">
        <f t="shared" ref="Y40:Y41" si="43">IF($D40="Monthly",1,IF($D40="per KW",$F$10,IF($D40="per kWh",$F$9,0)))</f>
        <v>0.4</v>
      </c>
      <c r="Z40" s="399">
        <f t="shared" ref="Z40:Z41" si="44">Y40*X40</f>
        <v>0.34180000000000005</v>
      </c>
      <c r="AA40" s="132"/>
      <c r="AB40" s="400">
        <f t="shared" si="13"/>
        <v>0</v>
      </c>
      <c r="AC40" s="401">
        <f t="shared" si="14"/>
        <v>0</v>
      </c>
      <c r="AD40" s="52"/>
      <c r="AE40" s="413">
        <f>IFERROR(VLOOKUP($C40,'Proposed Rates'!$B:$J,AE$11,FALSE),0)</f>
        <v>0.85450000000000004</v>
      </c>
      <c r="AF40" s="567">
        <f t="shared" ref="AF40:AF41" si="45">IF($D40="Monthly",1,IF($D40="per KW",$F$10,IF($D40="per kWh",$F$9,0)))</f>
        <v>0.4</v>
      </c>
      <c r="AG40" s="399">
        <f t="shared" ref="AG40:AG41" si="46">AF40*AE40</f>
        <v>0.34180000000000005</v>
      </c>
      <c r="AH40" s="132"/>
      <c r="AI40" s="400">
        <f t="shared" si="17"/>
        <v>0</v>
      </c>
      <c r="AJ40" s="401">
        <f t="shared" si="18"/>
        <v>0</v>
      </c>
      <c r="AK40" s="52"/>
      <c r="AL40" s="413">
        <f>IFERROR(VLOOKUP($C40,'Proposed Rates'!$B:$J,AL$11,FALSE),0)</f>
        <v>0.85450000000000004</v>
      </c>
      <c r="AM40" s="567">
        <f t="shared" ref="AM40:AM41" si="47">IF($D40="Monthly",1,IF($D40="per KW",$F$10,IF($D40="per kWh",$F$9,0)))</f>
        <v>0.4</v>
      </c>
      <c r="AN40" s="399">
        <f t="shared" ref="AN40:AN41" si="48">AM40*AL40</f>
        <v>0.34180000000000005</v>
      </c>
      <c r="AO40" s="132"/>
      <c r="AP40" s="400">
        <f t="shared" si="21"/>
        <v>0</v>
      </c>
      <c r="AQ40" s="401">
        <f t="shared" si="22"/>
        <v>0</v>
      </c>
      <c r="AR40" s="402"/>
      <c r="AS40" s="402"/>
    </row>
    <row r="41" spans="1:45" ht="12" customHeight="1">
      <c r="A41" s="550"/>
      <c r="B41" s="132" t="s">
        <v>261</v>
      </c>
      <c r="C41" s="394" t="str">
        <f t="shared" si="36"/>
        <v>Sentinel Lights.RTSR - Line and Transformation Connection</v>
      </c>
      <c r="D41" s="425" t="s">
        <v>381</v>
      </c>
      <c r="E41" s="132"/>
      <c r="F41" s="413">
        <f>IFERROR(VLOOKUP($C41,'Proposed Rates'!$B:$J,F$11,FALSE),0)</f>
        <v>2.0941999999999998</v>
      </c>
      <c r="G41" s="567">
        <f t="shared" si="37"/>
        <v>0.4</v>
      </c>
      <c r="H41" s="399">
        <f t="shared" si="38"/>
        <v>0.83767999999999998</v>
      </c>
      <c r="I41" s="132"/>
      <c r="J41" s="413">
        <f>IFERROR(VLOOKUP($C41,'Proposed Rates'!$B:$J,J$11,FALSE),0)</f>
        <v>0.48370000000000002</v>
      </c>
      <c r="K41" s="567">
        <f t="shared" si="39"/>
        <v>0.4</v>
      </c>
      <c r="L41" s="399">
        <f t="shared" si="40"/>
        <v>0.19348000000000001</v>
      </c>
      <c r="M41" s="132"/>
      <c r="N41" s="400">
        <f t="shared" si="5"/>
        <v>-0.64419999999999999</v>
      </c>
      <c r="O41" s="401">
        <f t="shared" si="6"/>
        <v>-0.76902874606054816</v>
      </c>
      <c r="P41" s="52"/>
      <c r="Q41" s="413">
        <f>IFERROR(VLOOKUP($C41,'Proposed Rates'!$B:$J,Q$11,FALSE),0)</f>
        <v>0.48370000000000002</v>
      </c>
      <c r="R41" s="567">
        <f t="shared" si="41"/>
        <v>0.4</v>
      </c>
      <c r="S41" s="399">
        <f t="shared" si="42"/>
        <v>0.19348000000000001</v>
      </c>
      <c r="T41" s="132"/>
      <c r="U41" s="400">
        <f t="shared" si="9"/>
        <v>0</v>
      </c>
      <c r="V41" s="401">
        <f t="shared" si="10"/>
        <v>0</v>
      </c>
      <c r="W41" s="52"/>
      <c r="X41" s="413">
        <f>IFERROR(VLOOKUP($C41,'Proposed Rates'!$B:$J,X$11,FALSE),0)</f>
        <v>0.48370000000000002</v>
      </c>
      <c r="Y41" s="567">
        <f t="shared" si="43"/>
        <v>0.4</v>
      </c>
      <c r="Z41" s="399">
        <f t="shared" si="44"/>
        <v>0.19348000000000001</v>
      </c>
      <c r="AA41" s="132"/>
      <c r="AB41" s="400">
        <f t="shared" si="13"/>
        <v>0</v>
      </c>
      <c r="AC41" s="401">
        <f t="shared" si="14"/>
        <v>0</v>
      </c>
      <c r="AD41" s="52"/>
      <c r="AE41" s="413">
        <f>IFERROR(VLOOKUP($C41,'Proposed Rates'!$B:$J,AE$11,FALSE),0)</f>
        <v>0.48370000000000002</v>
      </c>
      <c r="AF41" s="567">
        <f t="shared" si="45"/>
        <v>0.4</v>
      </c>
      <c r="AG41" s="399">
        <f t="shared" si="46"/>
        <v>0.19348000000000001</v>
      </c>
      <c r="AH41" s="132"/>
      <c r="AI41" s="400">
        <f t="shared" si="17"/>
        <v>0</v>
      </c>
      <c r="AJ41" s="401">
        <f t="shared" si="18"/>
        <v>0</v>
      </c>
      <c r="AK41" s="52"/>
      <c r="AL41" s="413">
        <f>IFERROR(VLOOKUP($C41,'Proposed Rates'!$B:$J,AL$11,FALSE),0)</f>
        <v>0.48370000000000002</v>
      </c>
      <c r="AM41" s="567">
        <f t="shared" si="47"/>
        <v>0.4</v>
      </c>
      <c r="AN41" s="399">
        <f t="shared" si="48"/>
        <v>0.19348000000000001</v>
      </c>
      <c r="AO41" s="132"/>
      <c r="AP41" s="400">
        <f t="shared" si="21"/>
        <v>0</v>
      </c>
      <c r="AQ41" s="401">
        <f t="shared" si="22"/>
        <v>0</v>
      </c>
      <c r="AR41" s="402"/>
      <c r="AS41" s="402"/>
    </row>
    <row r="42" spans="1:45" ht="12" customHeight="1">
      <c r="A42" s="550"/>
      <c r="B42" s="404" t="s">
        <v>318</v>
      </c>
      <c r="C42" s="426"/>
      <c r="D42" s="426"/>
      <c r="E42" s="426"/>
      <c r="F42" s="427"/>
      <c r="G42" s="500"/>
      <c r="H42" s="408">
        <f>SUM(H39:H41)</f>
        <v>22.907724543999997</v>
      </c>
      <c r="I42" s="409"/>
      <c r="J42" s="427"/>
      <c r="K42" s="500"/>
      <c r="L42" s="408">
        <f>SUM(L39:L41)</f>
        <v>24.348624416</v>
      </c>
      <c r="M42" s="409"/>
      <c r="N42" s="410">
        <f t="shared" si="5"/>
        <v>1.4408998720000028</v>
      </c>
      <c r="O42" s="411">
        <f t="shared" si="6"/>
        <v>6.2900174534244777E-2</v>
      </c>
      <c r="P42" s="52"/>
      <c r="Q42" s="427"/>
      <c r="R42" s="500"/>
      <c r="S42" s="408">
        <f>SUM(S39:S41)</f>
        <v>26.027308416</v>
      </c>
      <c r="T42" s="409"/>
      <c r="U42" s="410">
        <f t="shared" si="9"/>
        <v>1.6786840000000005</v>
      </c>
      <c r="V42" s="411">
        <f t="shared" si="10"/>
        <v>6.8943689438853942E-2</v>
      </c>
      <c r="W42" s="52"/>
      <c r="X42" s="427"/>
      <c r="Y42" s="500"/>
      <c r="Z42" s="408">
        <f>SUM(Z39:Z41)</f>
        <v>27.690932415999999</v>
      </c>
      <c r="AA42" s="409"/>
      <c r="AB42" s="410">
        <f t="shared" si="13"/>
        <v>1.6636239999999987</v>
      </c>
      <c r="AC42" s="411">
        <f t="shared" si="14"/>
        <v>6.3918403448022465E-2</v>
      </c>
      <c r="AD42" s="52"/>
      <c r="AE42" s="427"/>
      <c r="AF42" s="500"/>
      <c r="AG42" s="408">
        <f>SUM(AG39:AG41)</f>
        <v>28.575840415999998</v>
      </c>
      <c r="AH42" s="409"/>
      <c r="AI42" s="410">
        <f t="shared" si="17"/>
        <v>0.88490799999999936</v>
      </c>
      <c r="AJ42" s="411">
        <f t="shared" si="18"/>
        <v>3.1956598163834088E-2</v>
      </c>
      <c r="AK42" s="52"/>
      <c r="AL42" s="427"/>
      <c r="AM42" s="500"/>
      <c r="AN42" s="408">
        <f>SUM(AN39:AN41)</f>
        <v>29.391672416000002</v>
      </c>
      <c r="AO42" s="409"/>
      <c r="AP42" s="410">
        <f t="shared" si="21"/>
        <v>0.81583200000000389</v>
      </c>
      <c r="AQ42" s="411">
        <f t="shared" si="22"/>
        <v>2.854971150885937E-2</v>
      </c>
      <c r="AR42" s="412"/>
      <c r="AS42" s="412"/>
    </row>
    <row r="43" spans="1:45" ht="12" customHeight="1">
      <c r="A43" s="550"/>
      <c r="B43" s="321" t="s">
        <v>262</v>
      </c>
      <c r="C43" s="394" t="str">
        <f t="shared" ref="C43:C45" si="49">D$6&amp;"."&amp;B43</f>
        <v>Sentinel Lights.Wholesale Market Service Charge (WMSC)</v>
      </c>
      <c r="D43" s="395" t="s">
        <v>312</v>
      </c>
      <c r="E43" s="321"/>
      <c r="F43" s="413">
        <f>IFERROR(VLOOKUP($C43,'Proposed Rates'!$B:$J,F$11,FALSE),0)</f>
        <v>4.4999999999999997E-3</v>
      </c>
      <c r="G43" s="507">
        <f t="shared" ref="G43:G44" si="50">$F$9+G$37</f>
        <v>97.177199999999999</v>
      </c>
      <c r="H43" s="399">
        <f t="shared" ref="H43:H50" si="51">G43*F43</f>
        <v>0.43729739999999995</v>
      </c>
      <c r="I43" s="132"/>
      <c r="J43" s="413">
        <f>IFERROR(VLOOKUP($C43,'Proposed Rates'!$B:$J,J$11,FALSE),0)</f>
        <v>4.7000000000000002E-3</v>
      </c>
      <c r="K43" s="507">
        <f t="shared" ref="K43:K44" si="52">$F$9+K$37</f>
        <v>97.120799999999988</v>
      </c>
      <c r="L43" s="399">
        <f t="shared" ref="L43:L50" si="53">K43*J43</f>
        <v>0.45646775999999994</v>
      </c>
      <c r="M43" s="132"/>
      <c r="N43" s="400">
        <f t="shared" si="5"/>
        <v>1.9170359999999997E-2</v>
      </c>
      <c r="O43" s="401">
        <f t="shared" si="6"/>
        <v>4.3838266589282256E-2</v>
      </c>
      <c r="P43" s="52"/>
      <c r="Q43" s="413">
        <f>IFERROR(VLOOKUP($C43,'Proposed Rates'!$B:$J,Q$11,FALSE),0)</f>
        <v>4.7000000000000002E-3</v>
      </c>
      <c r="R43" s="507">
        <f t="shared" ref="R43:R44" si="54">$F$9+R$37</f>
        <v>97.120799999999988</v>
      </c>
      <c r="S43" s="399">
        <f t="shared" ref="S43:S50" si="55">R43*Q43</f>
        <v>0.45646775999999994</v>
      </c>
      <c r="T43" s="132"/>
      <c r="U43" s="400">
        <f t="shared" si="9"/>
        <v>0</v>
      </c>
      <c r="V43" s="401">
        <f t="shared" si="10"/>
        <v>0</v>
      </c>
      <c r="W43" s="52"/>
      <c r="X43" s="413">
        <f>IFERROR(VLOOKUP($C43,'Proposed Rates'!$B:$J,X$11,FALSE),0)</f>
        <v>4.7000000000000002E-3</v>
      </c>
      <c r="Y43" s="507">
        <f t="shared" ref="Y43:Y44" si="56">$F$9+Y$37</f>
        <v>97.120799999999988</v>
      </c>
      <c r="Z43" s="399">
        <f t="shared" ref="Z43:Z50" si="57">Y43*X43</f>
        <v>0.45646775999999994</v>
      </c>
      <c r="AA43" s="132"/>
      <c r="AB43" s="400">
        <f t="shared" si="13"/>
        <v>0</v>
      </c>
      <c r="AC43" s="401">
        <f t="shared" si="14"/>
        <v>0</v>
      </c>
      <c r="AD43" s="52"/>
      <c r="AE43" s="413">
        <f>IFERROR(VLOOKUP($C43,'Proposed Rates'!$B:$J,AE$11,FALSE),0)</f>
        <v>4.7000000000000002E-3</v>
      </c>
      <c r="AF43" s="507">
        <f t="shared" ref="AF43:AF44" si="58">$F$9+AF$37</f>
        <v>97.120799999999988</v>
      </c>
      <c r="AG43" s="399">
        <f t="shared" ref="AG43:AG50" si="59">AF43*AE43</f>
        <v>0.45646775999999994</v>
      </c>
      <c r="AH43" s="132"/>
      <c r="AI43" s="400">
        <f t="shared" si="17"/>
        <v>0</v>
      </c>
      <c r="AJ43" s="401">
        <f t="shared" si="18"/>
        <v>0</v>
      </c>
      <c r="AK43" s="52"/>
      <c r="AL43" s="413">
        <f>IFERROR(VLOOKUP($C43,'Proposed Rates'!$B:$J,AL$11,FALSE),0)</f>
        <v>4.7000000000000002E-3</v>
      </c>
      <c r="AM43" s="507">
        <f t="shared" ref="AM43:AM44" si="60">$F$9+AM$37</f>
        <v>97.120799999999988</v>
      </c>
      <c r="AN43" s="399">
        <f t="shared" ref="AN43:AN50" si="61">AM43*AL43</f>
        <v>0.45646775999999994</v>
      </c>
      <c r="AO43" s="132"/>
      <c r="AP43" s="400">
        <f t="shared" si="21"/>
        <v>0</v>
      </c>
      <c r="AQ43" s="401">
        <f t="shared" si="22"/>
        <v>0</v>
      </c>
      <c r="AR43" s="402"/>
      <c r="AS43" s="402"/>
    </row>
    <row r="44" spans="1:45" ht="12" customHeight="1">
      <c r="A44" s="550"/>
      <c r="B44" s="321" t="s">
        <v>263</v>
      </c>
      <c r="C44" s="394" t="str">
        <f t="shared" si="49"/>
        <v>Sentinel Lights.Rural and Remote Rate Protection (RRRP)</v>
      </c>
      <c r="D44" s="395" t="s">
        <v>312</v>
      </c>
      <c r="E44" s="321"/>
      <c r="F44" s="413">
        <f>IFERROR(VLOOKUP($C44,'Proposed Rates'!$B:$J,F$11,FALSE),0)</f>
        <v>1.5E-3</v>
      </c>
      <c r="G44" s="507">
        <f t="shared" si="50"/>
        <v>97.177199999999999</v>
      </c>
      <c r="H44" s="399">
        <f t="shared" si="51"/>
        <v>0.1457658</v>
      </c>
      <c r="I44" s="132"/>
      <c r="J44" s="413">
        <f>IFERROR(VLOOKUP($C44,'Proposed Rates'!$B:$J,J$11,FALSE),0)</f>
        <v>5.9999999999999995E-4</v>
      </c>
      <c r="K44" s="507">
        <f t="shared" si="52"/>
        <v>97.120799999999988</v>
      </c>
      <c r="L44" s="399">
        <f t="shared" si="53"/>
        <v>5.8272479999999988E-2</v>
      </c>
      <c r="M44" s="132"/>
      <c r="N44" s="400">
        <f t="shared" si="5"/>
        <v>-8.7493320000000013E-2</v>
      </c>
      <c r="O44" s="401">
        <f t="shared" si="6"/>
        <v>-0.600232153221126</v>
      </c>
      <c r="P44" s="52"/>
      <c r="Q44" s="413">
        <f>IFERROR(VLOOKUP($C44,'Proposed Rates'!$B:$J,Q$11,FALSE),0)</f>
        <v>5.9999999999999995E-4</v>
      </c>
      <c r="R44" s="507">
        <f t="shared" si="54"/>
        <v>97.120799999999988</v>
      </c>
      <c r="S44" s="399">
        <f t="shared" si="55"/>
        <v>5.8272479999999988E-2</v>
      </c>
      <c r="T44" s="132"/>
      <c r="U44" s="400">
        <f t="shared" si="9"/>
        <v>0</v>
      </c>
      <c r="V44" s="401">
        <f t="shared" si="10"/>
        <v>0</v>
      </c>
      <c r="W44" s="52"/>
      <c r="X44" s="413">
        <f>IFERROR(VLOOKUP($C44,'Proposed Rates'!$B:$J,X$11,FALSE),0)</f>
        <v>5.9999999999999995E-4</v>
      </c>
      <c r="Y44" s="507">
        <f t="shared" si="56"/>
        <v>97.120799999999988</v>
      </c>
      <c r="Z44" s="399">
        <f t="shared" si="57"/>
        <v>5.8272479999999988E-2</v>
      </c>
      <c r="AA44" s="132"/>
      <c r="AB44" s="400">
        <f t="shared" si="13"/>
        <v>0</v>
      </c>
      <c r="AC44" s="401">
        <f t="shared" si="14"/>
        <v>0</v>
      </c>
      <c r="AD44" s="52"/>
      <c r="AE44" s="413">
        <f>IFERROR(VLOOKUP($C44,'Proposed Rates'!$B:$J,AE$11,FALSE),0)</f>
        <v>5.9999999999999995E-4</v>
      </c>
      <c r="AF44" s="507">
        <f t="shared" si="58"/>
        <v>97.120799999999988</v>
      </c>
      <c r="AG44" s="399">
        <f t="shared" si="59"/>
        <v>5.8272479999999988E-2</v>
      </c>
      <c r="AH44" s="132"/>
      <c r="AI44" s="400">
        <f t="shared" si="17"/>
        <v>0</v>
      </c>
      <c r="AJ44" s="401">
        <f t="shared" si="18"/>
        <v>0</v>
      </c>
      <c r="AK44" s="52"/>
      <c r="AL44" s="413">
        <f>IFERROR(VLOOKUP($C44,'Proposed Rates'!$B:$J,AL$11,FALSE),0)</f>
        <v>5.9999999999999995E-4</v>
      </c>
      <c r="AM44" s="507">
        <f t="shared" si="60"/>
        <v>97.120799999999988</v>
      </c>
      <c r="AN44" s="399">
        <f t="shared" si="61"/>
        <v>5.8272479999999988E-2</v>
      </c>
      <c r="AO44" s="132"/>
      <c r="AP44" s="400">
        <f t="shared" si="21"/>
        <v>0</v>
      </c>
      <c r="AQ44" s="401">
        <f t="shared" si="22"/>
        <v>0</v>
      </c>
      <c r="AR44" s="402"/>
      <c r="AS44" s="402"/>
    </row>
    <row r="45" spans="1:45" ht="12" customHeight="1">
      <c r="A45" s="550"/>
      <c r="B45" s="321" t="s">
        <v>264</v>
      </c>
      <c r="C45" s="394" t="str">
        <f t="shared" si="49"/>
        <v>Sentinel Lights.Standard Supply Service Charge</v>
      </c>
      <c r="D45" s="395" t="s">
        <v>310</v>
      </c>
      <c r="E45" s="321"/>
      <c r="F45" s="396">
        <f>IFERROR(VLOOKUP($C45,'Proposed Rates'!$B:$J,F$11,FALSE),0)</f>
        <v>0.25</v>
      </c>
      <c r="G45" s="414">
        <f>IF($D45="Monthly",1,IF($D45="per KW",$F$10,IF($D45="per kWh",$F$9,0)))</f>
        <v>1</v>
      </c>
      <c r="H45" s="399">
        <f t="shared" si="51"/>
        <v>0.25</v>
      </c>
      <c r="I45" s="132"/>
      <c r="J45" s="396">
        <f>IFERROR(VLOOKUP($C45,'Proposed Rates'!$B:$J,J$11,FALSE),0)</f>
        <v>0.25</v>
      </c>
      <c r="K45" s="414">
        <f>IF($D45="Monthly",1,IF($D45="per KW",$F$10,IF($D45="per kWh",$F$9,0)))</f>
        <v>1</v>
      </c>
      <c r="L45" s="399">
        <f t="shared" si="53"/>
        <v>0.25</v>
      </c>
      <c r="M45" s="132"/>
      <c r="N45" s="400">
        <f t="shared" si="5"/>
        <v>0</v>
      </c>
      <c r="O45" s="401">
        <f t="shared" si="6"/>
        <v>0</v>
      </c>
      <c r="P45" s="52"/>
      <c r="Q45" s="396">
        <f>IFERROR(VLOOKUP($C45,'Proposed Rates'!$B:$J,Q$11,FALSE),0)</f>
        <v>0.25</v>
      </c>
      <c r="R45" s="414">
        <f>IF($D45="Monthly",1,IF($D45="per KW",$F$10,IF($D45="per kWh",$F$9,0)))</f>
        <v>1</v>
      </c>
      <c r="S45" s="399">
        <f t="shared" si="55"/>
        <v>0.25</v>
      </c>
      <c r="T45" s="132"/>
      <c r="U45" s="400">
        <f t="shared" si="9"/>
        <v>0</v>
      </c>
      <c r="V45" s="401">
        <f t="shared" si="10"/>
        <v>0</v>
      </c>
      <c r="W45" s="52"/>
      <c r="X45" s="396">
        <f>IFERROR(VLOOKUP($C45,'Proposed Rates'!$B:$J,X$11,FALSE),0)</f>
        <v>0.25</v>
      </c>
      <c r="Y45" s="414">
        <f>IF($D45="Monthly",1,IF($D45="per KW",$F$10,IF($D45="per kWh",$F$9,0)))</f>
        <v>1</v>
      </c>
      <c r="Z45" s="399">
        <f t="shared" si="57"/>
        <v>0.25</v>
      </c>
      <c r="AA45" s="132"/>
      <c r="AB45" s="400">
        <f t="shared" si="13"/>
        <v>0</v>
      </c>
      <c r="AC45" s="401">
        <f t="shared" si="14"/>
        <v>0</v>
      </c>
      <c r="AD45" s="52"/>
      <c r="AE45" s="396">
        <f>IFERROR(VLOOKUP($C45,'Proposed Rates'!$B:$J,AE$11,FALSE),0)</f>
        <v>0.25</v>
      </c>
      <c r="AF45" s="414">
        <f>IF($D45="Monthly",1,IF($D45="per KW",$F$10,IF($D45="per kWh",$F$9,0)))</f>
        <v>1</v>
      </c>
      <c r="AG45" s="399">
        <f t="shared" si="59"/>
        <v>0.25</v>
      </c>
      <c r="AH45" s="132"/>
      <c r="AI45" s="400">
        <f t="shared" si="17"/>
        <v>0</v>
      </c>
      <c r="AJ45" s="401">
        <f t="shared" si="18"/>
        <v>0</v>
      </c>
      <c r="AK45" s="52"/>
      <c r="AL45" s="396">
        <f>IFERROR(VLOOKUP($C45,'Proposed Rates'!$B:$J,AL$11,FALSE),0)</f>
        <v>0.25</v>
      </c>
      <c r="AM45" s="414">
        <f>IF($D45="Monthly",1,IF($D45="per KW",$F$10,IF($D45="per kWh",$F$9,0)))</f>
        <v>1</v>
      </c>
      <c r="AN45" s="399">
        <f t="shared" si="61"/>
        <v>0.25</v>
      </c>
      <c r="AO45" s="132"/>
      <c r="AP45" s="400">
        <f t="shared" si="21"/>
        <v>0</v>
      </c>
      <c r="AQ45" s="401">
        <f t="shared" si="22"/>
        <v>0</v>
      </c>
      <c r="AR45" s="402"/>
      <c r="AS45" s="402"/>
    </row>
    <row r="46" spans="1:45" ht="12" customHeight="1">
      <c r="A46" s="550"/>
      <c r="B46" s="321" t="s">
        <v>266</v>
      </c>
      <c r="C46" s="394" t="str">
        <f t="shared" ref="C46:C50" si="62">B46</f>
        <v>TOU - Off Peak</v>
      </c>
      <c r="D46" s="395" t="s">
        <v>312</v>
      </c>
      <c r="E46" s="321"/>
      <c r="F46" s="568">
        <f>VLOOKUP($B46,'Proposed Rates'!$D$252:$J$258,+F$11-2,FALSE)</f>
        <v>9.8000000000000004E-2</v>
      </c>
      <c r="G46" s="420">
        <f>'Proposed Rates'!$K253*$F$9</f>
        <v>60.160000000000004</v>
      </c>
      <c r="H46" s="399">
        <f t="shared" si="51"/>
        <v>5.8956800000000005</v>
      </c>
      <c r="I46" s="132"/>
      <c r="J46" s="568">
        <f>VLOOKUP($B46,'Proposed Rates'!$D$252:$J$258,+J$11-2,FALSE)</f>
        <v>9.8000000000000004E-2</v>
      </c>
      <c r="K46" s="420">
        <f>'Proposed Rates'!$K253*$F$9</f>
        <v>60.160000000000004</v>
      </c>
      <c r="L46" s="399">
        <f t="shared" si="53"/>
        <v>5.8956800000000005</v>
      </c>
      <c r="M46" s="132"/>
      <c r="N46" s="400">
        <f t="shared" si="5"/>
        <v>0</v>
      </c>
      <c r="O46" s="401">
        <f t="shared" si="6"/>
        <v>0</v>
      </c>
      <c r="P46" s="52"/>
      <c r="Q46" s="568">
        <f>VLOOKUP($B46,'Proposed Rates'!$D$252:$J$258,+Q$11-2,FALSE)</f>
        <v>9.8000000000000004E-2</v>
      </c>
      <c r="R46" s="420">
        <f>'Proposed Rates'!$K253*$F$9</f>
        <v>60.160000000000004</v>
      </c>
      <c r="S46" s="399">
        <f t="shared" si="55"/>
        <v>5.8956800000000005</v>
      </c>
      <c r="T46" s="132"/>
      <c r="U46" s="400">
        <f t="shared" si="9"/>
        <v>0</v>
      </c>
      <c r="V46" s="401">
        <f t="shared" si="10"/>
        <v>0</v>
      </c>
      <c r="W46" s="52"/>
      <c r="X46" s="568">
        <f>VLOOKUP($B46,'Proposed Rates'!$D$252:$J$258,+X$11-2,FALSE)</f>
        <v>9.8000000000000004E-2</v>
      </c>
      <c r="Y46" s="420">
        <f>'Proposed Rates'!$K253*$F$9</f>
        <v>60.160000000000004</v>
      </c>
      <c r="Z46" s="399">
        <f t="shared" si="57"/>
        <v>5.8956800000000005</v>
      </c>
      <c r="AA46" s="132"/>
      <c r="AB46" s="400">
        <f t="shared" si="13"/>
        <v>0</v>
      </c>
      <c r="AC46" s="401">
        <f t="shared" si="14"/>
        <v>0</v>
      </c>
      <c r="AD46" s="52"/>
      <c r="AE46" s="568">
        <f>VLOOKUP($B46,'Proposed Rates'!$D$252:$J$258,+AE$11-2,FALSE)</f>
        <v>9.8000000000000004E-2</v>
      </c>
      <c r="AF46" s="420">
        <f>'Proposed Rates'!$K253*$F$9</f>
        <v>60.160000000000004</v>
      </c>
      <c r="AG46" s="399">
        <f t="shared" si="59"/>
        <v>5.8956800000000005</v>
      </c>
      <c r="AH46" s="132"/>
      <c r="AI46" s="400">
        <f t="shared" si="17"/>
        <v>0</v>
      </c>
      <c r="AJ46" s="401">
        <f t="shared" si="18"/>
        <v>0</v>
      </c>
      <c r="AK46" s="52"/>
      <c r="AL46" s="568">
        <f>VLOOKUP($B46,'Proposed Rates'!$D$252:$J$258,+AL$11-2,FALSE)</f>
        <v>9.8000000000000004E-2</v>
      </c>
      <c r="AM46" s="420">
        <f>'Proposed Rates'!$K253*$F$9</f>
        <v>60.160000000000004</v>
      </c>
      <c r="AN46" s="399">
        <f t="shared" si="61"/>
        <v>5.8956800000000005</v>
      </c>
      <c r="AO46" s="132"/>
      <c r="AP46" s="400">
        <f t="shared" si="21"/>
        <v>0</v>
      </c>
      <c r="AQ46" s="401">
        <f t="shared" si="22"/>
        <v>0</v>
      </c>
      <c r="AR46" s="402"/>
      <c r="AS46" s="402"/>
    </row>
    <row r="47" spans="1:45" ht="12" customHeight="1">
      <c r="A47" s="550"/>
      <c r="B47" s="321" t="s">
        <v>267</v>
      </c>
      <c r="C47" s="394" t="str">
        <f t="shared" si="62"/>
        <v>TOU - Mid Peak</v>
      </c>
      <c r="D47" s="395" t="s">
        <v>312</v>
      </c>
      <c r="E47" s="321"/>
      <c r="F47" s="568">
        <f>VLOOKUP($B47,'Proposed Rates'!$D$252:$J$258,+F$11-2,FALSE)</f>
        <v>0.157</v>
      </c>
      <c r="G47" s="420">
        <f>'Proposed Rates'!$K254*$F$9</f>
        <v>16.919999999999998</v>
      </c>
      <c r="H47" s="399">
        <f t="shared" si="51"/>
        <v>2.6564399999999999</v>
      </c>
      <c r="I47" s="132"/>
      <c r="J47" s="568">
        <f>VLOOKUP($B47,'Proposed Rates'!$D$252:$J$258,+J$11-2,FALSE)</f>
        <v>0.157</v>
      </c>
      <c r="K47" s="420">
        <f>'Proposed Rates'!$K254*$F$9</f>
        <v>16.919999999999998</v>
      </c>
      <c r="L47" s="399">
        <f t="shared" si="53"/>
        <v>2.6564399999999999</v>
      </c>
      <c r="M47" s="132"/>
      <c r="N47" s="400">
        <f t="shared" si="5"/>
        <v>0</v>
      </c>
      <c r="O47" s="401">
        <f t="shared" si="6"/>
        <v>0</v>
      </c>
      <c r="P47" s="52"/>
      <c r="Q47" s="568">
        <f>VLOOKUP($B47,'Proposed Rates'!$D$252:$J$258,+Q$11-2,FALSE)</f>
        <v>0.157</v>
      </c>
      <c r="R47" s="420">
        <f>'Proposed Rates'!$K254*$F$9</f>
        <v>16.919999999999998</v>
      </c>
      <c r="S47" s="399">
        <f t="shared" si="55"/>
        <v>2.6564399999999999</v>
      </c>
      <c r="T47" s="132"/>
      <c r="U47" s="400">
        <f t="shared" si="9"/>
        <v>0</v>
      </c>
      <c r="V47" s="401">
        <f t="shared" si="10"/>
        <v>0</v>
      </c>
      <c r="W47" s="52"/>
      <c r="X47" s="568">
        <f>VLOOKUP($B47,'Proposed Rates'!$D$252:$J$258,+X$11-2,FALSE)</f>
        <v>0.157</v>
      </c>
      <c r="Y47" s="420">
        <f>'Proposed Rates'!$K254*$F$9</f>
        <v>16.919999999999998</v>
      </c>
      <c r="Z47" s="399">
        <f t="shared" si="57"/>
        <v>2.6564399999999999</v>
      </c>
      <c r="AA47" s="132"/>
      <c r="AB47" s="400">
        <f t="shared" si="13"/>
        <v>0</v>
      </c>
      <c r="AC47" s="401">
        <f t="shared" si="14"/>
        <v>0</v>
      </c>
      <c r="AD47" s="52"/>
      <c r="AE47" s="568">
        <f>VLOOKUP($B47,'Proposed Rates'!$D$252:$J$258,+AE$11-2,FALSE)</f>
        <v>0.157</v>
      </c>
      <c r="AF47" s="420">
        <f>'Proposed Rates'!$K254*$F$9</f>
        <v>16.919999999999998</v>
      </c>
      <c r="AG47" s="399">
        <f t="shared" si="59"/>
        <v>2.6564399999999999</v>
      </c>
      <c r="AH47" s="132"/>
      <c r="AI47" s="400">
        <f t="shared" si="17"/>
        <v>0</v>
      </c>
      <c r="AJ47" s="401">
        <f t="shared" si="18"/>
        <v>0</v>
      </c>
      <c r="AK47" s="52"/>
      <c r="AL47" s="568">
        <f>VLOOKUP($B47,'Proposed Rates'!$D$252:$J$258,+AL$11-2,FALSE)</f>
        <v>0.157</v>
      </c>
      <c r="AM47" s="420">
        <f>'Proposed Rates'!$K254*$F$9</f>
        <v>16.919999999999998</v>
      </c>
      <c r="AN47" s="399">
        <f t="shared" si="61"/>
        <v>2.6564399999999999</v>
      </c>
      <c r="AO47" s="132"/>
      <c r="AP47" s="400">
        <f t="shared" si="21"/>
        <v>0</v>
      </c>
      <c r="AQ47" s="401">
        <f t="shared" si="22"/>
        <v>0</v>
      </c>
      <c r="AR47" s="402"/>
      <c r="AS47" s="402"/>
    </row>
    <row r="48" spans="1:45" ht="12" customHeight="1">
      <c r="A48" s="550"/>
      <c r="B48" s="52" t="s">
        <v>268</v>
      </c>
      <c r="C48" s="394" t="str">
        <f t="shared" si="62"/>
        <v>TOU - On Peak</v>
      </c>
      <c r="D48" s="395" t="s">
        <v>312</v>
      </c>
      <c r="E48" s="321"/>
      <c r="F48" s="568">
        <f>VLOOKUP($B48,'Proposed Rates'!$D$252:$J$258,+F$11-2,FALSE)</f>
        <v>0.20300000000000001</v>
      </c>
      <c r="G48" s="420">
        <f>'Proposed Rates'!$K255*$F$9</f>
        <v>16.919999999999998</v>
      </c>
      <c r="H48" s="399">
        <f t="shared" si="51"/>
        <v>3.4347599999999998</v>
      </c>
      <c r="I48" s="132"/>
      <c r="J48" s="568">
        <f>VLOOKUP($B48,'Proposed Rates'!$D$252:$J$258,+J$11-2,FALSE)</f>
        <v>0.20300000000000001</v>
      </c>
      <c r="K48" s="420">
        <f>'Proposed Rates'!$K255*$F$9</f>
        <v>16.919999999999998</v>
      </c>
      <c r="L48" s="399">
        <f t="shared" si="53"/>
        <v>3.4347599999999998</v>
      </c>
      <c r="M48" s="132"/>
      <c r="N48" s="400">
        <f t="shared" si="5"/>
        <v>0</v>
      </c>
      <c r="O48" s="401">
        <f t="shared" si="6"/>
        <v>0</v>
      </c>
      <c r="P48" s="52"/>
      <c r="Q48" s="568">
        <f>VLOOKUP($B48,'Proposed Rates'!$D$252:$J$258,+Q$11-2,FALSE)</f>
        <v>0.20300000000000001</v>
      </c>
      <c r="R48" s="420">
        <f>'Proposed Rates'!$K255*$F$9</f>
        <v>16.919999999999998</v>
      </c>
      <c r="S48" s="399">
        <f t="shared" si="55"/>
        <v>3.4347599999999998</v>
      </c>
      <c r="T48" s="132"/>
      <c r="U48" s="400">
        <f t="shared" si="9"/>
        <v>0</v>
      </c>
      <c r="V48" s="401">
        <f t="shared" si="10"/>
        <v>0</v>
      </c>
      <c r="W48" s="52"/>
      <c r="X48" s="568">
        <f>VLOOKUP($B48,'Proposed Rates'!$D$252:$J$258,+X$11-2,FALSE)</f>
        <v>0.20300000000000001</v>
      </c>
      <c r="Y48" s="420">
        <f>'Proposed Rates'!$K255*$F$9</f>
        <v>16.919999999999998</v>
      </c>
      <c r="Z48" s="399">
        <f t="shared" si="57"/>
        <v>3.4347599999999998</v>
      </c>
      <c r="AA48" s="132"/>
      <c r="AB48" s="400">
        <f t="shared" si="13"/>
        <v>0</v>
      </c>
      <c r="AC48" s="401">
        <f t="shared" si="14"/>
        <v>0</v>
      </c>
      <c r="AD48" s="52"/>
      <c r="AE48" s="568">
        <f>VLOOKUP($B48,'Proposed Rates'!$D$252:$J$258,+AE$11-2,FALSE)</f>
        <v>0.20300000000000001</v>
      </c>
      <c r="AF48" s="420">
        <f>'Proposed Rates'!$K255*$F$9</f>
        <v>16.919999999999998</v>
      </c>
      <c r="AG48" s="399">
        <f t="shared" si="59"/>
        <v>3.4347599999999998</v>
      </c>
      <c r="AH48" s="132"/>
      <c r="AI48" s="400">
        <f t="shared" si="17"/>
        <v>0</v>
      </c>
      <c r="AJ48" s="401">
        <f t="shared" si="18"/>
        <v>0</v>
      </c>
      <c r="AK48" s="52"/>
      <c r="AL48" s="568">
        <f>VLOOKUP($B48,'Proposed Rates'!$D$252:$J$258,+AL$11-2,FALSE)</f>
        <v>0.20300000000000001</v>
      </c>
      <c r="AM48" s="420">
        <f>'Proposed Rates'!$K255*$F$9</f>
        <v>16.919999999999998</v>
      </c>
      <c r="AN48" s="399">
        <f t="shared" si="61"/>
        <v>3.4347599999999998</v>
      </c>
      <c r="AO48" s="132"/>
      <c r="AP48" s="400">
        <f t="shared" si="21"/>
        <v>0</v>
      </c>
      <c r="AQ48" s="401">
        <f t="shared" si="22"/>
        <v>0</v>
      </c>
      <c r="AR48" s="402"/>
      <c r="AS48" s="402"/>
    </row>
    <row r="49" spans="1:45" ht="12" customHeight="1">
      <c r="A49" s="550"/>
      <c r="B49" s="321" t="s">
        <v>269</v>
      </c>
      <c r="C49" s="394" t="str">
        <f t="shared" si="62"/>
        <v>Energy - RPP - Tier 1</v>
      </c>
      <c r="D49" s="395" t="s">
        <v>312</v>
      </c>
      <c r="E49" s="321"/>
      <c r="F49" s="429">
        <f>VLOOKUP($B49,'Proposed Rates'!$D$252:$J$258,+F$11-2,FALSE)</f>
        <v>0.12</v>
      </c>
      <c r="G49" s="420">
        <f>IF(AND($S$2=1, F9&gt;=600), 600, IF(AND($S$2=1, AND(F9&lt;600, F9&gt;=0)), F9, IF(AND($S$2=2, F9&gt;=1000), 1000, IF(AND($S$2=2, AND(F9&lt;1000, F9&gt;=0)), F9))))</f>
        <v>94</v>
      </c>
      <c r="H49" s="399">
        <f t="shared" si="51"/>
        <v>11.28</v>
      </c>
      <c r="I49" s="132"/>
      <c r="J49" s="429">
        <f>VLOOKUP($B49,'Proposed Rates'!$D$252:$J$258,+J$11-2,FALSE)</f>
        <v>0.12</v>
      </c>
      <c r="K49" s="420">
        <f>IF(AND($S$2=1, F9&gt;=600), 600, IF(AND($S$2=1, AND(F9&lt;600, F9&gt;=0)), F9, IF(AND($S$2=2, F9&gt;=1000), 1000, IF(AND($S$2=2, AND(F9&lt;1000, F9&gt;=0)), F9))))</f>
        <v>94</v>
      </c>
      <c r="L49" s="399">
        <f t="shared" si="53"/>
        <v>11.28</v>
      </c>
      <c r="M49" s="132"/>
      <c r="N49" s="400">
        <f t="shared" si="5"/>
        <v>0</v>
      </c>
      <c r="O49" s="401">
        <f t="shared" si="6"/>
        <v>0</v>
      </c>
      <c r="P49" s="52"/>
      <c r="Q49" s="429">
        <f>VLOOKUP($B49,'Proposed Rates'!$D$252:$J$258,+Q$11-2,FALSE)</f>
        <v>0.12</v>
      </c>
      <c r="R49" s="420">
        <f>IF(AND($S$2=1, F9&gt;=600), 600, IF(AND($S$2=1, AND(F9&lt;600, F9&gt;=0)), F9, IF(AND($S$2=2, F9&gt;=1000), 1000, IF(AND($S$2=2, AND(F9&lt;1000, F9&gt;=0)), F9))))</f>
        <v>94</v>
      </c>
      <c r="S49" s="399">
        <f t="shared" si="55"/>
        <v>11.28</v>
      </c>
      <c r="T49" s="132"/>
      <c r="U49" s="400">
        <f t="shared" si="9"/>
        <v>0</v>
      </c>
      <c r="V49" s="401">
        <f t="shared" si="10"/>
        <v>0</v>
      </c>
      <c r="W49" s="52"/>
      <c r="X49" s="429">
        <f>VLOOKUP($B49,'Proposed Rates'!$D$252:$J$258,+X$11-2,FALSE)</f>
        <v>0.12</v>
      </c>
      <c r="Y49" s="420">
        <f>IF(AND($S$2=1, F9&gt;=600), 600, IF(AND($S$2=1, AND(F9&lt;600, F9&gt;=0)), F9, IF(AND($S$2=2, F9&gt;=1000), 1000, IF(AND($S$2=2, AND(F9&lt;1000, F9&gt;=0)), F9))))</f>
        <v>94</v>
      </c>
      <c r="Z49" s="399">
        <f t="shared" si="57"/>
        <v>11.28</v>
      </c>
      <c r="AA49" s="132"/>
      <c r="AB49" s="400">
        <f t="shared" si="13"/>
        <v>0</v>
      </c>
      <c r="AC49" s="401">
        <f t="shared" si="14"/>
        <v>0</v>
      </c>
      <c r="AD49" s="52"/>
      <c r="AE49" s="429">
        <f>VLOOKUP($B49,'Proposed Rates'!$D$252:$J$258,+AE$11-2,FALSE)</f>
        <v>0.12</v>
      </c>
      <c r="AF49" s="420">
        <f>IF(AND($S$2=1, F9&gt;=600), 600, IF(AND($S$2=1, AND(F9&lt;600, F9&gt;=0)), F9, IF(AND($S$2=2, F9&gt;=1000), 1000, IF(AND($S$2=2, AND(F9&lt;1000, F9&gt;=0)), F9))))</f>
        <v>94</v>
      </c>
      <c r="AG49" s="399">
        <f t="shared" si="59"/>
        <v>11.28</v>
      </c>
      <c r="AH49" s="132"/>
      <c r="AI49" s="400">
        <f t="shared" si="17"/>
        <v>0</v>
      </c>
      <c r="AJ49" s="401">
        <f t="shared" si="18"/>
        <v>0</v>
      </c>
      <c r="AK49" s="52"/>
      <c r="AL49" s="429">
        <f>VLOOKUP($B49,'Proposed Rates'!$D$252:$J$258,+AL$11-2,FALSE)</f>
        <v>0.12</v>
      </c>
      <c r="AM49" s="420">
        <f>IF(AND($S$2=1, F9&gt;=600), 600, IF(AND($S$2=1, AND(F9&lt;600, F9&gt;=0)), F9, IF(AND($S$2=2, F9&gt;=1000), 1000, IF(AND($S$2=2, AND(F9&lt;1000, F9&gt;=0)), F9))))</f>
        <v>94</v>
      </c>
      <c r="AN49" s="399">
        <f t="shared" si="61"/>
        <v>11.28</v>
      </c>
      <c r="AO49" s="132"/>
      <c r="AP49" s="400">
        <f t="shared" si="21"/>
        <v>0</v>
      </c>
      <c r="AQ49" s="401">
        <f t="shared" si="22"/>
        <v>0</v>
      </c>
      <c r="AR49" s="402"/>
      <c r="AS49" s="402"/>
    </row>
    <row r="50" spans="1:45" ht="12" customHeight="1">
      <c r="A50" s="550"/>
      <c r="B50" s="321" t="s">
        <v>270</v>
      </c>
      <c r="C50" s="394" t="str">
        <f t="shared" si="62"/>
        <v>Energy - RPP - Tier 2</v>
      </c>
      <c r="D50" s="395" t="s">
        <v>312</v>
      </c>
      <c r="E50" s="321"/>
      <c r="F50" s="429">
        <f>VLOOKUP($B50,'Proposed Rates'!$D$252:$J$258,+F$11-2,FALSE)</f>
        <v>0.14199999999999999</v>
      </c>
      <c r="G50" s="420">
        <f>IF(AND($S$2=1, F9&gt;=600), F9-600, IF(AND($S$2=1, AND(F9&lt;600, F9&gt;=0)), 0, IF(AND($S$2=2, F9&gt;=1000), F9-1000, IF(AND($S$2=2, AND(F9&lt;1000, F9&gt;=0)), 0))))</f>
        <v>0</v>
      </c>
      <c r="H50" s="399">
        <f t="shared" si="51"/>
        <v>0</v>
      </c>
      <c r="I50" s="132"/>
      <c r="J50" s="429">
        <f>VLOOKUP($B50,'Proposed Rates'!$D$252:$J$258,+J$11-2,FALSE)</f>
        <v>0.14199999999999999</v>
      </c>
      <c r="K50" s="420">
        <f>IF(AND($S$2=1, J9&gt;=600), J9-600, IF(AND($S$2=1, AND(J9&lt;600, J9&gt;=0)), 0, IF(AND($S$2=2, J9&gt;=1000), J9-1000, IF(AND($S$2=2, AND(J9&lt;1000, J9&gt;=0)), 0))))</f>
        <v>0</v>
      </c>
      <c r="L50" s="399">
        <f t="shared" si="53"/>
        <v>0</v>
      </c>
      <c r="M50" s="132"/>
      <c r="N50" s="400">
        <f t="shared" si="5"/>
        <v>0</v>
      </c>
      <c r="O50" s="401" t="str">
        <f t="shared" si="6"/>
        <v/>
      </c>
      <c r="P50" s="52"/>
      <c r="Q50" s="429">
        <f>VLOOKUP($B50,'Proposed Rates'!$D$252:$J$258,+Q$11-2,FALSE)</f>
        <v>0.14199999999999999</v>
      </c>
      <c r="R50" s="420">
        <f>IF(AND($S$2=1, Q9&gt;=600), Q9-600, IF(AND($S$2=1, AND(Q9&lt;600, Q9&gt;=0)), 0, IF(AND($S$2=2, Q9&gt;=1000), Q9-1000, IF(AND($S$2=2, AND(Q9&lt;1000, Q9&gt;=0)), 0))))</f>
        <v>0</v>
      </c>
      <c r="S50" s="399">
        <f t="shared" si="55"/>
        <v>0</v>
      </c>
      <c r="T50" s="132"/>
      <c r="U50" s="400">
        <f t="shared" si="9"/>
        <v>0</v>
      </c>
      <c r="V50" s="401" t="str">
        <f t="shared" si="10"/>
        <v/>
      </c>
      <c r="W50" s="52"/>
      <c r="X50" s="429">
        <f>VLOOKUP($B50,'Proposed Rates'!$D$252:$J$258,+X$11-2,FALSE)</f>
        <v>0.14199999999999999</v>
      </c>
      <c r="Y50" s="420">
        <f>IF(AND($S$2=1, X9&gt;=600), X9-600, IF(AND($S$2=1, AND(X9&lt;600, X9&gt;=0)), 0, IF(AND($S$2=2, X9&gt;=1000), X9-1000, IF(AND($S$2=2, AND(X9&lt;1000, X9&gt;=0)), 0))))</f>
        <v>0</v>
      </c>
      <c r="Z50" s="399">
        <f t="shared" si="57"/>
        <v>0</v>
      </c>
      <c r="AA50" s="132"/>
      <c r="AB50" s="400">
        <f t="shared" si="13"/>
        <v>0</v>
      </c>
      <c r="AC50" s="401" t="str">
        <f t="shared" si="14"/>
        <v/>
      </c>
      <c r="AD50" s="52"/>
      <c r="AE50" s="429">
        <f>VLOOKUP($B50,'Proposed Rates'!$D$252:$J$258,+AE$11-2,FALSE)</f>
        <v>0.14199999999999999</v>
      </c>
      <c r="AF50" s="420">
        <f>IF(AND($S$2=1, AE9&gt;=600), AE9-600, IF(AND($S$2=1, AND(AE9&lt;600, AE9&gt;=0)), 0, IF(AND($S$2=2, AE9&gt;=1000), AE9-1000, IF(AND($S$2=2, AND(AE9&lt;1000, AE9&gt;=0)), 0))))</f>
        <v>0</v>
      </c>
      <c r="AG50" s="399">
        <f t="shared" si="59"/>
        <v>0</v>
      </c>
      <c r="AH50" s="132"/>
      <c r="AI50" s="400">
        <f t="shared" si="17"/>
        <v>0</v>
      </c>
      <c r="AJ50" s="401" t="str">
        <f t="shared" si="18"/>
        <v/>
      </c>
      <c r="AK50" s="52"/>
      <c r="AL50" s="429">
        <f>VLOOKUP($B50,'Proposed Rates'!$D$252:$J$258,+AL$11-2,FALSE)</f>
        <v>0.14199999999999999</v>
      </c>
      <c r="AM50" s="420">
        <f>IF(AND($S$2=1, AL9&gt;=600), AL9-600, IF(AND($S$2=1, AND(AL9&lt;600, AL9&gt;=0)), 0, IF(AND($S$2=2, AL9&gt;=1000), AL9-1000, IF(AND($S$2=2, AND(AL9&lt;1000, AL9&gt;=0)), 0))))</f>
        <v>0</v>
      </c>
      <c r="AN50" s="399">
        <f t="shared" si="61"/>
        <v>0</v>
      </c>
      <c r="AO50" s="132"/>
      <c r="AP50" s="400">
        <f t="shared" si="21"/>
        <v>0</v>
      </c>
      <c r="AQ50" s="401" t="str">
        <f t="shared" si="22"/>
        <v/>
      </c>
      <c r="AR50" s="402"/>
      <c r="AS50" s="402"/>
    </row>
    <row r="51" spans="1:45" ht="12" customHeight="1">
      <c r="A51" s="550"/>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442"/>
    </row>
    <row r="52" spans="1:45" ht="12" customHeight="1">
      <c r="A52" s="550"/>
      <c r="B52" s="443" t="s">
        <v>319</v>
      </c>
      <c r="C52" s="321"/>
      <c r="D52" s="321"/>
      <c r="E52" s="321"/>
      <c r="F52" s="444"/>
      <c r="G52" s="488"/>
      <c r="H52" s="446">
        <f>SUM(H43:H48,H42)</f>
        <v>35.727667744000001</v>
      </c>
      <c r="I52" s="481"/>
      <c r="J52" s="445"/>
      <c r="K52" s="445"/>
      <c r="L52" s="446">
        <f>SUM(L43:L48,L42)</f>
        <v>37.100244656000001</v>
      </c>
      <c r="M52" s="448"/>
      <c r="N52" s="447">
        <f t="shared" ref="N52:N56" si="63">L52-H52</f>
        <v>1.3725769119999995</v>
      </c>
      <c r="O52" s="449">
        <f t="shared" ref="O52:O56" si="64">IF((H52)=0,"",(N52/H52))</f>
        <v>3.8417758523588655E-2</v>
      </c>
      <c r="P52" s="52"/>
      <c r="Q52" s="445"/>
      <c r="R52" s="445"/>
      <c r="S52" s="446">
        <f>SUM(S43:S48,S42)</f>
        <v>38.778928656000005</v>
      </c>
      <c r="T52" s="448"/>
      <c r="U52" s="447">
        <f t="shared" ref="U52:U56" si="65">S52-L52</f>
        <v>1.6786840000000041</v>
      </c>
      <c r="V52" s="449">
        <f t="shared" ref="V52:V56" si="66">IF((L52)=0,"",(U52/L52))</f>
        <v>4.5247248786768328E-2</v>
      </c>
      <c r="W52" s="52"/>
      <c r="X52" s="445"/>
      <c r="Y52" s="445"/>
      <c r="Z52" s="446">
        <f>SUM(Z43:Z48,Z42)</f>
        <v>40.442552656000004</v>
      </c>
      <c r="AA52" s="448"/>
      <c r="AB52" s="447">
        <f t="shared" ref="AB52:AB56" si="67">Z52-S52</f>
        <v>1.6636239999999987</v>
      </c>
      <c r="AC52" s="449">
        <f t="shared" ref="AC52:AC56" si="68">IF((S52)=0,"",(AB52/S52))</f>
        <v>4.2900205283071875E-2</v>
      </c>
      <c r="AD52" s="52"/>
      <c r="AE52" s="445"/>
      <c r="AF52" s="445"/>
      <c r="AG52" s="446">
        <f>SUM(AG43:AG48,AG42)</f>
        <v>41.327460656</v>
      </c>
      <c r="AH52" s="448"/>
      <c r="AI52" s="447">
        <f t="shared" ref="AI52:AI56" si="69">AG52-Z52</f>
        <v>0.88490799999999581</v>
      </c>
      <c r="AJ52" s="449">
        <f t="shared" ref="AJ52:AJ56" si="70">IF((Z52)=0,"",(AI52/Z52))</f>
        <v>2.1880616872207052E-2</v>
      </c>
      <c r="AK52" s="52"/>
      <c r="AL52" s="445"/>
      <c r="AM52" s="445"/>
      <c r="AN52" s="446">
        <f>SUM(AN43:AN48,AN42)</f>
        <v>42.143292656</v>
      </c>
      <c r="AO52" s="448"/>
      <c r="AP52" s="447">
        <f t="shared" ref="AP52:AP56" si="71">AN52-AG52</f>
        <v>0.81583200000000033</v>
      </c>
      <c r="AQ52" s="449">
        <f t="shared" ref="AQ52:AQ56" si="72">IF((AG52)=0,"",(AP52/AG52))</f>
        <v>1.974067574078148E-2</v>
      </c>
      <c r="AR52" s="450"/>
      <c r="AS52" s="450"/>
    </row>
    <row r="53" spans="1:45" ht="12" customHeight="1">
      <c r="A53" s="550"/>
      <c r="B53" s="451" t="s">
        <v>320</v>
      </c>
      <c r="C53" s="321"/>
      <c r="D53" s="321"/>
      <c r="E53" s="321"/>
      <c r="F53" s="444">
        <f>'Res (2000)'!F51</f>
        <v>0.13</v>
      </c>
      <c r="G53" s="132"/>
      <c r="H53" s="489">
        <f>H52*F53</f>
        <v>4.6445968067200001</v>
      </c>
      <c r="I53" s="416"/>
      <c r="J53" s="452">
        <v>0.13</v>
      </c>
      <c r="K53" s="416"/>
      <c r="L53" s="399">
        <f>L52*J53</f>
        <v>4.8230318052800003</v>
      </c>
      <c r="M53" s="132"/>
      <c r="N53" s="400">
        <f t="shared" si="63"/>
        <v>0.17843499856000022</v>
      </c>
      <c r="O53" s="401">
        <f t="shared" si="64"/>
        <v>3.8417758523588717E-2</v>
      </c>
      <c r="P53" s="52"/>
      <c r="Q53" s="452">
        <v>0.13</v>
      </c>
      <c r="R53" s="416"/>
      <c r="S53" s="399">
        <f>S52*Q53</f>
        <v>5.0412607252800008</v>
      </c>
      <c r="T53" s="132"/>
      <c r="U53" s="400">
        <f t="shared" si="65"/>
        <v>0.21822892000000049</v>
      </c>
      <c r="V53" s="401">
        <f t="shared" si="66"/>
        <v>4.5247248786768314E-2</v>
      </c>
      <c r="W53" s="52"/>
      <c r="X53" s="452">
        <v>0.13</v>
      </c>
      <c r="Y53" s="416"/>
      <c r="Z53" s="399">
        <f>Z52*X53</f>
        <v>5.2575318452800008</v>
      </c>
      <c r="AA53" s="132"/>
      <c r="AB53" s="400">
        <f t="shared" si="67"/>
        <v>0.21627112000000004</v>
      </c>
      <c r="AC53" s="401">
        <f t="shared" si="68"/>
        <v>4.2900205283071917E-2</v>
      </c>
      <c r="AD53" s="52"/>
      <c r="AE53" s="452">
        <v>0.13</v>
      </c>
      <c r="AF53" s="416"/>
      <c r="AG53" s="399">
        <f>AG52*AE53</f>
        <v>5.3725698852799999</v>
      </c>
      <c r="AH53" s="132"/>
      <c r="AI53" s="400">
        <f t="shared" si="69"/>
        <v>0.11503803999999906</v>
      </c>
      <c r="AJ53" s="401">
        <f t="shared" si="70"/>
        <v>2.1880616872206975E-2</v>
      </c>
      <c r="AK53" s="52"/>
      <c r="AL53" s="452">
        <v>0.13</v>
      </c>
      <c r="AM53" s="416"/>
      <c r="AN53" s="399">
        <f>AN52*AL53</f>
        <v>5.4786280452799998</v>
      </c>
      <c r="AO53" s="132"/>
      <c r="AP53" s="400">
        <f t="shared" si="71"/>
        <v>0.1060581599999999</v>
      </c>
      <c r="AQ53" s="401">
        <f t="shared" si="72"/>
        <v>1.9740675740781456E-2</v>
      </c>
      <c r="AR53" s="402"/>
      <c r="AS53" s="402"/>
    </row>
    <row r="54" spans="1:45" ht="12" customHeight="1">
      <c r="A54" s="550"/>
      <c r="B54" s="453" t="s">
        <v>418</v>
      </c>
      <c r="C54" s="321"/>
      <c r="D54" s="321"/>
      <c r="E54" s="321"/>
      <c r="F54" s="454"/>
      <c r="G54" s="132"/>
      <c r="H54" s="489">
        <f>H52+H53</f>
        <v>40.372264550720004</v>
      </c>
      <c r="I54" s="416"/>
      <c r="J54" s="416"/>
      <c r="K54" s="416"/>
      <c r="L54" s="399">
        <f>L52+L53</f>
        <v>41.923276461280004</v>
      </c>
      <c r="M54" s="132"/>
      <c r="N54" s="400">
        <f t="shared" si="63"/>
        <v>1.5510119105599998</v>
      </c>
      <c r="O54" s="401">
        <f t="shared" si="64"/>
        <v>3.8417758523588662E-2</v>
      </c>
      <c r="P54" s="52"/>
      <c r="Q54" s="416"/>
      <c r="R54" s="416"/>
      <c r="S54" s="399">
        <f>S52+S53</f>
        <v>43.820189381280002</v>
      </c>
      <c r="T54" s="132"/>
      <c r="U54" s="400">
        <f t="shared" si="65"/>
        <v>1.8969129199999983</v>
      </c>
      <c r="V54" s="401">
        <f t="shared" si="66"/>
        <v>4.5247248786768175E-2</v>
      </c>
      <c r="W54" s="52"/>
      <c r="X54" s="416"/>
      <c r="Y54" s="416"/>
      <c r="Z54" s="399">
        <f>Z52+Z53</f>
        <v>45.700084501280003</v>
      </c>
      <c r="AA54" s="132"/>
      <c r="AB54" s="400">
        <f t="shared" si="67"/>
        <v>1.8798951200000005</v>
      </c>
      <c r="AC54" s="401">
        <f t="shared" si="68"/>
        <v>4.2900205283071924E-2</v>
      </c>
      <c r="AD54" s="52"/>
      <c r="AE54" s="416"/>
      <c r="AF54" s="416"/>
      <c r="AG54" s="399">
        <f>AG52+AG53</f>
        <v>46.70003054128</v>
      </c>
      <c r="AH54" s="132"/>
      <c r="AI54" s="400">
        <f t="shared" si="69"/>
        <v>0.99994603999999754</v>
      </c>
      <c r="AJ54" s="401">
        <f t="shared" si="70"/>
        <v>2.1880616872207104E-2</v>
      </c>
      <c r="AK54" s="52"/>
      <c r="AL54" s="416"/>
      <c r="AM54" s="416"/>
      <c r="AN54" s="399">
        <f>AN52+AN53</f>
        <v>47.621920701279997</v>
      </c>
      <c r="AO54" s="132"/>
      <c r="AP54" s="400">
        <f t="shared" si="71"/>
        <v>0.92189015999999668</v>
      </c>
      <c r="AQ54" s="401">
        <f t="shared" si="72"/>
        <v>1.9740675740781401E-2</v>
      </c>
      <c r="AR54" s="402"/>
      <c r="AS54" s="402"/>
    </row>
    <row r="55" spans="1:45" ht="12" customHeight="1">
      <c r="A55" s="550"/>
      <c r="B55" s="632" t="s">
        <v>277</v>
      </c>
      <c r="C55" s="623"/>
      <c r="D55" s="623"/>
      <c r="E55" s="321"/>
      <c r="F55" s="455">
        <f>'Res (2000)'!F53</f>
        <v>0.23499999999999999</v>
      </c>
      <c r="G55" s="132"/>
      <c r="H55" s="511">
        <f>F55*H52</f>
        <v>8.3960019198399998</v>
      </c>
      <c r="I55" s="416"/>
      <c r="J55" s="457">
        <f>F55</f>
        <v>0.23499999999999999</v>
      </c>
      <c r="K55" s="416"/>
      <c r="L55" s="511">
        <f>J55*L52</f>
        <v>8.7185574941600006</v>
      </c>
      <c r="M55" s="132"/>
      <c r="N55" s="456">
        <f t="shared" si="63"/>
        <v>0.32255557432000082</v>
      </c>
      <c r="O55" s="458">
        <f t="shared" si="64"/>
        <v>3.8417758523588766E-2</v>
      </c>
      <c r="P55" s="52"/>
      <c r="Q55" s="457">
        <f>J55</f>
        <v>0.23499999999999999</v>
      </c>
      <c r="R55" s="416"/>
      <c r="S55" s="511">
        <f>Q55*S52</f>
        <v>9.1130482341600008</v>
      </c>
      <c r="T55" s="132"/>
      <c r="U55" s="456">
        <f t="shared" si="65"/>
        <v>0.39449074000000017</v>
      </c>
      <c r="V55" s="458">
        <f t="shared" si="66"/>
        <v>4.5247248786768231E-2</v>
      </c>
      <c r="W55" s="52"/>
      <c r="X55" s="457">
        <f>Q55</f>
        <v>0.23499999999999999</v>
      </c>
      <c r="Y55" s="416"/>
      <c r="Z55" s="511">
        <f>X55*Z52</f>
        <v>9.5039998741599998</v>
      </c>
      <c r="AA55" s="132"/>
      <c r="AB55" s="456">
        <f t="shared" si="67"/>
        <v>0.39095163999999905</v>
      </c>
      <c r="AC55" s="458">
        <f t="shared" si="68"/>
        <v>4.2900205283071806E-2</v>
      </c>
      <c r="AD55" s="52"/>
      <c r="AE55" s="457">
        <f>X55</f>
        <v>0.23499999999999999</v>
      </c>
      <c r="AF55" s="416"/>
      <c r="AG55" s="511">
        <f>AE55*AG52</f>
        <v>9.7119532541599991</v>
      </c>
      <c r="AH55" s="132"/>
      <c r="AI55" s="456">
        <f t="shared" si="69"/>
        <v>0.2079533799999993</v>
      </c>
      <c r="AJ55" s="458">
        <f t="shared" si="70"/>
        <v>2.1880616872207083E-2</v>
      </c>
      <c r="AK55" s="52"/>
      <c r="AL55" s="457">
        <f>AE55</f>
        <v>0.23499999999999999</v>
      </c>
      <c r="AM55" s="416"/>
      <c r="AN55" s="511">
        <f>AL55*AN52</f>
        <v>9.9036737741599996</v>
      </c>
      <c r="AO55" s="132"/>
      <c r="AP55" s="456">
        <f t="shared" si="71"/>
        <v>0.1917205200000005</v>
      </c>
      <c r="AQ55" s="458">
        <f t="shared" si="72"/>
        <v>1.9740675740781526E-2</v>
      </c>
      <c r="AR55" s="459"/>
      <c r="AS55" s="459"/>
    </row>
    <row r="56" spans="1:45" ht="12" customHeight="1">
      <c r="A56" s="550"/>
      <c r="B56" s="634" t="s">
        <v>322</v>
      </c>
      <c r="C56" s="615"/>
      <c r="D56" s="615"/>
      <c r="E56" s="460"/>
      <c r="F56" s="461"/>
      <c r="G56" s="492"/>
      <c r="H56" s="493">
        <f>H54-H55</f>
        <v>31.976262630880004</v>
      </c>
      <c r="I56" s="462"/>
      <c r="J56" s="462"/>
      <c r="K56" s="462"/>
      <c r="L56" s="463">
        <f>L54-L55</f>
        <v>33.204718967120002</v>
      </c>
      <c r="M56" s="464"/>
      <c r="N56" s="465">
        <f t="shared" si="63"/>
        <v>1.2284563362399972</v>
      </c>
      <c r="O56" s="466">
        <f t="shared" si="64"/>
        <v>3.8417758523588579E-2</v>
      </c>
      <c r="P56" s="52"/>
      <c r="Q56" s="462"/>
      <c r="R56" s="462"/>
      <c r="S56" s="463">
        <f>S54-S55</f>
        <v>34.707141147119998</v>
      </c>
      <c r="T56" s="464"/>
      <c r="U56" s="465">
        <f t="shared" si="65"/>
        <v>1.5024221799999964</v>
      </c>
      <c r="V56" s="466">
        <f t="shared" si="66"/>
        <v>4.5247248786768106E-2</v>
      </c>
      <c r="W56" s="52"/>
      <c r="X56" s="462"/>
      <c r="Y56" s="462"/>
      <c r="Z56" s="463">
        <f>Z54-Z55</f>
        <v>36.196084627120001</v>
      </c>
      <c r="AA56" s="464"/>
      <c r="AB56" s="465">
        <f t="shared" si="67"/>
        <v>1.4889434800000032</v>
      </c>
      <c r="AC56" s="466">
        <f t="shared" si="68"/>
        <v>4.2900205283072007E-2</v>
      </c>
      <c r="AD56" s="52"/>
      <c r="AE56" s="462"/>
      <c r="AF56" s="462"/>
      <c r="AG56" s="463">
        <f>AG54-AG55</f>
        <v>36.988077287119999</v>
      </c>
      <c r="AH56" s="464"/>
      <c r="AI56" s="465">
        <f t="shared" si="69"/>
        <v>0.79199265999999824</v>
      </c>
      <c r="AJ56" s="466">
        <f t="shared" si="70"/>
        <v>2.1880616872207107E-2</v>
      </c>
      <c r="AK56" s="52"/>
      <c r="AL56" s="462"/>
      <c r="AM56" s="462"/>
      <c r="AN56" s="463">
        <f>AN54-AN55</f>
        <v>37.718246927119999</v>
      </c>
      <c r="AO56" s="464"/>
      <c r="AP56" s="465">
        <f t="shared" si="71"/>
        <v>0.73016963999999973</v>
      </c>
      <c r="AQ56" s="466">
        <f t="shared" si="72"/>
        <v>1.9740675740781467E-2</v>
      </c>
      <c r="AR56" s="467"/>
      <c r="AS56" s="467"/>
    </row>
    <row r="57" spans="1:45" ht="12" customHeight="1">
      <c r="A57" s="52"/>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442"/>
    </row>
    <row r="58" spans="1:45" ht="12" customHeight="1">
      <c r="A58" s="52"/>
      <c r="B58" s="443" t="s">
        <v>323</v>
      </c>
      <c r="C58" s="321"/>
      <c r="D58" s="321"/>
      <c r="E58" s="321"/>
      <c r="F58" s="444"/>
      <c r="G58" s="488"/>
      <c r="H58" s="446">
        <f>SUM(H49:H50,H42,H43:H45)</f>
        <v>35.020787743999996</v>
      </c>
      <c r="I58" s="481"/>
      <c r="J58" s="445"/>
      <c r="K58" s="445"/>
      <c r="L58" s="446">
        <f>SUM(L49:L50,L42,L43:L45)</f>
        <v>36.393364656000003</v>
      </c>
      <c r="M58" s="448"/>
      <c r="N58" s="447">
        <f t="shared" ref="N58:N62" si="73">L58-H58</f>
        <v>1.3725769120000066</v>
      </c>
      <c r="O58" s="449">
        <f t="shared" ref="O58:O62" si="74">IF((H58)=0,"",(N58/H58))</f>
        <v>3.9193204962534457E-2</v>
      </c>
      <c r="P58" s="52"/>
      <c r="Q58" s="445"/>
      <c r="R58" s="445"/>
      <c r="S58" s="446">
        <f>SUM(S49:S50,S42,S43:S45)</f>
        <v>38.072048656</v>
      </c>
      <c r="T58" s="448"/>
      <c r="U58" s="447">
        <f t="shared" ref="U58:U62" si="75">S58-L58</f>
        <v>1.678683999999997</v>
      </c>
      <c r="V58" s="449">
        <f t="shared" ref="V58:V62" si="76">IF((L58)=0,"",(U58/L58))</f>
        <v>4.612610061936772E-2</v>
      </c>
      <c r="W58" s="52"/>
      <c r="X58" s="445"/>
      <c r="Y58" s="445"/>
      <c r="Z58" s="446">
        <f>SUM(Z49:Z50,Z42,Z43:Z45)</f>
        <v>39.735672655999998</v>
      </c>
      <c r="AA58" s="448"/>
      <c r="AB58" s="447">
        <f t="shared" ref="AB58:AB62" si="77">Z58-S58</f>
        <v>1.6636239999999987</v>
      </c>
      <c r="AC58" s="449">
        <f t="shared" ref="AC58:AC62" si="78">IF((S58)=0,"",(AB58/S58))</f>
        <v>4.3696729194472129E-2</v>
      </c>
      <c r="AD58" s="52"/>
      <c r="AE58" s="445"/>
      <c r="AF58" s="445"/>
      <c r="AG58" s="446">
        <f>SUM(AG49:AG50,AG42,AG43:AG45)</f>
        <v>40.620580656000001</v>
      </c>
      <c r="AH58" s="448"/>
      <c r="AI58" s="447">
        <f t="shared" ref="AI58:AI62" si="79">AG58-Z58</f>
        <v>0.88490800000000291</v>
      </c>
      <c r="AJ58" s="449">
        <f t="shared" ref="AJ58:AJ62" si="80">IF((Z58)=0,"",(AI58/Z58))</f>
        <v>2.2269863345735604E-2</v>
      </c>
      <c r="AK58" s="52"/>
      <c r="AL58" s="445"/>
      <c r="AM58" s="445"/>
      <c r="AN58" s="446">
        <f>SUM(AN49:AN50,AN42,AN43:AN45)</f>
        <v>41.436412656000002</v>
      </c>
      <c r="AO58" s="448"/>
      <c r="AP58" s="447">
        <f t="shared" ref="AP58:AP62" si="81">AN58-AG58</f>
        <v>0.81583200000000033</v>
      </c>
      <c r="AQ58" s="449">
        <f t="shared" ref="AQ58:AQ62" si="82">IF((AG58)=0,"",(AP58/AG58))</f>
        <v>2.0084203298543817E-2</v>
      </c>
      <c r="AR58" s="450"/>
      <c r="AS58" s="450"/>
    </row>
    <row r="59" spans="1:45" ht="12" customHeight="1">
      <c r="A59" s="52"/>
      <c r="B59" s="451" t="s">
        <v>320</v>
      </c>
      <c r="C59" s="321"/>
      <c r="D59" s="321"/>
      <c r="E59" s="321"/>
      <c r="F59" s="444">
        <v>0.13</v>
      </c>
      <c r="G59" s="488"/>
      <c r="H59" s="489">
        <f>H58*F59</f>
        <v>4.5527024067199999</v>
      </c>
      <c r="I59" s="416"/>
      <c r="J59" s="444">
        <v>0.13</v>
      </c>
      <c r="K59" s="452"/>
      <c r="L59" s="399">
        <f>L58*J59</f>
        <v>4.7311374052800002</v>
      </c>
      <c r="M59" s="132"/>
      <c r="N59" s="400">
        <f t="shared" si="73"/>
        <v>0.17843499856000022</v>
      </c>
      <c r="O59" s="401">
        <f t="shared" si="74"/>
        <v>3.9193204962534318E-2</v>
      </c>
      <c r="P59" s="52"/>
      <c r="Q59" s="444">
        <v>0.13</v>
      </c>
      <c r="R59" s="452"/>
      <c r="S59" s="399">
        <f>S58*Q59</f>
        <v>4.9493663252799998</v>
      </c>
      <c r="T59" s="132"/>
      <c r="U59" s="400">
        <f t="shared" si="75"/>
        <v>0.2182289199999996</v>
      </c>
      <c r="V59" s="401">
        <f t="shared" si="76"/>
        <v>4.612610061936772E-2</v>
      </c>
      <c r="W59" s="52"/>
      <c r="X59" s="444">
        <v>0.13</v>
      </c>
      <c r="Y59" s="452"/>
      <c r="Z59" s="399">
        <f>Z58*X59</f>
        <v>5.1656374452799998</v>
      </c>
      <c r="AA59" s="132"/>
      <c r="AB59" s="400">
        <f t="shared" si="77"/>
        <v>0.21627112000000004</v>
      </c>
      <c r="AC59" s="401">
        <f t="shared" si="78"/>
        <v>4.3696729194472178E-2</v>
      </c>
      <c r="AD59" s="52"/>
      <c r="AE59" s="444">
        <v>0.13</v>
      </c>
      <c r="AF59" s="452"/>
      <c r="AG59" s="399">
        <f>AG58*AE59</f>
        <v>5.2806754852800006</v>
      </c>
      <c r="AH59" s="132"/>
      <c r="AI59" s="400">
        <f t="shared" si="79"/>
        <v>0.11503804000000084</v>
      </c>
      <c r="AJ59" s="401">
        <f t="shared" si="80"/>
        <v>2.2269863345735694E-2</v>
      </c>
      <c r="AK59" s="52"/>
      <c r="AL59" s="444">
        <v>0.13</v>
      </c>
      <c r="AM59" s="452"/>
      <c r="AN59" s="399">
        <f>AN58*AL59</f>
        <v>5.3867336452800005</v>
      </c>
      <c r="AO59" s="132"/>
      <c r="AP59" s="400">
        <f t="shared" si="81"/>
        <v>0.1060581599999999</v>
      </c>
      <c r="AQ59" s="401">
        <f t="shared" si="82"/>
        <v>2.0084203298543785E-2</v>
      </c>
      <c r="AR59" s="402"/>
      <c r="AS59" s="402"/>
    </row>
    <row r="60" spans="1:45" ht="12" customHeight="1">
      <c r="A60" s="52"/>
      <c r="B60" s="453" t="s">
        <v>419</v>
      </c>
      <c r="C60" s="321"/>
      <c r="D60" s="321"/>
      <c r="E60" s="321"/>
      <c r="F60" s="454"/>
      <c r="G60" s="132"/>
      <c r="H60" s="489">
        <f>H58+H59</f>
        <v>39.573490150719998</v>
      </c>
      <c r="I60" s="416"/>
      <c r="J60" s="416"/>
      <c r="K60" s="416"/>
      <c r="L60" s="399">
        <f>L58+L59</f>
        <v>41.124502061280005</v>
      </c>
      <c r="M60" s="132"/>
      <c r="N60" s="400">
        <f t="shared" si="73"/>
        <v>1.5510119105600069</v>
      </c>
      <c r="O60" s="401">
        <f t="shared" si="74"/>
        <v>3.9193204962534443E-2</v>
      </c>
      <c r="P60" s="52"/>
      <c r="Q60" s="416"/>
      <c r="R60" s="416"/>
      <c r="S60" s="399">
        <f>S58+S59</f>
        <v>43.021414981280003</v>
      </c>
      <c r="T60" s="132"/>
      <c r="U60" s="400">
        <f t="shared" si="75"/>
        <v>1.8969129199999983</v>
      </c>
      <c r="V60" s="401">
        <f t="shared" si="76"/>
        <v>4.6126100619367762E-2</v>
      </c>
      <c r="W60" s="52"/>
      <c r="X60" s="416"/>
      <c r="Y60" s="416"/>
      <c r="Z60" s="399">
        <f>Z58+Z59</f>
        <v>44.901310101279996</v>
      </c>
      <c r="AA60" s="132"/>
      <c r="AB60" s="400">
        <f t="shared" si="77"/>
        <v>1.8798951199999934</v>
      </c>
      <c r="AC60" s="401">
        <f t="shared" si="78"/>
        <v>4.3696729194472012E-2</v>
      </c>
      <c r="AD60" s="52"/>
      <c r="AE60" s="416"/>
      <c r="AF60" s="416"/>
      <c r="AG60" s="399">
        <f>AG58+AG59</f>
        <v>45.901256141280001</v>
      </c>
      <c r="AH60" s="132"/>
      <c r="AI60" s="400">
        <f t="shared" si="79"/>
        <v>0.99994604000000464</v>
      </c>
      <c r="AJ60" s="401">
        <f t="shared" si="80"/>
        <v>2.2269863345735635E-2</v>
      </c>
      <c r="AK60" s="52"/>
      <c r="AL60" s="416"/>
      <c r="AM60" s="416"/>
      <c r="AN60" s="399">
        <f>AN58+AN59</f>
        <v>46.823146301280005</v>
      </c>
      <c r="AO60" s="132"/>
      <c r="AP60" s="400">
        <f t="shared" si="81"/>
        <v>0.92189016000000379</v>
      </c>
      <c r="AQ60" s="401">
        <f t="shared" si="82"/>
        <v>2.0084203298543889E-2</v>
      </c>
      <c r="AR60" s="402"/>
      <c r="AS60" s="402"/>
    </row>
    <row r="61" spans="1:45" ht="12" customHeight="1">
      <c r="A61" s="52"/>
      <c r="B61" s="632" t="s">
        <v>277</v>
      </c>
      <c r="C61" s="623"/>
      <c r="D61" s="623"/>
      <c r="E61" s="321"/>
      <c r="F61" s="455">
        <f>F55</f>
        <v>0.23499999999999999</v>
      </c>
      <c r="G61" s="132"/>
      <c r="H61" s="491">
        <f>F61*H58</f>
        <v>8.2298851198399987</v>
      </c>
      <c r="I61" s="416"/>
      <c r="J61" s="455">
        <f>J55</f>
        <v>0.23499999999999999</v>
      </c>
      <c r="K61" s="416"/>
      <c r="L61" s="511">
        <f>J61*L58</f>
        <v>8.5524406941599995</v>
      </c>
      <c r="M61" s="132"/>
      <c r="N61" s="456">
        <f t="shared" si="73"/>
        <v>0.32255557432000082</v>
      </c>
      <c r="O61" s="458">
        <f t="shared" si="74"/>
        <v>3.9193204962534374E-2</v>
      </c>
      <c r="P61" s="52"/>
      <c r="Q61" s="455">
        <f>Q55</f>
        <v>0.23499999999999999</v>
      </c>
      <c r="R61" s="416"/>
      <c r="S61" s="511">
        <f>Q61*S58</f>
        <v>8.9469314341599997</v>
      </c>
      <c r="T61" s="132"/>
      <c r="U61" s="456">
        <f t="shared" si="75"/>
        <v>0.39449074000000017</v>
      </c>
      <c r="V61" s="458">
        <f t="shared" si="76"/>
        <v>4.6126100619367831E-2</v>
      </c>
      <c r="W61" s="52"/>
      <c r="X61" s="455">
        <f>X55</f>
        <v>0.23499999999999999</v>
      </c>
      <c r="Y61" s="416"/>
      <c r="Z61" s="511">
        <f>X61*Z58</f>
        <v>9.3378830741599987</v>
      </c>
      <c r="AA61" s="132"/>
      <c r="AB61" s="456">
        <f t="shared" si="77"/>
        <v>0.39095163999999905</v>
      </c>
      <c r="AC61" s="458">
        <f t="shared" si="78"/>
        <v>4.369672919447206E-2</v>
      </c>
      <c r="AD61" s="52"/>
      <c r="AE61" s="455">
        <f>AE55</f>
        <v>0.23499999999999999</v>
      </c>
      <c r="AF61" s="416"/>
      <c r="AG61" s="511">
        <f>AE61*AG58</f>
        <v>9.5458364541599998</v>
      </c>
      <c r="AH61" s="132"/>
      <c r="AI61" s="456">
        <f t="shared" si="79"/>
        <v>0.20795338000000108</v>
      </c>
      <c r="AJ61" s="458">
        <f t="shared" si="80"/>
        <v>2.2269863345735649E-2</v>
      </c>
      <c r="AK61" s="52"/>
      <c r="AL61" s="455">
        <f>AL55</f>
        <v>0.23499999999999999</v>
      </c>
      <c r="AM61" s="416"/>
      <c r="AN61" s="511">
        <f>AL61*AN58</f>
        <v>9.7375569741600003</v>
      </c>
      <c r="AO61" s="132"/>
      <c r="AP61" s="456">
        <f t="shared" si="81"/>
        <v>0.1917205200000005</v>
      </c>
      <c r="AQ61" s="458">
        <f t="shared" si="82"/>
        <v>2.0084203298543862E-2</v>
      </c>
      <c r="AR61" s="459"/>
      <c r="AS61" s="459"/>
    </row>
    <row r="62" spans="1:45" ht="12" customHeight="1">
      <c r="A62" s="52"/>
      <c r="B62" s="634" t="s">
        <v>325</v>
      </c>
      <c r="C62" s="615"/>
      <c r="D62" s="615"/>
      <c r="E62" s="460"/>
      <c r="F62" s="468"/>
      <c r="G62" s="494"/>
      <c r="H62" s="495">
        <f>H60-H61</f>
        <v>31.343605030879999</v>
      </c>
      <c r="I62" s="469"/>
      <c r="J62" s="469"/>
      <c r="K62" s="469"/>
      <c r="L62" s="470">
        <f>L60-L61</f>
        <v>32.572061367120007</v>
      </c>
      <c r="M62" s="471"/>
      <c r="N62" s="472">
        <f t="shared" si="73"/>
        <v>1.2284563362400078</v>
      </c>
      <c r="O62" s="473">
        <f t="shared" si="74"/>
        <v>3.919320496253452E-2</v>
      </c>
      <c r="P62" s="52"/>
      <c r="Q62" s="469"/>
      <c r="R62" s="469"/>
      <c r="S62" s="470">
        <f>S60-S61</f>
        <v>34.074483547120003</v>
      </c>
      <c r="T62" s="471"/>
      <c r="U62" s="472">
        <f t="shared" si="75"/>
        <v>1.5024221799999964</v>
      </c>
      <c r="V62" s="473">
        <f t="shared" si="76"/>
        <v>4.6126100619367685E-2</v>
      </c>
      <c r="W62" s="52"/>
      <c r="X62" s="469"/>
      <c r="Y62" s="469"/>
      <c r="Z62" s="470">
        <f>Z60-Z61</f>
        <v>35.563427027119999</v>
      </c>
      <c r="AA62" s="471"/>
      <c r="AB62" s="472">
        <f t="shared" si="77"/>
        <v>1.4889434799999961</v>
      </c>
      <c r="AC62" s="473">
        <f t="shared" si="78"/>
        <v>4.3696729194472046E-2</v>
      </c>
      <c r="AD62" s="52"/>
      <c r="AE62" s="469"/>
      <c r="AF62" s="469"/>
      <c r="AG62" s="470">
        <f>AG60-AG61</f>
        <v>36.355419687120005</v>
      </c>
      <c r="AH62" s="471"/>
      <c r="AI62" s="472">
        <f t="shared" si="79"/>
        <v>0.79199266000000534</v>
      </c>
      <c r="AJ62" s="473">
        <f t="shared" si="80"/>
        <v>2.2269863345735681E-2</v>
      </c>
      <c r="AK62" s="52"/>
      <c r="AL62" s="469"/>
      <c r="AM62" s="469"/>
      <c r="AN62" s="470">
        <f>AN60-AN61</f>
        <v>37.085589327120005</v>
      </c>
      <c r="AO62" s="471"/>
      <c r="AP62" s="472">
        <f t="shared" si="81"/>
        <v>0.73016963999999973</v>
      </c>
      <c r="AQ62" s="473">
        <f t="shared" si="82"/>
        <v>2.0084203298543799E-2</v>
      </c>
      <c r="AR62" s="467"/>
      <c r="AS62" s="467"/>
    </row>
    <row r="63" spans="1:45" ht="12" customHeight="1">
      <c r="A63" s="52"/>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442"/>
    </row>
    <row r="64" spans="1:45" ht="12" customHeight="1">
      <c r="A64" s="52"/>
      <c r="B64" s="52"/>
      <c r="C64" s="52"/>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52"/>
    </row>
    <row r="65" spans="1:45" ht="12" customHeight="1">
      <c r="A65" s="52"/>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52"/>
    </row>
    <row r="66" spans="1:45"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row>
    <row r="67" spans="1:45" ht="12" customHeight="1">
      <c r="A67" s="478"/>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row>
    <row r="68" spans="1:45"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row>
    <row r="69" spans="1:45"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row>
    <row r="70" spans="1:45" ht="12"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row>
    <row r="71" spans="1:45"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row>
    <row r="72" spans="1:45"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row>
    <row r="73" spans="1:45" ht="12" customHeight="1">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row>
    <row r="74" spans="1:45"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row>
    <row r="75" spans="1:45" ht="12" customHeight="1">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row>
    <row r="76" spans="1:45"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row>
    <row r="77" spans="1:45"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row>
    <row r="78" spans="1:45"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row>
    <row r="79" spans="1:45"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row>
    <row r="80" spans="1:45"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row>
    <row r="81" spans="1:45"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row>
    <row r="82" spans="1:45"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row>
    <row r="83" spans="1:45"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row>
    <row r="84" spans="1:45"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row>
    <row r="85" spans="1:45"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row>
    <row r="86" spans="1:45"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row>
    <row r="87" spans="1:45"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row>
    <row r="88" spans="1:45"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row>
    <row r="89" spans="1:45"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row>
    <row r="90" spans="1:45"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row>
    <row r="91" spans="1:45"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row>
    <row r="92" spans="1:45"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row>
    <row r="93" spans="1:45"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row>
    <row r="94" spans="1:45"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row>
    <row r="95" spans="1:45"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row>
    <row r="96" spans="1:45"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row>
    <row r="97" spans="1:45"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row>
    <row r="98" spans="1:45"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row>
    <row r="99" spans="1:45"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row>
    <row r="100" spans="1:45"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row>
    <row r="101" spans="1:45"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row>
    <row r="102" spans="1:45"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row>
    <row r="103" spans="1:45"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row>
    <row r="104" spans="1:45"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row>
    <row r="105" spans="1:45"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row>
    <row r="106" spans="1:45"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row>
    <row r="107" spans="1:45"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row>
    <row r="108" spans="1:45"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row>
    <row r="109" spans="1:45"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row>
    <row r="110" spans="1:45"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row>
    <row r="111" spans="1:45"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row>
    <row r="112" spans="1:45"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row>
    <row r="113" spans="1:45"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row>
    <row r="114" spans="1:45"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row>
    <row r="115" spans="1:45"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row>
    <row r="116" spans="1:45"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row>
    <row r="117" spans="1:45"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row>
    <row r="118" spans="1:45"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row>
    <row r="119" spans="1:45"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row>
    <row r="120" spans="1:45"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row>
    <row r="121" spans="1:45"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row>
    <row r="122" spans="1:45"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row>
    <row r="123" spans="1:45"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row>
    <row r="124" spans="1:45"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row>
    <row r="125" spans="1:45"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row>
    <row r="126" spans="1:45"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row>
    <row r="127" spans="1:45"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row>
    <row r="128" spans="1:45"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row>
    <row r="129" spans="1:45"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row>
    <row r="130" spans="1:45"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row>
    <row r="131" spans="1:45"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row>
    <row r="132" spans="1:45"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row>
    <row r="133" spans="1:45"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row>
    <row r="134" spans="1:45"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row>
    <row r="135" spans="1:45"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row>
    <row r="136" spans="1:45"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row>
    <row r="137" spans="1:45"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row>
    <row r="138" spans="1:45"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row>
    <row r="139" spans="1:45"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row>
    <row r="140" spans="1:45"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row>
    <row r="141" spans="1:45"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row>
    <row r="142" spans="1:45"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row>
    <row r="143" spans="1:45"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row>
    <row r="144" spans="1:45"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row>
    <row r="145" spans="1:45"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row>
    <row r="146" spans="1:45"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row>
    <row r="147" spans="1:45"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row>
    <row r="148" spans="1:45"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row>
    <row r="149" spans="1:45"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row>
    <row r="150" spans="1:45"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row>
    <row r="151" spans="1:45"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row>
    <row r="152" spans="1:45"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row>
    <row r="153" spans="1:45"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row>
    <row r="154" spans="1:45"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row>
    <row r="155" spans="1:45"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row>
    <row r="156" spans="1:45"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row>
    <row r="157" spans="1:45"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row>
    <row r="158" spans="1:45"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row>
    <row r="159" spans="1:45"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row>
    <row r="160" spans="1:45"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row>
    <row r="161" spans="1:45"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row>
    <row r="162" spans="1:45"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row>
    <row r="163" spans="1:45"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row>
    <row r="164" spans="1:45"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row>
    <row r="165" spans="1:45"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row>
    <row r="166" spans="1:45"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row>
    <row r="167" spans="1:45"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row>
    <row r="168" spans="1:45"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row>
    <row r="169" spans="1:45"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row>
    <row r="170" spans="1:45"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row>
    <row r="171" spans="1:45"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row>
    <row r="172" spans="1:45"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row>
    <row r="173" spans="1:45"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row>
    <row r="174" spans="1:45"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row>
    <row r="175" spans="1:45"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row>
    <row r="176" spans="1:45"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row>
    <row r="177" spans="1:45"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row>
    <row r="178" spans="1:45"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row>
    <row r="179" spans="1:45"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row>
    <row r="180" spans="1:45"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row>
    <row r="181" spans="1:45"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row>
    <row r="182" spans="1:45"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row>
    <row r="183" spans="1:45"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row>
    <row r="184" spans="1:45"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row>
    <row r="185" spans="1:45"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row>
    <row r="186" spans="1:45"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row>
    <row r="187" spans="1:45"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row>
    <row r="188" spans="1:45"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row>
    <row r="189" spans="1:45"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row>
    <row r="190" spans="1:45"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row>
    <row r="191" spans="1:45"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row>
    <row r="192" spans="1:45"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400-000000000000}">
      <formula1>"TOU,non-TOU"</formula1>
    </dataValidation>
    <dataValidation type="list" allowBlank="1" showErrorMessage="1" sqref="E15:E28 E30:E38 E40:E41 E43:E51 E57 E63" xr:uid="{00000000-0002-0000-2400-000001000000}">
      <formula1>#REF!</formula1>
    </dataValidation>
    <dataValidation type="list" allowBlank="1" showInputMessage="1" showErrorMessage="1" prompt="Select Charge Unit - monthly, per kWh, per kW" sqref="D15:D28 D30:D38 D40:D41 D43:D51 D57 D63" xr:uid="{00000000-0002-0000-2400-000002000000}">
      <formula1>"Monthly,per kWh,per kW"</formula1>
    </dataValidation>
  </dataValidations>
  <pageMargins left="0.74803149606299213" right="0.74803149606299213" top="0.98425196850393704" bottom="0.98425196850393704"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28515625" customWidth="1"/>
    <col min="6" max="6" width="10.28515625" customWidth="1"/>
    <col min="7" max="7" width="8" customWidth="1"/>
    <col min="8" max="8" width="8.710937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1.7109375" customWidth="1"/>
    <col min="17" max="17" width="10.42578125" customWidth="1"/>
    <col min="18" max="18" width="8" customWidth="1"/>
    <col min="19" max="19" width="8.28515625" customWidth="1"/>
    <col min="20" max="20" width="0.42578125"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0.7109375" customWidth="1"/>
    <col min="31" max="31" width="10.42578125" customWidth="1"/>
    <col min="32" max="32" width="8" customWidth="1"/>
    <col min="33" max="33" width="8.28515625" customWidth="1"/>
    <col min="34" max="34" width="1"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0.42578125" customWidth="1"/>
    <col min="42" max="42" width="9.42578125" customWidth="1"/>
    <col min="43" max="43" width="10" customWidth="1"/>
    <col min="44" max="44" width="1.28515625" customWidth="1"/>
    <col min="45" max="45" width="10.85546875" customWidth="1"/>
    <col min="46" max="48" width="12.42578125" customWidth="1"/>
  </cols>
  <sheetData>
    <row r="1" spans="1:48" ht="7.5" customHeight="1">
      <c r="A1" s="52"/>
      <c r="B1" s="52"/>
      <c r="C1" s="554"/>
      <c r="D1" s="52"/>
      <c r="E1" s="52"/>
      <c r="F1" s="52"/>
      <c r="G1" s="52"/>
      <c r="H1" s="52"/>
      <c r="I1" s="52"/>
      <c r="J1" s="52"/>
      <c r="K1" s="52"/>
      <c r="L1" s="3"/>
      <c r="M1" s="3"/>
      <c r="N1" s="3"/>
      <c r="O1" s="3"/>
      <c r="P1" s="3"/>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row>
    <row r="2" spans="1:48" ht="18.75" customHeight="1">
      <c r="A2" s="52"/>
      <c r="B2" s="52"/>
      <c r="C2" s="555"/>
      <c r="D2" s="378"/>
      <c r="E2" s="378"/>
      <c r="F2" s="378" t="s">
        <v>295</v>
      </c>
      <c r="G2" s="378"/>
      <c r="H2" s="378"/>
      <c r="I2" s="378"/>
      <c r="J2" s="132"/>
      <c r="K2" s="6"/>
      <c r="L2" s="378"/>
      <c r="M2" s="378"/>
      <c r="N2" s="378"/>
      <c r="O2" s="378"/>
      <c r="P2" s="3"/>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pans="1:48" ht="18.75" customHeight="1">
      <c r="A3" s="52"/>
      <c r="B3" s="52"/>
      <c r="C3" s="555"/>
      <c r="D3" s="378"/>
      <c r="E3" s="378"/>
      <c r="F3" s="378" t="s">
        <v>297</v>
      </c>
      <c r="G3" s="378"/>
      <c r="H3" s="378"/>
      <c r="I3" s="378"/>
      <c r="J3" s="132"/>
      <c r="K3" s="6"/>
      <c r="L3" s="378"/>
      <c r="M3" s="378"/>
      <c r="N3" s="378"/>
      <c r="O3" s="378"/>
      <c r="P3" s="3"/>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row>
    <row r="4" spans="1:48" ht="7.5" customHeight="1">
      <c r="A4" s="52"/>
      <c r="B4" s="52"/>
      <c r="C4" s="554"/>
      <c r="D4" s="52"/>
      <c r="E4" s="52"/>
      <c r="F4" s="52"/>
      <c r="G4" s="52"/>
      <c r="H4" s="52"/>
      <c r="I4" s="52"/>
      <c r="J4" s="52"/>
      <c r="K4" s="52"/>
      <c r="L4" s="3"/>
      <c r="M4" s="3"/>
      <c r="N4" s="3"/>
      <c r="O4" s="3"/>
      <c r="P4" s="3"/>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3"/>
      <c r="AU4" s="3"/>
      <c r="AV4" s="3"/>
    </row>
    <row r="5" spans="1:48" ht="7.5" customHeight="1">
      <c r="A5" s="52"/>
      <c r="B5" s="52"/>
      <c r="C5" s="554"/>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3"/>
      <c r="AU5" s="3"/>
      <c r="AV5" s="3"/>
    </row>
    <row r="6" spans="1:48" ht="12.75" customHeight="1">
      <c r="A6" s="52"/>
      <c r="B6" s="320" t="s">
        <v>298</v>
      </c>
      <c r="C6" s="554"/>
      <c r="D6" s="380" t="s">
        <v>227</v>
      </c>
      <c r="E6" s="380"/>
      <c r="F6" s="381"/>
      <c r="G6" s="381"/>
      <c r="H6" s="381"/>
      <c r="I6" s="381"/>
      <c r="J6" s="381"/>
      <c r="K6" s="381"/>
      <c r="L6" s="569"/>
      <c r="M6" s="570"/>
      <c r="N6" s="57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3"/>
      <c r="AU6" s="3"/>
      <c r="AV6" s="3"/>
    </row>
    <row r="7" spans="1:48" ht="21.75" customHeight="1">
      <c r="A7" s="52"/>
      <c r="B7" s="382"/>
      <c r="C7" s="554"/>
      <c r="D7" s="383"/>
      <c r="E7" s="383"/>
      <c r="F7" s="383"/>
      <c r="G7" s="383"/>
      <c r="H7" s="383"/>
      <c r="I7" s="383"/>
      <c r="J7" s="383"/>
      <c r="K7" s="383"/>
      <c r="L7" s="569"/>
      <c r="M7" s="572"/>
      <c r="N7" s="571"/>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row>
    <row r="8" spans="1:48" ht="12.75" customHeight="1">
      <c r="A8" s="52"/>
      <c r="B8" s="320" t="s">
        <v>299</v>
      </c>
      <c r="C8" s="554"/>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row>
    <row r="9" spans="1:48" ht="12.75" customHeight="1">
      <c r="A9" s="52"/>
      <c r="B9" s="382"/>
      <c r="C9" s="554"/>
      <c r="D9" s="307" t="s">
        <v>301</v>
      </c>
      <c r="E9" s="307"/>
      <c r="F9" s="385">
        <v>150</v>
      </c>
      <c r="G9" s="307" t="s">
        <v>302</v>
      </c>
      <c r="H9" s="383"/>
      <c r="I9" s="383"/>
      <c r="J9" s="383"/>
      <c r="K9" s="383"/>
      <c r="L9" s="383"/>
      <c r="M9" s="383"/>
      <c r="N9" s="383"/>
      <c r="O9" s="383"/>
      <c r="P9" s="52"/>
      <c r="Q9" s="52"/>
      <c r="R9" s="13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row>
    <row r="10" spans="1:48" ht="12.75" customHeight="1">
      <c r="A10" s="52"/>
      <c r="B10" s="52"/>
      <c r="C10" s="554"/>
      <c r="D10" s="52"/>
      <c r="E10" s="52"/>
      <c r="F10" s="385">
        <v>1</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row>
    <row r="11" spans="1:48" ht="12.75" customHeight="1">
      <c r="A11" s="52"/>
      <c r="B11" s="52"/>
      <c r="C11" s="554"/>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86"/>
    </row>
    <row r="12" spans="1:48"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565"/>
    </row>
    <row r="13" spans="1:48"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87"/>
    </row>
    <row r="14" spans="1:48"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87"/>
    </row>
    <row r="15" spans="1:48" ht="12.75" customHeight="1">
      <c r="A15" s="52"/>
      <c r="B15" s="321" t="s">
        <v>221</v>
      </c>
      <c r="C15" s="394" t="str">
        <f t="shared" ref="C15:C28" si="0">D$6&amp;"."&amp;B15</f>
        <v>Street Light.Monthly Service Charge</v>
      </c>
      <c r="D15" s="395" t="s">
        <v>310</v>
      </c>
      <c r="E15" s="321"/>
      <c r="F15" s="396">
        <f>IFERROR(VLOOKUP($C15,'Proposed Rates'!$B:$J,F$11,FALSE),0)</f>
        <v>1.1200000000000001</v>
      </c>
      <c r="G15" s="414">
        <f t="shared" ref="G15:G28" si="1">IF($D15="Monthly",1,IF($D15="per KW",$F$10,IF($D15="per kWh",$F$9,0)))</f>
        <v>1</v>
      </c>
      <c r="H15" s="399">
        <f t="shared" ref="H15:H28" si="2">G15*F15</f>
        <v>1.1200000000000001</v>
      </c>
      <c r="I15" s="132"/>
      <c r="J15" s="396">
        <f>IFERROR(VLOOKUP($C15,'Proposed Rates'!$B:$J,J$11,FALSE),0)</f>
        <v>1.24</v>
      </c>
      <c r="K15" s="414">
        <f t="shared" ref="K15:K28" si="3">IF($D15="Monthly",1,IF($D15="per KW",$F$10,IF($D15="per kWh",$F$9,0)))</f>
        <v>1</v>
      </c>
      <c r="L15" s="399">
        <f t="shared" ref="L15:L28" si="4">K15*J15</f>
        <v>1.24</v>
      </c>
      <c r="M15" s="132"/>
      <c r="N15" s="400">
        <f t="shared" ref="N15:N46" si="5">L15-H15</f>
        <v>0.11999999999999988</v>
      </c>
      <c r="O15" s="401">
        <f t="shared" ref="O15:O46" si="6">IF((H15)=0,"",(N15/H15))</f>
        <v>0.10714285714285703</v>
      </c>
      <c r="P15" s="52"/>
      <c r="Q15" s="396">
        <f>IFERROR(VLOOKUP($C15,'Proposed Rates'!$B:$J,Q$11,FALSE),0)</f>
        <v>1.17</v>
      </c>
      <c r="R15" s="414">
        <f t="shared" ref="R15:R28" si="7">IF($D15="Monthly",1,IF($D15="per KW",$F$10,IF($D15="per kWh",$F$9,0)))</f>
        <v>1</v>
      </c>
      <c r="S15" s="399">
        <f t="shared" ref="S15:S28" si="8">R15*Q15</f>
        <v>1.17</v>
      </c>
      <c r="T15" s="132"/>
      <c r="U15" s="400">
        <f t="shared" ref="U15:U46" si="9">S15-L15</f>
        <v>-7.0000000000000062E-2</v>
      </c>
      <c r="V15" s="401">
        <f t="shared" ref="V15:V46" si="10">IF((L15)=0,"",(U15/L15))</f>
        <v>-5.645161290322586E-2</v>
      </c>
      <c r="W15" s="52"/>
      <c r="X15" s="396">
        <f>IFERROR(VLOOKUP($C15,'Proposed Rates'!$B:$J,X$11,FALSE),0)</f>
        <v>1.24</v>
      </c>
      <c r="Y15" s="414">
        <f t="shared" ref="Y15:Y28" si="11">IF($D15="Monthly",1,IF($D15="per KW",$F$10,IF($D15="per kWh",$F$9,0)))</f>
        <v>1</v>
      </c>
      <c r="Z15" s="399">
        <f t="shared" ref="Z15:Z28" si="12">Y15*X15</f>
        <v>1.24</v>
      </c>
      <c r="AA15" s="132"/>
      <c r="AB15" s="400">
        <f t="shared" ref="AB15:AB46" si="13">Z15-S15</f>
        <v>7.0000000000000062E-2</v>
      </c>
      <c r="AC15" s="401">
        <f t="shared" ref="AC15:AC46" si="14">IF((S15)=0,"",(AB15/S15))</f>
        <v>5.9829059829059887E-2</v>
      </c>
      <c r="AD15" s="52"/>
      <c r="AE15" s="396">
        <f>IFERROR(VLOOKUP($C15,'Proposed Rates'!$B:$J,AE$11,FALSE),0)</f>
        <v>1.24</v>
      </c>
      <c r="AF15" s="414">
        <f t="shared" ref="AF15:AF28" si="15">IF($D15="Monthly",1,IF($D15="per KW",$F$10,IF($D15="per kWh",$F$9,0)))</f>
        <v>1</v>
      </c>
      <c r="AG15" s="399">
        <f t="shared" ref="AG15:AG28" si="16">AF15*AE15</f>
        <v>1.24</v>
      </c>
      <c r="AH15" s="132"/>
      <c r="AI15" s="400">
        <f t="shared" ref="AI15:AI46" si="17">AG15-Z15</f>
        <v>0</v>
      </c>
      <c r="AJ15" s="401">
        <f t="shared" ref="AJ15:AJ46" si="18">IF((Z15)=0,"",(AI15/Z15))</f>
        <v>0</v>
      </c>
      <c r="AK15" s="52"/>
      <c r="AL15" s="396">
        <f>IFERROR(VLOOKUP($C15,'Proposed Rates'!$B:$J,AL$11,FALSE),0)</f>
        <v>1.25</v>
      </c>
      <c r="AM15" s="414">
        <f t="shared" ref="AM15:AM28" si="19">IF($D15="Monthly",1,IF($D15="per KW",$F$10,IF($D15="per kWh",$F$9,0)))</f>
        <v>1</v>
      </c>
      <c r="AN15" s="399">
        <f t="shared" ref="AN15:AN28" si="20">AM15*AL15</f>
        <v>1.25</v>
      </c>
      <c r="AO15" s="132"/>
      <c r="AP15" s="400">
        <f t="shared" ref="AP15:AP46" si="21">AN15-AG15</f>
        <v>1.0000000000000009E-2</v>
      </c>
      <c r="AQ15" s="401">
        <f t="shared" ref="AQ15:AQ46" si="22">IF((AG15)=0,"",(AP15/AG15))</f>
        <v>8.0645161290322648E-3</v>
      </c>
      <c r="AR15" s="402"/>
      <c r="AS15" s="402"/>
    </row>
    <row r="16" spans="1:48" ht="12.75" customHeight="1">
      <c r="A16" s="52"/>
      <c r="B16" s="321" t="s">
        <v>311</v>
      </c>
      <c r="C16" s="394" t="str">
        <f t="shared" si="0"/>
        <v>Street Light.Smart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c r="AS16" s="402"/>
    </row>
    <row r="17" spans="1:45" ht="12.75" customHeight="1">
      <c r="A17" s="52"/>
      <c r="B17" s="403" t="str">
        <f>'Proposed Rates'!C115</f>
        <v>Rate Rider Calculation for PILs</v>
      </c>
      <c r="C17" s="394" t="str">
        <f t="shared" si="0"/>
        <v>Street Light.Rate Rider Calculation for PILs</v>
      </c>
      <c r="D17" s="395" t="s">
        <v>381</v>
      </c>
      <c r="E17" s="321"/>
      <c r="F17" s="396">
        <f>IFERROR(VLOOKUP($C17,'Proposed Rates'!$B:$J,F$11,FALSE),0)</f>
        <v>0</v>
      </c>
      <c r="G17" s="414">
        <f t="shared" si="1"/>
        <v>1</v>
      </c>
      <c r="H17" s="399">
        <f t="shared" si="2"/>
        <v>0</v>
      </c>
      <c r="I17" s="132"/>
      <c r="J17" s="396">
        <f>IFERROR(VLOOKUP($C17,'Proposed Rates'!$B:$J,J$11,FALSE),0)</f>
        <v>0</v>
      </c>
      <c r="K17" s="414">
        <f t="shared" si="3"/>
        <v>1</v>
      </c>
      <c r="L17" s="399">
        <f t="shared" si="4"/>
        <v>0</v>
      </c>
      <c r="M17" s="132"/>
      <c r="N17" s="400">
        <f t="shared" si="5"/>
        <v>0</v>
      </c>
      <c r="O17" s="401" t="str">
        <f t="shared" si="6"/>
        <v/>
      </c>
      <c r="P17" s="52"/>
      <c r="Q17" s="396">
        <f>IFERROR(VLOOKUP($C17,'Proposed Rates'!$B:$J,Q$11,FALSE),0)</f>
        <v>0</v>
      </c>
      <c r="R17" s="414">
        <f t="shared" si="7"/>
        <v>1</v>
      </c>
      <c r="S17" s="399">
        <f t="shared" si="8"/>
        <v>0</v>
      </c>
      <c r="T17" s="132"/>
      <c r="U17" s="400">
        <f t="shared" si="9"/>
        <v>0</v>
      </c>
      <c r="V17" s="401" t="str">
        <f t="shared" si="10"/>
        <v/>
      </c>
      <c r="W17" s="52"/>
      <c r="X17" s="396">
        <f>IFERROR(VLOOKUP($C17,'Proposed Rates'!$B:$J,X$11,FALSE),0)</f>
        <v>0</v>
      </c>
      <c r="Y17" s="414">
        <f t="shared" si="11"/>
        <v>1</v>
      </c>
      <c r="Z17" s="399">
        <f t="shared" si="12"/>
        <v>0</v>
      </c>
      <c r="AA17" s="132"/>
      <c r="AB17" s="400">
        <f t="shared" si="13"/>
        <v>0</v>
      </c>
      <c r="AC17" s="401" t="str">
        <f t="shared" si="14"/>
        <v/>
      </c>
      <c r="AD17" s="52"/>
      <c r="AE17" s="396">
        <f>IFERROR(VLOOKUP($C17,'Proposed Rates'!$B:$J,AE$11,FALSE),0)</f>
        <v>0</v>
      </c>
      <c r="AF17" s="414">
        <f t="shared" si="15"/>
        <v>1</v>
      </c>
      <c r="AG17" s="399">
        <f t="shared" si="16"/>
        <v>0</v>
      </c>
      <c r="AH17" s="132"/>
      <c r="AI17" s="400">
        <f t="shared" si="17"/>
        <v>0</v>
      </c>
      <c r="AJ17" s="401" t="str">
        <f t="shared" si="18"/>
        <v/>
      </c>
      <c r="AK17" s="52"/>
      <c r="AL17" s="396">
        <f>IFERROR(VLOOKUP($C17,'Proposed Rates'!$B:$J,AL$11,FALSE),0)</f>
        <v>0</v>
      </c>
      <c r="AM17" s="414">
        <f t="shared" si="19"/>
        <v>1</v>
      </c>
      <c r="AN17" s="399">
        <f t="shared" si="20"/>
        <v>0</v>
      </c>
      <c r="AO17" s="132"/>
      <c r="AP17" s="400">
        <f t="shared" si="21"/>
        <v>0</v>
      </c>
      <c r="AQ17" s="401" t="str">
        <f t="shared" si="22"/>
        <v/>
      </c>
      <c r="AR17" s="402"/>
      <c r="AS17" s="402"/>
    </row>
    <row r="18" spans="1:45" ht="12.75" customHeight="1">
      <c r="A18" s="52"/>
      <c r="B18" s="403" t="str">
        <f>'Proposed Rates'!C128</f>
        <v>Rate Rider Calculation for Generic</v>
      </c>
      <c r="C18" s="394" t="str">
        <f t="shared" si="0"/>
        <v>Street Light.Rate Rider Calculation for Generic</v>
      </c>
      <c r="D18" s="395" t="s">
        <v>381</v>
      </c>
      <c r="E18" s="321"/>
      <c r="F18" s="396">
        <f>IFERROR(VLOOKUP($C18,'Proposed Rates'!$B:$J,F$11,FALSE),0)</f>
        <v>0</v>
      </c>
      <c r="G18" s="414">
        <f t="shared" si="1"/>
        <v>1</v>
      </c>
      <c r="H18" s="399">
        <f t="shared" si="2"/>
        <v>0</v>
      </c>
      <c r="I18" s="132"/>
      <c r="J18" s="396">
        <f>IFERROR(VLOOKUP($C18,'Proposed Rates'!$B:$J,J$11,FALSE),0)</f>
        <v>0</v>
      </c>
      <c r="K18" s="414">
        <f t="shared" si="3"/>
        <v>1</v>
      </c>
      <c r="L18" s="399">
        <f t="shared" si="4"/>
        <v>0</v>
      </c>
      <c r="M18" s="132"/>
      <c r="N18" s="400">
        <f t="shared" si="5"/>
        <v>0</v>
      </c>
      <c r="O18" s="401" t="str">
        <f t="shared" si="6"/>
        <v/>
      </c>
      <c r="P18" s="52"/>
      <c r="Q18" s="396">
        <f>IFERROR(VLOOKUP($C18,'Proposed Rates'!$B:$J,Q$11,FALSE),0)</f>
        <v>0</v>
      </c>
      <c r="R18" s="414">
        <f t="shared" si="7"/>
        <v>1</v>
      </c>
      <c r="S18" s="399">
        <f t="shared" si="8"/>
        <v>0</v>
      </c>
      <c r="T18" s="132"/>
      <c r="U18" s="400">
        <f t="shared" si="9"/>
        <v>0</v>
      </c>
      <c r="V18" s="401" t="str">
        <f t="shared" si="10"/>
        <v/>
      </c>
      <c r="W18" s="52"/>
      <c r="X18" s="396">
        <f>IFERROR(VLOOKUP($C18,'Proposed Rates'!$B:$J,X$11,FALSE),0)</f>
        <v>0</v>
      </c>
      <c r="Y18" s="414">
        <f t="shared" si="11"/>
        <v>1</v>
      </c>
      <c r="Z18" s="399">
        <f t="shared" si="12"/>
        <v>0</v>
      </c>
      <c r="AA18" s="132"/>
      <c r="AB18" s="400">
        <f t="shared" si="13"/>
        <v>0</v>
      </c>
      <c r="AC18" s="401" t="str">
        <f t="shared" si="14"/>
        <v/>
      </c>
      <c r="AD18" s="52"/>
      <c r="AE18" s="396">
        <f>IFERROR(VLOOKUP($C18,'Proposed Rates'!$B:$J,AE$11,FALSE),0)</f>
        <v>0</v>
      </c>
      <c r="AF18" s="414">
        <f t="shared" si="15"/>
        <v>1</v>
      </c>
      <c r="AG18" s="399">
        <f t="shared" si="16"/>
        <v>0</v>
      </c>
      <c r="AH18" s="132"/>
      <c r="AI18" s="400">
        <f t="shared" si="17"/>
        <v>0</v>
      </c>
      <c r="AJ18" s="401" t="str">
        <f t="shared" si="18"/>
        <v/>
      </c>
      <c r="AK18" s="52"/>
      <c r="AL18" s="396">
        <f>IFERROR(VLOOKUP($C18,'Proposed Rates'!$B:$J,AL$11,FALSE),0)</f>
        <v>0</v>
      </c>
      <c r="AM18" s="414">
        <f t="shared" si="19"/>
        <v>1</v>
      </c>
      <c r="AN18" s="399">
        <f t="shared" si="20"/>
        <v>0</v>
      </c>
      <c r="AO18" s="132"/>
      <c r="AP18" s="400">
        <f t="shared" si="21"/>
        <v>0</v>
      </c>
      <c r="AQ18" s="401" t="str">
        <f t="shared" si="22"/>
        <v/>
      </c>
      <c r="AR18" s="402"/>
      <c r="AS18" s="402"/>
    </row>
    <row r="19" spans="1:45" ht="12.75" customHeight="1">
      <c r="A19" s="52"/>
      <c r="B19" s="321" t="s">
        <v>59</v>
      </c>
      <c r="C19" s="394" t="str">
        <f t="shared" si="0"/>
        <v>Street Light.Distribution Volumetric Rate</v>
      </c>
      <c r="D19" s="395" t="s">
        <v>381</v>
      </c>
      <c r="E19" s="321"/>
      <c r="F19" s="413">
        <f>IFERROR(VLOOKUP($C19,'Proposed Rates'!$B:$J,F$11,FALSE),0)</f>
        <v>7.8163999999999998</v>
      </c>
      <c r="G19" s="414">
        <f t="shared" si="1"/>
        <v>1</v>
      </c>
      <c r="H19" s="399">
        <f t="shared" si="2"/>
        <v>7.8163999999999998</v>
      </c>
      <c r="I19" s="132"/>
      <c r="J19" s="413">
        <f>IFERROR(VLOOKUP($C19,'Proposed Rates'!$B:$J,J$11,FALSE),0)</f>
        <v>8.5587999999999997</v>
      </c>
      <c r="K19" s="414">
        <f t="shared" si="3"/>
        <v>1</v>
      </c>
      <c r="L19" s="399">
        <f t="shared" si="4"/>
        <v>8.5587999999999997</v>
      </c>
      <c r="M19" s="132"/>
      <c r="N19" s="400">
        <f t="shared" si="5"/>
        <v>0.74239999999999995</v>
      </c>
      <c r="O19" s="401">
        <f t="shared" si="6"/>
        <v>9.4979786090783475E-2</v>
      </c>
      <c r="P19" s="52"/>
      <c r="Q19" s="413">
        <f>IFERROR(VLOOKUP($C19,'Proposed Rates'!$B:$J,Q$11,FALSE),0)</f>
        <v>8.0873000000000008</v>
      </c>
      <c r="R19" s="414">
        <f t="shared" si="7"/>
        <v>1</v>
      </c>
      <c r="S19" s="399">
        <f t="shared" si="8"/>
        <v>8.0873000000000008</v>
      </c>
      <c r="T19" s="132"/>
      <c r="U19" s="400">
        <f t="shared" si="9"/>
        <v>-0.47149999999999892</v>
      </c>
      <c r="V19" s="401">
        <f t="shared" si="10"/>
        <v>-5.5089498527830877E-2</v>
      </c>
      <c r="W19" s="52"/>
      <c r="X19" s="413">
        <f>IFERROR(VLOOKUP($C19,'Proposed Rates'!$B:$J,X$11,FALSE),0)</f>
        <v>8.5327999999999999</v>
      </c>
      <c r="Y19" s="414">
        <f t="shared" si="11"/>
        <v>1</v>
      </c>
      <c r="Z19" s="399">
        <f t="shared" si="12"/>
        <v>8.5327999999999999</v>
      </c>
      <c r="AA19" s="132"/>
      <c r="AB19" s="400">
        <f t="shared" si="13"/>
        <v>0.44549999999999912</v>
      </c>
      <c r="AC19" s="401">
        <f t="shared" si="14"/>
        <v>5.5086369987511166E-2</v>
      </c>
      <c r="AD19" s="52"/>
      <c r="AE19" s="413">
        <f>IFERROR(VLOOKUP($C19,'Proposed Rates'!$B:$J,AE$11,FALSE),0)</f>
        <v>8.6244999999999994</v>
      </c>
      <c r="AF19" s="414">
        <f t="shared" si="15"/>
        <v>1</v>
      </c>
      <c r="AG19" s="399">
        <f t="shared" si="16"/>
        <v>8.6244999999999994</v>
      </c>
      <c r="AH19" s="132"/>
      <c r="AI19" s="400">
        <f t="shared" si="17"/>
        <v>9.1699999999999449E-2</v>
      </c>
      <c r="AJ19" s="401">
        <f t="shared" si="18"/>
        <v>1.0746765422838863E-2</v>
      </c>
      <c r="AK19" s="52"/>
      <c r="AL19" s="413">
        <f>IFERROR(VLOOKUP($C19,'Proposed Rates'!$B:$J,AL$11,FALSE),0)</f>
        <v>8.6967999999999996</v>
      </c>
      <c r="AM19" s="414">
        <f t="shared" si="19"/>
        <v>1</v>
      </c>
      <c r="AN19" s="399">
        <f t="shared" si="20"/>
        <v>8.6967999999999996</v>
      </c>
      <c r="AO19" s="132"/>
      <c r="AP19" s="400">
        <f t="shared" si="21"/>
        <v>7.2300000000000253E-2</v>
      </c>
      <c r="AQ19" s="401">
        <f t="shared" si="22"/>
        <v>8.3830946721549383E-3</v>
      </c>
      <c r="AR19" s="402"/>
      <c r="AS19" s="402"/>
    </row>
    <row r="20" spans="1:45" ht="12.75" customHeight="1">
      <c r="A20" s="52"/>
      <c r="B20" s="321" t="s">
        <v>313</v>
      </c>
      <c r="C20" s="394" t="str">
        <f t="shared" si="0"/>
        <v>Street Light.Smart Meter Disposition Rider</v>
      </c>
      <c r="D20" s="395" t="s">
        <v>312</v>
      </c>
      <c r="E20" s="321"/>
      <c r="F20" s="396">
        <f>IFERROR(VLOOKUP($C20,'Proposed Rates'!$B:$J,F$11,FALSE),0)</f>
        <v>0</v>
      </c>
      <c r="G20" s="414">
        <f t="shared" si="1"/>
        <v>150</v>
      </c>
      <c r="H20" s="399">
        <f t="shared" si="2"/>
        <v>0</v>
      </c>
      <c r="I20" s="132"/>
      <c r="J20" s="396">
        <f>IFERROR(VLOOKUP($C20,'Proposed Rates'!$B:$J,J$11,FALSE),0)</f>
        <v>0</v>
      </c>
      <c r="K20" s="414">
        <f t="shared" si="3"/>
        <v>150</v>
      </c>
      <c r="L20" s="399">
        <f t="shared" si="4"/>
        <v>0</v>
      </c>
      <c r="M20" s="132"/>
      <c r="N20" s="400">
        <f t="shared" si="5"/>
        <v>0</v>
      </c>
      <c r="O20" s="401" t="str">
        <f t="shared" si="6"/>
        <v/>
      </c>
      <c r="P20" s="52"/>
      <c r="Q20" s="396">
        <f>IFERROR(VLOOKUP($C20,'Proposed Rates'!$B:$J,Q$11,FALSE),0)</f>
        <v>0</v>
      </c>
      <c r="R20" s="414">
        <f t="shared" si="7"/>
        <v>150</v>
      </c>
      <c r="S20" s="399">
        <f t="shared" si="8"/>
        <v>0</v>
      </c>
      <c r="T20" s="132"/>
      <c r="U20" s="400">
        <f t="shared" si="9"/>
        <v>0</v>
      </c>
      <c r="V20" s="401" t="str">
        <f t="shared" si="10"/>
        <v/>
      </c>
      <c r="W20" s="52"/>
      <c r="X20" s="396">
        <f>IFERROR(VLOOKUP($C20,'Proposed Rates'!$B:$J,X$11,FALSE),0)</f>
        <v>0</v>
      </c>
      <c r="Y20" s="414">
        <f t="shared" si="11"/>
        <v>150</v>
      </c>
      <c r="Z20" s="399">
        <f t="shared" si="12"/>
        <v>0</v>
      </c>
      <c r="AA20" s="132"/>
      <c r="AB20" s="400">
        <f t="shared" si="13"/>
        <v>0</v>
      </c>
      <c r="AC20" s="401" t="str">
        <f t="shared" si="14"/>
        <v/>
      </c>
      <c r="AD20" s="52"/>
      <c r="AE20" s="396">
        <f>IFERROR(VLOOKUP($C20,'Proposed Rates'!$B:$J,AE$11,FALSE),0)</f>
        <v>0</v>
      </c>
      <c r="AF20" s="414">
        <f t="shared" si="15"/>
        <v>150</v>
      </c>
      <c r="AG20" s="399">
        <f t="shared" si="16"/>
        <v>0</v>
      </c>
      <c r="AH20" s="132"/>
      <c r="AI20" s="400">
        <f t="shared" si="17"/>
        <v>0</v>
      </c>
      <c r="AJ20" s="401" t="str">
        <f t="shared" si="18"/>
        <v/>
      </c>
      <c r="AK20" s="52"/>
      <c r="AL20" s="396">
        <f>IFERROR(VLOOKUP($C20,'Proposed Rates'!$B:$J,AL$11,FALSE),0)</f>
        <v>0</v>
      </c>
      <c r="AM20" s="414">
        <f t="shared" si="19"/>
        <v>150</v>
      </c>
      <c r="AN20" s="399">
        <f t="shared" si="20"/>
        <v>0</v>
      </c>
      <c r="AO20" s="132"/>
      <c r="AP20" s="400">
        <f t="shared" si="21"/>
        <v>0</v>
      </c>
      <c r="AQ20" s="401" t="str">
        <f t="shared" si="22"/>
        <v/>
      </c>
      <c r="AR20" s="402"/>
      <c r="AS20" s="402"/>
    </row>
    <row r="21" spans="1:45" ht="12.75" customHeight="1">
      <c r="A21" s="52"/>
      <c r="B21" s="321" t="s">
        <v>244</v>
      </c>
      <c r="C21" s="394" t="str">
        <f t="shared" si="0"/>
        <v>Street Light.LRAM Rate Rider</v>
      </c>
      <c r="D21" s="395" t="s">
        <v>381</v>
      </c>
      <c r="E21" s="321"/>
      <c r="F21" s="413">
        <f>'Proposed Rates'!E82+'Proposed Rates'!E95</f>
        <v>4.8925000000000001</v>
      </c>
      <c r="G21" s="414">
        <f t="shared" si="1"/>
        <v>1</v>
      </c>
      <c r="H21" s="399">
        <f t="shared" si="2"/>
        <v>4.8925000000000001</v>
      </c>
      <c r="I21" s="132"/>
      <c r="J21" s="413">
        <f>'Proposed Rates'!F82+'Proposed Rates'!F95</f>
        <v>4.2968000000000002</v>
      </c>
      <c r="K21" s="414">
        <f t="shared" si="3"/>
        <v>1</v>
      </c>
      <c r="L21" s="399">
        <f t="shared" si="4"/>
        <v>4.2968000000000002</v>
      </c>
      <c r="M21" s="132"/>
      <c r="N21" s="400">
        <f t="shared" si="5"/>
        <v>-0.5956999999999999</v>
      </c>
      <c r="O21" s="401">
        <f t="shared" si="6"/>
        <v>-0.12175779253960141</v>
      </c>
      <c r="P21" s="52"/>
      <c r="Q21" s="413">
        <f>'Proposed Rates'!G82+'Proposed Rates'!G95</f>
        <v>0</v>
      </c>
      <c r="R21" s="414">
        <f t="shared" si="7"/>
        <v>1</v>
      </c>
      <c r="S21" s="399">
        <f t="shared" si="8"/>
        <v>0</v>
      </c>
      <c r="T21" s="132"/>
      <c r="U21" s="400">
        <f t="shared" si="9"/>
        <v>-4.2968000000000002</v>
      </c>
      <c r="V21" s="401">
        <f t="shared" si="10"/>
        <v>-1</v>
      </c>
      <c r="W21" s="52"/>
      <c r="X21" s="413">
        <f>IFERROR(VLOOKUP($C21,'Proposed Rates'!$B:$J,X$11,FALSE),0)</f>
        <v>0</v>
      </c>
      <c r="Y21" s="414">
        <f t="shared" si="11"/>
        <v>1</v>
      </c>
      <c r="Z21" s="399">
        <f t="shared" si="12"/>
        <v>0</v>
      </c>
      <c r="AA21" s="132"/>
      <c r="AB21" s="400">
        <f t="shared" si="13"/>
        <v>0</v>
      </c>
      <c r="AC21" s="401" t="str">
        <f t="shared" si="14"/>
        <v/>
      </c>
      <c r="AD21" s="52"/>
      <c r="AE21" s="413">
        <f>IFERROR(VLOOKUP($C21,'Proposed Rates'!$B:$J,AE$11,FALSE),0)</f>
        <v>0</v>
      </c>
      <c r="AF21" s="414">
        <f t="shared" si="15"/>
        <v>1</v>
      </c>
      <c r="AG21" s="399">
        <f t="shared" si="16"/>
        <v>0</v>
      </c>
      <c r="AH21" s="132"/>
      <c r="AI21" s="400">
        <f t="shared" si="17"/>
        <v>0</v>
      </c>
      <c r="AJ21" s="401" t="str">
        <f t="shared" si="18"/>
        <v/>
      </c>
      <c r="AK21" s="52"/>
      <c r="AL21" s="413">
        <f>IFERROR(VLOOKUP($C21,'Proposed Rates'!$B:$J,AL$11,FALSE),0)</f>
        <v>0</v>
      </c>
      <c r="AM21" s="414">
        <f t="shared" si="19"/>
        <v>1</v>
      </c>
      <c r="AN21" s="399">
        <f t="shared" si="20"/>
        <v>0</v>
      </c>
      <c r="AO21" s="132"/>
      <c r="AP21" s="400">
        <f t="shared" si="21"/>
        <v>0</v>
      </c>
      <c r="AQ21" s="401" t="str">
        <f t="shared" si="22"/>
        <v/>
      </c>
      <c r="AR21" s="402"/>
      <c r="AS21" s="402"/>
    </row>
    <row r="22" spans="1:45" ht="12.75" customHeight="1">
      <c r="A22" s="52"/>
      <c r="B22" s="403" t="s">
        <v>240</v>
      </c>
      <c r="C22" s="394" t="str">
        <f t="shared" si="0"/>
        <v>Street Light.Deferral/Variance Account Disposition Rate Rider Group 2</v>
      </c>
      <c r="D22" s="395" t="s">
        <v>381</v>
      </c>
      <c r="E22" s="321"/>
      <c r="F22" s="396">
        <f>IFERROR(VLOOKUP($C22,'Proposed Rates'!$B:$J,F$11,FALSE),0)</f>
        <v>0</v>
      </c>
      <c r="G22" s="414">
        <f t="shared" si="1"/>
        <v>1</v>
      </c>
      <c r="H22" s="399">
        <f t="shared" si="2"/>
        <v>0</v>
      </c>
      <c r="I22" s="132"/>
      <c r="J22" s="396">
        <f>IFERROR(VLOOKUP($C22,'Proposed Rates'!$B:$J,J$11,FALSE),0)</f>
        <v>-0.4123</v>
      </c>
      <c r="K22" s="414">
        <f t="shared" si="3"/>
        <v>1</v>
      </c>
      <c r="L22" s="399">
        <f t="shared" si="4"/>
        <v>-0.4123</v>
      </c>
      <c r="M22" s="132"/>
      <c r="N22" s="400">
        <f t="shared" si="5"/>
        <v>-0.4123</v>
      </c>
      <c r="O22" s="401" t="str">
        <f t="shared" si="6"/>
        <v/>
      </c>
      <c r="P22" s="52"/>
      <c r="Q22" s="396">
        <f>IFERROR(VLOOKUP($C22,'Proposed Rates'!$B:$J,Q$11,FALSE),0)</f>
        <v>0</v>
      </c>
      <c r="R22" s="414">
        <f t="shared" si="7"/>
        <v>1</v>
      </c>
      <c r="S22" s="399">
        <f t="shared" si="8"/>
        <v>0</v>
      </c>
      <c r="T22" s="132"/>
      <c r="U22" s="400">
        <f t="shared" si="9"/>
        <v>0.4123</v>
      </c>
      <c r="V22" s="401">
        <f t="shared" si="10"/>
        <v>-1</v>
      </c>
      <c r="W22" s="52"/>
      <c r="X22" s="396">
        <f>IFERROR(VLOOKUP($C22,'Proposed Rates'!$B:$J,X$11,FALSE),0)</f>
        <v>0</v>
      </c>
      <c r="Y22" s="414">
        <f t="shared" si="11"/>
        <v>1</v>
      </c>
      <c r="Z22" s="399">
        <f t="shared" si="12"/>
        <v>0</v>
      </c>
      <c r="AA22" s="132"/>
      <c r="AB22" s="400">
        <f t="shared" si="13"/>
        <v>0</v>
      </c>
      <c r="AC22" s="401" t="str">
        <f t="shared" si="14"/>
        <v/>
      </c>
      <c r="AD22" s="52"/>
      <c r="AE22" s="396">
        <f>IFERROR(VLOOKUP($C22,'Proposed Rates'!$B:$J,AE$11,FALSE),0)</f>
        <v>0</v>
      </c>
      <c r="AF22" s="414">
        <f t="shared" si="15"/>
        <v>1</v>
      </c>
      <c r="AG22" s="399">
        <f t="shared" si="16"/>
        <v>0</v>
      </c>
      <c r="AH22" s="132"/>
      <c r="AI22" s="400">
        <f t="shared" si="17"/>
        <v>0</v>
      </c>
      <c r="AJ22" s="401" t="str">
        <f t="shared" si="18"/>
        <v/>
      </c>
      <c r="AK22" s="52"/>
      <c r="AL22" s="396">
        <f>IFERROR(VLOOKUP($C22,'Proposed Rates'!$B:$J,AL$11,FALSE),0)</f>
        <v>0</v>
      </c>
      <c r="AM22" s="414">
        <f t="shared" si="19"/>
        <v>1</v>
      </c>
      <c r="AN22" s="399">
        <f t="shared" si="20"/>
        <v>0</v>
      </c>
      <c r="AO22" s="132"/>
      <c r="AP22" s="400">
        <f t="shared" si="21"/>
        <v>0</v>
      </c>
      <c r="AQ22" s="401" t="str">
        <f t="shared" si="22"/>
        <v/>
      </c>
      <c r="AR22" s="402"/>
      <c r="AS22" s="402"/>
    </row>
    <row r="23" spans="1:45" ht="12.75" customHeight="1">
      <c r="A23" s="52"/>
      <c r="B23" s="403"/>
      <c r="C23" s="394" t="str">
        <f t="shared" si="0"/>
        <v>Street Light.</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c r="AS23" s="402"/>
    </row>
    <row r="24" spans="1:45" ht="12.75" customHeight="1">
      <c r="A24" s="52"/>
      <c r="B24" s="403"/>
      <c r="C24" s="394" t="str">
        <f t="shared" si="0"/>
        <v>Street Light.</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c r="AS24" s="402"/>
    </row>
    <row r="25" spans="1:45" ht="12.75" customHeight="1">
      <c r="A25" s="52"/>
      <c r="B25" s="403"/>
      <c r="C25" s="394" t="str">
        <f t="shared" si="0"/>
        <v>Street Light.</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c r="AS25" s="402"/>
    </row>
    <row r="26" spans="1:45" ht="12.75" customHeight="1">
      <c r="A26" s="52"/>
      <c r="B26" s="403"/>
      <c r="C26" s="394" t="str">
        <f t="shared" si="0"/>
        <v>Street Light.</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c r="AS26" s="402"/>
    </row>
    <row r="27" spans="1:45" ht="12.75" customHeight="1">
      <c r="A27" s="52"/>
      <c r="B27" s="403"/>
      <c r="C27" s="394" t="str">
        <f t="shared" si="0"/>
        <v>Street Light.</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c r="AS27" s="402"/>
    </row>
    <row r="28" spans="1:45" ht="12.75" customHeight="1">
      <c r="A28" s="52"/>
      <c r="B28" s="403"/>
      <c r="C28" s="394" t="str">
        <f t="shared" si="0"/>
        <v>Street Light.</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c r="AS28" s="402"/>
    </row>
    <row r="29" spans="1:45" ht="12.75" customHeight="1">
      <c r="A29" s="307"/>
      <c r="B29" s="404" t="s">
        <v>314</v>
      </c>
      <c r="C29" s="556"/>
      <c r="D29" s="405"/>
      <c r="E29" s="405"/>
      <c r="F29" s="406"/>
      <c r="G29" s="499"/>
      <c r="H29" s="408">
        <f>SUM(H15:H28)</f>
        <v>13.828899999999999</v>
      </c>
      <c r="I29" s="409"/>
      <c r="J29" s="406"/>
      <c r="K29" s="499"/>
      <c r="L29" s="408">
        <f>SUM(L15:L28)</f>
        <v>13.683300000000001</v>
      </c>
      <c r="M29" s="409"/>
      <c r="N29" s="410">
        <f t="shared" si="5"/>
        <v>-0.14559999999999818</v>
      </c>
      <c r="O29" s="411">
        <f t="shared" si="6"/>
        <v>-1.0528675455025215E-2</v>
      </c>
      <c r="P29" s="307"/>
      <c r="Q29" s="406"/>
      <c r="R29" s="499"/>
      <c r="S29" s="408">
        <f>SUM(S15:S28)</f>
        <v>9.2573000000000008</v>
      </c>
      <c r="T29" s="409"/>
      <c r="U29" s="410">
        <f t="shared" si="9"/>
        <v>-4.4260000000000002</v>
      </c>
      <c r="V29" s="411">
        <f t="shared" si="10"/>
        <v>-0.32345998406817067</v>
      </c>
      <c r="W29" s="307"/>
      <c r="X29" s="406"/>
      <c r="Y29" s="499"/>
      <c r="Z29" s="408">
        <f>SUM(Z15:Z28)</f>
        <v>9.7728000000000002</v>
      </c>
      <c r="AA29" s="409"/>
      <c r="AB29" s="410">
        <f t="shared" si="13"/>
        <v>0.5154999999999994</v>
      </c>
      <c r="AC29" s="411">
        <f t="shared" si="14"/>
        <v>5.5685783111706369E-2</v>
      </c>
      <c r="AD29" s="307"/>
      <c r="AE29" s="406"/>
      <c r="AF29" s="499"/>
      <c r="AG29" s="408">
        <f>SUM(AG15:AG28)</f>
        <v>9.8644999999999996</v>
      </c>
      <c r="AH29" s="409"/>
      <c r="AI29" s="410">
        <f t="shared" si="17"/>
        <v>9.1699999999999449E-2</v>
      </c>
      <c r="AJ29" s="411">
        <f t="shared" si="18"/>
        <v>9.383185985592608E-3</v>
      </c>
      <c r="AK29" s="307"/>
      <c r="AL29" s="406"/>
      <c r="AM29" s="499"/>
      <c r="AN29" s="408">
        <f>SUM(AN15:AN28)</f>
        <v>9.9467999999999996</v>
      </c>
      <c r="AO29" s="409"/>
      <c r="AP29" s="410">
        <f t="shared" si="21"/>
        <v>8.230000000000004E-2</v>
      </c>
      <c r="AQ29" s="411">
        <f t="shared" si="22"/>
        <v>8.3430483045263369E-3</v>
      </c>
      <c r="AR29" s="412"/>
      <c r="AS29" s="412"/>
    </row>
    <row r="30" spans="1:45" ht="12.75" customHeight="1">
      <c r="A30" s="52"/>
      <c r="B30" s="403" t="s">
        <v>237</v>
      </c>
      <c r="C30" s="394" t="str">
        <f t="shared" ref="C30:C38" si="23">D$6&amp;"."&amp;B30</f>
        <v>Street Light.DVA Disposition Rate Rider Group 1 -2025</v>
      </c>
      <c r="D30" s="395" t="s">
        <v>381</v>
      </c>
      <c r="E30" s="321"/>
      <c r="F30" s="413">
        <f>IFERROR(VLOOKUP($C30,'Proposed Rates'!$B:$J,F$11,FALSE),0)</f>
        <v>4.1000000000000002E-2</v>
      </c>
      <c r="G30" s="414">
        <f t="shared" ref="G30:G36" si="24">IF($D30="Monthly",1,IF($D30="per KW",$F$10,IF($D30="per kWh",$F$9,0)))</f>
        <v>1</v>
      </c>
      <c r="H30" s="399">
        <f t="shared" ref="H30:H38" si="25">G30*F30</f>
        <v>4.1000000000000002E-2</v>
      </c>
      <c r="I30" s="132"/>
      <c r="J30" s="566">
        <f>IFERROR(VLOOKUP($C30,'Proposed Rates'!$B:$J,J$11,FALSE),0)</f>
        <v>-0.22040000000000001</v>
      </c>
      <c r="K30" s="414">
        <f t="shared" ref="K30:K36" si="26">IF($D30="Monthly",1,IF($D30="per KW",$F$10,IF($D30="per kWh",$F$9,0)))</f>
        <v>1</v>
      </c>
      <c r="L30" s="399">
        <f t="shared" ref="L30:L38" si="27">K30*J30</f>
        <v>-0.22040000000000001</v>
      </c>
      <c r="M30" s="132"/>
      <c r="N30" s="400">
        <f t="shared" si="5"/>
        <v>-0.26140000000000002</v>
      </c>
      <c r="O30" s="401">
        <f t="shared" si="6"/>
        <v>-6.3756097560975613</v>
      </c>
      <c r="P30" s="52"/>
      <c r="Q30" s="566">
        <f>IFERROR(VLOOKUP($C30,'Proposed Rates'!$B:$J,Q$11,FALSE),0)</f>
        <v>0</v>
      </c>
      <c r="R30" s="414">
        <f t="shared" ref="R30:R36" si="28">IF($D30="Monthly",1,IF($D30="per KW",$F$10,IF($D30="per kWh",$F$9,0)))</f>
        <v>1</v>
      </c>
      <c r="S30" s="399">
        <f t="shared" ref="S30:S38" si="29">R30*Q30</f>
        <v>0</v>
      </c>
      <c r="T30" s="132"/>
      <c r="U30" s="400">
        <f t="shared" si="9"/>
        <v>0.22040000000000001</v>
      </c>
      <c r="V30" s="401">
        <f t="shared" si="10"/>
        <v>-1</v>
      </c>
      <c r="W30" s="52"/>
      <c r="X30" s="566">
        <f>IFERROR(VLOOKUP($C30,'Proposed Rates'!$B:$J,X$11,FALSE),0)</f>
        <v>0</v>
      </c>
      <c r="Y30" s="414">
        <f t="shared" ref="Y30:Y36" si="30">IF($D30="Monthly",1,IF($D30="per KW",$F$10,IF($D30="per kWh",$F$9,0)))</f>
        <v>1</v>
      </c>
      <c r="Z30" s="399">
        <f t="shared" ref="Z30:Z38" si="31">Y30*X30</f>
        <v>0</v>
      </c>
      <c r="AA30" s="132"/>
      <c r="AB30" s="400">
        <f t="shared" si="13"/>
        <v>0</v>
      </c>
      <c r="AC30" s="401" t="str">
        <f t="shared" si="14"/>
        <v/>
      </c>
      <c r="AD30" s="52"/>
      <c r="AE30" s="566">
        <f>IFERROR(VLOOKUP($C30,'Proposed Rates'!$B:$J,AE$11,FALSE),0)</f>
        <v>0</v>
      </c>
      <c r="AF30" s="414">
        <f t="shared" ref="AF30:AF36" si="32">IF($D30="Monthly",1,IF($D30="per KW",$F$10,IF($D30="per kWh",$F$9,0)))</f>
        <v>1</v>
      </c>
      <c r="AG30" s="399">
        <f t="shared" ref="AG30:AG38" si="33">AF30*AE30</f>
        <v>0</v>
      </c>
      <c r="AH30" s="132"/>
      <c r="AI30" s="400">
        <f t="shared" si="17"/>
        <v>0</v>
      </c>
      <c r="AJ30" s="401" t="str">
        <f t="shared" si="18"/>
        <v/>
      </c>
      <c r="AK30" s="52"/>
      <c r="AL30" s="566">
        <f>IFERROR(VLOOKUP($C30,'Proposed Rates'!$B:$J,AL$11,FALSE),0)</f>
        <v>0</v>
      </c>
      <c r="AM30" s="414">
        <f t="shared" ref="AM30:AM36" si="34">IF($D30="Monthly",1,IF($D30="per KW",$F$10,IF($D30="per kWh",$F$9,0)))</f>
        <v>1</v>
      </c>
      <c r="AN30" s="399">
        <f t="shared" ref="AN30:AN38" si="35">AM30*AL30</f>
        <v>0</v>
      </c>
      <c r="AO30" s="132"/>
      <c r="AP30" s="400">
        <f t="shared" si="21"/>
        <v>0</v>
      </c>
      <c r="AQ30" s="401" t="str">
        <f t="shared" si="22"/>
        <v/>
      </c>
      <c r="AR30" s="402"/>
      <c r="AS30" s="402"/>
    </row>
    <row r="31" spans="1:45" ht="12.75" customHeight="1">
      <c r="A31" s="52"/>
      <c r="B31" s="403" t="s">
        <v>239</v>
      </c>
      <c r="C31" s="394" t="str">
        <f t="shared" si="23"/>
        <v>Street Light.DVA Disposition Rate Rider Group 1 - 2024</v>
      </c>
      <c r="D31" s="395" t="s">
        <v>381</v>
      </c>
      <c r="E31" s="321"/>
      <c r="F31" s="396">
        <f>IFERROR(VLOOKUP($C31,'Proposed Rates'!$B:$J,F$11,FALSE),0)</f>
        <v>0</v>
      </c>
      <c r="G31" s="414">
        <f t="shared" si="24"/>
        <v>1</v>
      </c>
      <c r="H31" s="399">
        <f t="shared" si="25"/>
        <v>0</v>
      </c>
      <c r="I31" s="132"/>
      <c r="J31" s="396">
        <f>IFERROR(VLOOKUP($C31,'Proposed Rates'!$B:$J,J$11,FALSE),0)</f>
        <v>0</v>
      </c>
      <c r="K31" s="414">
        <f t="shared" si="26"/>
        <v>1</v>
      </c>
      <c r="L31" s="399">
        <f t="shared" si="27"/>
        <v>0</v>
      </c>
      <c r="M31" s="132"/>
      <c r="N31" s="400">
        <f t="shared" si="5"/>
        <v>0</v>
      </c>
      <c r="O31" s="401" t="str">
        <f t="shared" si="6"/>
        <v/>
      </c>
      <c r="P31" s="52"/>
      <c r="Q31" s="396">
        <f>IFERROR(VLOOKUP($C31,'Proposed Rates'!$B:$J,Q$11,FALSE),0)</f>
        <v>0</v>
      </c>
      <c r="R31" s="414">
        <f t="shared" si="28"/>
        <v>1</v>
      </c>
      <c r="S31" s="399">
        <f t="shared" si="29"/>
        <v>0</v>
      </c>
      <c r="T31" s="132"/>
      <c r="U31" s="400">
        <f t="shared" si="9"/>
        <v>0</v>
      </c>
      <c r="V31" s="401" t="str">
        <f t="shared" si="10"/>
        <v/>
      </c>
      <c r="W31" s="52"/>
      <c r="X31" s="396">
        <f>IFERROR(VLOOKUP($C31,'Proposed Rates'!$B:$J,X$11,FALSE),0)</f>
        <v>0</v>
      </c>
      <c r="Y31" s="414">
        <f t="shared" si="30"/>
        <v>1</v>
      </c>
      <c r="Z31" s="399">
        <f t="shared" si="31"/>
        <v>0</v>
      </c>
      <c r="AA31" s="132"/>
      <c r="AB31" s="400">
        <f t="shared" si="13"/>
        <v>0</v>
      </c>
      <c r="AC31" s="401" t="str">
        <f t="shared" si="14"/>
        <v/>
      </c>
      <c r="AD31" s="52"/>
      <c r="AE31" s="396">
        <f>IFERROR(VLOOKUP($C31,'Proposed Rates'!$B:$J,AE$11,FALSE),0)</f>
        <v>0</v>
      </c>
      <c r="AF31" s="414">
        <f t="shared" si="32"/>
        <v>1</v>
      </c>
      <c r="AG31" s="399">
        <f t="shared" si="33"/>
        <v>0</v>
      </c>
      <c r="AH31" s="132"/>
      <c r="AI31" s="400">
        <f t="shared" si="17"/>
        <v>0</v>
      </c>
      <c r="AJ31" s="401" t="str">
        <f t="shared" si="18"/>
        <v/>
      </c>
      <c r="AK31" s="52"/>
      <c r="AL31" s="396">
        <f>IFERROR(VLOOKUP($C31,'Proposed Rates'!$B:$J,AL$11,FALSE),0)</f>
        <v>0</v>
      </c>
      <c r="AM31" s="414">
        <f t="shared" si="34"/>
        <v>1</v>
      </c>
      <c r="AN31" s="399">
        <f t="shared" si="35"/>
        <v>0</v>
      </c>
      <c r="AO31" s="132"/>
      <c r="AP31" s="400">
        <f t="shared" si="21"/>
        <v>0</v>
      </c>
      <c r="AQ31" s="401" t="str">
        <f t="shared" si="22"/>
        <v/>
      </c>
      <c r="AR31" s="402"/>
      <c r="AS31" s="402"/>
    </row>
    <row r="32" spans="1:45" ht="12.75" customHeight="1">
      <c r="A32" s="52"/>
      <c r="B32" s="403" t="s">
        <v>247</v>
      </c>
      <c r="C32" s="394" t="str">
        <f t="shared" si="23"/>
        <v>Street Light.CBR Class B Rate Riders</v>
      </c>
      <c r="D32" s="395" t="s">
        <v>312</v>
      </c>
      <c r="E32" s="321"/>
      <c r="F32" s="413">
        <f>IFERROR(VLOOKUP($C32,'Proposed Rates'!$B:$J,F$11,FALSE),0)</f>
        <v>2.0000000000000001E-4</v>
      </c>
      <c r="G32" s="414">
        <f t="shared" si="24"/>
        <v>150</v>
      </c>
      <c r="H32" s="399">
        <f t="shared" si="25"/>
        <v>3.0000000000000002E-2</v>
      </c>
      <c r="I32" s="484"/>
      <c r="J32" s="413">
        <f>IFERROR(VLOOKUP($C32,'Proposed Rates'!$B:$J,J$11,FALSE),0)</f>
        <v>4.0000000000000002E-4</v>
      </c>
      <c r="K32" s="414">
        <f t="shared" si="26"/>
        <v>150</v>
      </c>
      <c r="L32" s="399">
        <f t="shared" si="27"/>
        <v>6.0000000000000005E-2</v>
      </c>
      <c r="M32" s="416"/>
      <c r="N32" s="400">
        <f t="shared" si="5"/>
        <v>3.0000000000000002E-2</v>
      </c>
      <c r="O32" s="401">
        <f t="shared" si="6"/>
        <v>1</v>
      </c>
      <c r="P32" s="52"/>
      <c r="Q32" s="413">
        <f>IFERROR(VLOOKUP($C32,'Proposed Rates'!$B:$J,Q$11,FALSE),0)</f>
        <v>0</v>
      </c>
      <c r="R32" s="414">
        <f t="shared" si="28"/>
        <v>150</v>
      </c>
      <c r="S32" s="399">
        <f t="shared" si="29"/>
        <v>0</v>
      </c>
      <c r="T32" s="132"/>
      <c r="U32" s="400">
        <f t="shared" si="9"/>
        <v>-6.0000000000000005E-2</v>
      </c>
      <c r="V32" s="401">
        <f t="shared" si="10"/>
        <v>-1</v>
      </c>
      <c r="W32" s="52"/>
      <c r="X32" s="413">
        <f>IFERROR(VLOOKUP($C32,'Proposed Rates'!$B:$J,X$11,FALSE),0)</f>
        <v>0</v>
      </c>
      <c r="Y32" s="414">
        <f t="shared" si="30"/>
        <v>150</v>
      </c>
      <c r="Z32" s="399">
        <f t="shared" si="31"/>
        <v>0</v>
      </c>
      <c r="AA32" s="132"/>
      <c r="AB32" s="400">
        <f t="shared" si="13"/>
        <v>0</v>
      </c>
      <c r="AC32" s="401" t="str">
        <f t="shared" si="14"/>
        <v/>
      </c>
      <c r="AD32" s="52"/>
      <c r="AE32" s="413">
        <f>IFERROR(VLOOKUP($C32,'Proposed Rates'!$B:$J,AE$11,FALSE),0)</f>
        <v>0</v>
      </c>
      <c r="AF32" s="414">
        <f t="shared" si="32"/>
        <v>150</v>
      </c>
      <c r="AG32" s="399">
        <f t="shared" si="33"/>
        <v>0</v>
      </c>
      <c r="AH32" s="132"/>
      <c r="AI32" s="400">
        <f t="shared" si="17"/>
        <v>0</v>
      </c>
      <c r="AJ32" s="401" t="str">
        <f t="shared" si="18"/>
        <v/>
      </c>
      <c r="AK32" s="52"/>
      <c r="AL32" s="413">
        <f>IFERROR(VLOOKUP($C32,'Proposed Rates'!$B:$J,AL$11,FALSE),0)</f>
        <v>0</v>
      </c>
      <c r="AM32" s="414">
        <f t="shared" si="34"/>
        <v>150</v>
      </c>
      <c r="AN32" s="399">
        <f t="shared" si="35"/>
        <v>0</v>
      </c>
      <c r="AO32" s="132"/>
      <c r="AP32" s="400">
        <f t="shared" si="21"/>
        <v>0</v>
      </c>
      <c r="AQ32" s="401" t="str">
        <f t="shared" si="22"/>
        <v/>
      </c>
      <c r="AR32" s="402"/>
      <c r="AS32" s="402"/>
    </row>
    <row r="33" spans="1:45" ht="12.75" customHeight="1">
      <c r="A33" s="52"/>
      <c r="B33" s="403" t="s">
        <v>252</v>
      </c>
      <c r="C33" s="394" t="str">
        <f t="shared" si="23"/>
        <v>Street Light.GA Rate Riders</v>
      </c>
      <c r="D33" s="395" t="s">
        <v>312</v>
      </c>
      <c r="E33" s="321"/>
      <c r="F33" s="413">
        <f>IFERROR(VLOOKUP($C33,'Proposed Rates'!$B:$J,F$11,FALSE),0)</f>
        <v>3.8999999999999998E-3</v>
      </c>
      <c r="G33" s="414">
        <f t="shared" si="24"/>
        <v>150</v>
      </c>
      <c r="H33" s="399">
        <f t="shared" si="25"/>
        <v>0.58499999999999996</v>
      </c>
      <c r="I33" s="484"/>
      <c r="J33" s="413">
        <f>IFERROR(VLOOKUP($C33,'Proposed Rates'!$B:$J,J$11,FALSE),0)</f>
        <v>4.4000000000000003E-3</v>
      </c>
      <c r="K33" s="414">
        <f t="shared" si="26"/>
        <v>150</v>
      </c>
      <c r="L33" s="399">
        <f t="shared" si="27"/>
        <v>0.66</v>
      </c>
      <c r="M33" s="416"/>
      <c r="N33" s="400">
        <f t="shared" si="5"/>
        <v>7.5000000000000067E-2</v>
      </c>
      <c r="O33" s="401">
        <f t="shared" si="6"/>
        <v>0.12820512820512833</v>
      </c>
      <c r="P33" s="52"/>
      <c r="Q33" s="413">
        <f>IFERROR(VLOOKUP($C33,'Proposed Rates'!$B:$J,Q$11,FALSE),0)</f>
        <v>0</v>
      </c>
      <c r="R33" s="414">
        <f t="shared" si="28"/>
        <v>150</v>
      </c>
      <c r="S33" s="399">
        <f t="shared" si="29"/>
        <v>0</v>
      </c>
      <c r="T33" s="132"/>
      <c r="U33" s="400">
        <f t="shared" si="9"/>
        <v>-0.66</v>
      </c>
      <c r="V33" s="401">
        <f t="shared" si="10"/>
        <v>-1</v>
      </c>
      <c r="W33" s="52"/>
      <c r="X33" s="413">
        <f>IFERROR(VLOOKUP($C33,'Proposed Rates'!$B:$J,X$11,FALSE),0)</f>
        <v>0</v>
      </c>
      <c r="Y33" s="414">
        <f t="shared" si="30"/>
        <v>150</v>
      </c>
      <c r="Z33" s="399">
        <f t="shared" si="31"/>
        <v>0</v>
      </c>
      <c r="AA33" s="132"/>
      <c r="AB33" s="400">
        <f t="shared" si="13"/>
        <v>0</v>
      </c>
      <c r="AC33" s="401" t="str">
        <f t="shared" si="14"/>
        <v/>
      </c>
      <c r="AD33" s="52"/>
      <c r="AE33" s="413">
        <f>IFERROR(VLOOKUP($C33,'Proposed Rates'!$B:$J,AE$11,FALSE),0)</f>
        <v>0</v>
      </c>
      <c r="AF33" s="414">
        <f t="shared" si="32"/>
        <v>150</v>
      </c>
      <c r="AG33" s="399">
        <f t="shared" si="33"/>
        <v>0</v>
      </c>
      <c r="AH33" s="132"/>
      <c r="AI33" s="400">
        <f t="shared" si="17"/>
        <v>0</v>
      </c>
      <c r="AJ33" s="401" t="str">
        <f t="shared" si="18"/>
        <v/>
      </c>
      <c r="AK33" s="52"/>
      <c r="AL33" s="413">
        <f>IFERROR(VLOOKUP($C33,'Proposed Rates'!$B:$J,AL$11,FALSE),0)</f>
        <v>0</v>
      </c>
      <c r="AM33" s="414">
        <f t="shared" si="34"/>
        <v>150</v>
      </c>
      <c r="AN33" s="399">
        <f t="shared" si="35"/>
        <v>0</v>
      </c>
      <c r="AO33" s="132"/>
      <c r="AP33" s="400">
        <f t="shared" si="21"/>
        <v>0</v>
      </c>
      <c r="AQ33" s="401" t="str">
        <f t="shared" si="22"/>
        <v/>
      </c>
      <c r="AR33" s="402"/>
      <c r="AS33" s="402"/>
    </row>
    <row r="34" spans="1:45" ht="12.75" customHeight="1">
      <c r="A34" s="52"/>
      <c r="B34" s="403" t="s">
        <v>255</v>
      </c>
      <c r="C34" s="394" t="str">
        <f t="shared" si="23"/>
        <v>Street Light.Total Deferral/Variance Account Rate RidersYr2</v>
      </c>
      <c r="D34" s="395" t="s">
        <v>381</v>
      </c>
      <c r="E34" s="321"/>
      <c r="F34" s="396">
        <f>IFERROR(VLOOKUP($C34,'Proposed Rates'!$B:$J,F$11,FALSE),0)</f>
        <v>0</v>
      </c>
      <c r="G34" s="414">
        <f t="shared" si="24"/>
        <v>1</v>
      </c>
      <c r="H34" s="399">
        <f t="shared" si="25"/>
        <v>0</v>
      </c>
      <c r="I34" s="484"/>
      <c r="J34" s="396">
        <f>IFERROR(VLOOKUP($C34,'Proposed Rates'!$B:$J,J$11,FALSE),0)</f>
        <v>0</v>
      </c>
      <c r="K34" s="414">
        <f t="shared" si="26"/>
        <v>1</v>
      </c>
      <c r="L34" s="399">
        <f t="shared" si="27"/>
        <v>0</v>
      </c>
      <c r="M34" s="416"/>
      <c r="N34" s="400">
        <f t="shared" si="5"/>
        <v>0</v>
      </c>
      <c r="O34" s="401" t="str">
        <f t="shared" si="6"/>
        <v/>
      </c>
      <c r="P34" s="52"/>
      <c r="Q34" s="396">
        <f>IFERROR(VLOOKUP($C34,'Proposed Rates'!$B:$J,Q$11,FALSE),0)</f>
        <v>0</v>
      </c>
      <c r="R34" s="414">
        <f t="shared" si="28"/>
        <v>1</v>
      </c>
      <c r="S34" s="399">
        <f t="shared" si="29"/>
        <v>0</v>
      </c>
      <c r="T34" s="132"/>
      <c r="U34" s="400">
        <f t="shared" si="9"/>
        <v>0</v>
      </c>
      <c r="V34" s="401" t="str">
        <f t="shared" si="10"/>
        <v/>
      </c>
      <c r="W34" s="52"/>
      <c r="X34" s="396">
        <f>IFERROR(VLOOKUP($C34,'Proposed Rates'!$B:$J,X$11,FALSE),0)</f>
        <v>0</v>
      </c>
      <c r="Y34" s="414">
        <f t="shared" si="30"/>
        <v>1</v>
      </c>
      <c r="Z34" s="399">
        <f t="shared" si="31"/>
        <v>0</v>
      </c>
      <c r="AA34" s="132"/>
      <c r="AB34" s="400">
        <f t="shared" si="13"/>
        <v>0</v>
      </c>
      <c r="AC34" s="401" t="str">
        <f t="shared" si="14"/>
        <v/>
      </c>
      <c r="AD34" s="52"/>
      <c r="AE34" s="396">
        <f>IFERROR(VLOOKUP($C34,'Proposed Rates'!$B:$J,AE$11,FALSE),0)</f>
        <v>0</v>
      </c>
      <c r="AF34" s="414">
        <f t="shared" si="32"/>
        <v>1</v>
      </c>
      <c r="AG34" s="399">
        <f t="shared" si="33"/>
        <v>0</v>
      </c>
      <c r="AH34" s="132"/>
      <c r="AI34" s="400">
        <f t="shared" si="17"/>
        <v>0</v>
      </c>
      <c r="AJ34" s="401" t="str">
        <f t="shared" si="18"/>
        <v/>
      </c>
      <c r="AK34" s="52"/>
      <c r="AL34" s="396">
        <f>IFERROR(VLOOKUP($C34,'Proposed Rates'!$B:$J,AL$11,FALSE),0)</f>
        <v>0</v>
      </c>
      <c r="AM34" s="414">
        <f t="shared" si="34"/>
        <v>1</v>
      </c>
      <c r="AN34" s="399">
        <f t="shared" si="35"/>
        <v>0</v>
      </c>
      <c r="AO34" s="132"/>
      <c r="AP34" s="400">
        <f t="shared" si="21"/>
        <v>0</v>
      </c>
      <c r="AQ34" s="401" t="str">
        <f t="shared" si="22"/>
        <v/>
      </c>
      <c r="AR34" s="402"/>
      <c r="AS34" s="402"/>
    </row>
    <row r="35" spans="1:45" ht="12.75" customHeight="1">
      <c r="A35" s="52"/>
      <c r="B35" s="403" t="s">
        <v>257</v>
      </c>
      <c r="C35" s="394" t="str">
        <f t="shared" si="23"/>
        <v>Street Light.Total Deferral/Variance Account Rate Riders</v>
      </c>
      <c r="D35" s="395" t="s">
        <v>381</v>
      </c>
      <c r="E35" s="321"/>
      <c r="F35" s="396">
        <f>IFERROR(VLOOKUP($C35,'Proposed Rates'!$B:$J,F$11,FALSE),0)</f>
        <v>0</v>
      </c>
      <c r="G35" s="414">
        <f t="shared" si="24"/>
        <v>1</v>
      </c>
      <c r="H35" s="399">
        <f t="shared" si="25"/>
        <v>0</v>
      </c>
      <c r="I35" s="132"/>
      <c r="J35" s="396">
        <f>IFERROR(VLOOKUP($C35,'Proposed Rates'!$B:$J,J$11,FALSE),0)</f>
        <v>0</v>
      </c>
      <c r="K35" s="414">
        <f t="shared" si="26"/>
        <v>1</v>
      </c>
      <c r="L35" s="399">
        <f t="shared" si="27"/>
        <v>0</v>
      </c>
      <c r="M35" s="132"/>
      <c r="N35" s="400">
        <f t="shared" si="5"/>
        <v>0</v>
      </c>
      <c r="O35" s="401" t="str">
        <f t="shared" si="6"/>
        <v/>
      </c>
      <c r="P35" s="52"/>
      <c r="Q35" s="396">
        <f>IFERROR(VLOOKUP($C35,'Proposed Rates'!$B:$J,Q$11,FALSE),0)</f>
        <v>0</v>
      </c>
      <c r="R35" s="414">
        <f t="shared" si="28"/>
        <v>1</v>
      </c>
      <c r="S35" s="399">
        <f t="shared" si="29"/>
        <v>0</v>
      </c>
      <c r="T35" s="132"/>
      <c r="U35" s="400">
        <f t="shared" si="9"/>
        <v>0</v>
      </c>
      <c r="V35" s="401" t="str">
        <f t="shared" si="10"/>
        <v/>
      </c>
      <c r="W35" s="52"/>
      <c r="X35" s="396">
        <f>IFERROR(VLOOKUP($C35,'Proposed Rates'!$B:$J,X$11,FALSE),0)</f>
        <v>0</v>
      </c>
      <c r="Y35" s="414">
        <f t="shared" si="30"/>
        <v>1</v>
      </c>
      <c r="Z35" s="399">
        <f t="shared" si="31"/>
        <v>0</v>
      </c>
      <c r="AA35" s="132"/>
      <c r="AB35" s="400">
        <f t="shared" si="13"/>
        <v>0</v>
      </c>
      <c r="AC35" s="401" t="str">
        <f t="shared" si="14"/>
        <v/>
      </c>
      <c r="AD35" s="52"/>
      <c r="AE35" s="396">
        <f>IFERROR(VLOOKUP($C35,'Proposed Rates'!$B:$J,AE$11,FALSE),0)</f>
        <v>0</v>
      </c>
      <c r="AF35" s="414">
        <f t="shared" si="32"/>
        <v>1</v>
      </c>
      <c r="AG35" s="399">
        <f t="shared" si="33"/>
        <v>0</v>
      </c>
      <c r="AH35" s="132"/>
      <c r="AI35" s="400">
        <f t="shared" si="17"/>
        <v>0</v>
      </c>
      <c r="AJ35" s="401" t="str">
        <f t="shared" si="18"/>
        <v/>
      </c>
      <c r="AK35" s="52"/>
      <c r="AL35" s="396">
        <f>IFERROR(VLOOKUP($C35,'Proposed Rates'!$B:$J,AL$11,FALSE),0)</f>
        <v>0</v>
      </c>
      <c r="AM35" s="414">
        <f t="shared" si="34"/>
        <v>1</v>
      </c>
      <c r="AN35" s="399">
        <f t="shared" si="35"/>
        <v>0</v>
      </c>
      <c r="AO35" s="132"/>
      <c r="AP35" s="400">
        <f t="shared" si="21"/>
        <v>0</v>
      </c>
      <c r="AQ35" s="401" t="str">
        <f t="shared" si="22"/>
        <v/>
      </c>
      <c r="AR35" s="402"/>
      <c r="AS35" s="402"/>
    </row>
    <row r="36" spans="1:45" ht="12.75" customHeight="1">
      <c r="A36" s="52"/>
      <c r="B36" s="321" t="s">
        <v>273</v>
      </c>
      <c r="C36" s="394" t="str">
        <f t="shared" si="23"/>
        <v>Street Light.Low Voltage Service Charge</v>
      </c>
      <c r="D36" s="395" t="s">
        <v>381</v>
      </c>
      <c r="E36" s="321"/>
      <c r="F36" s="417">
        <f>IFERROR(VLOOKUP($C36,'Proposed Rates'!$B:$J,F$11,FALSE),0)</f>
        <v>1.5640000000000001E-2</v>
      </c>
      <c r="G36" s="414">
        <f t="shared" si="24"/>
        <v>1</v>
      </c>
      <c r="H36" s="399">
        <f t="shared" si="25"/>
        <v>1.5640000000000001E-2</v>
      </c>
      <c r="I36" s="132"/>
      <c r="J36" s="417">
        <f>IFERROR(VLOOKUP($C36,'Proposed Rates'!$B:$J,J$11,FALSE),0)</f>
        <v>1.099E-2</v>
      </c>
      <c r="K36" s="414">
        <f t="shared" si="26"/>
        <v>1</v>
      </c>
      <c r="L36" s="399">
        <f t="shared" si="27"/>
        <v>1.099E-2</v>
      </c>
      <c r="M36" s="132"/>
      <c r="N36" s="400">
        <f t="shared" si="5"/>
        <v>-4.6500000000000014E-3</v>
      </c>
      <c r="O36" s="401">
        <f t="shared" si="6"/>
        <v>-0.29731457800511518</v>
      </c>
      <c r="P36" s="52"/>
      <c r="Q36" s="417">
        <f>IFERROR(VLOOKUP($C36,'Proposed Rates'!$B:$J,Q$11,FALSE),0)</f>
        <v>1.1270000000000001E-2</v>
      </c>
      <c r="R36" s="414">
        <f t="shared" si="28"/>
        <v>1</v>
      </c>
      <c r="S36" s="399">
        <f t="shared" si="29"/>
        <v>1.1270000000000001E-2</v>
      </c>
      <c r="T36" s="132"/>
      <c r="U36" s="400">
        <f t="shared" si="9"/>
        <v>2.8000000000000073E-4</v>
      </c>
      <c r="V36" s="401">
        <f t="shared" si="10"/>
        <v>2.5477707006369494E-2</v>
      </c>
      <c r="W36" s="52"/>
      <c r="X36" s="417">
        <f>IFERROR(VLOOKUP($C36,'Proposed Rates'!$B:$J,X$11,FALSE),0)</f>
        <v>1.141E-2</v>
      </c>
      <c r="Y36" s="414">
        <f t="shared" si="30"/>
        <v>1</v>
      </c>
      <c r="Z36" s="399">
        <f t="shared" si="31"/>
        <v>1.141E-2</v>
      </c>
      <c r="AA36" s="132"/>
      <c r="AB36" s="400">
        <f t="shared" si="13"/>
        <v>1.399999999999995E-4</v>
      </c>
      <c r="AC36" s="401">
        <f t="shared" si="14"/>
        <v>1.2422360248447161E-2</v>
      </c>
      <c r="AD36" s="52"/>
      <c r="AE36" s="417">
        <f>IFERROR(VLOOKUP($C36,'Proposed Rates'!$B:$J,AE$11,FALSE),0)</f>
        <v>1.159E-2</v>
      </c>
      <c r="AF36" s="414">
        <f t="shared" si="32"/>
        <v>1</v>
      </c>
      <c r="AG36" s="399">
        <f t="shared" si="33"/>
        <v>1.159E-2</v>
      </c>
      <c r="AH36" s="132"/>
      <c r="AI36" s="400">
        <f t="shared" si="17"/>
        <v>1.799999999999996E-4</v>
      </c>
      <c r="AJ36" s="401">
        <f t="shared" si="18"/>
        <v>1.5775635407537212E-2</v>
      </c>
      <c r="AK36" s="52"/>
      <c r="AL36" s="417">
        <f>IFERROR(VLOOKUP($C36,'Proposed Rates'!$B:$J,AL$11,FALSE),0)</f>
        <v>1.18E-2</v>
      </c>
      <c r="AM36" s="414">
        <f t="shared" si="34"/>
        <v>1</v>
      </c>
      <c r="AN36" s="399">
        <f t="shared" si="35"/>
        <v>1.18E-2</v>
      </c>
      <c r="AO36" s="132"/>
      <c r="AP36" s="400">
        <f t="shared" si="21"/>
        <v>2.1000000000000012E-4</v>
      </c>
      <c r="AQ36" s="401">
        <f t="shared" si="22"/>
        <v>1.8119068162208811E-2</v>
      </c>
      <c r="AR36" s="402"/>
      <c r="AS36" s="402"/>
    </row>
    <row r="37" spans="1:45" ht="12.75" customHeight="1">
      <c r="A37" s="52"/>
      <c r="B37" s="321" t="s">
        <v>316</v>
      </c>
      <c r="C37" s="394" t="str">
        <f t="shared" si="23"/>
        <v>Street Light.Line Losses on Cost of Power</v>
      </c>
      <c r="D37" s="395" t="s">
        <v>312</v>
      </c>
      <c r="E37" s="321"/>
      <c r="F37" s="419">
        <f>F46</f>
        <v>0.10453</v>
      </c>
      <c r="G37" s="506">
        <f>$F$9*(1+F$65)-$F$9</f>
        <v>5.0700000000000216</v>
      </c>
      <c r="H37" s="399">
        <f t="shared" si="25"/>
        <v>0.52996710000000224</v>
      </c>
      <c r="I37" s="132"/>
      <c r="J37" s="419">
        <f>J46</f>
        <v>0.10453</v>
      </c>
      <c r="K37" s="506">
        <f>$F$9*(1+J$65)-$F$9</f>
        <v>4.9799999999999898</v>
      </c>
      <c r="L37" s="399">
        <f t="shared" si="27"/>
        <v>0.5205593999999989</v>
      </c>
      <c r="M37" s="132"/>
      <c r="N37" s="400">
        <f t="shared" si="5"/>
        <v>-9.4077000000033495E-3</v>
      </c>
      <c r="O37" s="401">
        <f t="shared" si="6"/>
        <v>-1.7751479289947074E-2</v>
      </c>
      <c r="P37" s="52"/>
      <c r="Q37" s="419">
        <f>Q46</f>
        <v>0.10453</v>
      </c>
      <c r="R37" s="506">
        <f>$F$9*(1+Q$65)-$F$9</f>
        <v>4.9799999999999898</v>
      </c>
      <c r="S37" s="399">
        <f t="shared" si="29"/>
        <v>0.5205593999999989</v>
      </c>
      <c r="T37" s="132"/>
      <c r="U37" s="400">
        <f t="shared" si="9"/>
        <v>0</v>
      </c>
      <c r="V37" s="401">
        <f t="shared" si="10"/>
        <v>0</v>
      </c>
      <c r="W37" s="52"/>
      <c r="X37" s="419">
        <f>X46</f>
        <v>0.10453</v>
      </c>
      <c r="Y37" s="506">
        <f>$F$9*(1+X$65)-$F$9</f>
        <v>4.9799999999999898</v>
      </c>
      <c r="Z37" s="399">
        <f t="shared" si="31"/>
        <v>0.5205593999999989</v>
      </c>
      <c r="AA37" s="132"/>
      <c r="AB37" s="400">
        <f t="shared" si="13"/>
        <v>0</v>
      </c>
      <c r="AC37" s="401">
        <f t="shared" si="14"/>
        <v>0</v>
      </c>
      <c r="AD37" s="52"/>
      <c r="AE37" s="419">
        <f>AE46</f>
        <v>0.10453</v>
      </c>
      <c r="AF37" s="506">
        <f>$F$9*(1+AE$65)-$F$9</f>
        <v>4.9799999999999898</v>
      </c>
      <c r="AG37" s="399">
        <f t="shared" si="33"/>
        <v>0.5205593999999989</v>
      </c>
      <c r="AH37" s="132"/>
      <c r="AI37" s="400">
        <f t="shared" si="17"/>
        <v>0</v>
      </c>
      <c r="AJ37" s="401">
        <f t="shared" si="18"/>
        <v>0</v>
      </c>
      <c r="AK37" s="52"/>
      <c r="AL37" s="419">
        <f>AL46</f>
        <v>0.10453</v>
      </c>
      <c r="AM37" s="506">
        <f>$F$9*(1+AL$65)-$F$9</f>
        <v>4.9799999999999898</v>
      </c>
      <c r="AN37" s="399">
        <f t="shared" si="35"/>
        <v>0.5205593999999989</v>
      </c>
      <c r="AO37" s="132"/>
      <c r="AP37" s="400">
        <f t="shared" si="21"/>
        <v>0</v>
      </c>
      <c r="AQ37" s="401">
        <f t="shared" si="22"/>
        <v>0</v>
      </c>
      <c r="AR37" s="402"/>
      <c r="AS37" s="402"/>
    </row>
    <row r="38" spans="1:45" ht="12.75" customHeight="1">
      <c r="A38" s="52"/>
      <c r="B38" s="321" t="s">
        <v>275</v>
      </c>
      <c r="C38" s="394" t="str">
        <f t="shared" si="23"/>
        <v>Street Light.Smart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5"/>
        <v>0</v>
      </c>
      <c r="O38" s="401" t="str">
        <f t="shared" si="6"/>
        <v/>
      </c>
      <c r="P38" s="52"/>
      <c r="Q38" s="413">
        <f>IFERROR(VLOOKUP($C38,'Proposed Rates'!$B:$J,Q$11,FALSE),0)</f>
        <v>0</v>
      </c>
      <c r="R38" s="414">
        <f>IF($D38="Monthly",1,IF($D38="per KW",$F$10,IF($D38="per kWh",$F$9,0)))</f>
        <v>1</v>
      </c>
      <c r="S38" s="399">
        <f t="shared" si="29"/>
        <v>0</v>
      </c>
      <c r="T38" s="132"/>
      <c r="U38" s="400">
        <f t="shared" si="9"/>
        <v>0</v>
      </c>
      <c r="V38" s="401" t="str">
        <f t="shared" si="10"/>
        <v/>
      </c>
      <c r="W38" s="52"/>
      <c r="X38" s="413">
        <f>IFERROR(VLOOKUP($C38,'Proposed Rates'!$B:$J,X$11,FALSE),0)</f>
        <v>0</v>
      </c>
      <c r="Y38" s="414">
        <f>IF($D38="Monthly",1,IF($D38="per KW",$F$10,IF($D38="per kWh",$F$9,0)))</f>
        <v>1</v>
      </c>
      <c r="Z38" s="399">
        <f t="shared" si="31"/>
        <v>0</v>
      </c>
      <c r="AA38" s="132"/>
      <c r="AB38" s="400">
        <f t="shared" si="13"/>
        <v>0</v>
      </c>
      <c r="AC38" s="401" t="str">
        <f t="shared" si="14"/>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21"/>
        <v>0</v>
      </c>
      <c r="AQ38" s="401" t="str">
        <f t="shared" si="22"/>
        <v/>
      </c>
      <c r="AR38" s="402"/>
      <c r="AS38" s="402"/>
    </row>
    <row r="39" spans="1:45" ht="12.75" customHeight="1">
      <c r="A39" s="52"/>
      <c r="B39" s="404" t="s">
        <v>317</v>
      </c>
      <c r="C39" s="558"/>
      <c r="D39" s="421"/>
      <c r="E39" s="421"/>
      <c r="F39" s="422"/>
      <c r="G39" s="500"/>
      <c r="H39" s="408">
        <f>SUM(H30:H38)+H29</f>
        <v>15.030507100000001</v>
      </c>
      <c r="I39" s="424"/>
      <c r="J39" s="422"/>
      <c r="K39" s="500"/>
      <c r="L39" s="408">
        <f>SUM(L30:L38)+L29</f>
        <v>14.714449399999999</v>
      </c>
      <c r="M39" s="424"/>
      <c r="N39" s="410">
        <f t="shared" si="5"/>
        <v>-0.31605770000000177</v>
      </c>
      <c r="O39" s="411">
        <f t="shared" si="6"/>
        <v>-2.1027746961378418E-2</v>
      </c>
      <c r="P39" s="52"/>
      <c r="Q39" s="422"/>
      <c r="R39" s="500"/>
      <c r="S39" s="408">
        <f>SUM(S30:S38)+S29</f>
        <v>9.7891294000000002</v>
      </c>
      <c r="T39" s="424"/>
      <c r="U39" s="410">
        <f t="shared" si="9"/>
        <v>-4.9253199999999993</v>
      </c>
      <c r="V39" s="411">
        <f t="shared" si="10"/>
        <v>-0.33472676184540073</v>
      </c>
      <c r="W39" s="52"/>
      <c r="X39" s="422"/>
      <c r="Y39" s="500"/>
      <c r="Z39" s="408">
        <f>SUM(Z30:Z38)+Z29</f>
        <v>10.3047694</v>
      </c>
      <c r="AA39" s="424"/>
      <c r="AB39" s="410">
        <f t="shared" si="13"/>
        <v>0.51563999999999943</v>
      </c>
      <c r="AC39" s="411">
        <f t="shared" si="14"/>
        <v>5.2674755734662106E-2</v>
      </c>
      <c r="AD39" s="52"/>
      <c r="AE39" s="422"/>
      <c r="AF39" s="500"/>
      <c r="AG39" s="408">
        <f>SUM(AG30:AG38)+AG29</f>
        <v>10.396649399999998</v>
      </c>
      <c r="AH39" s="424"/>
      <c r="AI39" s="410">
        <f t="shared" si="17"/>
        <v>9.1879999999997963E-2</v>
      </c>
      <c r="AJ39" s="411">
        <f t="shared" si="18"/>
        <v>8.916259688450473E-3</v>
      </c>
      <c r="AK39" s="52"/>
      <c r="AL39" s="422"/>
      <c r="AM39" s="500"/>
      <c r="AN39" s="408">
        <f>SUM(AN30:AN38)+AN29</f>
        <v>10.479159399999999</v>
      </c>
      <c r="AO39" s="424"/>
      <c r="AP39" s="410">
        <f t="shared" si="21"/>
        <v>8.2510000000000971E-2</v>
      </c>
      <c r="AQ39" s="411">
        <f t="shared" si="22"/>
        <v>7.9362106795676877E-3</v>
      </c>
      <c r="AR39" s="412"/>
      <c r="AS39" s="412"/>
    </row>
    <row r="40" spans="1:45" ht="12.75" customHeight="1">
      <c r="A40" s="52"/>
      <c r="B40" s="132" t="s">
        <v>258</v>
      </c>
      <c r="C40" s="394" t="str">
        <f t="shared" ref="C40:C41" si="36">D$6&amp;"."&amp;B40</f>
        <v>Street Light.RTSR - Network</v>
      </c>
      <c r="D40" s="425" t="s">
        <v>381</v>
      </c>
      <c r="E40" s="132"/>
      <c r="F40" s="413">
        <f>IFERROR(VLOOKUP($C40,'Proposed Rates'!$B:$J,F$11,FALSE),0)</f>
        <v>3.597</v>
      </c>
      <c r="G40" s="414">
        <f t="shared" ref="G40:G41" si="37">IF($D40="Monthly",1,IF($D40="per KW",$F$10,IF($D40="per kWh",$F$9,0)))</f>
        <v>1</v>
      </c>
      <c r="H40" s="399">
        <f t="shared" ref="H40:H41" si="38">G40*F40</f>
        <v>3.597</v>
      </c>
      <c r="I40" s="132"/>
      <c r="J40" s="413">
        <f>IFERROR(VLOOKUP($C40,'Proposed Rates'!$B:$J,J$11,FALSE),0)</f>
        <v>2.1576</v>
      </c>
      <c r="K40" s="414">
        <f t="shared" ref="K40:K41" si="39">IF($D40="Monthly",1,IF($D40="per KW",$F$10,IF($D40="per kWh",$F$9,0)))</f>
        <v>1</v>
      </c>
      <c r="L40" s="399">
        <f t="shared" ref="L40:L41" si="40">K40*J40</f>
        <v>2.1576</v>
      </c>
      <c r="M40" s="132"/>
      <c r="N40" s="400">
        <f t="shared" si="5"/>
        <v>-1.4394</v>
      </c>
      <c r="O40" s="401">
        <f t="shared" si="6"/>
        <v>-0.40016680567139284</v>
      </c>
      <c r="P40" s="52"/>
      <c r="Q40" s="413">
        <f>IFERROR(VLOOKUP($C40,'Proposed Rates'!$B:$J,Q$11,FALSE),0)</f>
        <v>2.1576</v>
      </c>
      <c r="R40" s="414">
        <f t="shared" ref="R40:R41" si="41">IF($D40="Monthly",1,IF($D40="per KW",$F$10,IF($D40="per kWh",$F$9,0)))</f>
        <v>1</v>
      </c>
      <c r="S40" s="399">
        <f t="shared" ref="S40:S41" si="42">R40*Q40</f>
        <v>2.1576</v>
      </c>
      <c r="T40" s="132"/>
      <c r="U40" s="400">
        <f t="shared" si="9"/>
        <v>0</v>
      </c>
      <c r="V40" s="401">
        <f t="shared" si="10"/>
        <v>0</v>
      </c>
      <c r="W40" s="52"/>
      <c r="X40" s="413">
        <f>IFERROR(VLOOKUP($C40,'Proposed Rates'!$B:$J,X$11,FALSE),0)</f>
        <v>2.1576</v>
      </c>
      <c r="Y40" s="414">
        <f t="shared" ref="Y40:Y41" si="43">IF($D40="Monthly",1,IF($D40="per KW",$F$10,IF($D40="per kWh",$F$9,0)))</f>
        <v>1</v>
      </c>
      <c r="Z40" s="399">
        <f t="shared" ref="Z40:Z41" si="44">Y40*X40</f>
        <v>2.1576</v>
      </c>
      <c r="AA40" s="132"/>
      <c r="AB40" s="400">
        <f t="shared" si="13"/>
        <v>0</v>
      </c>
      <c r="AC40" s="401">
        <f t="shared" si="14"/>
        <v>0</v>
      </c>
      <c r="AD40" s="52"/>
      <c r="AE40" s="413">
        <f>IFERROR(VLOOKUP($C40,'Proposed Rates'!$B:$J,AE$11,FALSE),0)</f>
        <v>2.1576</v>
      </c>
      <c r="AF40" s="414">
        <f t="shared" ref="AF40:AF41" si="45">IF($D40="Monthly",1,IF($D40="per KW",$F$10,IF($D40="per kWh",$F$9,0)))</f>
        <v>1</v>
      </c>
      <c r="AG40" s="399">
        <f t="shared" ref="AG40:AG41" si="46">AF40*AE40</f>
        <v>2.1576</v>
      </c>
      <c r="AH40" s="132"/>
      <c r="AI40" s="400">
        <f t="shared" si="17"/>
        <v>0</v>
      </c>
      <c r="AJ40" s="401">
        <f t="shared" si="18"/>
        <v>0</v>
      </c>
      <c r="AK40" s="52"/>
      <c r="AL40" s="413">
        <f>IFERROR(VLOOKUP($C40,'Proposed Rates'!$B:$J,AL$11,FALSE),0)</f>
        <v>2.1576</v>
      </c>
      <c r="AM40" s="414">
        <f t="shared" ref="AM40:AM41" si="47">IF($D40="Monthly",1,IF($D40="per KW",$F$10,IF($D40="per kWh",$F$9,0)))</f>
        <v>1</v>
      </c>
      <c r="AN40" s="399">
        <f t="shared" ref="AN40:AN41" si="48">AM40*AL40</f>
        <v>2.1576</v>
      </c>
      <c r="AO40" s="132"/>
      <c r="AP40" s="400">
        <f t="shared" si="21"/>
        <v>0</v>
      </c>
      <c r="AQ40" s="401">
        <f t="shared" si="22"/>
        <v>0</v>
      </c>
      <c r="AR40" s="402"/>
      <c r="AS40" s="402"/>
    </row>
    <row r="41" spans="1:45" ht="12.75" customHeight="1">
      <c r="A41" s="52"/>
      <c r="B41" s="132" t="s">
        <v>261</v>
      </c>
      <c r="C41" s="394" t="str">
        <f t="shared" si="36"/>
        <v>Street Light.RTSR - Line and Transformation Connection</v>
      </c>
      <c r="D41" s="425" t="s">
        <v>381</v>
      </c>
      <c r="E41" s="132"/>
      <c r="F41" s="413">
        <f>IFERROR(VLOOKUP($C41,'Proposed Rates'!$B:$J,F$11,FALSE),0)</f>
        <v>2.1377000000000002</v>
      </c>
      <c r="G41" s="414">
        <f t="shared" si="37"/>
        <v>1</v>
      </c>
      <c r="H41" s="399">
        <f t="shared" si="38"/>
        <v>2.1377000000000002</v>
      </c>
      <c r="I41" s="132"/>
      <c r="J41" s="413">
        <f>IFERROR(VLOOKUP($C41,'Proposed Rates'!$B:$J,J$11,FALSE),0)</f>
        <v>1.2213000000000001</v>
      </c>
      <c r="K41" s="414">
        <f t="shared" si="39"/>
        <v>1</v>
      </c>
      <c r="L41" s="399">
        <f t="shared" si="40"/>
        <v>1.2213000000000001</v>
      </c>
      <c r="M41" s="132"/>
      <c r="N41" s="400">
        <f t="shared" si="5"/>
        <v>-0.9164000000000001</v>
      </c>
      <c r="O41" s="401">
        <f t="shared" si="6"/>
        <v>-0.4286850353183328</v>
      </c>
      <c r="P41" s="52"/>
      <c r="Q41" s="413">
        <f>IFERROR(VLOOKUP($C41,'Proposed Rates'!$B:$J,Q$11,FALSE),0)</f>
        <v>1.2213000000000001</v>
      </c>
      <c r="R41" s="414">
        <f t="shared" si="41"/>
        <v>1</v>
      </c>
      <c r="S41" s="399">
        <f t="shared" si="42"/>
        <v>1.2213000000000001</v>
      </c>
      <c r="T41" s="132"/>
      <c r="U41" s="400">
        <f t="shared" si="9"/>
        <v>0</v>
      </c>
      <c r="V41" s="401">
        <f t="shared" si="10"/>
        <v>0</v>
      </c>
      <c r="W41" s="52"/>
      <c r="X41" s="413">
        <f>IFERROR(VLOOKUP($C41,'Proposed Rates'!$B:$J,X$11,FALSE),0)</f>
        <v>1.2213000000000001</v>
      </c>
      <c r="Y41" s="414">
        <f t="shared" si="43"/>
        <v>1</v>
      </c>
      <c r="Z41" s="399">
        <f t="shared" si="44"/>
        <v>1.2213000000000001</v>
      </c>
      <c r="AA41" s="132"/>
      <c r="AB41" s="400">
        <f t="shared" si="13"/>
        <v>0</v>
      </c>
      <c r="AC41" s="401">
        <f t="shared" si="14"/>
        <v>0</v>
      </c>
      <c r="AD41" s="52"/>
      <c r="AE41" s="413">
        <f>IFERROR(VLOOKUP($C41,'Proposed Rates'!$B:$J,AE$11,FALSE),0)</f>
        <v>1.2213000000000001</v>
      </c>
      <c r="AF41" s="414">
        <f t="shared" si="45"/>
        <v>1</v>
      </c>
      <c r="AG41" s="399">
        <f t="shared" si="46"/>
        <v>1.2213000000000001</v>
      </c>
      <c r="AH41" s="132"/>
      <c r="AI41" s="400">
        <f t="shared" si="17"/>
        <v>0</v>
      </c>
      <c r="AJ41" s="401">
        <f t="shared" si="18"/>
        <v>0</v>
      </c>
      <c r="AK41" s="52"/>
      <c r="AL41" s="413">
        <f>IFERROR(VLOOKUP($C41,'Proposed Rates'!$B:$J,AL$11,FALSE),0)</f>
        <v>1.2213000000000001</v>
      </c>
      <c r="AM41" s="414">
        <f t="shared" si="47"/>
        <v>1</v>
      </c>
      <c r="AN41" s="399">
        <f t="shared" si="48"/>
        <v>1.2213000000000001</v>
      </c>
      <c r="AO41" s="132"/>
      <c r="AP41" s="400">
        <f t="shared" si="21"/>
        <v>0</v>
      </c>
      <c r="AQ41" s="401">
        <f t="shared" si="22"/>
        <v>0</v>
      </c>
      <c r="AR41" s="402"/>
      <c r="AS41" s="402"/>
    </row>
    <row r="42" spans="1:45" ht="12.75" customHeight="1">
      <c r="A42" s="52"/>
      <c r="B42" s="404" t="s">
        <v>318</v>
      </c>
      <c r="C42" s="559"/>
      <c r="D42" s="426"/>
      <c r="E42" s="426"/>
      <c r="F42" s="427"/>
      <c r="G42" s="500"/>
      <c r="H42" s="408">
        <f>SUM(H39:H41)</f>
        <v>20.765207100000001</v>
      </c>
      <c r="I42" s="409"/>
      <c r="J42" s="427"/>
      <c r="K42" s="500"/>
      <c r="L42" s="408">
        <f>SUM(L39:L41)</f>
        <v>18.093349399999997</v>
      </c>
      <c r="M42" s="409"/>
      <c r="N42" s="410">
        <f t="shared" si="5"/>
        <v>-2.6718577000000039</v>
      </c>
      <c r="O42" s="411">
        <f t="shared" si="6"/>
        <v>-0.12866992788143219</v>
      </c>
      <c r="P42" s="52"/>
      <c r="Q42" s="427"/>
      <c r="R42" s="500"/>
      <c r="S42" s="408">
        <f>SUM(S39:S41)</f>
        <v>13.1680294</v>
      </c>
      <c r="T42" s="409"/>
      <c r="U42" s="410">
        <f t="shared" si="9"/>
        <v>-4.9253199999999975</v>
      </c>
      <c r="V42" s="411">
        <f t="shared" si="10"/>
        <v>-0.27221714957872856</v>
      </c>
      <c r="W42" s="52"/>
      <c r="X42" s="427"/>
      <c r="Y42" s="500"/>
      <c r="Z42" s="408">
        <f>SUM(Z39:Z41)</f>
        <v>13.683669399999999</v>
      </c>
      <c r="AA42" s="409"/>
      <c r="AB42" s="410">
        <f t="shared" si="13"/>
        <v>0.51563999999999943</v>
      </c>
      <c r="AC42" s="411">
        <f t="shared" si="14"/>
        <v>3.9158478792582239E-2</v>
      </c>
      <c r="AD42" s="52"/>
      <c r="AE42" s="427"/>
      <c r="AF42" s="500"/>
      <c r="AG42" s="408">
        <f>SUM(AG39:AG41)</f>
        <v>13.775549399999997</v>
      </c>
      <c r="AH42" s="409"/>
      <c r="AI42" s="410">
        <f t="shared" si="17"/>
        <v>9.1879999999997963E-2</v>
      </c>
      <c r="AJ42" s="411">
        <f t="shared" si="18"/>
        <v>6.7145732123576416E-3</v>
      </c>
      <c r="AK42" s="52"/>
      <c r="AL42" s="427"/>
      <c r="AM42" s="500"/>
      <c r="AN42" s="408">
        <f>SUM(AN39:AN41)</f>
        <v>13.858059399999998</v>
      </c>
      <c r="AO42" s="409"/>
      <c r="AP42" s="410">
        <f t="shared" si="21"/>
        <v>8.2510000000000971E-2</v>
      </c>
      <c r="AQ42" s="411">
        <f t="shared" si="22"/>
        <v>5.9895977724126912E-3</v>
      </c>
      <c r="AR42" s="412"/>
      <c r="AS42" s="412"/>
    </row>
    <row r="43" spans="1:45" ht="12.75" customHeight="1">
      <c r="A43" s="52"/>
      <c r="B43" s="321" t="s">
        <v>262</v>
      </c>
      <c r="C43" s="394" t="str">
        <f t="shared" ref="C43:C45" si="49">D$6&amp;"."&amp;B43</f>
        <v>Street Light.Wholesale Market Service Charge (WMSC)</v>
      </c>
      <c r="D43" s="395" t="s">
        <v>312</v>
      </c>
      <c r="E43" s="321"/>
      <c r="F43" s="413">
        <f>IFERROR(VLOOKUP($C43,'Proposed Rates'!$B:$J,F$11,FALSE),0)</f>
        <v>4.4999999999999997E-3</v>
      </c>
      <c r="G43" s="573">
        <f t="shared" ref="G43:G44" si="50">$F$9+G$37</f>
        <v>155.07000000000002</v>
      </c>
      <c r="H43" s="399">
        <f t="shared" ref="H43:H46" si="51">G43*F43</f>
        <v>0.69781500000000007</v>
      </c>
      <c r="I43" s="132"/>
      <c r="J43" s="413">
        <f>IFERROR(VLOOKUP($C43,'Proposed Rates'!$B:$J,J$11,FALSE),0)</f>
        <v>4.7000000000000002E-3</v>
      </c>
      <c r="K43" s="573">
        <f t="shared" ref="K43:K44" si="52">$F$9+K$37</f>
        <v>154.97999999999999</v>
      </c>
      <c r="L43" s="399">
        <f t="shared" ref="L43:L46" si="53">K43*J43</f>
        <v>0.728406</v>
      </c>
      <c r="M43" s="132"/>
      <c r="N43" s="400">
        <f t="shared" si="5"/>
        <v>3.0590999999999924E-2</v>
      </c>
      <c r="O43" s="401">
        <f t="shared" si="6"/>
        <v>4.3838266589282145E-2</v>
      </c>
      <c r="P43" s="52"/>
      <c r="Q43" s="413">
        <f>IFERROR(VLOOKUP($C43,'Proposed Rates'!$B:$J,Q$11,FALSE),0)</f>
        <v>4.7000000000000002E-3</v>
      </c>
      <c r="R43" s="573">
        <f t="shared" ref="R43:R44" si="54">$F$9+R$37</f>
        <v>154.97999999999999</v>
      </c>
      <c r="S43" s="399">
        <f t="shared" ref="S43:S46" si="55">R43*Q43</f>
        <v>0.728406</v>
      </c>
      <c r="T43" s="132"/>
      <c r="U43" s="400">
        <f t="shared" si="9"/>
        <v>0</v>
      </c>
      <c r="V43" s="401">
        <f t="shared" si="10"/>
        <v>0</v>
      </c>
      <c r="W43" s="52"/>
      <c r="X43" s="413">
        <f>IFERROR(VLOOKUP($C43,'Proposed Rates'!$B:$J,X$11,FALSE),0)</f>
        <v>4.7000000000000002E-3</v>
      </c>
      <c r="Y43" s="573">
        <f t="shared" ref="Y43:Y44" si="56">$F$9+Y$37</f>
        <v>154.97999999999999</v>
      </c>
      <c r="Z43" s="399">
        <f t="shared" ref="Z43:Z46" si="57">Y43*X43</f>
        <v>0.728406</v>
      </c>
      <c r="AA43" s="132"/>
      <c r="AB43" s="400">
        <f t="shared" si="13"/>
        <v>0</v>
      </c>
      <c r="AC43" s="401">
        <f t="shared" si="14"/>
        <v>0</v>
      </c>
      <c r="AD43" s="52"/>
      <c r="AE43" s="413">
        <f>IFERROR(VLOOKUP($C43,'Proposed Rates'!$B:$J,AE$11,FALSE),0)</f>
        <v>4.7000000000000002E-3</v>
      </c>
      <c r="AF43" s="573">
        <f t="shared" ref="AF43:AF44" si="58">$F$9+AF$37</f>
        <v>154.97999999999999</v>
      </c>
      <c r="AG43" s="399">
        <f t="shared" ref="AG43:AG46" si="59">AF43*AE43</f>
        <v>0.728406</v>
      </c>
      <c r="AH43" s="132"/>
      <c r="AI43" s="400">
        <f t="shared" si="17"/>
        <v>0</v>
      </c>
      <c r="AJ43" s="401">
        <f t="shared" si="18"/>
        <v>0</v>
      </c>
      <c r="AK43" s="52"/>
      <c r="AL43" s="413">
        <f>IFERROR(VLOOKUP($C43,'Proposed Rates'!$B:$J,AL$11,FALSE),0)</f>
        <v>4.7000000000000002E-3</v>
      </c>
      <c r="AM43" s="573">
        <f t="shared" ref="AM43:AM44" si="60">$F$9+AM$37</f>
        <v>154.97999999999999</v>
      </c>
      <c r="AN43" s="399">
        <f t="shared" ref="AN43:AN46" si="61">AM43*AL43</f>
        <v>0.728406</v>
      </c>
      <c r="AO43" s="132"/>
      <c r="AP43" s="400">
        <f t="shared" si="21"/>
        <v>0</v>
      </c>
      <c r="AQ43" s="401">
        <f t="shared" si="22"/>
        <v>0</v>
      </c>
      <c r="AR43" s="402"/>
      <c r="AS43" s="402"/>
    </row>
    <row r="44" spans="1:45" ht="12.75" customHeight="1">
      <c r="A44" s="52"/>
      <c r="B44" s="321" t="s">
        <v>263</v>
      </c>
      <c r="C44" s="394" t="str">
        <f t="shared" si="49"/>
        <v>Street Light.Rural and Remote Rate Protection (RRRP)</v>
      </c>
      <c r="D44" s="395" t="s">
        <v>312</v>
      </c>
      <c r="E44" s="321"/>
      <c r="F44" s="413">
        <f>IFERROR(VLOOKUP($C44,'Proposed Rates'!$B:$J,F$11,FALSE),0)</f>
        <v>1.5E-3</v>
      </c>
      <c r="G44" s="573">
        <f t="shared" si="50"/>
        <v>155.07000000000002</v>
      </c>
      <c r="H44" s="399">
        <f t="shared" si="51"/>
        <v>0.23260500000000003</v>
      </c>
      <c r="I44" s="132"/>
      <c r="J44" s="413">
        <f>IFERROR(VLOOKUP($C44,'Proposed Rates'!$B:$J,J$11,FALSE),0)</f>
        <v>5.9999999999999995E-4</v>
      </c>
      <c r="K44" s="573">
        <f t="shared" si="52"/>
        <v>154.97999999999999</v>
      </c>
      <c r="L44" s="399">
        <f t="shared" si="53"/>
        <v>9.2987999999999987E-2</v>
      </c>
      <c r="M44" s="132"/>
      <c r="N44" s="400">
        <f t="shared" si="5"/>
        <v>-0.13961700000000005</v>
      </c>
      <c r="O44" s="401">
        <f t="shared" si="6"/>
        <v>-0.60023215322112611</v>
      </c>
      <c r="P44" s="52"/>
      <c r="Q44" s="413">
        <f>IFERROR(VLOOKUP($C44,'Proposed Rates'!$B:$J,Q$11,FALSE),0)</f>
        <v>5.9999999999999995E-4</v>
      </c>
      <c r="R44" s="573">
        <f t="shared" si="54"/>
        <v>154.97999999999999</v>
      </c>
      <c r="S44" s="399">
        <f t="shared" si="55"/>
        <v>9.2987999999999987E-2</v>
      </c>
      <c r="T44" s="132"/>
      <c r="U44" s="400">
        <f t="shared" si="9"/>
        <v>0</v>
      </c>
      <c r="V44" s="401">
        <f t="shared" si="10"/>
        <v>0</v>
      </c>
      <c r="W44" s="52"/>
      <c r="X44" s="413">
        <f>IFERROR(VLOOKUP($C44,'Proposed Rates'!$B:$J,X$11,FALSE),0)</f>
        <v>5.9999999999999995E-4</v>
      </c>
      <c r="Y44" s="573">
        <f t="shared" si="56"/>
        <v>154.97999999999999</v>
      </c>
      <c r="Z44" s="399">
        <f t="shared" si="57"/>
        <v>9.2987999999999987E-2</v>
      </c>
      <c r="AA44" s="132"/>
      <c r="AB44" s="400">
        <f t="shared" si="13"/>
        <v>0</v>
      </c>
      <c r="AC44" s="401">
        <f t="shared" si="14"/>
        <v>0</v>
      </c>
      <c r="AD44" s="52"/>
      <c r="AE44" s="413">
        <f>IFERROR(VLOOKUP($C44,'Proposed Rates'!$B:$J,AE$11,FALSE),0)</f>
        <v>5.9999999999999995E-4</v>
      </c>
      <c r="AF44" s="573">
        <f t="shared" si="58"/>
        <v>154.97999999999999</v>
      </c>
      <c r="AG44" s="399">
        <f t="shared" si="59"/>
        <v>9.2987999999999987E-2</v>
      </c>
      <c r="AH44" s="132"/>
      <c r="AI44" s="400">
        <f t="shared" si="17"/>
        <v>0</v>
      </c>
      <c r="AJ44" s="401">
        <f t="shared" si="18"/>
        <v>0</v>
      </c>
      <c r="AK44" s="52"/>
      <c r="AL44" s="413">
        <f>IFERROR(VLOOKUP($C44,'Proposed Rates'!$B:$J,AL$11,FALSE),0)</f>
        <v>5.9999999999999995E-4</v>
      </c>
      <c r="AM44" s="573">
        <f t="shared" si="60"/>
        <v>154.97999999999999</v>
      </c>
      <c r="AN44" s="399">
        <f t="shared" si="61"/>
        <v>9.2987999999999987E-2</v>
      </c>
      <c r="AO44" s="132"/>
      <c r="AP44" s="400">
        <f t="shared" si="21"/>
        <v>0</v>
      </c>
      <c r="AQ44" s="401">
        <f t="shared" si="22"/>
        <v>0</v>
      </c>
      <c r="AR44" s="402"/>
      <c r="AS44" s="402"/>
    </row>
    <row r="45" spans="1:45" ht="12.75" customHeight="1">
      <c r="A45" s="52"/>
      <c r="B45" s="321" t="s">
        <v>264</v>
      </c>
      <c r="C45" s="394" t="str">
        <f t="shared" si="49"/>
        <v>Street Light.Standard Supply Service Charge</v>
      </c>
      <c r="D45" s="395" t="s">
        <v>310</v>
      </c>
      <c r="E45" s="321"/>
      <c r="F45" s="413">
        <f>IFERROR(VLOOKUP($C45,'Proposed Rates'!$B:$J,F$11,FALSE),0)</f>
        <v>0.25</v>
      </c>
      <c r="G45" s="416">
        <v>1</v>
      </c>
      <c r="H45" s="399">
        <f t="shared" si="51"/>
        <v>0.25</v>
      </c>
      <c r="I45" s="132"/>
      <c r="J45" s="413">
        <f>IFERROR(VLOOKUP($C45,'Proposed Rates'!$B:$J,J$11,FALSE),0)</f>
        <v>0.25</v>
      </c>
      <c r="K45" s="416">
        <v>1</v>
      </c>
      <c r="L45" s="399">
        <f t="shared" si="53"/>
        <v>0.25</v>
      </c>
      <c r="M45" s="132"/>
      <c r="N45" s="400">
        <f t="shared" si="5"/>
        <v>0</v>
      </c>
      <c r="O45" s="401">
        <f t="shared" si="6"/>
        <v>0</v>
      </c>
      <c r="P45" s="52"/>
      <c r="Q45" s="413">
        <f>IFERROR(VLOOKUP($C45,'Proposed Rates'!$B:$J,Q$11,FALSE),0)</f>
        <v>0.25</v>
      </c>
      <c r="R45" s="416">
        <v>1</v>
      </c>
      <c r="S45" s="399">
        <f t="shared" si="55"/>
        <v>0.25</v>
      </c>
      <c r="T45" s="132"/>
      <c r="U45" s="400">
        <f t="shared" si="9"/>
        <v>0</v>
      </c>
      <c r="V45" s="401">
        <f t="shared" si="10"/>
        <v>0</v>
      </c>
      <c r="W45" s="52"/>
      <c r="X45" s="413">
        <f>IFERROR(VLOOKUP($C45,'Proposed Rates'!$B:$J,X$11,FALSE),0)</f>
        <v>0.25</v>
      </c>
      <c r="Y45" s="416">
        <v>1</v>
      </c>
      <c r="Z45" s="399">
        <f t="shared" si="57"/>
        <v>0.25</v>
      </c>
      <c r="AA45" s="132"/>
      <c r="AB45" s="400">
        <f t="shared" si="13"/>
        <v>0</v>
      </c>
      <c r="AC45" s="401">
        <f t="shared" si="14"/>
        <v>0</v>
      </c>
      <c r="AD45" s="52"/>
      <c r="AE45" s="413">
        <f>IFERROR(VLOOKUP($C45,'Proposed Rates'!$B:$J,AE$11,FALSE),0)</f>
        <v>0.25</v>
      </c>
      <c r="AF45" s="416">
        <v>1</v>
      </c>
      <c r="AG45" s="399">
        <f t="shared" si="59"/>
        <v>0.25</v>
      </c>
      <c r="AH45" s="132"/>
      <c r="AI45" s="400">
        <f t="shared" si="17"/>
        <v>0</v>
      </c>
      <c r="AJ45" s="401">
        <f t="shared" si="18"/>
        <v>0</v>
      </c>
      <c r="AK45" s="52"/>
      <c r="AL45" s="413">
        <f>IFERROR(VLOOKUP($C45,'Proposed Rates'!$B:$J,AL$11,FALSE),0)</f>
        <v>0.25</v>
      </c>
      <c r="AM45" s="416">
        <v>1</v>
      </c>
      <c r="AN45" s="399">
        <f t="shared" si="61"/>
        <v>0.25</v>
      </c>
      <c r="AO45" s="132"/>
      <c r="AP45" s="400">
        <f t="shared" si="21"/>
        <v>0</v>
      </c>
      <c r="AQ45" s="401">
        <f t="shared" si="22"/>
        <v>0</v>
      </c>
      <c r="AR45" s="402"/>
      <c r="AS45" s="402"/>
    </row>
    <row r="46" spans="1:45" ht="15.75" customHeight="1">
      <c r="A46" s="52"/>
      <c r="B46" s="321" t="s">
        <v>271</v>
      </c>
      <c r="C46" s="394" t="str">
        <f>B46</f>
        <v>Average IESO Wholesale Market Price</v>
      </c>
      <c r="D46" s="395" t="s">
        <v>312</v>
      </c>
      <c r="E46" s="321"/>
      <c r="F46" s="413">
        <f>IFERROR(VLOOKUP($C46,'Proposed Rates'!$B:$J,F$11,FALSE),0)</f>
        <v>0.10453</v>
      </c>
      <c r="G46" s="574">
        <f>$F$9</f>
        <v>150</v>
      </c>
      <c r="H46" s="399">
        <f t="shared" si="51"/>
        <v>15.679499999999999</v>
      </c>
      <c r="I46" s="132"/>
      <c r="J46" s="413">
        <f>IFERROR(VLOOKUP($C46,'Proposed Rates'!$B:$J,J$11,FALSE),0)</f>
        <v>0.10453</v>
      </c>
      <c r="K46" s="574">
        <f>$F$9</f>
        <v>150</v>
      </c>
      <c r="L46" s="399">
        <f t="shared" si="53"/>
        <v>15.679499999999999</v>
      </c>
      <c r="M46" s="132"/>
      <c r="N46" s="400">
        <f t="shared" si="5"/>
        <v>0</v>
      </c>
      <c r="O46" s="401">
        <f t="shared" si="6"/>
        <v>0</v>
      </c>
      <c r="P46" s="52"/>
      <c r="Q46" s="413">
        <f>IFERROR(VLOOKUP($C46,'Proposed Rates'!$B:$J,Q$11,FALSE),0)</f>
        <v>0.10453</v>
      </c>
      <c r="R46" s="574">
        <f>$F$9</f>
        <v>150</v>
      </c>
      <c r="S46" s="399">
        <f t="shared" si="55"/>
        <v>15.679499999999999</v>
      </c>
      <c r="T46" s="132"/>
      <c r="U46" s="400">
        <f t="shared" si="9"/>
        <v>0</v>
      </c>
      <c r="V46" s="401">
        <f t="shared" si="10"/>
        <v>0</v>
      </c>
      <c r="W46" s="52"/>
      <c r="X46" s="413">
        <f>IFERROR(VLOOKUP($C46,'Proposed Rates'!$B:$J,X$11,FALSE),0)</f>
        <v>0.10453</v>
      </c>
      <c r="Y46" s="574">
        <f>$F$9</f>
        <v>150</v>
      </c>
      <c r="Z46" s="399">
        <f t="shared" si="57"/>
        <v>15.679499999999999</v>
      </c>
      <c r="AA46" s="132"/>
      <c r="AB46" s="400">
        <f t="shared" si="13"/>
        <v>0</v>
      </c>
      <c r="AC46" s="401">
        <f t="shared" si="14"/>
        <v>0</v>
      </c>
      <c r="AD46" s="52"/>
      <c r="AE46" s="413">
        <f>IFERROR(VLOOKUP($C46,'Proposed Rates'!$B:$J,AE$11,FALSE),0)</f>
        <v>0.10453</v>
      </c>
      <c r="AF46" s="574">
        <f>$F$9</f>
        <v>150</v>
      </c>
      <c r="AG46" s="399">
        <f t="shared" si="59"/>
        <v>15.679499999999999</v>
      </c>
      <c r="AH46" s="132"/>
      <c r="AI46" s="400">
        <f t="shared" si="17"/>
        <v>0</v>
      </c>
      <c r="AJ46" s="401">
        <f t="shared" si="18"/>
        <v>0</v>
      </c>
      <c r="AK46" s="52"/>
      <c r="AL46" s="413">
        <f>IFERROR(VLOOKUP($C46,'Proposed Rates'!$B:$J,AL$11,FALSE),0)</f>
        <v>0.10453</v>
      </c>
      <c r="AM46" s="574">
        <f>$F$9</f>
        <v>150</v>
      </c>
      <c r="AN46" s="399">
        <f t="shared" si="61"/>
        <v>15.679499999999999</v>
      </c>
      <c r="AO46" s="132"/>
      <c r="AP46" s="400">
        <f t="shared" si="21"/>
        <v>0</v>
      </c>
      <c r="AQ46" s="401">
        <f t="shared" si="22"/>
        <v>0</v>
      </c>
      <c r="AR46" s="402"/>
      <c r="AS46" s="402"/>
    </row>
    <row r="47" spans="1:45" ht="15.75" customHeight="1">
      <c r="A47" s="52"/>
      <c r="B47" s="321"/>
      <c r="C47" s="394" t="str">
        <f t="shared" ref="C47:C50" si="62">D$6&amp;"."&amp;B47</f>
        <v>Street Light.</v>
      </c>
      <c r="D47" s="395"/>
      <c r="E47" s="321"/>
      <c r="F47" s="429"/>
      <c r="G47" s="574"/>
      <c r="H47" s="399"/>
      <c r="I47" s="132"/>
      <c r="J47" s="429"/>
      <c r="K47" s="574"/>
      <c r="L47" s="399"/>
      <c r="M47" s="132"/>
      <c r="N47" s="400"/>
      <c r="O47" s="401"/>
      <c r="P47" s="52"/>
      <c r="Q47" s="429"/>
      <c r="R47" s="574"/>
      <c r="S47" s="399"/>
      <c r="T47" s="132"/>
      <c r="U47" s="400"/>
      <c r="V47" s="401"/>
      <c r="W47" s="52"/>
      <c r="X47" s="429"/>
      <c r="Y47" s="574"/>
      <c r="Z47" s="399"/>
      <c r="AA47" s="132"/>
      <c r="AB47" s="400"/>
      <c r="AC47" s="401"/>
      <c r="AD47" s="52"/>
      <c r="AE47" s="429"/>
      <c r="AF47" s="574"/>
      <c r="AG47" s="399"/>
      <c r="AH47" s="132"/>
      <c r="AI47" s="400"/>
      <c r="AJ47" s="401"/>
      <c r="AK47" s="52"/>
      <c r="AL47" s="429"/>
      <c r="AM47" s="574"/>
      <c r="AN47" s="399"/>
      <c r="AO47" s="132"/>
      <c r="AP47" s="400"/>
      <c r="AQ47" s="401"/>
      <c r="AR47" s="402"/>
      <c r="AS47" s="402"/>
    </row>
    <row r="48" spans="1:45" ht="15.75" customHeight="1">
      <c r="A48" s="52"/>
      <c r="B48" s="321"/>
      <c r="C48" s="394" t="str">
        <f t="shared" si="62"/>
        <v>Street Light.</v>
      </c>
      <c r="D48" s="395"/>
      <c r="E48" s="321"/>
      <c r="F48" s="429"/>
      <c r="G48" s="574"/>
      <c r="H48" s="399"/>
      <c r="I48" s="132"/>
      <c r="J48" s="429"/>
      <c r="K48" s="574"/>
      <c r="L48" s="399"/>
      <c r="M48" s="132"/>
      <c r="N48" s="400"/>
      <c r="O48" s="401"/>
      <c r="P48" s="52"/>
      <c r="Q48" s="429"/>
      <c r="R48" s="574"/>
      <c r="S48" s="399"/>
      <c r="T48" s="132"/>
      <c r="U48" s="400"/>
      <c r="V48" s="401"/>
      <c r="W48" s="52"/>
      <c r="X48" s="429"/>
      <c r="Y48" s="574"/>
      <c r="Z48" s="399"/>
      <c r="AA48" s="132"/>
      <c r="AB48" s="400"/>
      <c r="AC48" s="401"/>
      <c r="AD48" s="52"/>
      <c r="AE48" s="429"/>
      <c r="AF48" s="574"/>
      <c r="AG48" s="399"/>
      <c r="AH48" s="132"/>
      <c r="AI48" s="400"/>
      <c r="AJ48" s="401"/>
      <c r="AK48" s="52"/>
      <c r="AL48" s="429"/>
      <c r="AM48" s="574"/>
      <c r="AN48" s="399"/>
      <c r="AO48" s="132"/>
      <c r="AP48" s="400"/>
      <c r="AQ48" s="401"/>
      <c r="AR48" s="402"/>
      <c r="AS48" s="402"/>
    </row>
    <row r="49" spans="1:45" ht="15.75" customHeight="1">
      <c r="A49" s="52"/>
      <c r="B49" s="321"/>
      <c r="C49" s="394" t="str">
        <f t="shared" si="62"/>
        <v>Street Light.</v>
      </c>
      <c r="D49" s="395"/>
      <c r="E49" s="321"/>
      <c r="F49" s="429"/>
      <c r="G49" s="574"/>
      <c r="H49" s="399"/>
      <c r="I49" s="132"/>
      <c r="J49" s="429"/>
      <c r="K49" s="574"/>
      <c r="L49" s="399"/>
      <c r="M49" s="132"/>
      <c r="N49" s="400"/>
      <c r="O49" s="401"/>
      <c r="P49" s="52"/>
      <c r="Q49" s="429"/>
      <c r="R49" s="574"/>
      <c r="S49" s="399"/>
      <c r="T49" s="132"/>
      <c r="U49" s="400"/>
      <c r="V49" s="401"/>
      <c r="W49" s="52"/>
      <c r="X49" s="429"/>
      <c r="Y49" s="574"/>
      <c r="Z49" s="399"/>
      <c r="AA49" s="132"/>
      <c r="AB49" s="400"/>
      <c r="AC49" s="401"/>
      <c r="AD49" s="52"/>
      <c r="AE49" s="429"/>
      <c r="AF49" s="574"/>
      <c r="AG49" s="399"/>
      <c r="AH49" s="132"/>
      <c r="AI49" s="400"/>
      <c r="AJ49" s="401"/>
      <c r="AK49" s="52"/>
      <c r="AL49" s="429"/>
      <c r="AM49" s="574"/>
      <c r="AN49" s="399"/>
      <c r="AO49" s="132"/>
      <c r="AP49" s="400"/>
      <c r="AQ49" s="401"/>
      <c r="AR49" s="402"/>
      <c r="AS49" s="402"/>
    </row>
    <row r="50" spans="1:45" ht="15.75" customHeight="1">
      <c r="A50" s="52"/>
      <c r="B50" s="321"/>
      <c r="C50" s="394" t="str">
        <f t="shared" si="62"/>
        <v>Street Light.</v>
      </c>
      <c r="D50" s="395"/>
      <c r="E50" s="321"/>
      <c r="F50" s="429"/>
      <c r="G50" s="574"/>
      <c r="H50" s="399"/>
      <c r="I50" s="132"/>
      <c r="J50" s="429"/>
      <c r="K50" s="574"/>
      <c r="L50" s="399"/>
      <c r="M50" s="132"/>
      <c r="N50" s="400"/>
      <c r="O50" s="401"/>
      <c r="P50" s="52"/>
      <c r="Q50" s="429"/>
      <c r="R50" s="574"/>
      <c r="S50" s="399"/>
      <c r="T50" s="132"/>
      <c r="U50" s="400"/>
      <c r="V50" s="401"/>
      <c r="W50" s="52"/>
      <c r="X50" s="429"/>
      <c r="Y50" s="574"/>
      <c r="Z50" s="399"/>
      <c r="AA50" s="132"/>
      <c r="AB50" s="400"/>
      <c r="AC50" s="401"/>
      <c r="AD50" s="52"/>
      <c r="AE50" s="429"/>
      <c r="AF50" s="574"/>
      <c r="AG50" s="399"/>
      <c r="AH50" s="132"/>
      <c r="AI50" s="400"/>
      <c r="AJ50" s="401"/>
      <c r="AK50" s="52"/>
      <c r="AL50" s="429"/>
      <c r="AM50" s="574"/>
      <c r="AN50" s="399"/>
      <c r="AO50" s="132"/>
      <c r="AP50" s="400"/>
      <c r="AQ50" s="401"/>
      <c r="AR50" s="402"/>
      <c r="AS50" s="402"/>
    </row>
    <row r="51" spans="1:45" ht="15.7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442"/>
    </row>
    <row r="52" spans="1:45" ht="12.75" customHeight="1">
      <c r="A52" s="52"/>
      <c r="B52" s="443" t="s">
        <v>319</v>
      </c>
      <c r="C52" s="561"/>
      <c r="D52" s="321"/>
      <c r="E52" s="321"/>
      <c r="F52" s="444"/>
      <c r="G52" s="488"/>
      <c r="H52" s="446">
        <f>SUM(H43:H48,H42)</f>
        <v>37.6251271</v>
      </c>
      <c r="I52" s="481"/>
      <c r="J52" s="445"/>
      <c r="K52" s="445"/>
      <c r="L52" s="446">
        <f>SUM(L43:L48,L42)</f>
        <v>34.844243399999996</v>
      </c>
      <c r="M52" s="448"/>
      <c r="N52" s="447">
        <f t="shared" ref="N52:N56" si="63">L52-H52</f>
        <v>-2.780883700000004</v>
      </c>
      <c r="O52" s="449">
        <f t="shared" ref="O52:O56" si="64">IF((H52)=0,"",(N52/H52))</f>
        <v>-7.3910280558228444E-2</v>
      </c>
      <c r="P52" s="52"/>
      <c r="Q52" s="445"/>
      <c r="R52" s="445"/>
      <c r="S52" s="446">
        <f>SUM(S43:S48,S42)</f>
        <v>29.918923399999997</v>
      </c>
      <c r="T52" s="448"/>
      <c r="U52" s="447">
        <f t="shared" ref="U52:U56" si="65">S52-L52</f>
        <v>-4.9253199999999993</v>
      </c>
      <c r="V52" s="449">
        <f t="shared" ref="V52:V56" si="66">IF((L52)=0,"",(U52/L52))</f>
        <v>-0.14135247373458537</v>
      </c>
      <c r="W52" s="52"/>
      <c r="X52" s="445"/>
      <c r="Y52" s="445"/>
      <c r="Z52" s="446">
        <f>SUM(Z43:Z48,Z42)</f>
        <v>30.434563399999998</v>
      </c>
      <c r="AA52" s="448"/>
      <c r="AB52" s="447">
        <f t="shared" ref="AB52:AB56" si="67">Z52-S52</f>
        <v>0.51564000000000121</v>
      </c>
      <c r="AC52" s="449">
        <f t="shared" ref="AC52:AC56" si="68">IF((S52)=0,"",(AB52/S52))</f>
        <v>1.7234577364505076E-2</v>
      </c>
      <c r="AD52" s="52"/>
      <c r="AE52" s="445"/>
      <c r="AF52" s="445"/>
      <c r="AG52" s="446">
        <f>SUM(AG43:AG48,AG42)</f>
        <v>30.526443399999998</v>
      </c>
      <c r="AH52" s="448"/>
      <c r="AI52" s="447">
        <f t="shared" ref="AI52:AI56" si="69">AG52-Z52</f>
        <v>9.187999999999974E-2</v>
      </c>
      <c r="AJ52" s="449">
        <f t="shared" ref="AJ52:AJ56" si="70">IF((Z52)=0,"",(AI52/Z52))</f>
        <v>3.0189360298166702E-3</v>
      </c>
      <c r="AK52" s="52"/>
      <c r="AL52" s="445"/>
      <c r="AM52" s="445"/>
      <c r="AN52" s="446">
        <f>SUM(AN43:AN48,AN42)</f>
        <v>30.608953399999997</v>
      </c>
      <c r="AO52" s="448"/>
      <c r="AP52" s="447">
        <f t="shared" ref="AP52:AP56" si="71">AN52-AG52</f>
        <v>8.2509999999999195E-2</v>
      </c>
      <c r="AQ52" s="449">
        <f t="shared" ref="AQ52:AQ56" si="72">IF((AG52)=0,"",(AP52/AG52))</f>
        <v>2.7029024940389617E-3</v>
      </c>
      <c r="AR52" s="450"/>
      <c r="AS52" s="450"/>
    </row>
    <row r="53" spans="1:45" ht="12.75" customHeight="1">
      <c r="A53" s="52"/>
      <c r="B53" s="451" t="s">
        <v>320</v>
      </c>
      <c r="C53" s="561"/>
      <c r="D53" s="321"/>
      <c r="E53" s="321"/>
      <c r="F53" s="444">
        <v>0.13</v>
      </c>
      <c r="G53" s="132"/>
      <c r="H53" s="489">
        <f>H52*F53</f>
        <v>4.8912665230000005</v>
      </c>
      <c r="I53" s="416"/>
      <c r="J53" s="452">
        <v>0.13</v>
      </c>
      <c r="K53" s="416"/>
      <c r="L53" s="399">
        <f>L52*J53</f>
        <v>4.5297516419999999</v>
      </c>
      <c r="M53" s="132"/>
      <c r="N53" s="400">
        <f t="shared" si="63"/>
        <v>-0.36151488100000062</v>
      </c>
      <c r="O53" s="401">
        <f t="shared" si="64"/>
        <v>-7.3910280558228458E-2</v>
      </c>
      <c r="P53" s="52"/>
      <c r="Q53" s="452">
        <v>0.13</v>
      </c>
      <c r="R53" s="416"/>
      <c r="S53" s="399">
        <f>S52*Q53</f>
        <v>3.8894600419999996</v>
      </c>
      <c r="T53" s="132"/>
      <c r="U53" s="400">
        <f t="shared" si="65"/>
        <v>-0.64029160000000029</v>
      </c>
      <c r="V53" s="401">
        <f t="shared" si="66"/>
        <v>-0.14135247373458545</v>
      </c>
      <c r="W53" s="52"/>
      <c r="X53" s="452">
        <v>0.13</v>
      </c>
      <c r="Y53" s="416"/>
      <c r="Z53" s="399">
        <f>Z52*X53</f>
        <v>3.9564932420000001</v>
      </c>
      <c r="AA53" s="132"/>
      <c r="AB53" s="400">
        <f t="shared" si="67"/>
        <v>6.7033200000000459E-2</v>
      </c>
      <c r="AC53" s="401">
        <f t="shared" si="68"/>
        <v>1.7234577364505153E-2</v>
      </c>
      <c r="AD53" s="52"/>
      <c r="AE53" s="452">
        <v>0.13</v>
      </c>
      <c r="AF53" s="416"/>
      <c r="AG53" s="399">
        <f>AG52*AE53</f>
        <v>3.968437642</v>
      </c>
      <c r="AH53" s="132"/>
      <c r="AI53" s="400">
        <f t="shared" si="69"/>
        <v>1.1944399999999966E-2</v>
      </c>
      <c r="AJ53" s="401">
        <f t="shared" si="70"/>
        <v>3.0189360298166702E-3</v>
      </c>
      <c r="AK53" s="52"/>
      <c r="AL53" s="452">
        <v>0.13</v>
      </c>
      <c r="AM53" s="416"/>
      <c r="AN53" s="399">
        <f>AN52*AL53</f>
        <v>3.9791639419999996</v>
      </c>
      <c r="AO53" s="132"/>
      <c r="AP53" s="400">
        <f t="shared" si="71"/>
        <v>1.0726299999999522E-2</v>
      </c>
      <c r="AQ53" s="401">
        <f t="shared" si="72"/>
        <v>2.7029024940388676E-3</v>
      </c>
      <c r="AR53" s="402"/>
      <c r="AS53" s="402"/>
    </row>
    <row r="54" spans="1:45" ht="12.75" customHeight="1">
      <c r="A54" s="52"/>
      <c r="B54" s="453" t="s">
        <v>420</v>
      </c>
      <c r="C54" s="561"/>
      <c r="D54" s="321"/>
      <c r="E54" s="321"/>
      <c r="F54" s="454"/>
      <c r="G54" s="132"/>
      <c r="H54" s="489">
        <f>H52+H53</f>
        <v>42.516393622999999</v>
      </c>
      <c r="I54" s="416"/>
      <c r="J54" s="416"/>
      <c r="K54" s="416"/>
      <c r="L54" s="399">
        <f>L52+L53</f>
        <v>39.373995041999997</v>
      </c>
      <c r="M54" s="132"/>
      <c r="N54" s="400">
        <f t="shared" si="63"/>
        <v>-3.1423985810000019</v>
      </c>
      <c r="O54" s="401">
        <f t="shared" si="64"/>
        <v>-7.3910280558228375E-2</v>
      </c>
      <c r="P54" s="52"/>
      <c r="Q54" s="416"/>
      <c r="R54" s="416"/>
      <c r="S54" s="399">
        <f>S52+S53</f>
        <v>33.808383441999993</v>
      </c>
      <c r="T54" s="132"/>
      <c r="U54" s="400">
        <f t="shared" si="65"/>
        <v>-5.565611600000004</v>
      </c>
      <c r="V54" s="401">
        <f t="shared" si="66"/>
        <v>-0.14135247373458548</v>
      </c>
      <c r="W54" s="52"/>
      <c r="X54" s="416"/>
      <c r="Y54" s="416"/>
      <c r="Z54" s="399">
        <f>Z52+Z53</f>
        <v>34.391056641999995</v>
      </c>
      <c r="AA54" s="132"/>
      <c r="AB54" s="400">
        <f t="shared" si="67"/>
        <v>0.58267320000000211</v>
      </c>
      <c r="AC54" s="401">
        <f t="shared" si="68"/>
        <v>1.7234577364505101E-2</v>
      </c>
      <c r="AD54" s="52"/>
      <c r="AE54" s="416"/>
      <c r="AF54" s="416"/>
      <c r="AG54" s="399">
        <f>AG52+AG53</f>
        <v>34.494881041999996</v>
      </c>
      <c r="AH54" s="132"/>
      <c r="AI54" s="400">
        <f t="shared" si="69"/>
        <v>0.10382440000000059</v>
      </c>
      <c r="AJ54" s="401">
        <f t="shared" si="70"/>
        <v>3.0189360298166963E-3</v>
      </c>
      <c r="AK54" s="52"/>
      <c r="AL54" s="416"/>
      <c r="AM54" s="416"/>
      <c r="AN54" s="399">
        <f>AN52+AN53</f>
        <v>34.588117341999997</v>
      </c>
      <c r="AO54" s="132"/>
      <c r="AP54" s="400">
        <f t="shared" si="71"/>
        <v>9.3236300000000938E-2</v>
      </c>
      <c r="AQ54" s="401">
        <f t="shared" si="72"/>
        <v>2.7029024940390155E-3</v>
      </c>
      <c r="AR54" s="402"/>
      <c r="AS54" s="402"/>
    </row>
    <row r="55" spans="1:45" ht="15.75" customHeight="1">
      <c r="A55" s="52"/>
      <c r="B55" s="632" t="s">
        <v>277</v>
      </c>
      <c r="C55" s="623"/>
      <c r="D55" s="623"/>
      <c r="E55" s="321"/>
      <c r="F55" s="454"/>
      <c r="G55" s="132"/>
      <c r="H55" s="491">
        <f>F55*H52</f>
        <v>0</v>
      </c>
      <c r="I55" s="416"/>
      <c r="J55" s="416"/>
      <c r="K55" s="416"/>
      <c r="L55" s="511">
        <f>J55*L52</f>
        <v>0</v>
      </c>
      <c r="M55" s="132"/>
      <c r="N55" s="456">
        <f t="shared" si="63"/>
        <v>0</v>
      </c>
      <c r="O55" s="458" t="str">
        <f t="shared" si="64"/>
        <v/>
      </c>
      <c r="P55" s="52"/>
      <c r="Q55" s="416"/>
      <c r="R55" s="416"/>
      <c r="S55" s="511">
        <f>Q55*S52</f>
        <v>0</v>
      </c>
      <c r="T55" s="132"/>
      <c r="U55" s="456">
        <f t="shared" si="65"/>
        <v>0</v>
      </c>
      <c r="V55" s="458" t="str">
        <f t="shared" si="66"/>
        <v/>
      </c>
      <c r="W55" s="52"/>
      <c r="X55" s="416"/>
      <c r="Y55" s="416"/>
      <c r="Z55" s="511">
        <f>X55*Z52</f>
        <v>0</v>
      </c>
      <c r="AA55" s="132"/>
      <c r="AB55" s="456">
        <f t="shared" si="67"/>
        <v>0</v>
      </c>
      <c r="AC55" s="458" t="str">
        <f t="shared" si="68"/>
        <v/>
      </c>
      <c r="AD55" s="52"/>
      <c r="AE55" s="416"/>
      <c r="AF55" s="416"/>
      <c r="AG55" s="511">
        <f>AE55*AG52</f>
        <v>0</v>
      </c>
      <c r="AH55" s="132"/>
      <c r="AI55" s="456">
        <f t="shared" si="69"/>
        <v>0</v>
      </c>
      <c r="AJ55" s="458" t="str">
        <f t="shared" si="70"/>
        <v/>
      </c>
      <c r="AK55" s="52"/>
      <c r="AL55" s="416"/>
      <c r="AM55" s="416"/>
      <c r="AN55" s="511">
        <f>AL55*AN52</f>
        <v>0</v>
      </c>
      <c r="AO55" s="132"/>
      <c r="AP55" s="456">
        <f t="shared" si="71"/>
        <v>0</v>
      </c>
      <c r="AQ55" s="458" t="str">
        <f t="shared" si="72"/>
        <v/>
      </c>
      <c r="AR55" s="459"/>
      <c r="AS55" s="459"/>
    </row>
    <row r="56" spans="1:45" ht="13.5" customHeight="1">
      <c r="A56" s="52"/>
      <c r="B56" s="634" t="s">
        <v>322</v>
      </c>
      <c r="C56" s="615"/>
      <c r="D56" s="615"/>
      <c r="E56" s="460"/>
      <c r="F56" s="461"/>
      <c r="G56" s="492"/>
      <c r="H56" s="493">
        <f>H54-H55</f>
        <v>42.516393622999999</v>
      </c>
      <c r="I56" s="462"/>
      <c r="J56" s="462"/>
      <c r="K56" s="462"/>
      <c r="L56" s="463">
        <f>L54-L55</f>
        <v>39.373995041999997</v>
      </c>
      <c r="M56" s="464"/>
      <c r="N56" s="465">
        <f t="shared" si="63"/>
        <v>-3.1423985810000019</v>
      </c>
      <c r="O56" s="466">
        <f t="shared" si="64"/>
        <v>-7.3910280558228375E-2</v>
      </c>
      <c r="P56" s="52"/>
      <c r="Q56" s="462"/>
      <c r="R56" s="462"/>
      <c r="S56" s="463">
        <f>S54-S55</f>
        <v>33.808383441999993</v>
      </c>
      <c r="T56" s="464"/>
      <c r="U56" s="465">
        <f t="shared" si="65"/>
        <v>-5.565611600000004</v>
      </c>
      <c r="V56" s="466">
        <f t="shared" si="66"/>
        <v>-0.14135247373458548</v>
      </c>
      <c r="W56" s="52"/>
      <c r="X56" s="462"/>
      <c r="Y56" s="462"/>
      <c r="Z56" s="463">
        <f>Z54-Z55</f>
        <v>34.391056641999995</v>
      </c>
      <c r="AA56" s="464"/>
      <c r="AB56" s="465">
        <f t="shared" si="67"/>
        <v>0.58267320000000211</v>
      </c>
      <c r="AC56" s="466">
        <f t="shared" si="68"/>
        <v>1.7234577364505101E-2</v>
      </c>
      <c r="AD56" s="52"/>
      <c r="AE56" s="462"/>
      <c r="AF56" s="462"/>
      <c r="AG56" s="463">
        <f>AG54-AG55</f>
        <v>34.494881041999996</v>
      </c>
      <c r="AH56" s="464"/>
      <c r="AI56" s="465">
        <f t="shared" si="69"/>
        <v>0.10382440000000059</v>
      </c>
      <c r="AJ56" s="466">
        <f t="shared" si="70"/>
        <v>3.0189360298166963E-3</v>
      </c>
      <c r="AK56" s="52"/>
      <c r="AL56" s="462"/>
      <c r="AM56" s="462"/>
      <c r="AN56" s="463">
        <f>AN54-AN55</f>
        <v>34.588117341999997</v>
      </c>
      <c r="AO56" s="464"/>
      <c r="AP56" s="465">
        <f t="shared" si="71"/>
        <v>9.3236300000000938E-2</v>
      </c>
      <c r="AQ56" s="466">
        <f t="shared" si="72"/>
        <v>2.7029024940390155E-3</v>
      </c>
      <c r="AR56" s="467"/>
      <c r="AS56" s="467"/>
    </row>
    <row r="57" spans="1:45"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442"/>
    </row>
    <row r="58" spans="1:45" ht="12.75" customHeight="1">
      <c r="A58" s="52"/>
      <c r="B58" s="513" t="s">
        <v>323</v>
      </c>
      <c r="C58" s="562"/>
      <c r="D58" s="514"/>
      <c r="E58" s="514"/>
      <c r="F58" s="515"/>
      <c r="G58" s="516"/>
      <c r="H58" s="517">
        <f>SUM(H49:H50,H42,H43:H45)</f>
        <v>21.945627099999999</v>
      </c>
      <c r="I58" s="518"/>
      <c r="J58" s="519"/>
      <c r="K58" s="519"/>
      <c r="L58" s="517">
        <f>SUM(L49:L50,L42,L43:L45)</f>
        <v>19.164743399999995</v>
      </c>
      <c r="M58" s="520"/>
      <c r="N58" s="521">
        <f t="shared" ref="N58:N62" si="73">L58-H58</f>
        <v>-2.780883700000004</v>
      </c>
      <c r="O58" s="522">
        <f t="shared" ref="O58:O62" si="74">IF((H58)=0,"",(N58/H58))</f>
        <v>-0.12671698499789072</v>
      </c>
      <c r="P58" s="512"/>
      <c r="Q58" s="519"/>
      <c r="R58" s="519"/>
      <c r="S58" s="517">
        <f>SUM(S49:S50,S42,S43:S45)</f>
        <v>14.2394234</v>
      </c>
      <c r="T58" s="520"/>
      <c r="U58" s="521">
        <f t="shared" ref="U58:U62" si="75">S58-L58</f>
        <v>-4.9253199999999957</v>
      </c>
      <c r="V58" s="522">
        <f t="shared" ref="V58:V62" si="76">IF((L58)=0,"",(U58/L58))</f>
        <v>-0.25699900578893203</v>
      </c>
      <c r="W58" s="512"/>
      <c r="X58" s="519"/>
      <c r="Y58" s="519"/>
      <c r="Z58" s="517">
        <f>SUM(Z49:Z50,Z42,Z43:Z45)</f>
        <v>14.755063399999999</v>
      </c>
      <c r="AA58" s="520"/>
      <c r="AB58" s="521">
        <f t="shared" ref="AB58:AB62" si="77">Z58-S58</f>
        <v>0.51563999999999943</v>
      </c>
      <c r="AC58" s="522">
        <f t="shared" ref="AC58:AC62" si="78">IF((S58)=0,"",(AB58/S58))</f>
        <v>3.6212140443832821E-2</v>
      </c>
      <c r="AD58" s="512"/>
      <c r="AE58" s="519"/>
      <c r="AF58" s="519"/>
      <c r="AG58" s="517">
        <f>SUM(AG49:AG50,AG42,AG43:AG45)</f>
        <v>14.846943399999997</v>
      </c>
      <c r="AH58" s="520"/>
      <c r="AI58" s="521">
        <f t="shared" ref="AI58:AI62" si="79">AG58-Z58</f>
        <v>9.1879999999997963E-2</v>
      </c>
      <c r="AJ58" s="522">
        <f t="shared" ref="AJ58:AJ62" si="80">IF((Z58)=0,"",(AI58/Z58))</f>
        <v>6.2270149242461383E-3</v>
      </c>
      <c r="AK58" s="512"/>
      <c r="AL58" s="519"/>
      <c r="AM58" s="519"/>
      <c r="AN58" s="517">
        <f>SUM(AN49:AN50,AN42,AN43:AN45)</f>
        <v>14.929453399999998</v>
      </c>
      <c r="AO58" s="520"/>
      <c r="AP58" s="521">
        <f t="shared" ref="AP58:AP62" si="81">AN58-AG58</f>
        <v>8.2510000000000971E-2</v>
      </c>
      <c r="AQ58" s="522">
        <f t="shared" ref="AQ58:AQ62" si="82">IF((AG58)=0,"",(AP58/AG58))</f>
        <v>5.5573728394492962E-3</v>
      </c>
      <c r="AR58" s="450"/>
      <c r="AS58" s="450"/>
    </row>
    <row r="59" spans="1:45" ht="12.75" customHeight="1">
      <c r="A59" s="52"/>
      <c r="B59" s="524" t="s">
        <v>320</v>
      </c>
      <c r="C59" s="562"/>
      <c r="D59" s="514"/>
      <c r="E59" s="514"/>
      <c r="F59" s="515">
        <v>0.13</v>
      </c>
      <c r="G59" s="516"/>
      <c r="H59" s="525">
        <f>H58*F59</f>
        <v>2.8529315230000001</v>
      </c>
      <c r="I59" s="526"/>
      <c r="J59" s="515">
        <v>0.13</v>
      </c>
      <c r="K59" s="527"/>
      <c r="L59" s="528">
        <f>L58*J59</f>
        <v>2.4914166419999995</v>
      </c>
      <c r="M59" s="529"/>
      <c r="N59" s="530">
        <f t="shared" si="73"/>
        <v>-0.36151488100000062</v>
      </c>
      <c r="O59" s="531">
        <f t="shared" si="74"/>
        <v>-0.12671698499789075</v>
      </c>
      <c r="P59" s="512"/>
      <c r="Q59" s="515">
        <v>0.13</v>
      </c>
      <c r="R59" s="527"/>
      <c r="S59" s="528">
        <f>S58*Q59</f>
        <v>1.8511250420000001</v>
      </c>
      <c r="T59" s="529"/>
      <c r="U59" s="530">
        <f t="shared" si="75"/>
        <v>-0.64029159999999941</v>
      </c>
      <c r="V59" s="531">
        <f t="shared" si="76"/>
        <v>-0.25699900578893203</v>
      </c>
      <c r="W59" s="512"/>
      <c r="X59" s="515">
        <v>0.13</v>
      </c>
      <c r="Y59" s="527"/>
      <c r="Z59" s="528">
        <f>Z58*X59</f>
        <v>1.9181582419999998</v>
      </c>
      <c r="AA59" s="529"/>
      <c r="AB59" s="530">
        <f t="shared" si="77"/>
        <v>6.7033199999999793E-2</v>
      </c>
      <c r="AC59" s="531">
        <f t="shared" si="78"/>
        <v>3.6212140443832745E-2</v>
      </c>
      <c r="AD59" s="512"/>
      <c r="AE59" s="515">
        <v>0.13</v>
      </c>
      <c r="AF59" s="527"/>
      <c r="AG59" s="528">
        <f>AG58*AE59</f>
        <v>1.9301026419999996</v>
      </c>
      <c r="AH59" s="529"/>
      <c r="AI59" s="530">
        <f t="shared" si="79"/>
        <v>1.1944399999999744E-2</v>
      </c>
      <c r="AJ59" s="531">
        <f t="shared" si="80"/>
        <v>6.2270149242461435E-3</v>
      </c>
      <c r="AK59" s="512"/>
      <c r="AL59" s="515">
        <v>0.13</v>
      </c>
      <c r="AM59" s="527"/>
      <c r="AN59" s="528">
        <f>AN58*AL59</f>
        <v>1.9408289419999998</v>
      </c>
      <c r="AO59" s="529"/>
      <c r="AP59" s="530">
        <f t="shared" si="81"/>
        <v>1.0726300000000188E-2</v>
      </c>
      <c r="AQ59" s="531">
        <f t="shared" si="82"/>
        <v>5.5573728394493283E-3</v>
      </c>
      <c r="AR59" s="402"/>
      <c r="AS59" s="402"/>
    </row>
    <row r="60" spans="1:45" ht="12.75" customHeight="1">
      <c r="A60" s="52"/>
      <c r="B60" s="533" t="s">
        <v>421</v>
      </c>
      <c r="C60" s="562"/>
      <c r="D60" s="514"/>
      <c r="E60" s="514"/>
      <c r="F60" s="534"/>
      <c r="G60" s="529"/>
      <c r="H60" s="525">
        <f>H58+H59</f>
        <v>24.798558622999998</v>
      </c>
      <c r="I60" s="526"/>
      <c r="J60" s="526"/>
      <c r="K60" s="526"/>
      <c r="L60" s="528">
        <f>L58+L59</f>
        <v>21.656160041999996</v>
      </c>
      <c r="M60" s="529"/>
      <c r="N60" s="530">
        <f t="shared" si="73"/>
        <v>-3.1423985810000019</v>
      </c>
      <c r="O60" s="531">
        <f t="shared" si="74"/>
        <v>-0.12671698499789064</v>
      </c>
      <c r="P60" s="512"/>
      <c r="Q60" s="526"/>
      <c r="R60" s="526"/>
      <c r="S60" s="528">
        <f>S58+S59</f>
        <v>16.090548441999999</v>
      </c>
      <c r="T60" s="529"/>
      <c r="U60" s="530">
        <f t="shared" si="75"/>
        <v>-5.5656115999999969</v>
      </c>
      <c r="V60" s="531">
        <f t="shared" si="76"/>
        <v>-0.25699900578893209</v>
      </c>
      <c r="W60" s="512"/>
      <c r="X60" s="526"/>
      <c r="Y60" s="526"/>
      <c r="Z60" s="528">
        <f>Z58+Z59</f>
        <v>16.673221641999998</v>
      </c>
      <c r="AA60" s="529"/>
      <c r="AB60" s="530">
        <f t="shared" si="77"/>
        <v>0.58267319999999856</v>
      </c>
      <c r="AC60" s="531">
        <f t="shared" si="78"/>
        <v>3.6212140443832773E-2</v>
      </c>
      <c r="AD60" s="512"/>
      <c r="AE60" s="526"/>
      <c r="AF60" s="526"/>
      <c r="AG60" s="528">
        <f>AG58+AG59</f>
        <v>16.777046041999995</v>
      </c>
      <c r="AH60" s="529"/>
      <c r="AI60" s="530">
        <f t="shared" si="79"/>
        <v>0.10382439999999704</v>
      </c>
      <c r="AJ60" s="531">
        <f t="shared" si="80"/>
        <v>6.2270149242460993E-3</v>
      </c>
      <c r="AK60" s="512"/>
      <c r="AL60" s="526"/>
      <c r="AM60" s="526"/>
      <c r="AN60" s="528">
        <f>AN58+AN59</f>
        <v>16.870282341999999</v>
      </c>
      <c r="AO60" s="529"/>
      <c r="AP60" s="530">
        <f t="shared" si="81"/>
        <v>9.3236300000004491E-2</v>
      </c>
      <c r="AQ60" s="531">
        <f t="shared" si="82"/>
        <v>5.5573728394494992E-3</v>
      </c>
      <c r="AR60" s="402"/>
      <c r="AS60" s="402"/>
    </row>
    <row r="61" spans="1:45" ht="15.75" customHeight="1">
      <c r="A61" s="52"/>
      <c r="B61" s="644" t="s">
        <v>277</v>
      </c>
      <c r="C61" s="623"/>
      <c r="D61" s="623"/>
      <c r="E61" s="514"/>
      <c r="F61" s="534"/>
      <c r="G61" s="529"/>
      <c r="H61" s="535">
        <f>F61*H58</f>
        <v>0</v>
      </c>
      <c r="I61" s="526"/>
      <c r="J61" s="526"/>
      <c r="K61" s="526"/>
      <c r="L61" s="536">
        <f>J61*L58</f>
        <v>0</v>
      </c>
      <c r="M61" s="529"/>
      <c r="N61" s="537">
        <f t="shared" si="73"/>
        <v>0</v>
      </c>
      <c r="O61" s="538" t="str">
        <f t="shared" si="74"/>
        <v/>
      </c>
      <c r="P61" s="512"/>
      <c r="Q61" s="526"/>
      <c r="R61" s="526"/>
      <c r="S61" s="536">
        <f>Q61*S58</f>
        <v>0</v>
      </c>
      <c r="T61" s="529"/>
      <c r="U61" s="537">
        <f t="shared" si="75"/>
        <v>0</v>
      </c>
      <c r="V61" s="538" t="str">
        <f t="shared" si="76"/>
        <v/>
      </c>
      <c r="W61" s="512"/>
      <c r="X61" s="526"/>
      <c r="Y61" s="526"/>
      <c r="Z61" s="536">
        <f>X61*Z58</f>
        <v>0</v>
      </c>
      <c r="AA61" s="529"/>
      <c r="AB61" s="537">
        <f t="shared" si="77"/>
        <v>0</v>
      </c>
      <c r="AC61" s="538" t="str">
        <f t="shared" si="78"/>
        <v/>
      </c>
      <c r="AD61" s="512"/>
      <c r="AE61" s="526"/>
      <c r="AF61" s="526"/>
      <c r="AG61" s="536">
        <f>AE61*AG58</f>
        <v>0</v>
      </c>
      <c r="AH61" s="529"/>
      <c r="AI61" s="537">
        <f t="shared" si="79"/>
        <v>0</v>
      </c>
      <c r="AJ61" s="538" t="str">
        <f t="shared" si="80"/>
        <v/>
      </c>
      <c r="AK61" s="512"/>
      <c r="AL61" s="526"/>
      <c r="AM61" s="526"/>
      <c r="AN61" s="536">
        <f>AL61*AN58</f>
        <v>0</v>
      </c>
      <c r="AO61" s="529"/>
      <c r="AP61" s="537">
        <f t="shared" si="81"/>
        <v>0</v>
      </c>
      <c r="AQ61" s="538" t="str">
        <f t="shared" si="82"/>
        <v/>
      </c>
      <c r="AR61" s="459"/>
      <c r="AS61" s="459"/>
    </row>
    <row r="62" spans="1:45" ht="13.5" customHeight="1">
      <c r="A62" s="52"/>
      <c r="B62" s="643" t="s">
        <v>325</v>
      </c>
      <c r="C62" s="615"/>
      <c r="D62" s="615"/>
      <c r="E62" s="540"/>
      <c r="F62" s="541"/>
      <c r="G62" s="542"/>
      <c r="H62" s="543">
        <f>H60-H61</f>
        <v>24.798558622999998</v>
      </c>
      <c r="I62" s="544"/>
      <c r="J62" s="544"/>
      <c r="K62" s="544"/>
      <c r="L62" s="545">
        <f>L60-L61</f>
        <v>21.656160041999996</v>
      </c>
      <c r="M62" s="546"/>
      <c r="N62" s="547">
        <f t="shared" si="73"/>
        <v>-3.1423985810000019</v>
      </c>
      <c r="O62" s="548">
        <f t="shared" si="74"/>
        <v>-0.12671698499789064</v>
      </c>
      <c r="P62" s="512"/>
      <c r="Q62" s="544"/>
      <c r="R62" s="544"/>
      <c r="S62" s="545">
        <f>S60-S61</f>
        <v>16.090548441999999</v>
      </c>
      <c r="T62" s="546"/>
      <c r="U62" s="547">
        <f t="shared" si="75"/>
        <v>-5.5656115999999969</v>
      </c>
      <c r="V62" s="548">
        <f t="shared" si="76"/>
        <v>-0.25699900578893209</v>
      </c>
      <c r="W62" s="512"/>
      <c r="X62" s="544"/>
      <c r="Y62" s="544"/>
      <c r="Z62" s="545">
        <f>Z60-Z61</f>
        <v>16.673221641999998</v>
      </c>
      <c r="AA62" s="546"/>
      <c r="AB62" s="547">
        <f t="shared" si="77"/>
        <v>0.58267319999999856</v>
      </c>
      <c r="AC62" s="548">
        <f t="shared" si="78"/>
        <v>3.6212140443832773E-2</v>
      </c>
      <c r="AD62" s="512"/>
      <c r="AE62" s="544"/>
      <c r="AF62" s="544"/>
      <c r="AG62" s="545">
        <f>AG60-AG61</f>
        <v>16.777046041999995</v>
      </c>
      <c r="AH62" s="546"/>
      <c r="AI62" s="547">
        <f t="shared" si="79"/>
        <v>0.10382439999999704</v>
      </c>
      <c r="AJ62" s="548">
        <f t="shared" si="80"/>
        <v>6.2270149242460993E-3</v>
      </c>
      <c r="AK62" s="512"/>
      <c r="AL62" s="544"/>
      <c r="AM62" s="544"/>
      <c r="AN62" s="545">
        <f>AN60-AN61</f>
        <v>16.870282341999999</v>
      </c>
      <c r="AO62" s="546"/>
      <c r="AP62" s="547">
        <f t="shared" si="81"/>
        <v>9.3236300000004491E-2</v>
      </c>
      <c r="AQ62" s="548">
        <f t="shared" si="82"/>
        <v>5.5573728394494992E-3</v>
      </c>
      <c r="AR62" s="467"/>
      <c r="AS62" s="467"/>
    </row>
    <row r="63" spans="1:45"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442"/>
    </row>
    <row r="64" spans="1:45"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52"/>
    </row>
    <row r="65" spans="1:45" ht="12.75" customHeight="1">
      <c r="A65" s="52"/>
      <c r="B65" s="307" t="s">
        <v>326</v>
      </c>
      <c r="C65" s="554"/>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52"/>
    </row>
    <row r="66" spans="1:45"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row>
    <row r="67" spans="1:45" ht="15.75" customHeight="1">
      <c r="A67" s="478" t="s">
        <v>422</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row>
    <row r="68" spans="1:45"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row>
    <row r="69" spans="1:45"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row>
    <row r="70" spans="1:45"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row>
    <row r="71" spans="1:45"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row>
    <row r="72" spans="1:45"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row>
    <row r="73" spans="1:45"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row>
    <row r="74" spans="1:45"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row>
    <row r="75" spans="1:45"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row>
    <row r="76" spans="1:45"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row>
    <row r="77" spans="1:45"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row>
    <row r="78" spans="1:45"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row>
    <row r="79" spans="1:45"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row>
    <row r="80" spans="1:45"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row>
    <row r="81" spans="1:45"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row>
    <row r="82" spans="1:45"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row>
    <row r="83" spans="1:45"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row>
    <row r="84" spans="1:45"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row>
    <row r="85" spans="1:45"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row>
    <row r="86" spans="1:45"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row>
    <row r="87" spans="1:45"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row>
    <row r="88" spans="1:45"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row>
    <row r="89" spans="1:45"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row>
    <row r="90" spans="1:45"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row>
    <row r="91" spans="1:45"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row>
    <row r="92" spans="1:45"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row>
    <row r="93" spans="1:45"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row>
    <row r="94" spans="1:45"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row>
    <row r="95" spans="1:45"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row>
    <row r="96" spans="1:45"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row>
    <row r="97" spans="1:45"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row>
    <row r="98" spans="1:45"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row>
    <row r="99" spans="1:45"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row>
    <row r="100" spans="1:45"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row>
    <row r="101" spans="1:45"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row>
    <row r="102" spans="1:45"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row>
    <row r="103" spans="1:45"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row>
    <row r="104" spans="1:45"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row>
    <row r="105" spans="1:45"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row>
    <row r="106" spans="1:45"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row>
    <row r="107" spans="1:45"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row>
    <row r="108" spans="1:45"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row>
    <row r="109" spans="1:45"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row>
    <row r="110" spans="1:45"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row>
    <row r="111" spans="1:45"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row>
    <row r="112" spans="1:45"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row>
    <row r="113" spans="1:45"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row>
    <row r="114" spans="1:45"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row>
    <row r="115" spans="1:45"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row>
    <row r="116" spans="1:45"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row>
    <row r="117" spans="1:45"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row>
    <row r="118" spans="1:45"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row>
    <row r="119" spans="1:45"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row>
    <row r="120" spans="1:45"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row>
    <row r="121" spans="1:45"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row>
    <row r="122" spans="1:45"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row>
    <row r="123" spans="1:45"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row>
    <row r="124" spans="1:45"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row>
    <row r="125" spans="1:45"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row>
    <row r="126" spans="1:45"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row>
    <row r="127" spans="1:45"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row>
    <row r="128" spans="1:45"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row>
    <row r="129" spans="1:45"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row>
    <row r="130" spans="1:45"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row>
    <row r="131" spans="1:45"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row>
    <row r="132" spans="1:45"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row>
    <row r="133" spans="1:45"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row>
    <row r="134" spans="1:45"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row>
    <row r="135" spans="1:45"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row>
    <row r="136" spans="1:45"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row>
    <row r="137" spans="1:45"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row>
    <row r="138" spans="1:45"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row>
    <row r="139" spans="1:45"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row>
    <row r="140" spans="1:45"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row>
    <row r="141" spans="1:45"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row>
    <row r="142" spans="1:45"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row>
    <row r="143" spans="1:45"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row>
    <row r="144" spans="1:45"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row>
    <row r="145" spans="1:45"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row>
    <row r="146" spans="1:45"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row>
    <row r="147" spans="1:45"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row>
    <row r="148" spans="1:45"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row>
    <row r="149" spans="1:45"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row>
    <row r="150" spans="1:45"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row>
    <row r="151" spans="1:45"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row>
    <row r="152" spans="1:45"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row>
    <row r="153" spans="1:45"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row>
    <row r="154" spans="1:45"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row>
    <row r="155" spans="1:45"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row>
    <row r="156" spans="1:45"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row>
    <row r="157" spans="1:45"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row>
    <row r="158" spans="1:45"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row>
    <row r="159" spans="1:45"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row>
    <row r="160" spans="1:45"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row>
    <row r="161" spans="1:45"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row>
    <row r="162" spans="1:45"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row>
    <row r="163" spans="1:45"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row>
    <row r="164" spans="1:45"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row>
    <row r="165" spans="1:45"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row>
    <row r="166" spans="1:45"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row>
    <row r="167" spans="1:45"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row>
    <row r="168" spans="1:45"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row>
    <row r="169" spans="1:45"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row>
    <row r="170" spans="1:45"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row>
    <row r="171" spans="1:45"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row>
    <row r="172" spans="1:45"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row>
    <row r="173" spans="1:45"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row>
    <row r="174" spans="1:45"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row>
    <row r="175" spans="1:45"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row>
    <row r="176" spans="1:45"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row>
    <row r="177" spans="1:45"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row>
    <row r="178" spans="1:45"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row>
    <row r="179" spans="1:45"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row>
    <row r="180" spans="1:45"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row>
    <row r="181" spans="1:45"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row>
    <row r="182" spans="1:45"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row>
    <row r="183" spans="1:45"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row>
    <row r="184" spans="1:45"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row>
    <row r="185" spans="1:45"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row>
    <row r="186" spans="1:45"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row>
    <row r="187" spans="1:45"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row>
    <row r="188" spans="1:45"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row>
    <row r="189" spans="1:45"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row>
    <row r="190" spans="1:45"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row>
    <row r="191" spans="1:45"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row>
    <row r="192" spans="1:45"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500-000000000000}">
      <formula1>"TOU,non-TOU"</formula1>
    </dataValidation>
    <dataValidation type="list" allowBlank="1" showErrorMessage="1" sqref="E15:E28 E30:E38 E40:E41 E43:E51 E57 E63" xr:uid="{00000000-0002-0000-2500-000001000000}">
      <formula1>#REF!</formula1>
    </dataValidation>
    <dataValidation type="list" allowBlank="1" showInputMessage="1" showErrorMessage="1" prompt="Select Charge Unit - monthly, per kWh, per kW" sqref="D15:D28 D30:D38 D40:D41 D43:D51 D57 D63" xr:uid="{00000000-0002-0000-2500-000002000000}">
      <formula1>"Monthly,per kWh,per kW"</formula1>
    </dataValidation>
  </dataValidations>
  <pageMargins left="0.74803149606299213" right="0.74803149606299213" top="0.98425196850393704" bottom="0.98425196850393704"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7109375" customWidth="1"/>
    <col min="6" max="6" width="10.7109375" customWidth="1"/>
    <col min="7" max="7" width="8.85546875" customWidth="1"/>
    <col min="8" max="8" width="11" customWidth="1"/>
    <col min="9" max="9" width="0.710937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710937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0.42578125"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7109375" customWidth="1"/>
    <col min="38" max="38" width="10.42578125" customWidth="1"/>
    <col min="39" max="39" width="8.85546875" customWidth="1"/>
    <col min="40" max="40" width="11" customWidth="1"/>
    <col min="41" max="41" width="0.7109375" customWidth="1"/>
    <col min="42" max="42" width="9.42578125" customWidth="1"/>
    <col min="43" max="43" width="10" customWidth="1"/>
    <col min="44" max="44" width="1.28515625" customWidth="1"/>
    <col min="45" max="45" width="10.85546875" customWidth="1"/>
  </cols>
  <sheetData>
    <row r="1" spans="1:45" ht="7.5" customHeight="1">
      <c r="A1" s="52"/>
      <c r="B1" s="52"/>
      <c r="C1" s="554"/>
      <c r="D1" s="52"/>
      <c r="E1" s="52"/>
      <c r="F1" s="52"/>
      <c r="G1" s="52"/>
      <c r="H1" s="52"/>
      <c r="I1" s="52"/>
      <c r="J1" s="52"/>
      <c r="K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row>
    <row r="2" spans="1:45" ht="18.75" customHeight="1">
      <c r="A2" s="52"/>
      <c r="B2" s="52"/>
      <c r="C2" s="555"/>
      <c r="D2" s="378"/>
      <c r="E2" s="378"/>
      <c r="F2" s="378" t="s">
        <v>295</v>
      </c>
      <c r="G2" s="378"/>
      <c r="H2" s="378"/>
      <c r="I2" s="378"/>
      <c r="J2" s="132"/>
      <c r="K2" s="6"/>
      <c r="L2" s="378"/>
      <c r="M2" s="378"/>
      <c r="N2" s="378"/>
      <c r="O2" s="378"/>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row>
    <row r="3" spans="1:45" ht="18.75" customHeight="1">
      <c r="A3" s="52"/>
      <c r="B3" s="52"/>
      <c r="C3" s="555"/>
      <c r="D3" s="378"/>
      <c r="E3" s="378"/>
      <c r="F3" s="378" t="s">
        <v>297</v>
      </c>
      <c r="G3" s="378"/>
      <c r="H3" s="378"/>
      <c r="I3" s="378"/>
      <c r="J3" s="132"/>
      <c r="K3" s="6"/>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row>
    <row r="4" spans="1:45" ht="7.5" customHeight="1">
      <c r="A4" s="52"/>
      <c r="B4" s="52"/>
      <c r="C4" s="554"/>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row>
    <row r="5" spans="1:45" ht="7.5" customHeight="1">
      <c r="A5" s="52"/>
      <c r="B5" s="52"/>
      <c r="C5" s="554"/>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row>
    <row r="6" spans="1:45" ht="12.75" customHeight="1">
      <c r="A6" s="52"/>
      <c r="B6" s="320" t="s">
        <v>298</v>
      </c>
      <c r="C6" s="554"/>
      <c r="D6" s="380" t="s">
        <v>227</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row>
    <row r="7" spans="1:45" ht="15.75" customHeight="1">
      <c r="A7" s="52"/>
      <c r="B7" s="382"/>
      <c r="C7" s="554"/>
      <c r="D7" s="383"/>
      <c r="E7" s="383"/>
      <c r="F7" s="383"/>
      <c r="G7" s="383"/>
      <c r="H7" s="383"/>
      <c r="I7" s="383"/>
      <c r="J7" s="383"/>
      <c r="L7" s="575">
        <v>262</v>
      </c>
      <c r="M7" s="571" t="s">
        <v>423</v>
      </c>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row>
    <row r="8" spans="1:45" ht="12.75" customHeight="1">
      <c r="A8" s="52"/>
      <c r="B8" s="320" t="s">
        <v>299</v>
      </c>
      <c r="C8" s="554"/>
      <c r="D8" s="384" t="s">
        <v>300</v>
      </c>
      <c r="E8" s="383"/>
      <c r="F8" s="383"/>
      <c r="G8" s="383"/>
      <c r="H8" s="383"/>
      <c r="I8" s="383"/>
      <c r="J8" s="383"/>
      <c r="L8" s="575">
        <v>63264</v>
      </c>
      <c r="M8" s="571" t="s">
        <v>424</v>
      </c>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row>
    <row r="9" spans="1:45" ht="12.75" customHeight="1">
      <c r="A9" s="52"/>
      <c r="B9" s="382"/>
      <c r="C9" s="554"/>
      <c r="D9" s="307" t="s">
        <v>301</v>
      </c>
      <c r="E9" s="307"/>
      <c r="F9" s="385">
        <v>17860</v>
      </c>
      <c r="G9" s="307" t="s">
        <v>302</v>
      </c>
      <c r="H9" s="383"/>
      <c r="I9" s="383"/>
      <c r="J9" s="383"/>
      <c r="K9" s="383"/>
      <c r="L9" s="383"/>
      <c r="M9" s="383"/>
      <c r="N9" s="383"/>
      <c r="O9" s="383"/>
      <c r="P9" s="52"/>
      <c r="Q9" s="52"/>
      <c r="R9" s="13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row>
    <row r="10" spans="1:45" ht="12.75" customHeight="1">
      <c r="A10" s="52"/>
      <c r="B10" s="52"/>
      <c r="C10" s="554"/>
      <c r="D10" s="52"/>
      <c r="E10" s="52"/>
      <c r="F10" s="385">
        <v>50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row>
    <row r="11" spans="1:45" ht="12.75" customHeight="1">
      <c r="A11" s="52"/>
      <c r="B11" s="52"/>
      <c r="C11" s="554"/>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c r="AS11" s="386"/>
    </row>
    <row r="12" spans="1:45" ht="12.75" customHeight="1">
      <c r="A12" s="52"/>
      <c r="B12" s="52"/>
      <c r="C12" s="554"/>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c r="AS12" s="565"/>
    </row>
    <row r="13" spans="1:45" ht="12.75" customHeight="1">
      <c r="A13" s="52"/>
      <c r="B13" s="52"/>
      <c r="C13" s="554"/>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c r="AS13" s="387"/>
    </row>
    <row r="14" spans="1:45" ht="12.75" customHeight="1">
      <c r="A14" s="52"/>
      <c r="B14" s="52"/>
      <c r="C14" s="554"/>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c r="AS14" s="387"/>
    </row>
    <row r="15" spans="1:45" ht="12.75" customHeight="1">
      <c r="A15" s="52"/>
      <c r="B15" s="321" t="s">
        <v>221</v>
      </c>
      <c r="C15" s="394" t="str">
        <f t="shared" ref="C15:C28" si="0">D$6&amp;"."&amp;B15</f>
        <v>Street Light.Monthly Service Charge</v>
      </c>
      <c r="D15" s="395" t="s">
        <v>310</v>
      </c>
      <c r="E15" s="321"/>
      <c r="F15" s="396">
        <f>IFERROR(VLOOKUP($C15,'Proposed Rates'!$B:$J,F$11,FALSE),0)</f>
        <v>1.1200000000000001</v>
      </c>
      <c r="G15" s="414">
        <f>L7</f>
        <v>262</v>
      </c>
      <c r="H15" s="399">
        <f t="shared" ref="H15:H28" si="1">G15*F15</f>
        <v>293.44000000000005</v>
      </c>
      <c r="I15" s="132"/>
      <c r="J15" s="396">
        <f>IFERROR(VLOOKUP($C15,'Proposed Rates'!$B:$J,J$11,FALSE),0)</f>
        <v>1.24</v>
      </c>
      <c r="K15" s="414">
        <f>G15</f>
        <v>262</v>
      </c>
      <c r="L15" s="399">
        <f t="shared" ref="L15:L28" si="2">K15*J15</f>
        <v>324.88</v>
      </c>
      <c r="M15" s="132"/>
      <c r="N15" s="400">
        <f t="shared" ref="N15:N34" si="3">L15-H15</f>
        <v>31.439999999999941</v>
      </c>
      <c r="O15" s="401">
        <f t="shared" ref="O15:O31" si="4">IF((H15)=0,"",(N15/H15))</f>
        <v>0.10714285714285691</v>
      </c>
      <c r="P15" s="52"/>
      <c r="Q15" s="396">
        <f>IFERROR(VLOOKUP($C15,'Proposed Rates'!$B:$J,Q$11,FALSE),0)</f>
        <v>1.17</v>
      </c>
      <c r="R15" s="414">
        <f>$L$7</f>
        <v>262</v>
      </c>
      <c r="S15" s="399">
        <f t="shared" ref="S15:S28" si="5">R15*Q15</f>
        <v>306.53999999999996</v>
      </c>
      <c r="T15" s="132"/>
      <c r="U15" s="400">
        <f t="shared" ref="U15:U31" si="6">S15-L15</f>
        <v>-18.340000000000032</v>
      </c>
      <c r="V15" s="401">
        <f t="shared" ref="V15:V31" si="7">IF((L15)=0,"",(U15/L15))</f>
        <v>-5.6451612903225902E-2</v>
      </c>
      <c r="W15" s="52"/>
      <c r="X15" s="396">
        <f>IFERROR(VLOOKUP($C15,'Proposed Rates'!$B:$J,X$11,FALSE),0)</f>
        <v>1.24</v>
      </c>
      <c r="Y15" s="414">
        <f>$L$7</f>
        <v>262</v>
      </c>
      <c r="Z15" s="399">
        <f t="shared" ref="Z15:Z28" si="8">Y15*X15</f>
        <v>324.88</v>
      </c>
      <c r="AA15" s="132"/>
      <c r="AB15" s="400">
        <f t="shared" ref="AB15:AB34" si="9">Z15-S15</f>
        <v>18.340000000000032</v>
      </c>
      <c r="AC15" s="401">
        <f t="shared" ref="AC15:AC34" si="10">IF((S15)=0,"",(AB15/S15))</f>
        <v>5.9829059829059943E-2</v>
      </c>
      <c r="AD15" s="52"/>
      <c r="AE15" s="396">
        <f>IFERROR(VLOOKUP($C15,'Proposed Rates'!$B:$J,AE$11,FALSE),0)</f>
        <v>1.24</v>
      </c>
      <c r="AF15" s="414">
        <f>$L$7</f>
        <v>262</v>
      </c>
      <c r="AG15" s="399">
        <f t="shared" ref="AG15:AG28" si="11">AF15*AE15</f>
        <v>324.88</v>
      </c>
      <c r="AH15" s="132"/>
      <c r="AI15" s="400">
        <f t="shared" ref="AI15:AI37" si="12">AG15-Z15</f>
        <v>0</v>
      </c>
      <c r="AJ15" s="401">
        <f t="shared" ref="AJ15:AJ37" si="13">IF((Z15)=0,"",(AI15/Z15))</f>
        <v>0</v>
      </c>
      <c r="AK15" s="52"/>
      <c r="AL15" s="396">
        <f>IFERROR(VLOOKUP($C15,'Proposed Rates'!$B:$J,AL$11,FALSE),0)</f>
        <v>1.25</v>
      </c>
      <c r="AM15" s="414">
        <f>$L$7</f>
        <v>262</v>
      </c>
      <c r="AN15" s="399">
        <f t="shared" ref="AN15:AN28" si="14">AM15*AL15</f>
        <v>327.5</v>
      </c>
      <c r="AO15" s="132"/>
      <c r="AP15" s="400">
        <f t="shared" ref="AP15:AP31" si="15">AN15-AG15</f>
        <v>2.6200000000000045</v>
      </c>
      <c r="AQ15" s="401">
        <f t="shared" ref="AQ15:AQ31" si="16">IF((AG15)=0,"",(AP15/AG15))</f>
        <v>8.0645161290322717E-3</v>
      </c>
      <c r="AR15" s="402"/>
      <c r="AS15" s="402"/>
    </row>
    <row r="16" spans="1:45" ht="12.75" customHeight="1">
      <c r="A16" s="52"/>
      <c r="B16" s="321" t="s">
        <v>311</v>
      </c>
      <c r="C16" s="394" t="str">
        <f t="shared" si="0"/>
        <v>Street Light.Smart Meter Rate Adder</v>
      </c>
      <c r="D16" s="395" t="s">
        <v>310</v>
      </c>
      <c r="E16" s="321"/>
      <c r="F16" s="396">
        <f>IFERROR(VLOOKUP($C16,'Proposed Rates'!$B:$J,F$11,FALSE),0)</f>
        <v>0</v>
      </c>
      <c r="G16" s="414">
        <f t="shared" ref="G16:G28" si="17">IF($D16="Monthly",1,IF($D16="per KW",$F$10,IF($D16="per kWh",$F$9,0)))</f>
        <v>1</v>
      </c>
      <c r="H16" s="399">
        <f t="shared" si="1"/>
        <v>0</v>
      </c>
      <c r="I16" s="132"/>
      <c r="J16" s="396">
        <f>IFERROR(VLOOKUP($C16,'Proposed Rates'!$B:$J,J$11,FALSE),0)</f>
        <v>0</v>
      </c>
      <c r="K16" s="414">
        <f t="shared" ref="K16:K28" si="18">IF($D16="Monthly",1,IF($D16="per KW",$F$10,IF($D16="per kWh",$F$9,0)))</f>
        <v>1</v>
      </c>
      <c r="L16" s="399">
        <f t="shared" si="2"/>
        <v>0</v>
      </c>
      <c r="M16" s="132"/>
      <c r="N16" s="400">
        <f t="shared" si="3"/>
        <v>0</v>
      </c>
      <c r="O16" s="401" t="str">
        <f t="shared" si="4"/>
        <v/>
      </c>
      <c r="P16" s="52"/>
      <c r="Q16" s="396">
        <f>IFERROR(VLOOKUP($C16,'Proposed Rates'!$B:$J,Q$11,FALSE),0)</f>
        <v>0</v>
      </c>
      <c r="R16" s="414">
        <f t="shared" ref="R16:R28" si="19">IF($D16="Monthly",1,IF($D16="per KW",$F$10,IF($D16="per kWh",$F$9,0)))</f>
        <v>1</v>
      </c>
      <c r="S16" s="399">
        <f t="shared" si="5"/>
        <v>0</v>
      </c>
      <c r="T16" s="132"/>
      <c r="U16" s="400">
        <f t="shared" si="6"/>
        <v>0</v>
      </c>
      <c r="V16" s="401" t="str">
        <f t="shared" si="7"/>
        <v/>
      </c>
      <c r="W16" s="52"/>
      <c r="X16" s="396">
        <f>IFERROR(VLOOKUP($C16,'Proposed Rates'!$B:$J,X$11,FALSE),0)</f>
        <v>0</v>
      </c>
      <c r="Y16" s="414">
        <f t="shared" ref="Y16:Y28" si="20">IF($D16="Monthly",1,IF($D16="per KW",$F$10,IF($D16="per kWh",$F$9,0)))</f>
        <v>1</v>
      </c>
      <c r="Z16" s="399">
        <f t="shared" si="8"/>
        <v>0</v>
      </c>
      <c r="AA16" s="132"/>
      <c r="AB16" s="400">
        <f t="shared" si="9"/>
        <v>0</v>
      </c>
      <c r="AC16" s="401" t="str">
        <f t="shared" si="10"/>
        <v/>
      </c>
      <c r="AD16" s="52"/>
      <c r="AE16" s="396">
        <f>IFERROR(VLOOKUP($C16,'Proposed Rates'!$B:$J,AE$11,FALSE),0)</f>
        <v>0</v>
      </c>
      <c r="AF16" s="414">
        <f t="shared" ref="AF16:AF28" si="21">IF($D16="Monthly",1,IF($D16="per KW",$F$10,IF($D16="per kWh",$F$9,0)))</f>
        <v>1</v>
      </c>
      <c r="AG16" s="399">
        <f t="shared" si="11"/>
        <v>0</v>
      </c>
      <c r="AH16" s="132"/>
      <c r="AI16" s="400">
        <f t="shared" si="12"/>
        <v>0</v>
      </c>
      <c r="AJ16" s="401" t="str">
        <f t="shared" si="13"/>
        <v/>
      </c>
      <c r="AK16" s="52"/>
      <c r="AL16" s="396">
        <f>IFERROR(VLOOKUP($C16,'Proposed Rates'!$B:$J,AL$11,FALSE),0)</f>
        <v>0</v>
      </c>
      <c r="AM16" s="414">
        <f t="shared" ref="AM16:AM28" si="22">IF($D16="Monthly",1,IF($D16="per KW",$F$10,IF($D16="per kWh",$F$9,0)))</f>
        <v>1</v>
      </c>
      <c r="AN16" s="399">
        <f t="shared" si="14"/>
        <v>0</v>
      </c>
      <c r="AO16" s="132"/>
      <c r="AP16" s="400">
        <f t="shared" si="15"/>
        <v>0</v>
      </c>
      <c r="AQ16" s="401" t="str">
        <f t="shared" si="16"/>
        <v/>
      </c>
      <c r="AR16" s="402"/>
      <c r="AS16" s="402"/>
    </row>
    <row r="17" spans="1:45" ht="12.75" customHeight="1">
      <c r="A17" s="52"/>
      <c r="B17" s="403" t="str">
        <f>'Proposed Rates'!C115</f>
        <v>Rate Rider Calculation for PILs</v>
      </c>
      <c r="C17" s="394" t="str">
        <f t="shared" si="0"/>
        <v>Street Light.Rate Rider Calculation for PILs</v>
      </c>
      <c r="D17" s="395" t="s">
        <v>381</v>
      </c>
      <c r="E17" s="321"/>
      <c r="F17" s="396">
        <f>IFERROR(VLOOKUP($C17,'Proposed Rates'!$B:$J,F$11,FALSE),0)</f>
        <v>0</v>
      </c>
      <c r="G17" s="414">
        <f t="shared" si="17"/>
        <v>50</v>
      </c>
      <c r="H17" s="399">
        <f t="shared" si="1"/>
        <v>0</v>
      </c>
      <c r="I17" s="132"/>
      <c r="J17" s="396">
        <f>IFERROR(VLOOKUP($C17,'Proposed Rates'!$B:$J,J$11,FALSE),0)</f>
        <v>0</v>
      </c>
      <c r="K17" s="414">
        <f t="shared" si="18"/>
        <v>50</v>
      </c>
      <c r="L17" s="399">
        <f t="shared" si="2"/>
        <v>0</v>
      </c>
      <c r="M17" s="132"/>
      <c r="N17" s="400">
        <f t="shared" si="3"/>
        <v>0</v>
      </c>
      <c r="O17" s="401" t="str">
        <f t="shared" si="4"/>
        <v/>
      </c>
      <c r="P17" s="52"/>
      <c r="Q17" s="396">
        <f>IFERROR(VLOOKUP($C17,'Proposed Rates'!$B:$J,Q$11,FALSE),0)</f>
        <v>0</v>
      </c>
      <c r="R17" s="414">
        <f t="shared" si="19"/>
        <v>50</v>
      </c>
      <c r="S17" s="399">
        <f t="shared" si="5"/>
        <v>0</v>
      </c>
      <c r="T17" s="132"/>
      <c r="U17" s="400">
        <f t="shared" si="6"/>
        <v>0</v>
      </c>
      <c r="V17" s="401" t="str">
        <f t="shared" si="7"/>
        <v/>
      </c>
      <c r="W17" s="52"/>
      <c r="X17" s="396">
        <f>IFERROR(VLOOKUP($C17,'Proposed Rates'!$B:$J,X$11,FALSE),0)</f>
        <v>0</v>
      </c>
      <c r="Y17" s="414">
        <f t="shared" si="20"/>
        <v>50</v>
      </c>
      <c r="Z17" s="399">
        <f t="shared" si="8"/>
        <v>0</v>
      </c>
      <c r="AA17" s="132"/>
      <c r="AB17" s="400">
        <f t="shared" si="9"/>
        <v>0</v>
      </c>
      <c r="AC17" s="401" t="str">
        <f t="shared" si="10"/>
        <v/>
      </c>
      <c r="AD17" s="52"/>
      <c r="AE17" s="396">
        <f>IFERROR(VLOOKUP($C17,'Proposed Rates'!$B:$J,AE$11,FALSE),0)</f>
        <v>0</v>
      </c>
      <c r="AF17" s="414">
        <f t="shared" si="21"/>
        <v>50</v>
      </c>
      <c r="AG17" s="399">
        <f t="shared" si="11"/>
        <v>0</v>
      </c>
      <c r="AH17" s="132"/>
      <c r="AI17" s="400">
        <f t="shared" si="12"/>
        <v>0</v>
      </c>
      <c r="AJ17" s="401" t="str">
        <f t="shared" si="13"/>
        <v/>
      </c>
      <c r="AK17" s="52"/>
      <c r="AL17" s="396">
        <f>IFERROR(VLOOKUP($C17,'Proposed Rates'!$B:$J,AL$11,FALSE),0)</f>
        <v>0</v>
      </c>
      <c r="AM17" s="414">
        <f t="shared" si="22"/>
        <v>50</v>
      </c>
      <c r="AN17" s="399">
        <f t="shared" si="14"/>
        <v>0</v>
      </c>
      <c r="AO17" s="132"/>
      <c r="AP17" s="400">
        <f t="shared" si="15"/>
        <v>0</v>
      </c>
      <c r="AQ17" s="401" t="str">
        <f t="shared" si="16"/>
        <v/>
      </c>
      <c r="AR17" s="402"/>
      <c r="AS17" s="402"/>
    </row>
    <row r="18" spans="1:45" ht="12.75" customHeight="1">
      <c r="A18" s="52"/>
      <c r="B18" s="403" t="str">
        <f>'Proposed Rates'!C128</f>
        <v>Rate Rider Calculation for Generic</v>
      </c>
      <c r="C18" s="394" t="str">
        <f t="shared" si="0"/>
        <v>Street Light.Rate Rider Calculation for Generic</v>
      </c>
      <c r="D18" s="395" t="s">
        <v>381</v>
      </c>
      <c r="E18" s="321"/>
      <c r="F18" s="396">
        <f>IFERROR(VLOOKUP($C18,'Proposed Rates'!$B:$J,F$11,FALSE),0)</f>
        <v>0</v>
      </c>
      <c r="G18" s="414">
        <f t="shared" si="17"/>
        <v>50</v>
      </c>
      <c r="H18" s="399">
        <f t="shared" si="1"/>
        <v>0</v>
      </c>
      <c r="I18" s="132"/>
      <c r="J18" s="396">
        <f>IFERROR(VLOOKUP($C18,'Proposed Rates'!$B:$J,J$11,FALSE),0)</f>
        <v>0</v>
      </c>
      <c r="K18" s="414">
        <f t="shared" si="18"/>
        <v>50</v>
      </c>
      <c r="L18" s="399">
        <f t="shared" si="2"/>
        <v>0</v>
      </c>
      <c r="M18" s="132"/>
      <c r="N18" s="400">
        <f t="shared" si="3"/>
        <v>0</v>
      </c>
      <c r="O18" s="401" t="str">
        <f t="shared" si="4"/>
        <v/>
      </c>
      <c r="P18" s="52"/>
      <c r="Q18" s="396">
        <f>IFERROR(VLOOKUP($C18,'Proposed Rates'!$B:$J,Q$11,FALSE),0)</f>
        <v>0</v>
      </c>
      <c r="R18" s="414">
        <f t="shared" si="19"/>
        <v>50</v>
      </c>
      <c r="S18" s="399">
        <f t="shared" si="5"/>
        <v>0</v>
      </c>
      <c r="T18" s="132"/>
      <c r="U18" s="400">
        <f t="shared" si="6"/>
        <v>0</v>
      </c>
      <c r="V18" s="401" t="str">
        <f t="shared" si="7"/>
        <v/>
      </c>
      <c r="W18" s="52"/>
      <c r="X18" s="396">
        <f>IFERROR(VLOOKUP($C18,'Proposed Rates'!$B:$J,X$11,FALSE),0)</f>
        <v>0</v>
      </c>
      <c r="Y18" s="414">
        <f t="shared" si="20"/>
        <v>50</v>
      </c>
      <c r="Z18" s="399">
        <f t="shared" si="8"/>
        <v>0</v>
      </c>
      <c r="AA18" s="132"/>
      <c r="AB18" s="400">
        <f t="shared" si="9"/>
        <v>0</v>
      </c>
      <c r="AC18" s="401" t="str">
        <f t="shared" si="10"/>
        <v/>
      </c>
      <c r="AD18" s="52"/>
      <c r="AE18" s="396">
        <f>IFERROR(VLOOKUP($C18,'Proposed Rates'!$B:$J,AE$11,FALSE),0)</f>
        <v>0</v>
      </c>
      <c r="AF18" s="414">
        <f t="shared" si="21"/>
        <v>50</v>
      </c>
      <c r="AG18" s="399">
        <f t="shared" si="11"/>
        <v>0</v>
      </c>
      <c r="AH18" s="132"/>
      <c r="AI18" s="400">
        <f t="shared" si="12"/>
        <v>0</v>
      </c>
      <c r="AJ18" s="401" t="str">
        <f t="shared" si="13"/>
        <v/>
      </c>
      <c r="AK18" s="52"/>
      <c r="AL18" s="396">
        <f>IFERROR(VLOOKUP($C18,'Proposed Rates'!$B:$J,AL$11,FALSE),0)</f>
        <v>0</v>
      </c>
      <c r="AM18" s="414">
        <f t="shared" si="22"/>
        <v>50</v>
      </c>
      <c r="AN18" s="399">
        <f t="shared" si="14"/>
        <v>0</v>
      </c>
      <c r="AO18" s="132"/>
      <c r="AP18" s="400">
        <f t="shared" si="15"/>
        <v>0</v>
      </c>
      <c r="AQ18" s="401" t="str">
        <f t="shared" si="16"/>
        <v/>
      </c>
      <c r="AR18" s="402"/>
      <c r="AS18" s="402"/>
    </row>
    <row r="19" spans="1:45" ht="12.75" customHeight="1">
      <c r="A19" s="52"/>
      <c r="B19" s="321" t="s">
        <v>59</v>
      </c>
      <c r="C19" s="394" t="str">
        <f t="shared" si="0"/>
        <v>Street Light.Distribution Volumetric Rate</v>
      </c>
      <c r="D19" s="395" t="s">
        <v>381</v>
      </c>
      <c r="E19" s="321"/>
      <c r="F19" s="413">
        <f>IFERROR(VLOOKUP($C19,'Proposed Rates'!$B:$J,F$11,FALSE),0)</f>
        <v>7.8163999999999998</v>
      </c>
      <c r="G19" s="414">
        <f t="shared" si="17"/>
        <v>50</v>
      </c>
      <c r="H19" s="399">
        <f t="shared" si="1"/>
        <v>390.82</v>
      </c>
      <c r="I19" s="132"/>
      <c r="J19" s="413">
        <f>IFERROR(VLOOKUP($C19,'Proposed Rates'!$B:$J,J$11,FALSE),0)</f>
        <v>8.5587999999999997</v>
      </c>
      <c r="K19" s="414">
        <f t="shared" si="18"/>
        <v>50</v>
      </c>
      <c r="L19" s="399">
        <f t="shared" si="2"/>
        <v>427.94</v>
      </c>
      <c r="M19" s="132"/>
      <c r="N19" s="400">
        <f t="shared" si="3"/>
        <v>37.120000000000005</v>
      </c>
      <c r="O19" s="401">
        <f t="shared" si="4"/>
        <v>9.4979786090783488E-2</v>
      </c>
      <c r="P19" s="52"/>
      <c r="Q19" s="413">
        <f>IFERROR(VLOOKUP($C19,'Proposed Rates'!$B:$J,Q$11,FALSE),0)</f>
        <v>8.0873000000000008</v>
      </c>
      <c r="R19" s="414">
        <f t="shared" si="19"/>
        <v>50</v>
      </c>
      <c r="S19" s="399">
        <f t="shared" si="5"/>
        <v>404.36500000000007</v>
      </c>
      <c r="T19" s="132"/>
      <c r="U19" s="400">
        <f t="shared" si="6"/>
        <v>-23.574999999999932</v>
      </c>
      <c r="V19" s="401">
        <f t="shared" si="7"/>
        <v>-5.5089498527830842E-2</v>
      </c>
      <c r="W19" s="52"/>
      <c r="X19" s="413">
        <f>IFERROR(VLOOKUP($C19,'Proposed Rates'!$B:$J,X$11,FALSE),0)</f>
        <v>8.5327999999999999</v>
      </c>
      <c r="Y19" s="414">
        <f t="shared" si="20"/>
        <v>50</v>
      </c>
      <c r="Z19" s="399">
        <f t="shared" si="8"/>
        <v>426.64</v>
      </c>
      <c r="AA19" s="132"/>
      <c r="AB19" s="400">
        <f t="shared" si="9"/>
        <v>22.27499999999992</v>
      </c>
      <c r="AC19" s="401">
        <f t="shared" si="10"/>
        <v>5.5086369987511076E-2</v>
      </c>
      <c r="AD19" s="52"/>
      <c r="AE19" s="413">
        <f>IFERROR(VLOOKUP($C19,'Proposed Rates'!$B:$J,AE$11,FALSE),0)</f>
        <v>8.6244999999999994</v>
      </c>
      <c r="AF19" s="414">
        <f t="shared" si="21"/>
        <v>50</v>
      </c>
      <c r="AG19" s="399">
        <f t="shared" si="11"/>
        <v>431.22499999999997</v>
      </c>
      <c r="AH19" s="132"/>
      <c r="AI19" s="400">
        <f t="shared" si="12"/>
        <v>4.5849999999999795</v>
      </c>
      <c r="AJ19" s="401">
        <f t="shared" si="13"/>
        <v>1.074676542283888E-2</v>
      </c>
      <c r="AK19" s="52"/>
      <c r="AL19" s="413">
        <f>IFERROR(VLOOKUP($C19,'Proposed Rates'!$B:$J,AL$11,FALSE),0)</f>
        <v>8.6967999999999996</v>
      </c>
      <c r="AM19" s="414">
        <f t="shared" si="22"/>
        <v>50</v>
      </c>
      <c r="AN19" s="399">
        <f t="shared" si="14"/>
        <v>434.84</v>
      </c>
      <c r="AO19" s="132"/>
      <c r="AP19" s="400">
        <f t="shared" si="15"/>
        <v>3.6150000000000091</v>
      </c>
      <c r="AQ19" s="401">
        <f t="shared" si="16"/>
        <v>8.3830946721549296E-3</v>
      </c>
      <c r="AR19" s="402"/>
      <c r="AS19" s="402"/>
    </row>
    <row r="20" spans="1:45" ht="12.75" customHeight="1">
      <c r="A20" s="52"/>
      <c r="B20" s="321" t="s">
        <v>313</v>
      </c>
      <c r="C20" s="394" t="str">
        <f t="shared" si="0"/>
        <v>Street Light.Smart Meter Disposition Rider</v>
      </c>
      <c r="D20" s="395" t="s">
        <v>312</v>
      </c>
      <c r="E20" s="321"/>
      <c r="F20" s="396">
        <f>IFERROR(VLOOKUP($C20,'Proposed Rates'!$B:$J,F$11,FALSE),0)</f>
        <v>0</v>
      </c>
      <c r="G20" s="414">
        <f t="shared" si="17"/>
        <v>17860</v>
      </c>
      <c r="H20" s="399">
        <f t="shared" si="1"/>
        <v>0</v>
      </c>
      <c r="I20" s="132"/>
      <c r="J20" s="396">
        <f>IFERROR(VLOOKUP($C20,'Proposed Rates'!$B:$J,J$11,FALSE),0)</f>
        <v>0</v>
      </c>
      <c r="K20" s="414">
        <f t="shared" si="18"/>
        <v>17860</v>
      </c>
      <c r="L20" s="399">
        <f t="shared" si="2"/>
        <v>0</v>
      </c>
      <c r="M20" s="132"/>
      <c r="N20" s="400">
        <f t="shared" si="3"/>
        <v>0</v>
      </c>
      <c r="O20" s="401" t="str">
        <f t="shared" si="4"/>
        <v/>
      </c>
      <c r="P20" s="52"/>
      <c r="Q20" s="396">
        <f>IFERROR(VLOOKUP($C20,'Proposed Rates'!$B:$J,Q$11,FALSE),0)</f>
        <v>0</v>
      </c>
      <c r="R20" s="414">
        <f t="shared" si="19"/>
        <v>17860</v>
      </c>
      <c r="S20" s="399">
        <f t="shared" si="5"/>
        <v>0</v>
      </c>
      <c r="T20" s="132"/>
      <c r="U20" s="400">
        <f t="shared" si="6"/>
        <v>0</v>
      </c>
      <c r="V20" s="401" t="str">
        <f t="shared" si="7"/>
        <v/>
      </c>
      <c r="W20" s="52"/>
      <c r="X20" s="396">
        <f>IFERROR(VLOOKUP($C20,'Proposed Rates'!$B:$J,X$11,FALSE),0)</f>
        <v>0</v>
      </c>
      <c r="Y20" s="414">
        <f t="shared" si="20"/>
        <v>17860</v>
      </c>
      <c r="Z20" s="399">
        <f t="shared" si="8"/>
        <v>0</v>
      </c>
      <c r="AA20" s="132"/>
      <c r="AB20" s="400">
        <f t="shared" si="9"/>
        <v>0</v>
      </c>
      <c r="AC20" s="401" t="str">
        <f t="shared" si="10"/>
        <v/>
      </c>
      <c r="AD20" s="52"/>
      <c r="AE20" s="396">
        <f>IFERROR(VLOOKUP($C20,'Proposed Rates'!$B:$J,AE$11,FALSE),0)</f>
        <v>0</v>
      </c>
      <c r="AF20" s="414">
        <f t="shared" si="21"/>
        <v>17860</v>
      </c>
      <c r="AG20" s="399">
        <f t="shared" si="11"/>
        <v>0</v>
      </c>
      <c r="AH20" s="132"/>
      <c r="AI20" s="400">
        <f t="shared" si="12"/>
        <v>0</v>
      </c>
      <c r="AJ20" s="401" t="str">
        <f t="shared" si="13"/>
        <v/>
      </c>
      <c r="AK20" s="52"/>
      <c r="AL20" s="396">
        <f>IFERROR(VLOOKUP($C20,'Proposed Rates'!$B:$J,AL$11,FALSE),0)</f>
        <v>0</v>
      </c>
      <c r="AM20" s="414">
        <f t="shared" si="22"/>
        <v>17860</v>
      </c>
      <c r="AN20" s="399">
        <f t="shared" si="14"/>
        <v>0</v>
      </c>
      <c r="AO20" s="132"/>
      <c r="AP20" s="400">
        <f t="shared" si="15"/>
        <v>0</v>
      </c>
      <c r="AQ20" s="401" t="str">
        <f t="shared" si="16"/>
        <v/>
      </c>
      <c r="AR20" s="402"/>
      <c r="AS20" s="402"/>
    </row>
    <row r="21" spans="1:45" ht="12.75" customHeight="1">
      <c r="A21" s="52"/>
      <c r="B21" s="321" t="s">
        <v>244</v>
      </c>
      <c r="C21" s="394" t="str">
        <f t="shared" si="0"/>
        <v>Street Light.LRAM Rate Rider</v>
      </c>
      <c r="D21" s="395" t="s">
        <v>381</v>
      </c>
      <c r="E21" s="321"/>
      <c r="F21" s="413">
        <f>'Proposed Rates'!E82+'Proposed Rates'!E95</f>
        <v>4.8925000000000001</v>
      </c>
      <c r="G21" s="414">
        <f t="shared" si="17"/>
        <v>50</v>
      </c>
      <c r="H21" s="399">
        <f t="shared" si="1"/>
        <v>244.625</v>
      </c>
      <c r="I21" s="132"/>
      <c r="J21" s="413">
        <f>'Proposed Rates'!F82+'Proposed Rates'!F95</f>
        <v>4.2968000000000002</v>
      </c>
      <c r="K21" s="414">
        <f t="shared" si="18"/>
        <v>50</v>
      </c>
      <c r="L21" s="399">
        <f t="shared" si="2"/>
        <v>214.84</v>
      </c>
      <c r="M21" s="132"/>
      <c r="N21" s="400">
        <f t="shared" si="3"/>
        <v>-29.784999999999997</v>
      </c>
      <c r="O21" s="401">
        <f t="shared" si="4"/>
        <v>-0.12175779253960142</v>
      </c>
      <c r="P21" s="52"/>
      <c r="Q21" s="413">
        <f>'Proposed Rates'!G82+'Proposed Rates'!G95</f>
        <v>0</v>
      </c>
      <c r="R21" s="414">
        <f t="shared" si="19"/>
        <v>50</v>
      </c>
      <c r="S21" s="399">
        <f t="shared" si="5"/>
        <v>0</v>
      </c>
      <c r="T21" s="132"/>
      <c r="U21" s="400">
        <f t="shared" si="6"/>
        <v>-214.84</v>
      </c>
      <c r="V21" s="401">
        <f t="shared" si="7"/>
        <v>-1</v>
      </c>
      <c r="W21" s="52"/>
      <c r="X21" s="413">
        <f>IFERROR(VLOOKUP($C21,'Proposed Rates'!$B:$J,X$11,FALSE),0)</f>
        <v>0</v>
      </c>
      <c r="Y21" s="414">
        <f t="shared" si="20"/>
        <v>50</v>
      </c>
      <c r="Z21" s="399">
        <f t="shared" si="8"/>
        <v>0</v>
      </c>
      <c r="AA21" s="132"/>
      <c r="AB21" s="400">
        <f t="shared" si="9"/>
        <v>0</v>
      </c>
      <c r="AC21" s="401" t="str">
        <f t="shared" si="10"/>
        <v/>
      </c>
      <c r="AD21" s="52"/>
      <c r="AE21" s="413">
        <f>IFERROR(VLOOKUP($C21,'Proposed Rates'!$B:$J,AE$11,FALSE),0)</f>
        <v>0</v>
      </c>
      <c r="AF21" s="414">
        <f t="shared" si="21"/>
        <v>50</v>
      </c>
      <c r="AG21" s="399">
        <f t="shared" si="11"/>
        <v>0</v>
      </c>
      <c r="AH21" s="132"/>
      <c r="AI21" s="400">
        <f t="shared" si="12"/>
        <v>0</v>
      </c>
      <c r="AJ21" s="401" t="str">
        <f t="shared" si="13"/>
        <v/>
      </c>
      <c r="AK21" s="52"/>
      <c r="AL21" s="413">
        <f>IFERROR(VLOOKUP($C21,'Proposed Rates'!$B:$J,AL$11,FALSE),0)</f>
        <v>0</v>
      </c>
      <c r="AM21" s="414">
        <f t="shared" si="22"/>
        <v>50</v>
      </c>
      <c r="AN21" s="399">
        <f t="shared" si="14"/>
        <v>0</v>
      </c>
      <c r="AO21" s="132"/>
      <c r="AP21" s="400">
        <f t="shared" si="15"/>
        <v>0</v>
      </c>
      <c r="AQ21" s="401" t="str">
        <f t="shared" si="16"/>
        <v/>
      </c>
      <c r="AR21" s="402"/>
      <c r="AS21" s="402"/>
    </row>
    <row r="22" spans="1:45" ht="12.75" customHeight="1">
      <c r="A22" s="52"/>
      <c r="B22" s="403" t="s">
        <v>240</v>
      </c>
      <c r="C22" s="394" t="str">
        <f t="shared" si="0"/>
        <v>Street Light.Deferral/Variance Account Disposition Rate Rider Group 2</v>
      </c>
      <c r="D22" s="395" t="s">
        <v>381</v>
      </c>
      <c r="E22" s="321"/>
      <c r="F22" s="396">
        <f>IFERROR(VLOOKUP($C22,'Proposed Rates'!$B:$J,F$11,FALSE),0)</f>
        <v>0</v>
      </c>
      <c r="G22" s="414">
        <f t="shared" si="17"/>
        <v>50</v>
      </c>
      <c r="H22" s="399">
        <f t="shared" si="1"/>
        <v>0</v>
      </c>
      <c r="I22" s="132"/>
      <c r="J22" s="396">
        <f>IFERROR(VLOOKUP($C22,'Proposed Rates'!$B:$J,J$11,FALSE),0)</f>
        <v>-0.4123</v>
      </c>
      <c r="K22" s="414">
        <f t="shared" si="18"/>
        <v>50</v>
      </c>
      <c r="L22" s="399">
        <f t="shared" si="2"/>
        <v>-20.614999999999998</v>
      </c>
      <c r="M22" s="132"/>
      <c r="N22" s="400">
        <f t="shared" si="3"/>
        <v>-20.614999999999998</v>
      </c>
      <c r="O22" s="401" t="str">
        <f t="shared" si="4"/>
        <v/>
      </c>
      <c r="P22" s="52"/>
      <c r="Q22" s="396">
        <f>IFERROR(VLOOKUP($C22,'Proposed Rates'!$B:$J,Q$11,FALSE),0)</f>
        <v>0</v>
      </c>
      <c r="R22" s="414">
        <f t="shared" si="19"/>
        <v>50</v>
      </c>
      <c r="S22" s="399">
        <f t="shared" si="5"/>
        <v>0</v>
      </c>
      <c r="T22" s="132"/>
      <c r="U22" s="400">
        <f t="shared" si="6"/>
        <v>20.614999999999998</v>
      </c>
      <c r="V22" s="401">
        <f t="shared" si="7"/>
        <v>-1</v>
      </c>
      <c r="W22" s="52"/>
      <c r="X22" s="396">
        <f>IFERROR(VLOOKUP($C22,'Proposed Rates'!$B:$J,X$11,FALSE),0)</f>
        <v>0</v>
      </c>
      <c r="Y22" s="414">
        <f t="shared" si="20"/>
        <v>50</v>
      </c>
      <c r="Z22" s="399">
        <f t="shared" si="8"/>
        <v>0</v>
      </c>
      <c r="AA22" s="132"/>
      <c r="AB22" s="400">
        <f t="shared" si="9"/>
        <v>0</v>
      </c>
      <c r="AC22" s="401" t="str">
        <f t="shared" si="10"/>
        <v/>
      </c>
      <c r="AD22" s="52"/>
      <c r="AE22" s="396">
        <f>IFERROR(VLOOKUP($C22,'Proposed Rates'!$B:$J,AE$11,FALSE),0)</f>
        <v>0</v>
      </c>
      <c r="AF22" s="414">
        <f t="shared" si="21"/>
        <v>50</v>
      </c>
      <c r="AG22" s="399">
        <f t="shared" si="11"/>
        <v>0</v>
      </c>
      <c r="AH22" s="132"/>
      <c r="AI22" s="400">
        <f t="shared" si="12"/>
        <v>0</v>
      </c>
      <c r="AJ22" s="401" t="str">
        <f t="shared" si="13"/>
        <v/>
      </c>
      <c r="AK22" s="52"/>
      <c r="AL22" s="396">
        <f>IFERROR(VLOOKUP($C22,'Proposed Rates'!$B:$J,AL$11,FALSE),0)</f>
        <v>0</v>
      </c>
      <c r="AM22" s="414">
        <f t="shared" si="22"/>
        <v>50</v>
      </c>
      <c r="AN22" s="399">
        <f t="shared" si="14"/>
        <v>0</v>
      </c>
      <c r="AO22" s="132"/>
      <c r="AP22" s="400">
        <f t="shared" si="15"/>
        <v>0</v>
      </c>
      <c r="AQ22" s="401" t="str">
        <f t="shared" si="16"/>
        <v/>
      </c>
      <c r="AR22" s="402"/>
      <c r="AS22" s="402"/>
    </row>
    <row r="23" spans="1:45" ht="12.75" customHeight="1">
      <c r="A23" s="52"/>
      <c r="B23" s="403"/>
      <c r="C23" s="394" t="str">
        <f t="shared" si="0"/>
        <v>Street Light.</v>
      </c>
      <c r="D23" s="395"/>
      <c r="E23" s="321"/>
      <c r="F23" s="396">
        <f>IFERROR(VLOOKUP($C23,'Proposed Rates'!$B:$J,F$11,FALSE),0)</f>
        <v>0</v>
      </c>
      <c r="G23" s="414">
        <f t="shared" si="17"/>
        <v>0</v>
      </c>
      <c r="H23" s="399">
        <f t="shared" si="1"/>
        <v>0</v>
      </c>
      <c r="I23" s="132"/>
      <c r="J23" s="396">
        <f>IFERROR(VLOOKUP($C23,'Proposed Rates'!$B:$J,J$11,FALSE),0)</f>
        <v>0</v>
      </c>
      <c r="K23" s="414">
        <f t="shared" si="18"/>
        <v>0</v>
      </c>
      <c r="L23" s="399">
        <f t="shared" si="2"/>
        <v>0</v>
      </c>
      <c r="M23" s="132"/>
      <c r="N23" s="400">
        <f t="shared" si="3"/>
        <v>0</v>
      </c>
      <c r="O23" s="401" t="str">
        <f t="shared" si="4"/>
        <v/>
      </c>
      <c r="P23" s="52"/>
      <c r="Q23" s="396">
        <f>IFERROR(VLOOKUP($C23,'Proposed Rates'!$B:$J,Q$11,FALSE),0)</f>
        <v>0</v>
      </c>
      <c r="R23" s="414">
        <f t="shared" si="19"/>
        <v>0</v>
      </c>
      <c r="S23" s="399">
        <f t="shared" si="5"/>
        <v>0</v>
      </c>
      <c r="T23" s="132"/>
      <c r="U23" s="400">
        <f t="shared" si="6"/>
        <v>0</v>
      </c>
      <c r="V23" s="401" t="str">
        <f t="shared" si="7"/>
        <v/>
      </c>
      <c r="W23" s="52"/>
      <c r="X23" s="396">
        <f>IFERROR(VLOOKUP($C23,'Proposed Rates'!$B:$J,X$11,FALSE),0)</f>
        <v>0</v>
      </c>
      <c r="Y23" s="414">
        <f t="shared" si="20"/>
        <v>0</v>
      </c>
      <c r="Z23" s="399">
        <f t="shared" si="8"/>
        <v>0</v>
      </c>
      <c r="AA23" s="132"/>
      <c r="AB23" s="400">
        <f t="shared" si="9"/>
        <v>0</v>
      </c>
      <c r="AC23" s="401" t="str">
        <f t="shared" si="10"/>
        <v/>
      </c>
      <c r="AD23" s="52"/>
      <c r="AE23" s="396">
        <f>IFERROR(VLOOKUP($C23,'Proposed Rates'!$B:$J,AE$11,FALSE),0)</f>
        <v>0</v>
      </c>
      <c r="AF23" s="414">
        <f t="shared" si="21"/>
        <v>0</v>
      </c>
      <c r="AG23" s="399">
        <f t="shared" si="11"/>
        <v>0</v>
      </c>
      <c r="AH23" s="132"/>
      <c r="AI23" s="400">
        <f t="shared" si="12"/>
        <v>0</v>
      </c>
      <c r="AJ23" s="401" t="str">
        <f t="shared" si="13"/>
        <v/>
      </c>
      <c r="AK23" s="52"/>
      <c r="AL23" s="396">
        <f>IFERROR(VLOOKUP($C23,'Proposed Rates'!$B:$J,AL$11,FALSE),0)</f>
        <v>0</v>
      </c>
      <c r="AM23" s="414">
        <f t="shared" si="22"/>
        <v>0</v>
      </c>
      <c r="AN23" s="399">
        <f t="shared" si="14"/>
        <v>0</v>
      </c>
      <c r="AO23" s="132"/>
      <c r="AP23" s="400">
        <f t="shared" si="15"/>
        <v>0</v>
      </c>
      <c r="AQ23" s="401" t="str">
        <f t="shared" si="16"/>
        <v/>
      </c>
      <c r="AR23" s="402"/>
      <c r="AS23" s="402"/>
    </row>
    <row r="24" spans="1:45" ht="12.75" customHeight="1">
      <c r="A24" s="52"/>
      <c r="B24" s="403"/>
      <c r="C24" s="394" t="str">
        <f t="shared" si="0"/>
        <v>Street Light.</v>
      </c>
      <c r="D24" s="395"/>
      <c r="E24" s="321"/>
      <c r="F24" s="396">
        <f>IFERROR(VLOOKUP($C24,'Proposed Rates'!$B:$J,F$11,FALSE),0)</f>
        <v>0</v>
      </c>
      <c r="G24" s="414">
        <f t="shared" si="17"/>
        <v>0</v>
      </c>
      <c r="H24" s="399">
        <f t="shared" si="1"/>
        <v>0</v>
      </c>
      <c r="I24" s="132"/>
      <c r="J24" s="396">
        <f>IFERROR(VLOOKUP($C24,'Proposed Rates'!$B:$J,J$11,FALSE),0)</f>
        <v>0</v>
      </c>
      <c r="K24" s="414">
        <f t="shared" si="18"/>
        <v>0</v>
      </c>
      <c r="L24" s="399">
        <f t="shared" si="2"/>
        <v>0</v>
      </c>
      <c r="M24" s="132"/>
      <c r="N24" s="400">
        <f t="shared" si="3"/>
        <v>0</v>
      </c>
      <c r="O24" s="401" t="str">
        <f t="shared" si="4"/>
        <v/>
      </c>
      <c r="P24" s="52"/>
      <c r="Q24" s="396">
        <f>IFERROR(VLOOKUP($C24,'Proposed Rates'!$B:$J,Q$11,FALSE),0)</f>
        <v>0</v>
      </c>
      <c r="R24" s="414">
        <f t="shared" si="19"/>
        <v>0</v>
      </c>
      <c r="S24" s="399">
        <f t="shared" si="5"/>
        <v>0</v>
      </c>
      <c r="T24" s="132"/>
      <c r="U24" s="400">
        <f t="shared" si="6"/>
        <v>0</v>
      </c>
      <c r="V24" s="401" t="str">
        <f t="shared" si="7"/>
        <v/>
      </c>
      <c r="W24" s="52"/>
      <c r="X24" s="396">
        <f>IFERROR(VLOOKUP($C24,'Proposed Rates'!$B:$J,X$11,FALSE),0)</f>
        <v>0</v>
      </c>
      <c r="Y24" s="414">
        <f t="shared" si="20"/>
        <v>0</v>
      </c>
      <c r="Z24" s="399">
        <f t="shared" si="8"/>
        <v>0</v>
      </c>
      <c r="AA24" s="132"/>
      <c r="AB24" s="400">
        <f t="shared" si="9"/>
        <v>0</v>
      </c>
      <c r="AC24" s="401" t="str">
        <f t="shared" si="10"/>
        <v/>
      </c>
      <c r="AD24" s="52"/>
      <c r="AE24" s="396">
        <f>IFERROR(VLOOKUP($C24,'Proposed Rates'!$B:$J,AE$11,FALSE),0)</f>
        <v>0</v>
      </c>
      <c r="AF24" s="414">
        <f t="shared" si="21"/>
        <v>0</v>
      </c>
      <c r="AG24" s="399">
        <f t="shared" si="11"/>
        <v>0</v>
      </c>
      <c r="AH24" s="132"/>
      <c r="AI24" s="400">
        <f t="shared" si="12"/>
        <v>0</v>
      </c>
      <c r="AJ24" s="401" t="str">
        <f t="shared" si="13"/>
        <v/>
      </c>
      <c r="AK24" s="52"/>
      <c r="AL24" s="396">
        <f>IFERROR(VLOOKUP($C24,'Proposed Rates'!$B:$J,AL$11,FALSE),0)</f>
        <v>0</v>
      </c>
      <c r="AM24" s="414">
        <f t="shared" si="22"/>
        <v>0</v>
      </c>
      <c r="AN24" s="399">
        <f t="shared" si="14"/>
        <v>0</v>
      </c>
      <c r="AO24" s="132"/>
      <c r="AP24" s="400">
        <f t="shared" si="15"/>
        <v>0</v>
      </c>
      <c r="AQ24" s="401" t="str">
        <f t="shared" si="16"/>
        <v/>
      </c>
      <c r="AR24" s="402"/>
      <c r="AS24" s="402"/>
    </row>
    <row r="25" spans="1:45" ht="12.75" customHeight="1">
      <c r="A25" s="52"/>
      <c r="B25" s="403"/>
      <c r="C25" s="394" t="str">
        <f t="shared" si="0"/>
        <v>Street Light.</v>
      </c>
      <c r="D25" s="395"/>
      <c r="E25" s="321"/>
      <c r="F25" s="396">
        <f>IFERROR(VLOOKUP($C25,'Proposed Rates'!$B:$J,F$11,FALSE),0)</f>
        <v>0</v>
      </c>
      <c r="G25" s="414">
        <f t="shared" si="17"/>
        <v>0</v>
      </c>
      <c r="H25" s="399">
        <f t="shared" si="1"/>
        <v>0</v>
      </c>
      <c r="I25" s="132"/>
      <c r="J25" s="396">
        <f>IFERROR(VLOOKUP($C25,'Proposed Rates'!$B:$J,J$11,FALSE),0)</f>
        <v>0</v>
      </c>
      <c r="K25" s="414">
        <f t="shared" si="18"/>
        <v>0</v>
      </c>
      <c r="L25" s="399">
        <f t="shared" si="2"/>
        <v>0</v>
      </c>
      <c r="M25" s="132"/>
      <c r="N25" s="400">
        <f t="shared" si="3"/>
        <v>0</v>
      </c>
      <c r="O25" s="401" t="str">
        <f t="shared" si="4"/>
        <v/>
      </c>
      <c r="P25" s="52"/>
      <c r="Q25" s="396">
        <f>IFERROR(VLOOKUP($C25,'Proposed Rates'!$B:$J,Q$11,FALSE),0)</f>
        <v>0</v>
      </c>
      <c r="R25" s="414">
        <f t="shared" si="19"/>
        <v>0</v>
      </c>
      <c r="S25" s="399">
        <f t="shared" si="5"/>
        <v>0</v>
      </c>
      <c r="T25" s="132"/>
      <c r="U25" s="400">
        <f t="shared" si="6"/>
        <v>0</v>
      </c>
      <c r="V25" s="401" t="str">
        <f t="shared" si="7"/>
        <v/>
      </c>
      <c r="W25" s="52"/>
      <c r="X25" s="396">
        <f>IFERROR(VLOOKUP($C25,'Proposed Rates'!$B:$J,X$11,FALSE),0)</f>
        <v>0</v>
      </c>
      <c r="Y25" s="414">
        <f t="shared" si="20"/>
        <v>0</v>
      </c>
      <c r="Z25" s="399">
        <f t="shared" si="8"/>
        <v>0</v>
      </c>
      <c r="AA25" s="132"/>
      <c r="AB25" s="400">
        <f t="shared" si="9"/>
        <v>0</v>
      </c>
      <c r="AC25" s="401" t="str">
        <f t="shared" si="10"/>
        <v/>
      </c>
      <c r="AD25" s="52"/>
      <c r="AE25" s="396">
        <f>IFERROR(VLOOKUP($C25,'Proposed Rates'!$B:$J,AE$11,FALSE),0)</f>
        <v>0</v>
      </c>
      <c r="AF25" s="414">
        <f t="shared" si="21"/>
        <v>0</v>
      </c>
      <c r="AG25" s="399">
        <f t="shared" si="11"/>
        <v>0</v>
      </c>
      <c r="AH25" s="132"/>
      <c r="AI25" s="400">
        <f t="shared" si="12"/>
        <v>0</v>
      </c>
      <c r="AJ25" s="401" t="str">
        <f t="shared" si="13"/>
        <v/>
      </c>
      <c r="AK25" s="52"/>
      <c r="AL25" s="396">
        <f>IFERROR(VLOOKUP($C25,'Proposed Rates'!$B:$J,AL$11,FALSE),0)</f>
        <v>0</v>
      </c>
      <c r="AM25" s="414">
        <f t="shared" si="22"/>
        <v>0</v>
      </c>
      <c r="AN25" s="399">
        <f t="shared" si="14"/>
        <v>0</v>
      </c>
      <c r="AO25" s="132"/>
      <c r="AP25" s="400">
        <f t="shared" si="15"/>
        <v>0</v>
      </c>
      <c r="AQ25" s="401" t="str">
        <f t="shared" si="16"/>
        <v/>
      </c>
      <c r="AR25" s="402"/>
      <c r="AS25" s="402"/>
    </row>
    <row r="26" spans="1:45" ht="12.75" customHeight="1">
      <c r="A26" s="52"/>
      <c r="B26" s="403"/>
      <c r="C26" s="394" t="str">
        <f t="shared" si="0"/>
        <v>Street Light.</v>
      </c>
      <c r="D26" s="395"/>
      <c r="E26" s="321"/>
      <c r="F26" s="396">
        <f>IFERROR(VLOOKUP($C26,'Proposed Rates'!$B:$J,F$11,FALSE),0)</f>
        <v>0</v>
      </c>
      <c r="G26" s="414">
        <f t="shared" si="17"/>
        <v>0</v>
      </c>
      <c r="H26" s="399">
        <f t="shared" si="1"/>
        <v>0</v>
      </c>
      <c r="I26" s="132"/>
      <c r="J26" s="396">
        <f>IFERROR(VLOOKUP($C26,'Proposed Rates'!$B:$J,J$11,FALSE),0)</f>
        <v>0</v>
      </c>
      <c r="K26" s="414">
        <f t="shared" si="18"/>
        <v>0</v>
      </c>
      <c r="L26" s="399">
        <f t="shared" si="2"/>
        <v>0</v>
      </c>
      <c r="M26" s="132"/>
      <c r="N26" s="400">
        <f t="shared" si="3"/>
        <v>0</v>
      </c>
      <c r="O26" s="401" t="str">
        <f t="shared" si="4"/>
        <v/>
      </c>
      <c r="P26" s="52"/>
      <c r="Q26" s="396">
        <f>IFERROR(VLOOKUP($C26,'Proposed Rates'!$B:$J,Q$11,FALSE),0)</f>
        <v>0</v>
      </c>
      <c r="R26" s="414">
        <f t="shared" si="19"/>
        <v>0</v>
      </c>
      <c r="S26" s="399">
        <f t="shared" si="5"/>
        <v>0</v>
      </c>
      <c r="T26" s="132"/>
      <c r="U26" s="400">
        <f t="shared" si="6"/>
        <v>0</v>
      </c>
      <c r="V26" s="401" t="str">
        <f t="shared" si="7"/>
        <v/>
      </c>
      <c r="W26" s="52"/>
      <c r="X26" s="396">
        <f>IFERROR(VLOOKUP($C26,'Proposed Rates'!$B:$J,X$11,FALSE),0)</f>
        <v>0</v>
      </c>
      <c r="Y26" s="414">
        <f t="shared" si="20"/>
        <v>0</v>
      </c>
      <c r="Z26" s="399">
        <f t="shared" si="8"/>
        <v>0</v>
      </c>
      <c r="AA26" s="132"/>
      <c r="AB26" s="400">
        <f t="shared" si="9"/>
        <v>0</v>
      </c>
      <c r="AC26" s="401" t="str">
        <f t="shared" si="10"/>
        <v/>
      </c>
      <c r="AD26" s="52"/>
      <c r="AE26" s="396">
        <f>IFERROR(VLOOKUP($C26,'Proposed Rates'!$B:$J,AE$11,FALSE),0)</f>
        <v>0</v>
      </c>
      <c r="AF26" s="414">
        <f t="shared" si="21"/>
        <v>0</v>
      </c>
      <c r="AG26" s="399">
        <f t="shared" si="11"/>
        <v>0</v>
      </c>
      <c r="AH26" s="132"/>
      <c r="AI26" s="400">
        <f t="shared" si="12"/>
        <v>0</v>
      </c>
      <c r="AJ26" s="401" t="str">
        <f t="shared" si="13"/>
        <v/>
      </c>
      <c r="AK26" s="52"/>
      <c r="AL26" s="396">
        <f>IFERROR(VLOOKUP($C26,'Proposed Rates'!$B:$J,AL$11,FALSE),0)</f>
        <v>0</v>
      </c>
      <c r="AM26" s="414">
        <f t="shared" si="22"/>
        <v>0</v>
      </c>
      <c r="AN26" s="399">
        <f t="shared" si="14"/>
        <v>0</v>
      </c>
      <c r="AO26" s="132"/>
      <c r="AP26" s="400">
        <f t="shared" si="15"/>
        <v>0</v>
      </c>
      <c r="AQ26" s="401" t="str">
        <f t="shared" si="16"/>
        <v/>
      </c>
      <c r="AR26" s="402"/>
      <c r="AS26" s="402"/>
    </row>
    <row r="27" spans="1:45" ht="12.75" customHeight="1">
      <c r="A27" s="52"/>
      <c r="B27" s="403"/>
      <c r="C27" s="394" t="str">
        <f t="shared" si="0"/>
        <v>Street Light.</v>
      </c>
      <c r="D27" s="395"/>
      <c r="E27" s="321"/>
      <c r="F27" s="396">
        <f>IFERROR(VLOOKUP($C27,'Proposed Rates'!$B:$J,F$11,FALSE),0)</f>
        <v>0</v>
      </c>
      <c r="G27" s="414">
        <f t="shared" si="17"/>
        <v>0</v>
      </c>
      <c r="H27" s="399">
        <f t="shared" si="1"/>
        <v>0</v>
      </c>
      <c r="I27" s="132"/>
      <c r="J27" s="396">
        <f>IFERROR(VLOOKUP($C27,'Proposed Rates'!$B:$J,J$11,FALSE),0)</f>
        <v>0</v>
      </c>
      <c r="K27" s="414">
        <f t="shared" si="18"/>
        <v>0</v>
      </c>
      <c r="L27" s="399">
        <f t="shared" si="2"/>
        <v>0</v>
      </c>
      <c r="M27" s="132"/>
      <c r="N27" s="400">
        <f t="shared" si="3"/>
        <v>0</v>
      </c>
      <c r="O27" s="401" t="str">
        <f t="shared" si="4"/>
        <v/>
      </c>
      <c r="P27" s="52"/>
      <c r="Q27" s="396">
        <f>IFERROR(VLOOKUP($C27,'Proposed Rates'!$B:$J,Q$11,FALSE),0)</f>
        <v>0</v>
      </c>
      <c r="R27" s="414">
        <f t="shared" si="19"/>
        <v>0</v>
      </c>
      <c r="S27" s="399">
        <f t="shared" si="5"/>
        <v>0</v>
      </c>
      <c r="T27" s="132"/>
      <c r="U27" s="400">
        <f t="shared" si="6"/>
        <v>0</v>
      </c>
      <c r="V27" s="401" t="str">
        <f t="shared" si="7"/>
        <v/>
      </c>
      <c r="W27" s="52"/>
      <c r="X27" s="396">
        <f>IFERROR(VLOOKUP($C27,'Proposed Rates'!$B:$J,X$11,FALSE),0)</f>
        <v>0</v>
      </c>
      <c r="Y27" s="414">
        <f t="shared" si="20"/>
        <v>0</v>
      </c>
      <c r="Z27" s="399">
        <f t="shared" si="8"/>
        <v>0</v>
      </c>
      <c r="AA27" s="132"/>
      <c r="AB27" s="400">
        <f t="shared" si="9"/>
        <v>0</v>
      </c>
      <c r="AC27" s="401" t="str">
        <f t="shared" si="10"/>
        <v/>
      </c>
      <c r="AD27" s="52"/>
      <c r="AE27" s="396">
        <f>IFERROR(VLOOKUP($C27,'Proposed Rates'!$B:$J,AE$11,FALSE),0)</f>
        <v>0</v>
      </c>
      <c r="AF27" s="414">
        <f t="shared" si="21"/>
        <v>0</v>
      </c>
      <c r="AG27" s="399">
        <f t="shared" si="11"/>
        <v>0</v>
      </c>
      <c r="AH27" s="132"/>
      <c r="AI27" s="400">
        <f t="shared" si="12"/>
        <v>0</v>
      </c>
      <c r="AJ27" s="401" t="str">
        <f t="shared" si="13"/>
        <v/>
      </c>
      <c r="AK27" s="52"/>
      <c r="AL27" s="396">
        <f>IFERROR(VLOOKUP($C27,'Proposed Rates'!$B:$J,AL$11,FALSE),0)</f>
        <v>0</v>
      </c>
      <c r="AM27" s="414">
        <f t="shared" si="22"/>
        <v>0</v>
      </c>
      <c r="AN27" s="399">
        <f t="shared" si="14"/>
        <v>0</v>
      </c>
      <c r="AO27" s="132"/>
      <c r="AP27" s="400">
        <f t="shared" si="15"/>
        <v>0</v>
      </c>
      <c r="AQ27" s="401" t="str">
        <f t="shared" si="16"/>
        <v/>
      </c>
      <c r="AR27" s="402"/>
      <c r="AS27" s="402"/>
    </row>
    <row r="28" spans="1:45" ht="12.75" customHeight="1">
      <c r="A28" s="52"/>
      <c r="B28" s="403"/>
      <c r="C28" s="394" t="str">
        <f t="shared" si="0"/>
        <v>Street Light.</v>
      </c>
      <c r="D28" s="395"/>
      <c r="E28" s="321"/>
      <c r="F28" s="396">
        <f>IFERROR(VLOOKUP($C28,'Proposed Rates'!$B:$J,F$11,FALSE),0)</f>
        <v>0</v>
      </c>
      <c r="G28" s="414">
        <f t="shared" si="17"/>
        <v>0</v>
      </c>
      <c r="H28" s="399">
        <f t="shared" si="1"/>
        <v>0</v>
      </c>
      <c r="I28" s="132"/>
      <c r="J28" s="396">
        <f>IFERROR(VLOOKUP($C28,'Proposed Rates'!$B:$J,J$11,FALSE),0)</f>
        <v>0</v>
      </c>
      <c r="K28" s="414">
        <f t="shared" si="18"/>
        <v>0</v>
      </c>
      <c r="L28" s="399">
        <f t="shared" si="2"/>
        <v>0</v>
      </c>
      <c r="M28" s="132"/>
      <c r="N28" s="400">
        <f t="shared" si="3"/>
        <v>0</v>
      </c>
      <c r="O28" s="401" t="str">
        <f t="shared" si="4"/>
        <v/>
      </c>
      <c r="P28" s="52"/>
      <c r="Q28" s="396">
        <f>IFERROR(VLOOKUP($C28,'Proposed Rates'!$B:$J,Q$11,FALSE),0)</f>
        <v>0</v>
      </c>
      <c r="R28" s="414">
        <f t="shared" si="19"/>
        <v>0</v>
      </c>
      <c r="S28" s="399">
        <f t="shared" si="5"/>
        <v>0</v>
      </c>
      <c r="T28" s="132"/>
      <c r="U28" s="400">
        <f t="shared" si="6"/>
        <v>0</v>
      </c>
      <c r="V28" s="401" t="str">
        <f t="shared" si="7"/>
        <v/>
      </c>
      <c r="W28" s="52"/>
      <c r="X28" s="396">
        <f>IFERROR(VLOOKUP($C28,'Proposed Rates'!$B:$J,X$11,FALSE),0)</f>
        <v>0</v>
      </c>
      <c r="Y28" s="414">
        <f t="shared" si="20"/>
        <v>0</v>
      </c>
      <c r="Z28" s="399">
        <f t="shared" si="8"/>
        <v>0</v>
      </c>
      <c r="AA28" s="132"/>
      <c r="AB28" s="400">
        <f t="shared" si="9"/>
        <v>0</v>
      </c>
      <c r="AC28" s="401" t="str">
        <f t="shared" si="10"/>
        <v/>
      </c>
      <c r="AD28" s="52"/>
      <c r="AE28" s="396">
        <f>IFERROR(VLOOKUP($C28,'Proposed Rates'!$B:$J,AE$11,FALSE),0)</f>
        <v>0</v>
      </c>
      <c r="AF28" s="414">
        <f t="shared" si="21"/>
        <v>0</v>
      </c>
      <c r="AG28" s="399">
        <f t="shared" si="11"/>
        <v>0</v>
      </c>
      <c r="AH28" s="132"/>
      <c r="AI28" s="400">
        <f t="shared" si="12"/>
        <v>0</v>
      </c>
      <c r="AJ28" s="401" t="str">
        <f t="shared" si="13"/>
        <v/>
      </c>
      <c r="AK28" s="52"/>
      <c r="AL28" s="396">
        <f>IFERROR(VLOOKUP($C28,'Proposed Rates'!$B:$J,AL$11,FALSE),0)</f>
        <v>0</v>
      </c>
      <c r="AM28" s="414">
        <f t="shared" si="22"/>
        <v>0</v>
      </c>
      <c r="AN28" s="399">
        <f t="shared" si="14"/>
        <v>0</v>
      </c>
      <c r="AO28" s="132"/>
      <c r="AP28" s="400">
        <f t="shared" si="15"/>
        <v>0</v>
      </c>
      <c r="AQ28" s="401" t="str">
        <f t="shared" si="16"/>
        <v/>
      </c>
      <c r="AR28" s="402"/>
      <c r="AS28" s="402"/>
    </row>
    <row r="29" spans="1:45" ht="12.75" customHeight="1">
      <c r="A29" s="307"/>
      <c r="B29" s="404" t="s">
        <v>314</v>
      </c>
      <c r="C29" s="556"/>
      <c r="D29" s="405"/>
      <c r="E29" s="405"/>
      <c r="F29" s="406"/>
      <c r="G29" s="499"/>
      <c r="H29" s="408">
        <f>SUM(H15:H28)</f>
        <v>928.88499999999999</v>
      </c>
      <c r="I29" s="409"/>
      <c r="J29" s="406"/>
      <c r="K29" s="499"/>
      <c r="L29" s="408">
        <f>SUM(L15:L28)</f>
        <v>947.04499999999996</v>
      </c>
      <c r="M29" s="409"/>
      <c r="N29" s="410">
        <f t="shared" si="3"/>
        <v>18.159999999999968</v>
      </c>
      <c r="O29" s="411">
        <f t="shared" si="4"/>
        <v>1.9550321083880103E-2</v>
      </c>
      <c r="P29" s="307"/>
      <c r="Q29" s="406"/>
      <c r="R29" s="499"/>
      <c r="S29" s="408">
        <f>SUM(S15:S28)</f>
        <v>710.90499999999997</v>
      </c>
      <c r="T29" s="409"/>
      <c r="U29" s="410">
        <f t="shared" si="6"/>
        <v>-236.14</v>
      </c>
      <c r="V29" s="411">
        <f t="shared" si="7"/>
        <v>-0.2493440121641527</v>
      </c>
      <c r="W29" s="307"/>
      <c r="X29" s="406"/>
      <c r="Y29" s="499"/>
      <c r="Z29" s="408">
        <f>SUM(Z15:Z28)</f>
        <v>751.52</v>
      </c>
      <c r="AA29" s="409"/>
      <c r="AB29" s="410">
        <f t="shared" si="9"/>
        <v>40.615000000000009</v>
      </c>
      <c r="AC29" s="411">
        <f t="shared" si="10"/>
        <v>5.7131402930068027E-2</v>
      </c>
      <c r="AD29" s="307"/>
      <c r="AE29" s="406"/>
      <c r="AF29" s="499"/>
      <c r="AG29" s="408">
        <f>SUM(AG15:AG28)</f>
        <v>756.10500000000002</v>
      </c>
      <c r="AH29" s="409"/>
      <c r="AI29" s="410">
        <f t="shared" si="12"/>
        <v>4.5850000000000364</v>
      </c>
      <c r="AJ29" s="411">
        <f t="shared" si="13"/>
        <v>6.1009687034277683E-3</v>
      </c>
      <c r="AK29" s="307"/>
      <c r="AL29" s="406"/>
      <c r="AM29" s="499"/>
      <c r="AN29" s="408">
        <f>SUM(AN15:AN28)</f>
        <v>762.33999999999992</v>
      </c>
      <c r="AO29" s="409"/>
      <c r="AP29" s="410">
        <f t="shared" si="15"/>
        <v>6.2349999999999</v>
      </c>
      <c r="AQ29" s="411">
        <f t="shared" si="16"/>
        <v>8.246209190522347E-3</v>
      </c>
      <c r="AR29" s="412"/>
      <c r="AS29" s="412"/>
    </row>
    <row r="30" spans="1:45" ht="12.75" customHeight="1">
      <c r="A30" s="52"/>
      <c r="B30" s="403" t="s">
        <v>237</v>
      </c>
      <c r="C30" s="394" t="str">
        <f t="shared" ref="C30:C38" si="23">D$6&amp;"."&amp;B30</f>
        <v>Street Light.DVA Disposition Rate Rider Group 1 -2025</v>
      </c>
      <c r="D30" s="395" t="s">
        <v>381</v>
      </c>
      <c r="E30" s="321"/>
      <c r="F30" s="566">
        <f>IFERROR(VLOOKUP($C30,'Proposed Rates'!$B:$J,F$11,FALSE),0)</f>
        <v>4.1000000000000002E-2</v>
      </c>
      <c r="G30" s="414">
        <f t="shared" ref="G30:G36" si="24">IF($D30="Monthly",1,IF($D30="per KW",$F$10,IF($D30="per kWh",$F$9,0)))</f>
        <v>50</v>
      </c>
      <c r="H30" s="399">
        <f t="shared" ref="H30:H38" si="25">G30*F30</f>
        <v>2.0500000000000003</v>
      </c>
      <c r="I30" s="132"/>
      <c r="J30" s="566">
        <f>IFERROR(VLOOKUP($C30,'Proposed Rates'!$B:$J,J$11,FALSE),0)</f>
        <v>-0.22040000000000001</v>
      </c>
      <c r="K30" s="414">
        <f t="shared" ref="K30:K36" si="26">IF($D30="Monthly",1,IF($D30="per KW",$F$10,IF($D30="per kWh",$F$9,0)))</f>
        <v>50</v>
      </c>
      <c r="L30" s="399">
        <f t="shared" ref="L30:L38" si="27">K30*J30</f>
        <v>-11.020000000000001</v>
      </c>
      <c r="M30" s="132"/>
      <c r="N30" s="400">
        <f t="shared" si="3"/>
        <v>-13.070000000000002</v>
      </c>
      <c r="O30" s="401">
        <f t="shared" si="4"/>
        <v>-6.3756097560975613</v>
      </c>
      <c r="P30" s="52"/>
      <c r="Q30" s="566">
        <f>IFERROR(VLOOKUP($C30,'Proposed Rates'!$B:$J,Q$11,FALSE),0)</f>
        <v>0</v>
      </c>
      <c r="R30" s="414">
        <f t="shared" ref="R30:R36" si="28">IF($D30="Monthly",1,IF($D30="per KW",$F$10,IF($D30="per kWh",$F$9,0)))</f>
        <v>50</v>
      </c>
      <c r="S30" s="399">
        <f t="shared" ref="S30:S38" si="29">R30*Q30</f>
        <v>0</v>
      </c>
      <c r="T30" s="132"/>
      <c r="U30" s="400">
        <f t="shared" si="6"/>
        <v>11.020000000000001</v>
      </c>
      <c r="V30" s="401">
        <f t="shared" si="7"/>
        <v>-1</v>
      </c>
      <c r="W30" s="52"/>
      <c r="X30" s="566">
        <f>IFERROR(VLOOKUP($C30,'Proposed Rates'!$B:$J,X$11,FALSE),0)</f>
        <v>0</v>
      </c>
      <c r="Y30" s="414">
        <f t="shared" ref="Y30:Y36" si="30">IF($D30="Monthly",1,IF($D30="per KW",$F$10,IF($D30="per kWh",$F$9,0)))</f>
        <v>50</v>
      </c>
      <c r="Z30" s="399">
        <f t="shared" ref="Z30:Z38" si="31">Y30*X30</f>
        <v>0</v>
      </c>
      <c r="AA30" s="132"/>
      <c r="AB30" s="400">
        <f t="shared" si="9"/>
        <v>0</v>
      </c>
      <c r="AC30" s="401" t="str">
        <f t="shared" si="10"/>
        <v/>
      </c>
      <c r="AD30" s="52"/>
      <c r="AE30" s="566">
        <f>IFERROR(VLOOKUP($C30,'Proposed Rates'!$B:$J,AE$11,FALSE),0)</f>
        <v>0</v>
      </c>
      <c r="AF30" s="414">
        <f t="shared" ref="AF30:AF36" si="32">IF($D30="Monthly",1,IF($D30="per KW",$F$10,IF($D30="per kWh",$F$9,0)))</f>
        <v>50</v>
      </c>
      <c r="AG30" s="399">
        <f t="shared" ref="AG30:AG38" si="33">AF30*AE30</f>
        <v>0</v>
      </c>
      <c r="AH30" s="132"/>
      <c r="AI30" s="400">
        <f t="shared" si="12"/>
        <v>0</v>
      </c>
      <c r="AJ30" s="401" t="str">
        <f t="shared" si="13"/>
        <v/>
      </c>
      <c r="AK30" s="52"/>
      <c r="AL30" s="566">
        <f>IFERROR(VLOOKUP($C30,'Proposed Rates'!$B:$J,AL$11,FALSE),0)</f>
        <v>0</v>
      </c>
      <c r="AM30" s="414">
        <f t="shared" ref="AM30:AM36" si="34">IF($D30="Monthly",1,IF($D30="per KW",$F$10,IF($D30="per kWh",$F$9,0)))</f>
        <v>50</v>
      </c>
      <c r="AN30" s="399">
        <f t="shared" ref="AN30:AN38" si="35">AM30*AL30</f>
        <v>0</v>
      </c>
      <c r="AO30" s="132"/>
      <c r="AP30" s="400">
        <f t="shared" si="15"/>
        <v>0</v>
      </c>
      <c r="AQ30" s="401" t="str">
        <f t="shared" si="16"/>
        <v/>
      </c>
      <c r="AR30" s="402"/>
      <c r="AS30" s="402"/>
    </row>
    <row r="31" spans="1:45" ht="12.75" customHeight="1">
      <c r="A31" s="52"/>
      <c r="B31" s="403" t="s">
        <v>239</v>
      </c>
      <c r="C31" s="394" t="str">
        <f t="shared" si="23"/>
        <v>Street Light.DVA Disposition Rate Rider Group 1 - 2024</v>
      </c>
      <c r="D31" s="395" t="s">
        <v>381</v>
      </c>
      <c r="E31" s="321"/>
      <c r="F31" s="396">
        <f>IFERROR(VLOOKUP($C31,'Proposed Rates'!$B:$J,F$11,FALSE),0)</f>
        <v>0</v>
      </c>
      <c r="G31" s="414">
        <f t="shared" si="24"/>
        <v>50</v>
      </c>
      <c r="H31" s="399">
        <f t="shared" si="25"/>
        <v>0</v>
      </c>
      <c r="I31" s="132"/>
      <c r="J31" s="396">
        <f>IFERROR(VLOOKUP($C31,'Proposed Rates'!$B:$J,J$11,FALSE),0)</f>
        <v>0</v>
      </c>
      <c r="K31" s="414">
        <f t="shared" si="26"/>
        <v>50</v>
      </c>
      <c r="L31" s="399">
        <f t="shared" si="27"/>
        <v>0</v>
      </c>
      <c r="M31" s="132"/>
      <c r="N31" s="400">
        <f t="shared" si="3"/>
        <v>0</v>
      </c>
      <c r="O31" s="401" t="str">
        <f t="shared" si="4"/>
        <v/>
      </c>
      <c r="P31" s="52"/>
      <c r="Q31" s="396">
        <f>IFERROR(VLOOKUP($C31,'Proposed Rates'!$B:$J,Q$11,FALSE),0)</f>
        <v>0</v>
      </c>
      <c r="R31" s="414">
        <f t="shared" si="28"/>
        <v>50</v>
      </c>
      <c r="S31" s="399">
        <f t="shared" si="29"/>
        <v>0</v>
      </c>
      <c r="T31" s="132"/>
      <c r="U31" s="400">
        <f t="shared" si="6"/>
        <v>0</v>
      </c>
      <c r="V31" s="401" t="str">
        <f t="shared" si="7"/>
        <v/>
      </c>
      <c r="W31" s="52"/>
      <c r="X31" s="396">
        <f>IFERROR(VLOOKUP($C31,'Proposed Rates'!$B:$J,X$11,FALSE),0)</f>
        <v>0</v>
      </c>
      <c r="Y31" s="414">
        <f t="shared" si="30"/>
        <v>50</v>
      </c>
      <c r="Z31" s="399">
        <f t="shared" si="31"/>
        <v>0</v>
      </c>
      <c r="AA31" s="132"/>
      <c r="AB31" s="400">
        <f t="shared" si="9"/>
        <v>0</v>
      </c>
      <c r="AC31" s="401" t="str">
        <f t="shared" si="10"/>
        <v/>
      </c>
      <c r="AD31" s="52"/>
      <c r="AE31" s="396">
        <f>IFERROR(VLOOKUP($C31,'Proposed Rates'!$B:$J,AE$11,FALSE),0)</f>
        <v>0</v>
      </c>
      <c r="AF31" s="414">
        <f t="shared" si="32"/>
        <v>50</v>
      </c>
      <c r="AG31" s="399">
        <f t="shared" si="33"/>
        <v>0</v>
      </c>
      <c r="AH31" s="132"/>
      <c r="AI31" s="400">
        <f t="shared" si="12"/>
        <v>0</v>
      </c>
      <c r="AJ31" s="401" t="str">
        <f t="shared" si="13"/>
        <v/>
      </c>
      <c r="AK31" s="52"/>
      <c r="AL31" s="396">
        <f>IFERROR(VLOOKUP($C31,'Proposed Rates'!$B:$J,AL$11,FALSE),0)</f>
        <v>0</v>
      </c>
      <c r="AM31" s="414">
        <f t="shared" si="34"/>
        <v>50</v>
      </c>
      <c r="AN31" s="399">
        <f t="shared" si="35"/>
        <v>0</v>
      </c>
      <c r="AO31" s="132"/>
      <c r="AP31" s="400">
        <f t="shared" si="15"/>
        <v>0</v>
      </c>
      <c r="AQ31" s="401" t="str">
        <f t="shared" si="16"/>
        <v/>
      </c>
      <c r="AR31" s="402"/>
      <c r="AS31" s="402"/>
    </row>
    <row r="32" spans="1:45" ht="12.75" customHeight="1">
      <c r="A32" s="52"/>
      <c r="B32" s="403" t="s">
        <v>247</v>
      </c>
      <c r="C32" s="394" t="str">
        <f t="shared" si="23"/>
        <v>Street Light.CBR Class B Rate Riders</v>
      </c>
      <c r="D32" s="395" t="s">
        <v>312</v>
      </c>
      <c r="E32" s="321"/>
      <c r="F32" s="413">
        <f>IFERROR(VLOOKUP($C32,'Proposed Rates'!$B:$J,F$11,FALSE),0)</f>
        <v>2.0000000000000001E-4</v>
      </c>
      <c r="G32" s="414">
        <f t="shared" si="24"/>
        <v>17860</v>
      </c>
      <c r="H32" s="399">
        <f t="shared" si="25"/>
        <v>3.5720000000000001</v>
      </c>
      <c r="I32" s="484"/>
      <c r="J32" s="413">
        <f>IFERROR(VLOOKUP($C32,'Proposed Rates'!$B:$J,J$11,FALSE),0)</f>
        <v>4.0000000000000002E-4</v>
      </c>
      <c r="K32" s="414">
        <f t="shared" si="26"/>
        <v>17860</v>
      </c>
      <c r="L32" s="399">
        <f t="shared" si="27"/>
        <v>7.1440000000000001</v>
      </c>
      <c r="M32" s="416"/>
      <c r="N32" s="400">
        <f t="shared" si="3"/>
        <v>3.5720000000000001</v>
      </c>
      <c r="O32" s="401"/>
      <c r="P32" s="52"/>
      <c r="Q32" s="413">
        <f>IFERROR(VLOOKUP($C32,'Proposed Rates'!$B:$J,Q$11,FALSE),0)</f>
        <v>0</v>
      </c>
      <c r="R32" s="414">
        <f t="shared" si="28"/>
        <v>17860</v>
      </c>
      <c r="S32" s="399">
        <f t="shared" si="29"/>
        <v>0</v>
      </c>
      <c r="T32" s="416"/>
      <c r="U32" s="400"/>
      <c r="V32" s="401"/>
      <c r="W32" s="52"/>
      <c r="X32" s="413">
        <f>IFERROR(VLOOKUP($C32,'Proposed Rates'!$B:$J,X$11,FALSE),0)</f>
        <v>0</v>
      </c>
      <c r="Y32" s="414">
        <f t="shared" si="30"/>
        <v>17860</v>
      </c>
      <c r="Z32" s="399">
        <f t="shared" si="31"/>
        <v>0</v>
      </c>
      <c r="AA32" s="132"/>
      <c r="AB32" s="400">
        <f t="shared" si="9"/>
        <v>0</v>
      </c>
      <c r="AC32" s="401" t="str">
        <f t="shared" si="10"/>
        <v/>
      </c>
      <c r="AD32" s="52"/>
      <c r="AE32" s="413">
        <f>IFERROR(VLOOKUP($C32,'Proposed Rates'!$B:$J,AE$11,FALSE),0)</f>
        <v>0</v>
      </c>
      <c r="AF32" s="414">
        <f t="shared" si="32"/>
        <v>17860</v>
      </c>
      <c r="AG32" s="399">
        <f t="shared" si="33"/>
        <v>0</v>
      </c>
      <c r="AH32" s="132"/>
      <c r="AI32" s="400">
        <f t="shared" si="12"/>
        <v>0</v>
      </c>
      <c r="AJ32" s="401" t="str">
        <f t="shared" si="13"/>
        <v/>
      </c>
      <c r="AK32" s="52"/>
      <c r="AL32" s="413">
        <f>IFERROR(VLOOKUP($C32,'Proposed Rates'!$B:$J,AL$11,FALSE),0)</f>
        <v>0</v>
      </c>
      <c r="AM32" s="414">
        <f t="shared" si="34"/>
        <v>17860</v>
      </c>
      <c r="AN32" s="399">
        <f t="shared" si="35"/>
        <v>0</v>
      </c>
      <c r="AO32" s="416"/>
      <c r="AP32" s="400"/>
      <c r="AQ32" s="401"/>
      <c r="AR32" s="402"/>
      <c r="AS32" s="402"/>
    </row>
    <row r="33" spans="1:45" ht="12.75" customHeight="1">
      <c r="A33" s="52"/>
      <c r="B33" s="403" t="s">
        <v>252</v>
      </c>
      <c r="C33" s="394" t="str">
        <f t="shared" si="23"/>
        <v>Street Light.GA Rate Riders</v>
      </c>
      <c r="D33" s="395" t="s">
        <v>312</v>
      </c>
      <c r="E33" s="321"/>
      <c r="F33" s="413">
        <f>IFERROR(VLOOKUP($C33,'Proposed Rates'!$B:$J,F$11,FALSE),0)</f>
        <v>3.8999999999999998E-3</v>
      </c>
      <c r="G33" s="414">
        <f t="shared" si="24"/>
        <v>17860</v>
      </c>
      <c r="H33" s="399">
        <f t="shared" si="25"/>
        <v>69.653999999999996</v>
      </c>
      <c r="I33" s="484"/>
      <c r="J33" s="413">
        <f>IFERROR(VLOOKUP($C33,'Proposed Rates'!$B:$J,J$11,FALSE),0)</f>
        <v>4.4000000000000003E-3</v>
      </c>
      <c r="K33" s="414">
        <f t="shared" si="26"/>
        <v>17860</v>
      </c>
      <c r="L33" s="399">
        <f t="shared" si="27"/>
        <v>78.584000000000003</v>
      </c>
      <c r="M33" s="416"/>
      <c r="N33" s="400">
        <f t="shared" si="3"/>
        <v>8.9300000000000068</v>
      </c>
      <c r="O33" s="401">
        <f t="shared" ref="O33:O34" si="36">IF((H33)=0,"",(N33/H33))</f>
        <v>0.1282051282051283</v>
      </c>
      <c r="P33" s="52"/>
      <c r="Q33" s="413">
        <f>IFERROR(VLOOKUP($C33,'Proposed Rates'!$B:$J,Q$11,FALSE),0)</f>
        <v>0</v>
      </c>
      <c r="R33" s="414">
        <f t="shared" si="28"/>
        <v>17860</v>
      </c>
      <c r="S33" s="399">
        <f t="shared" si="29"/>
        <v>0</v>
      </c>
      <c r="T33" s="416"/>
      <c r="U33" s="400">
        <f t="shared" ref="U33:U34" si="37">S33-L33</f>
        <v>-78.584000000000003</v>
      </c>
      <c r="V33" s="401">
        <f t="shared" ref="V33:V34" si="38">IF((L33)=0,"",(U33/L33))</f>
        <v>-1</v>
      </c>
      <c r="W33" s="52"/>
      <c r="X33" s="413">
        <f>IFERROR(VLOOKUP($C33,'Proposed Rates'!$B:$J,X$11,FALSE),0)</f>
        <v>0</v>
      </c>
      <c r="Y33" s="414">
        <f t="shared" si="30"/>
        <v>17860</v>
      </c>
      <c r="Z33" s="399">
        <f t="shared" si="31"/>
        <v>0</v>
      </c>
      <c r="AA33" s="416"/>
      <c r="AB33" s="400">
        <f t="shared" si="9"/>
        <v>0</v>
      </c>
      <c r="AC33" s="401" t="str">
        <f t="shared" si="10"/>
        <v/>
      </c>
      <c r="AD33" s="52"/>
      <c r="AE33" s="413">
        <f>IFERROR(VLOOKUP($C33,'Proposed Rates'!$B:$J,AE$11,FALSE),0)</f>
        <v>0</v>
      </c>
      <c r="AF33" s="414">
        <f t="shared" si="32"/>
        <v>17860</v>
      </c>
      <c r="AG33" s="399">
        <f t="shared" si="33"/>
        <v>0</v>
      </c>
      <c r="AH33" s="416"/>
      <c r="AI33" s="400">
        <f t="shared" si="12"/>
        <v>0</v>
      </c>
      <c r="AJ33" s="401" t="str">
        <f t="shared" si="13"/>
        <v/>
      </c>
      <c r="AK33" s="52"/>
      <c r="AL33" s="413">
        <f>IFERROR(VLOOKUP($C33,'Proposed Rates'!$B:$J,AL$11,FALSE),0)</f>
        <v>0</v>
      </c>
      <c r="AM33" s="414">
        <f t="shared" si="34"/>
        <v>17860</v>
      </c>
      <c r="AN33" s="399">
        <f t="shared" si="35"/>
        <v>0</v>
      </c>
      <c r="AO33" s="416"/>
      <c r="AP33" s="400">
        <f t="shared" ref="AP33:AP34" si="39">AN33-AG33</f>
        <v>0</v>
      </c>
      <c r="AQ33" s="401" t="str">
        <f t="shared" ref="AQ33:AQ34" si="40">IF((AG33)=0,"",(AP33/AG33))</f>
        <v/>
      </c>
      <c r="AR33" s="402"/>
      <c r="AS33" s="402"/>
    </row>
    <row r="34" spans="1:45" ht="12.75" customHeight="1">
      <c r="A34" s="52"/>
      <c r="B34" s="403" t="s">
        <v>255</v>
      </c>
      <c r="C34" s="394" t="str">
        <f t="shared" si="23"/>
        <v>Street Light.Total Deferral/Variance Account Rate RidersYr2</v>
      </c>
      <c r="D34" s="395" t="s">
        <v>381</v>
      </c>
      <c r="E34" s="321"/>
      <c r="F34" s="396">
        <f>IFERROR(VLOOKUP($C34,'Proposed Rates'!$B:$J,F$11,FALSE),0)</f>
        <v>0</v>
      </c>
      <c r="G34" s="414">
        <f t="shared" si="24"/>
        <v>50</v>
      </c>
      <c r="H34" s="399">
        <f t="shared" si="25"/>
        <v>0</v>
      </c>
      <c r="I34" s="484"/>
      <c r="J34" s="396">
        <f>IFERROR(VLOOKUP($C34,'Proposed Rates'!$B:$J,J$11,FALSE),0)</f>
        <v>0</v>
      </c>
      <c r="K34" s="414">
        <f t="shared" si="26"/>
        <v>50</v>
      </c>
      <c r="L34" s="399">
        <f t="shared" si="27"/>
        <v>0</v>
      </c>
      <c r="M34" s="416"/>
      <c r="N34" s="400">
        <f t="shared" si="3"/>
        <v>0</v>
      </c>
      <c r="O34" s="401" t="str">
        <f t="shared" si="36"/>
        <v/>
      </c>
      <c r="P34" s="52"/>
      <c r="Q34" s="396">
        <f>IFERROR(VLOOKUP($C34,'Proposed Rates'!$B:$J,Q$11,FALSE),0)</f>
        <v>0</v>
      </c>
      <c r="R34" s="414">
        <f t="shared" si="28"/>
        <v>50</v>
      </c>
      <c r="S34" s="399">
        <f t="shared" si="29"/>
        <v>0</v>
      </c>
      <c r="T34" s="416"/>
      <c r="U34" s="400">
        <f t="shared" si="37"/>
        <v>0</v>
      </c>
      <c r="V34" s="401" t="str">
        <f t="shared" si="38"/>
        <v/>
      </c>
      <c r="W34" s="52"/>
      <c r="X34" s="396">
        <f>IFERROR(VLOOKUP($C34,'Proposed Rates'!$B:$J,X$11,FALSE),0)</f>
        <v>0</v>
      </c>
      <c r="Y34" s="414">
        <f t="shared" si="30"/>
        <v>50</v>
      </c>
      <c r="Z34" s="399">
        <f t="shared" si="31"/>
        <v>0</v>
      </c>
      <c r="AA34" s="416"/>
      <c r="AB34" s="400">
        <f t="shared" si="9"/>
        <v>0</v>
      </c>
      <c r="AC34" s="401" t="str">
        <f t="shared" si="10"/>
        <v/>
      </c>
      <c r="AD34" s="52"/>
      <c r="AE34" s="396">
        <f>IFERROR(VLOOKUP($C34,'Proposed Rates'!$B:$J,AE$11,FALSE),0)</f>
        <v>0</v>
      </c>
      <c r="AF34" s="414">
        <f t="shared" si="32"/>
        <v>50</v>
      </c>
      <c r="AG34" s="399">
        <f t="shared" si="33"/>
        <v>0</v>
      </c>
      <c r="AH34" s="416"/>
      <c r="AI34" s="400">
        <f t="shared" si="12"/>
        <v>0</v>
      </c>
      <c r="AJ34" s="401" t="str">
        <f t="shared" si="13"/>
        <v/>
      </c>
      <c r="AK34" s="52"/>
      <c r="AL34" s="396">
        <f>IFERROR(VLOOKUP($C34,'Proposed Rates'!$B:$J,AL$11,FALSE),0)</f>
        <v>0</v>
      </c>
      <c r="AM34" s="414">
        <f t="shared" si="34"/>
        <v>50</v>
      </c>
      <c r="AN34" s="399">
        <f t="shared" si="35"/>
        <v>0</v>
      </c>
      <c r="AO34" s="416"/>
      <c r="AP34" s="400">
        <f t="shared" si="39"/>
        <v>0</v>
      </c>
      <c r="AQ34" s="401" t="str">
        <f t="shared" si="40"/>
        <v/>
      </c>
      <c r="AR34" s="402"/>
      <c r="AS34" s="402"/>
    </row>
    <row r="35" spans="1:45" ht="12.75" customHeight="1">
      <c r="A35" s="52"/>
      <c r="B35" s="403" t="s">
        <v>257</v>
      </c>
      <c r="C35" s="394" t="str">
        <f t="shared" si="23"/>
        <v>Street Light.Total Deferral/Variance Account Rate Riders</v>
      </c>
      <c r="D35" s="395" t="s">
        <v>381</v>
      </c>
      <c r="E35" s="321"/>
      <c r="F35" s="396">
        <f>IFERROR(VLOOKUP($C35,'Proposed Rates'!$B:$J,F$11,FALSE),0)</f>
        <v>0</v>
      </c>
      <c r="G35" s="414">
        <f t="shared" si="24"/>
        <v>50</v>
      </c>
      <c r="H35" s="399">
        <f t="shared" si="25"/>
        <v>0</v>
      </c>
      <c r="I35" s="132"/>
      <c r="J35" s="396">
        <f>IFERROR(VLOOKUP($C35,'Proposed Rates'!$B:$J,J$11,FALSE),0)</f>
        <v>0</v>
      </c>
      <c r="K35" s="414">
        <f t="shared" si="26"/>
        <v>50</v>
      </c>
      <c r="L35" s="399">
        <f t="shared" si="27"/>
        <v>0</v>
      </c>
      <c r="M35" s="132"/>
      <c r="N35" s="400"/>
      <c r="O35" s="401"/>
      <c r="P35" s="52"/>
      <c r="Q35" s="396">
        <f>IFERROR(VLOOKUP($C35,'Proposed Rates'!$B:$J,Q$11,FALSE),0)</f>
        <v>0</v>
      </c>
      <c r="R35" s="414">
        <f t="shared" si="28"/>
        <v>50</v>
      </c>
      <c r="S35" s="399">
        <f t="shared" si="29"/>
        <v>0</v>
      </c>
      <c r="T35" s="132"/>
      <c r="U35" s="400"/>
      <c r="V35" s="401"/>
      <c r="W35" s="52"/>
      <c r="X35" s="396">
        <f>IFERROR(VLOOKUP($C35,'Proposed Rates'!$B:$J,X$11,FALSE),0)</f>
        <v>0</v>
      </c>
      <c r="Y35" s="414">
        <f t="shared" si="30"/>
        <v>50</v>
      </c>
      <c r="Z35" s="399">
        <f t="shared" si="31"/>
        <v>0</v>
      </c>
      <c r="AA35" s="132"/>
      <c r="AB35" s="400"/>
      <c r="AC35" s="401"/>
      <c r="AD35" s="52"/>
      <c r="AE35" s="396">
        <f>IFERROR(VLOOKUP($C35,'Proposed Rates'!$B:$J,AE$11,FALSE),0)</f>
        <v>0</v>
      </c>
      <c r="AF35" s="414">
        <f t="shared" si="32"/>
        <v>50</v>
      </c>
      <c r="AG35" s="399">
        <f t="shared" si="33"/>
        <v>0</v>
      </c>
      <c r="AH35" s="132"/>
      <c r="AI35" s="400">
        <f t="shared" si="12"/>
        <v>0</v>
      </c>
      <c r="AJ35" s="401" t="str">
        <f t="shared" si="13"/>
        <v/>
      </c>
      <c r="AK35" s="52"/>
      <c r="AL35" s="396">
        <f>IFERROR(VLOOKUP($C35,'Proposed Rates'!$B:$J,AL$11,FALSE),0)</f>
        <v>0</v>
      </c>
      <c r="AM35" s="414">
        <f t="shared" si="34"/>
        <v>50</v>
      </c>
      <c r="AN35" s="399">
        <f t="shared" si="35"/>
        <v>0</v>
      </c>
      <c r="AO35" s="132"/>
      <c r="AP35" s="400"/>
      <c r="AQ35" s="401"/>
      <c r="AR35" s="402"/>
      <c r="AS35" s="402"/>
    </row>
    <row r="36" spans="1:45" ht="12.75" customHeight="1">
      <c r="A36" s="52"/>
      <c r="B36" s="321" t="s">
        <v>273</v>
      </c>
      <c r="C36" s="394" t="str">
        <f t="shared" si="23"/>
        <v>Street Light.Low Voltage Service Charge</v>
      </c>
      <c r="D36" s="395" t="s">
        <v>381</v>
      </c>
      <c r="E36" s="321"/>
      <c r="F36" s="417">
        <f>IFERROR(VLOOKUP($C36,'Proposed Rates'!$B:$J,F$11,FALSE),0)</f>
        <v>1.5640000000000001E-2</v>
      </c>
      <c r="G36" s="414">
        <f t="shared" si="24"/>
        <v>50</v>
      </c>
      <c r="H36" s="399">
        <f t="shared" si="25"/>
        <v>0.78200000000000003</v>
      </c>
      <c r="I36" s="132"/>
      <c r="J36" s="417">
        <f>IFERROR(VLOOKUP($C36,'Proposed Rates'!$B:$J,J$11,FALSE),0)</f>
        <v>1.099E-2</v>
      </c>
      <c r="K36" s="414">
        <f t="shared" si="26"/>
        <v>50</v>
      </c>
      <c r="L36" s="399">
        <f t="shared" si="27"/>
        <v>0.54949999999999999</v>
      </c>
      <c r="M36" s="132"/>
      <c r="N36" s="400">
        <f t="shared" ref="N36:N37" si="41">L36-H36</f>
        <v>-0.23250000000000004</v>
      </c>
      <c r="O36" s="401">
        <f t="shared" ref="O36:O37" si="42">IF((H36)=0,"",(N36/H36))</f>
        <v>-0.29731457800511513</v>
      </c>
      <c r="P36" s="52"/>
      <c r="Q36" s="417">
        <f>IFERROR(VLOOKUP($C36,'Proposed Rates'!$B:$J,Q$11,FALSE),0)</f>
        <v>1.1270000000000001E-2</v>
      </c>
      <c r="R36" s="414">
        <f t="shared" si="28"/>
        <v>50</v>
      </c>
      <c r="S36" s="399">
        <f t="shared" si="29"/>
        <v>0.5635</v>
      </c>
      <c r="T36" s="132"/>
      <c r="U36" s="400">
        <f t="shared" ref="U36:U37" si="43">S36-L36</f>
        <v>1.4000000000000012E-2</v>
      </c>
      <c r="V36" s="401">
        <f t="shared" ref="V36:V37" si="44">IF((L36)=0,"",(U36/L36))</f>
        <v>2.5477707006369449E-2</v>
      </c>
      <c r="W36" s="52"/>
      <c r="X36" s="417">
        <f>IFERROR(VLOOKUP($C36,'Proposed Rates'!$B:$J,X$11,FALSE),0)</f>
        <v>1.141E-2</v>
      </c>
      <c r="Y36" s="414">
        <f t="shared" si="30"/>
        <v>50</v>
      </c>
      <c r="Z36" s="399">
        <f t="shared" si="31"/>
        <v>0.57050000000000001</v>
      </c>
      <c r="AA36" s="132"/>
      <c r="AB36" s="400">
        <f t="shared" ref="AB36:AB37" si="45">Z36-S36</f>
        <v>7.0000000000000062E-3</v>
      </c>
      <c r="AC36" s="401">
        <f t="shared" ref="AC36:AC37" si="46">IF((S36)=0,"",(AB36/S36))</f>
        <v>1.2422360248447216E-2</v>
      </c>
      <c r="AD36" s="52"/>
      <c r="AE36" s="417">
        <f>IFERROR(VLOOKUP($C36,'Proposed Rates'!$B:$J,AE$11,FALSE),0)</f>
        <v>1.159E-2</v>
      </c>
      <c r="AF36" s="414">
        <f t="shared" si="32"/>
        <v>50</v>
      </c>
      <c r="AG36" s="399">
        <f t="shared" si="33"/>
        <v>0.57950000000000002</v>
      </c>
      <c r="AH36" s="132"/>
      <c r="AI36" s="400">
        <f t="shared" si="12"/>
        <v>9.000000000000008E-3</v>
      </c>
      <c r="AJ36" s="401">
        <f t="shared" si="13"/>
        <v>1.5775635407537261E-2</v>
      </c>
      <c r="AK36" s="52"/>
      <c r="AL36" s="417">
        <f>IFERROR(VLOOKUP($C36,'Proposed Rates'!$B:$J,AL$11,FALSE),0)</f>
        <v>1.18E-2</v>
      </c>
      <c r="AM36" s="414">
        <f t="shared" si="34"/>
        <v>50</v>
      </c>
      <c r="AN36" s="399">
        <f t="shared" si="35"/>
        <v>0.59</v>
      </c>
      <c r="AO36" s="132"/>
      <c r="AP36" s="400">
        <f t="shared" ref="AP36:AP37" si="47">AN36-AG36</f>
        <v>1.0499999999999954E-2</v>
      </c>
      <c r="AQ36" s="401">
        <f t="shared" ref="AQ36:AQ37" si="48">IF((AG36)=0,"",(AP36/AG36))</f>
        <v>1.8119068162208721E-2</v>
      </c>
      <c r="AR36" s="402"/>
      <c r="AS36" s="402"/>
    </row>
    <row r="37" spans="1:45" ht="12.75" customHeight="1">
      <c r="A37" s="52"/>
      <c r="B37" s="321" t="s">
        <v>316</v>
      </c>
      <c r="C37" s="394" t="str">
        <f t="shared" si="23"/>
        <v>Street Light.Line Losses on Cost of Power</v>
      </c>
      <c r="D37" s="395" t="s">
        <v>312</v>
      </c>
      <c r="E37" s="321"/>
      <c r="F37" s="419">
        <f>F46</f>
        <v>0.10453</v>
      </c>
      <c r="G37" s="506">
        <f>$F$9*(1+F$65)-$F$9</f>
        <v>603.66800000000148</v>
      </c>
      <c r="H37" s="399">
        <f t="shared" si="25"/>
        <v>63.101416040000153</v>
      </c>
      <c r="I37" s="132"/>
      <c r="J37" s="419">
        <f>J46</f>
        <v>0.10453</v>
      </c>
      <c r="K37" s="506">
        <f>$F$9*(1+J$65)-$F$9</f>
        <v>592.9519999999975</v>
      </c>
      <c r="L37" s="399">
        <f t="shared" si="27"/>
        <v>61.981272559999738</v>
      </c>
      <c r="M37" s="132"/>
      <c r="N37" s="400">
        <f t="shared" si="41"/>
        <v>-1.1201434800004151</v>
      </c>
      <c r="O37" s="401">
        <f t="shared" si="42"/>
        <v>-1.7751479289947362E-2</v>
      </c>
      <c r="P37" s="52"/>
      <c r="Q37" s="419">
        <f>Q46</f>
        <v>0.10453</v>
      </c>
      <c r="R37" s="506">
        <f>$F$9*(1+Q$65)-$F$9</f>
        <v>592.9519999999975</v>
      </c>
      <c r="S37" s="399">
        <f t="shared" si="29"/>
        <v>61.981272559999738</v>
      </c>
      <c r="T37" s="132"/>
      <c r="U37" s="400">
        <f t="shared" si="43"/>
        <v>0</v>
      </c>
      <c r="V37" s="401">
        <f t="shared" si="44"/>
        <v>0</v>
      </c>
      <c r="W37" s="52"/>
      <c r="X37" s="419">
        <f>X46</f>
        <v>0.10453</v>
      </c>
      <c r="Y37" s="506">
        <f>$F$9*(1+X$65)-$F$9</f>
        <v>592.9519999999975</v>
      </c>
      <c r="Z37" s="399">
        <f t="shared" si="31"/>
        <v>61.981272559999738</v>
      </c>
      <c r="AA37" s="132"/>
      <c r="AB37" s="400">
        <f t="shared" si="45"/>
        <v>0</v>
      </c>
      <c r="AC37" s="401">
        <f t="shared" si="46"/>
        <v>0</v>
      </c>
      <c r="AD37" s="52"/>
      <c r="AE37" s="419">
        <f>AE46</f>
        <v>0.10453</v>
      </c>
      <c r="AF37" s="506">
        <f>$F$9*(1+AE$65)-$F$9</f>
        <v>592.9519999999975</v>
      </c>
      <c r="AG37" s="399">
        <f t="shared" si="33"/>
        <v>61.981272559999738</v>
      </c>
      <c r="AH37" s="132"/>
      <c r="AI37" s="400">
        <f t="shared" si="12"/>
        <v>0</v>
      </c>
      <c r="AJ37" s="401">
        <f t="shared" si="13"/>
        <v>0</v>
      </c>
      <c r="AK37" s="52"/>
      <c r="AL37" s="419">
        <f>AL46</f>
        <v>0.10453</v>
      </c>
      <c r="AM37" s="506">
        <f>$F$9*(1+AL$65)-$F$9</f>
        <v>592.9519999999975</v>
      </c>
      <c r="AN37" s="399">
        <f t="shared" si="35"/>
        <v>61.981272559999738</v>
      </c>
      <c r="AO37" s="132"/>
      <c r="AP37" s="400">
        <f t="shared" si="47"/>
        <v>0</v>
      </c>
      <c r="AQ37" s="401">
        <f t="shared" si="48"/>
        <v>0</v>
      </c>
      <c r="AR37" s="402"/>
      <c r="AS37" s="402"/>
    </row>
    <row r="38" spans="1:45" ht="12.75" customHeight="1">
      <c r="A38" s="52"/>
      <c r="B38" s="321" t="s">
        <v>275</v>
      </c>
      <c r="C38" s="394" t="str">
        <f t="shared" si="23"/>
        <v>Street Light.Smart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c r="O38" s="401"/>
      <c r="P38" s="52"/>
      <c r="Q38" s="413">
        <f>IFERROR(VLOOKUP($C38,'Proposed Rates'!$B:$J,Q$11,FALSE),0)</f>
        <v>0</v>
      </c>
      <c r="R38" s="414">
        <f>IF($D38="Monthly",1,IF($D38="per KW",$F$10,IF($D38="per kWh",$F$9,0)))</f>
        <v>1</v>
      </c>
      <c r="S38" s="399">
        <f t="shared" si="29"/>
        <v>0</v>
      </c>
      <c r="T38" s="132"/>
      <c r="U38" s="400"/>
      <c r="V38" s="401"/>
      <c r="W38" s="52"/>
      <c r="X38" s="413">
        <f>IFERROR(VLOOKUP($C38,'Proposed Rates'!$B:$J,X$11,FALSE),0)</f>
        <v>0</v>
      </c>
      <c r="Y38" s="414">
        <f>IF($D38="Monthly",1,IF($D38="per KW",$F$10,IF($D38="per kWh",$F$9,0)))</f>
        <v>1</v>
      </c>
      <c r="Z38" s="399">
        <f t="shared" si="31"/>
        <v>0</v>
      </c>
      <c r="AA38" s="132"/>
      <c r="AB38" s="400"/>
      <c r="AC38" s="401"/>
      <c r="AD38" s="52"/>
      <c r="AE38" s="413">
        <f>IFERROR(VLOOKUP($C38,'Proposed Rates'!$B:$J,AE$11,FALSE),0)</f>
        <v>0</v>
      </c>
      <c r="AF38" s="414">
        <f>IF($D38="Monthly",1,IF($D38="per KW",$F$10,IF($D38="per kWh",$F$9,0)))</f>
        <v>1</v>
      </c>
      <c r="AG38" s="399">
        <f t="shared" si="33"/>
        <v>0</v>
      </c>
      <c r="AH38" s="132"/>
      <c r="AI38" s="400"/>
      <c r="AJ38" s="401"/>
      <c r="AK38" s="52"/>
      <c r="AL38" s="413">
        <f>IFERROR(VLOOKUP($C38,'Proposed Rates'!$B:$J,AL$11,FALSE),0)</f>
        <v>0</v>
      </c>
      <c r="AM38" s="414">
        <f>IF($D38="Monthly",1,IF($D38="per KW",$F$10,IF($D38="per kWh",$F$9,0)))</f>
        <v>1</v>
      </c>
      <c r="AN38" s="399">
        <f t="shared" si="35"/>
        <v>0</v>
      </c>
      <c r="AO38" s="132"/>
      <c r="AP38" s="400"/>
      <c r="AQ38" s="401"/>
      <c r="AR38" s="402"/>
      <c r="AS38" s="402"/>
    </row>
    <row r="39" spans="1:45" ht="12.75" customHeight="1">
      <c r="A39" s="52"/>
      <c r="B39" s="404" t="s">
        <v>317</v>
      </c>
      <c r="C39" s="558"/>
      <c r="D39" s="421"/>
      <c r="E39" s="421"/>
      <c r="F39" s="422"/>
      <c r="G39" s="500"/>
      <c r="H39" s="408">
        <f>SUM(H30:H38)+H29</f>
        <v>1068.0444160400002</v>
      </c>
      <c r="I39" s="424"/>
      <c r="J39" s="422"/>
      <c r="K39" s="500"/>
      <c r="L39" s="408">
        <f>SUM(L30:L38)+L29</f>
        <v>1084.2837725599998</v>
      </c>
      <c r="M39" s="424"/>
      <c r="N39" s="410">
        <f t="shared" ref="N39:N46" si="49">L39-H39</f>
        <v>16.239356519999546</v>
      </c>
      <c r="O39" s="411">
        <f t="shared" ref="O39:O46" si="50">IF((H39)=0,"",(N39/H39))</f>
        <v>1.52047576637406E-2</v>
      </c>
      <c r="P39" s="52"/>
      <c r="Q39" s="422"/>
      <c r="R39" s="500"/>
      <c r="S39" s="408">
        <f>SUM(S30:S38)+S29</f>
        <v>773.4497725599997</v>
      </c>
      <c r="T39" s="424"/>
      <c r="U39" s="410">
        <f t="shared" ref="U39:U46" si="51">S39-L39</f>
        <v>-310.83400000000006</v>
      </c>
      <c r="V39" s="411">
        <f t="shared" ref="V39:V46" si="52">IF((L39)=0,"",(U39/L39))</f>
        <v>-0.28667218662335908</v>
      </c>
      <c r="W39" s="52"/>
      <c r="X39" s="422"/>
      <c r="Y39" s="500"/>
      <c r="Z39" s="408">
        <f>SUM(Z30:Z38)+Z29</f>
        <v>814.07177255999977</v>
      </c>
      <c r="AA39" s="424"/>
      <c r="AB39" s="410">
        <f t="shared" ref="AB39:AB46" si="53">Z39-S39</f>
        <v>40.622000000000071</v>
      </c>
      <c r="AC39" s="411">
        <f t="shared" ref="AC39:AC46" si="54">IF((S39)=0,"",(AB39/S39))</f>
        <v>5.2520540364951566E-2</v>
      </c>
      <c r="AD39" s="52"/>
      <c r="AE39" s="422"/>
      <c r="AF39" s="500"/>
      <c r="AG39" s="408">
        <f>SUM(AG30:AG38)+AG29</f>
        <v>818.66577255999971</v>
      </c>
      <c r="AH39" s="424"/>
      <c r="AI39" s="410">
        <f t="shared" ref="AI39:AI46" si="55">AG39-Z39</f>
        <v>4.5939999999999372</v>
      </c>
      <c r="AJ39" s="411">
        <f t="shared" ref="AJ39:AJ46" si="56">IF((Z39)=0,"",(AI39/Z39))</f>
        <v>5.6432370644092615E-3</v>
      </c>
      <c r="AK39" s="52"/>
      <c r="AL39" s="422"/>
      <c r="AM39" s="500"/>
      <c r="AN39" s="408">
        <f>SUM(AN30:AN38)+AN29</f>
        <v>824.9112725599997</v>
      </c>
      <c r="AO39" s="424"/>
      <c r="AP39" s="410">
        <f t="shared" ref="AP39:AP46" si="57">AN39-AG39</f>
        <v>6.2454999999999927</v>
      </c>
      <c r="AQ39" s="411">
        <f t="shared" ref="AQ39:AQ46" si="58">IF((AG39)=0,"",(AP39/AG39))</f>
        <v>7.6288764100520181E-3</v>
      </c>
      <c r="AR39" s="412"/>
      <c r="AS39" s="412"/>
    </row>
    <row r="40" spans="1:45" ht="12.75" customHeight="1">
      <c r="A40" s="52"/>
      <c r="B40" s="132" t="s">
        <v>258</v>
      </c>
      <c r="C40" s="394" t="str">
        <f t="shared" ref="C40:C41" si="59">D$6&amp;"."&amp;B40</f>
        <v>Street Light.RTSR - Network</v>
      </c>
      <c r="D40" s="425" t="s">
        <v>381</v>
      </c>
      <c r="E40" s="132"/>
      <c r="F40" s="413">
        <f>IFERROR(VLOOKUP($C40,'Proposed Rates'!$B:$J,F$11,FALSE),0)</f>
        <v>3.597</v>
      </c>
      <c r="G40" s="414">
        <f t="shared" ref="G40:G41" si="60">IF($D40="Monthly",1,IF($D40="per KW",$F$10,IF($D40="per kWh",$F$9,0)))</f>
        <v>50</v>
      </c>
      <c r="H40" s="399">
        <f t="shared" ref="H40:H41" si="61">G40*F40</f>
        <v>179.85</v>
      </c>
      <c r="I40" s="132"/>
      <c r="J40" s="413">
        <f>IFERROR(VLOOKUP($C40,'Proposed Rates'!$B:$J,J$11,FALSE),0)</f>
        <v>2.1576</v>
      </c>
      <c r="K40" s="414">
        <f t="shared" ref="K40:K41" si="62">IF($D40="Monthly",1,IF($D40="per KW",$F$10,IF($D40="per kWh",$F$9,0)))</f>
        <v>50</v>
      </c>
      <c r="L40" s="399">
        <f t="shared" ref="L40:L41" si="63">K40*J40</f>
        <v>107.88</v>
      </c>
      <c r="M40" s="132"/>
      <c r="N40" s="400">
        <f t="shared" si="49"/>
        <v>-71.97</v>
      </c>
      <c r="O40" s="401">
        <f t="shared" si="50"/>
        <v>-0.40016680567139284</v>
      </c>
      <c r="P40" s="52"/>
      <c r="Q40" s="413">
        <f>IFERROR(VLOOKUP($C40,'Proposed Rates'!$B:$J,Q$11,FALSE),0)</f>
        <v>2.1576</v>
      </c>
      <c r="R40" s="414">
        <f t="shared" ref="R40:R41" si="64">IF($D40="Monthly",1,IF($D40="per KW",$F$10,IF($D40="per kWh",$F$9,0)))</f>
        <v>50</v>
      </c>
      <c r="S40" s="399">
        <f t="shared" ref="S40:S41" si="65">R40*Q40</f>
        <v>107.88</v>
      </c>
      <c r="T40" s="132"/>
      <c r="U40" s="400">
        <f t="shared" si="51"/>
        <v>0</v>
      </c>
      <c r="V40" s="401">
        <f t="shared" si="52"/>
        <v>0</v>
      </c>
      <c r="W40" s="52"/>
      <c r="X40" s="413">
        <f>IFERROR(VLOOKUP($C40,'Proposed Rates'!$B:$J,X$11,FALSE),0)</f>
        <v>2.1576</v>
      </c>
      <c r="Y40" s="414">
        <f t="shared" ref="Y40:Y41" si="66">IF($D40="Monthly",1,IF($D40="per KW",$F$10,IF($D40="per kWh",$F$9,0)))</f>
        <v>50</v>
      </c>
      <c r="Z40" s="399">
        <f t="shared" ref="Z40:Z41" si="67">Y40*X40</f>
        <v>107.88</v>
      </c>
      <c r="AA40" s="132"/>
      <c r="AB40" s="400">
        <f t="shared" si="53"/>
        <v>0</v>
      </c>
      <c r="AC40" s="401">
        <f t="shared" si="54"/>
        <v>0</v>
      </c>
      <c r="AD40" s="52"/>
      <c r="AE40" s="413">
        <f>IFERROR(VLOOKUP($C40,'Proposed Rates'!$B:$J,AE$11,FALSE),0)</f>
        <v>2.1576</v>
      </c>
      <c r="AF40" s="414">
        <f t="shared" ref="AF40:AF41" si="68">IF($D40="Monthly",1,IF($D40="per KW",$F$10,IF($D40="per kWh",$F$9,0)))</f>
        <v>50</v>
      </c>
      <c r="AG40" s="399">
        <f t="shared" ref="AG40:AG41" si="69">AF40*AE40</f>
        <v>107.88</v>
      </c>
      <c r="AH40" s="132"/>
      <c r="AI40" s="400">
        <f t="shared" si="55"/>
        <v>0</v>
      </c>
      <c r="AJ40" s="401">
        <f t="shared" si="56"/>
        <v>0</v>
      </c>
      <c r="AK40" s="52"/>
      <c r="AL40" s="413">
        <f>IFERROR(VLOOKUP($C40,'Proposed Rates'!$B:$J,AL$11,FALSE),0)</f>
        <v>2.1576</v>
      </c>
      <c r="AM40" s="414">
        <f t="shared" ref="AM40:AM41" si="70">IF($D40="Monthly",1,IF($D40="per KW",$F$10,IF($D40="per kWh",$F$9,0)))</f>
        <v>50</v>
      </c>
      <c r="AN40" s="399">
        <f t="shared" ref="AN40:AN41" si="71">AM40*AL40</f>
        <v>107.88</v>
      </c>
      <c r="AO40" s="132"/>
      <c r="AP40" s="400">
        <f t="shared" si="57"/>
        <v>0</v>
      </c>
      <c r="AQ40" s="401">
        <f t="shared" si="58"/>
        <v>0</v>
      </c>
      <c r="AR40" s="402"/>
      <c r="AS40" s="402"/>
    </row>
    <row r="41" spans="1:45" ht="12.75" customHeight="1">
      <c r="A41" s="52"/>
      <c r="B41" s="132" t="s">
        <v>261</v>
      </c>
      <c r="C41" s="394" t="str">
        <f t="shared" si="59"/>
        <v>Street Light.RTSR - Line and Transformation Connection</v>
      </c>
      <c r="D41" s="425" t="s">
        <v>381</v>
      </c>
      <c r="E41" s="132"/>
      <c r="F41" s="413">
        <f>IFERROR(VLOOKUP($C41,'Proposed Rates'!$B:$J,F$11,FALSE),0)</f>
        <v>2.1377000000000002</v>
      </c>
      <c r="G41" s="414">
        <f t="shared" si="60"/>
        <v>50</v>
      </c>
      <c r="H41" s="399">
        <f t="shared" si="61"/>
        <v>106.88500000000001</v>
      </c>
      <c r="I41" s="132"/>
      <c r="J41" s="413">
        <f>IFERROR(VLOOKUP($C41,'Proposed Rates'!$B:$J,J$11,FALSE),0)</f>
        <v>1.2213000000000001</v>
      </c>
      <c r="K41" s="414">
        <f t="shared" si="62"/>
        <v>50</v>
      </c>
      <c r="L41" s="399">
        <f t="shared" si="63"/>
        <v>61.065000000000005</v>
      </c>
      <c r="M41" s="132"/>
      <c r="N41" s="400">
        <f t="shared" si="49"/>
        <v>-45.82</v>
      </c>
      <c r="O41" s="401">
        <f t="shared" si="50"/>
        <v>-0.4286850353183328</v>
      </c>
      <c r="P41" s="52"/>
      <c r="Q41" s="413">
        <f>IFERROR(VLOOKUP($C41,'Proposed Rates'!$B:$J,Q$11,FALSE),0)</f>
        <v>1.2213000000000001</v>
      </c>
      <c r="R41" s="414">
        <f t="shared" si="64"/>
        <v>50</v>
      </c>
      <c r="S41" s="399">
        <f t="shared" si="65"/>
        <v>61.065000000000005</v>
      </c>
      <c r="T41" s="132"/>
      <c r="U41" s="400">
        <f t="shared" si="51"/>
        <v>0</v>
      </c>
      <c r="V41" s="401">
        <f t="shared" si="52"/>
        <v>0</v>
      </c>
      <c r="W41" s="52"/>
      <c r="X41" s="413">
        <f>IFERROR(VLOOKUP($C41,'Proposed Rates'!$B:$J,X$11,FALSE),0)</f>
        <v>1.2213000000000001</v>
      </c>
      <c r="Y41" s="414">
        <f t="shared" si="66"/>
        <v>50</v>
      </c>
      <c r="Z41" s="399">
        <f t="shared" si="67"/>
        <v>61.065000000000005</v>
      </c>
      <c r="AA41" s="132"/>
      <c r="AB41" s="400">
        <f t="shared" si="53"/>
        <v>0</v>
      </c>
      <c r="AC41" s="401">
        <f t="shared" si="54"/>
        <v>0</v>
      </c>
      <c r="AD41" s="52"/>
      <c r="AE41" s="413">
        <f>IFERROR(VLOOKUP($C41,'Proposed Rates'!$B:$J,AE$11,FALSE),0)</f>
        <v>1.2213000000000001</v>
      </c>
      <c r="AF41" s="414">
        <f t="shared" si="68"/>
        <v>50</v>
      </c>
      <c r="AG41" s="399">
        <f t="shared" si="69"/>
        <v>61.065000000000005</v>
      </c>
      <c r="AH41" s="132"/>
      <c r="AI41" s="400">
        <f t="shared" si="55"/>
        <v>0</v>
      </c>
      <c r="AJ41" s="401">
        <f t="shared" si="56"/>
        <v>0</v>
      </c>
      <c r="AK41" s="52"/>
      <c r="AL41" s="413">
        <f>IFERROR(VLOOKUP($C41,'Proposed Rates'!$B:$J,AL$11,FALSE),0)</f>
        <v>1.2213000000000001</v>
      </c>
      <c r="AM41" s="414">
        <f t="shared" si="70"/>
        <v>50</v>
      </c>
      <c r="AN41" s="399">
        <f t="shared" si="71"/>
        <v>61.065000000000005</v>
      </c>
      <c r="AO41" s="132"/>
      <c r="AP41" s="400">
        <f t="shared" si="57"/>
        <v>0</v>
      </c>
      <c r="AQ41" s="401">
        <f t="shared" si="58"/>
        <v>0</v>
      </c>
      <c r="AR41" s="402"/>
      <c r="AS41" s="402"/>
    </row>
    <row r="42" spans="1:45" ht="12.75" customHeight="1">
      <c r="A42" s="52"/>
      <c r="B42" s="404" t="s">
        <v>318</v>
      </c>
      <c r="C42" s="559"/>
      <c r="D42" s="426"/>
      <c r="E42" s="426"/>
      <c r="F42" s="427"/>
      <c r="G42" s="500"/>
      <c r="H42" s="408">
        <f>SUM(H39:H41)</f>
        <v>1354.7794160400001</v>
      </c>
      <c r="I42" s="409"/>
      <c r="J42" s="427"/>
      <c r="K42" s="500"/>
      <c r="L42" s="408">
        <f>SUM(L39:L41)</f>
        <v>1253.2287725599999</v>
      </c>
      <c r="M42" s="409"/>
      <c r="N42" s="410">
        <f t="shared" si="49"/>
        <v>-101.55064348000019</v>
      </c>
      <c r="O42" s="411">
        <f t="shared" si="50"/>
        <v>-7.4957326836889202E-2</v>
      </c>
      <c r="P42" s="52"/>
      <c r="Q42" s="427"/>
      <c r="R42" s="500"/>
      <c r="S42" s="408">
        <f>SUM(S39:S41)</f>
        <v>942.39477255999975</v>
      </c>
      <c r="T42" s="409"/>
      <c r="U42" s="410">
        <f t="shared" si="51"/>
        <v>-310.83400000000017</v>
      </c>
      <c r="V42" s="411">
        <f t="shared" si="52"/>
        <v>-0.2480265429631433</v>
      </c>
      <c r="W42" s="52"/>
      <c r="X42" s="427"/>
      <c r="Y42" s="500"/>
      <c r="Z42" s="408">
        <f>SUM(Z39:Z41)</f>
        <v>983.01677255999982</v>
      </c>
      <c r="AA42" s="409"/>
      <c r="AB42" s="410">
        <f t="shared" si="53"/>
        <v>40.622000000000071</v>
      </c>
      <c r="AC42" s="411">
        <f t="shared" si="54"/>
        <v>4.3105077811129072E-2</v>
      </c>
      <c r="AD42" s="52"/>
      <c r="AE42" s="427"/>
      <c r="AF42" s="500"/>
      <c r="AG42" s="408">
        <f>SUM(AG39:AG41)</f>
        <v>987.61077255999976</v>
      </c>
      <c r="AH42" s="409"/>
      <c r="AI42" s="410">
        <f t="shared" si="55"/>
        <v>4.5939999999999372</v>
      </c>
      <c r="AJ42" s="411">
        <f t="shared" si="56"/>
        <v>4.6733688867140223E-3</v>
      </c>
      <c r="AK42" s="52"/>
      <c r="AL42" s="427"/>
      <c r="AM42" s="500"/>
      <c r="AN42" s="408">
        <f>SUM(AN39:AN41)</f>
        <v>993.85627255999975</v>
      </c>
      <c r="AO42" s="409"/>
      <c r="AP42" s="410">
        <f t="shared" si="57"/>
        <v>6.2454999999999927</v>
      </c>
      <c r="AQ42" s="411">
        <f t="shared" si="58"/>
        <v>6.3238475860393304E-3</v>
      </c>
      <c r="AR42" s="412"/>
      <c r="AS42" s="412"/>
    </row>
    <row r="43" spans="1:45" ht="12.75" customHeight="1">
      <c r="A43" s="52"/>
      <c r="B43" s="321" t="s">
        <v>262</v>
      </c>
      <c r="C43" s="394" t="str">
        <f t="shared" ref="C43:C45" si="72">D$6&amp;"."&amp;B43</f>
        <v>Street Light.Wholesale Market Service Charge (WMSC)</v>
      </c>
      <c r="D43" s="395" t="s">
        <v>312</v>
      </c>
      <c r="E43" s="321"/>
      <c r="F43" s="413">
        <f>IFERROR(VLOOKUP($C43,'Proposed Rates'!$B:$J,F$11,FALSE),0)</f>
        <v>4.4999999999999997E-3</v>
      </c>
      <c r="G43" s="573">
        <f t="shared" ref="G43:G44" si="73">$F$9+G$37</f>
        <v>18463.668000000001</v>
      </c>
      <c r="H43" s="399">
        <f t="shared" ref="H43:H46" si="74">G43*F43</f>
        <v>83.086506</v>
      </c>
      <c r="I43" s="132"/>
      <c r="J43" s="413">
        <f>IFERROR(VLOOKUP($C43,'Proposed Rates'!$B:$J,J$11,FALSE),0)</f>
        <v>4.7000000000000002E-3</v>
      </c>
      <c r="K43" s="573">
        <f t="shared" ref="K43:K44" si="75">$F$9+K$37</f>
        <v>18452.951999999997</v>
      </c>
      <c r="L43" s="399">
        <f t="shared" ref="L43:L46" si="76">K43*J43</f>
        <v>86.728874399999995</v>
      </c>
      <c r="M43" s="132"/>
      <c r="N43" s="400">
        <f t="shared" si="49"/>
        <v>3.6423683999999952</v>
      </c>
      <c r="O43" s="401">
        <f t="shared" si="50"/>
        <v>4.38382665892822E-2</v>
      </c>
      <c r="P43" s="52"/>
      <c r="Q43" s="413">
        <f>IFERROR(VLOOKUP($C43,'Proposed Rates'!$B:$J,Q$11,FALSE),0)</f>
        <v>4.7000000000000002E-3</v>
      </c>
      <c r="R43" s="573">
        <f t="shared" ref="R43:R44" si="77">$F$9+R$37</f>
        <v>18452.951999999997</v>
      </c>
      <c r="S43" s="399">
        <f t="shared" ref="S43:S46" si="78">R43*Q43</f>
        <v>86.728874399999995</v>
      </c>
      <c r="T43" s="132"/>
      <c r="U43" s="400">
        <f t="shared" si="51"/>
        <v>0</v>
      </c>
      <c r="V43" s="401">
        <f t="shared" si="52"/>
        <v>0</v>
      </c>
      <c r="W43" s="52"/>
      <c r="X43" s="413">
        <f>IFERROR(VLOOKUP($C43,'Proposed Rates'!$B:$J,X$11,FALSE),0)</f>
        <v>4.7000000000000002E-3</v>
      </c>
      <c r="Y43" s="573">
        <f t="shared" ref="Y43:Y44" si="79">$F$9+Y$37</f>
        <v>18452.951999999997</v>
      </c>
      <c r="Z43" s="399">
        <f t="shared" ref="Z43:Z46" si="80">Y43*X43</f>
        <v>86.728874399999995</v>
      </c>
      <c r="AA43" s="132"/>
      <c r="AB43" s="400">
        <f t="shared" si="53"/>
        <v>0</v>
      </c>
      <c r="AC43" s="401">
        <f t="shared" si="54"/>
        <v>0</v>
      </c>
      <c r="AD43" s="52"/>
      <c r="AE43" s="413">
        <f>IFERROR(VLOOKUP($C43,'Proposed Rates'!$B:$J,AE$11,FALSE),0)</f>
        <v>4.7000000000000002E-3</v>
      </c>
      <c r="AF43" s="573">
        <f t="shared" ref="AF43:AF44" si="81">$F$9+AF$37</f>
        <v>18452.951999999997</v>
      </c>
      <c r="AG43" s="399">
        <f t="shared" ref="AG43:AG46" si="82">AF43*AE43</f>
        <v>86.728874399999995</v>
      </c>
      <c r="AH43" s="132"/>
      <c r="AI43" s="400">
        <f t="shared" si="55"/>
        <v>0</v>
      </c>
      <c r="AJ43" s="401">
        <f t="shared" si="56"/>
        <v>0</v>
      </c>
      <c r="AK43" s="52"/>
      <c r="AL43" s="413">
        <f>IFERROR(VLOOKUP($C43,'Proposed Rates'!$B:$J,AL$11,FALSE),0)</f>
        <v>4.7000000000000002E-3</v>
      </c>
      <c r="AM43" s="573">
        <f t="shared" ref="AM43:AM44" si="83">$F$9+AM$37</f>
        <v>18452.951999999997</v>
      </c>
      <c r="AN43" s="399">
        <f t="shared" ref="AN43:AN46" si="84">AM43*AL43</f>
        <v>86.728874399999995</v>
      </c>
      <c r="AO43" s="132"/>
      <c r="AP43" s="400">
        <f t="shared" si="57"/>
        <v>0</v>
      </c>
      <c r="AQ43" s="401">
        <f t="shared" si="58"/>
        <v>0</v>
      </c>
      <c r="AR43" s="402"/>
      <c r="AS43" s="402"/>
    </row>
    <row r="44" spans="1:45" ht="12.75" customHeight="1">
      <c r="A44" s="52"/>
      <c r="B44" s="321" t="s">
        <v>263</v>
      </c>
      <c r="C44" s="394" t="str">
        <f t="shared" si="72"/>
        <v>Street Light.Rural and Remote Rate Protection (RRRP)</v>
      </c>
      <c r="D44" s="395" t="s">
        <v>312</v>
      </c>
      <c r="E44" s="321"/>
      <c r="F44" s="413">
        <f>IFERROR(VLOOKUP($C44,'Proposed Rates'!$B:$J,F$11,FALSE),0)</f>
        <v>1.5E-3</v>
      </c>
      <c r="G44" s="573">
        <f t="shared" si="73"/>
        <v>18463.668000000001</v>
      </c>
      <c r="H44" s="399">
        <f t="shared" si="74"/>
        <v>27.695502000000001</v>
      </c>
      <c r="I44" s="132"/>
      <c r="J44" s="413">
        <f>IFERROR(VLOOKUP($C44,'Proposed Rates'!$B:$J,J$11,FALSE),0)</f>
        <v>5.9999999999999995E-4</v>
      </c>
      <c r="K44" s="573">
        <f t="shared" si="75"/>
        <v>18452.951999999997</v>
      </c>
      <c r="L44" s="399">
        <f t="shared" si="76"/>
        <v>11.071771199999997</v>
      </c>
      <c r="M44" s="132"/>
      <c r="N44" s="400">
        <f t="shared" si="49"/>
        <v>-16.623730800000004</v>
      </c>
      <c r="O44" s="401">
        <f t="shared" si="50"/>
        <v>-0.60023215322112611</v>
      </c>
      <c r="P44" s="52"/>
      <c r="Q44" s="413">
        <f>IFERROR(VLOOKUP($C44,'Proposed Rates'!$B:$J,Q$11,FALSE),0)</f>
        <v>5.9999999999999995E-4</v>
      </c>
      <c r="R44" s="573">
        <f t="shared" si="77"/>
        <v>18452.951999999997</v>
      </c>
      <c r="S44" s="399">
        <f t="shared" si="78"/>
        <v>11.071771199999997</v>
      </c>
      <c r="T44" s="132"/>
      <c r="U44" s="400">
        <f t="shared" si="51"/>
        <v>0</v>
      </c>
      <c r="V44" s="401">
        <f t="shared" si="52"/>
        <v>0</v>
      </c>
      <c r="W44" s="52"/>
      <c r="X44" s="413">
        <f>IFERROR(VLOOKUP($C44,'Proposed Rates'!$B:$J,X$11,FALSE),0)</f>
        <v>5.9999999999999995E-4</v>
      </c>
      <c r="Y44" s="573">
        <f t="shared" si="79"/>
        <v>18452.951999999997</v>
      </c>
      <c r="Z44" s="399">
        <f t="shared" si="80"/>
        <v>11.071771199999997</v>
      </c>
      <c r="AA44" s="132"/>
      <c r="AB44" s="400">
        <f t="shared" si="53"/>
        <v>0</v>
      </c>
      <c r="AC44" s="401">
        <f t="shared" si="54"/>
        <v>0</v>
      </c>
      <c r="AD44" s="52"/>
      <c r="AE44" s="413">
        <f>IFERROR(VLOOKUP($C44,'Proposed Rates'!$B:$J,AE$11,FALSE),0)</f>
        <v>5.9999999999999995E-4</v>
      </c>
      <c r="AF44" s="573">
        <f t="shared" si="81"/>
        <v>18452.951999999997</v>
      </c>
      <c r="AG44" s="399">
        <f t="shared" si="82"/>
        <v>11.071771199999997</v>
      </c>
      <c r="AH44" s="132"/>
      <c r="AI44" s="400">
        <f t="shared" si="55"/>
        <v>0</v>
      </c>
      <c r="AJ44" s="401">
        <f t="shared" si="56"/>
        <v>0</v>
      </c>
      <c r="AK44" s="52"/>
      <c r="AL44" s="413">
        <f>IFERROR(VLOOKUP($C44,'Proposed Rates'!$B:$J,AL$11,FALSE),0)</f>
        <v>5.9999999999999995E-4</v>
      </c>
      <c r="AM44" s="573">
        <f t="shared" si="83"/>
        <v>18452.951999999997</v>
      </c>
      <c r="AN44" s="399">
        <f t="shared" si="84"/>
        <v>11.071771199999997</v>
      </c>
      <c r="AO44" s="132"/>
      <c r="AP44" s="400">
        <f t="shared" si="57"/>
        <v>0</v>
      </c>
      <c r="AQ44" s="401">
        <f t="shared" si="58"/>
        <v>0</v>
      </c>
      <c r="AR44" s="402"/>
      <c r="AS44" s="402"/>
    </row>
    <row r="45" spans="1:45" ht="12.75" customHeight="1">
      <c r="A45" s="52"/>
      <c r="B45" s="321" t="s">
        <v>264</v>
      </c>
      <c r="C45" s="394" t="str">
        <f t="shared" si="72"/>
        <v>Street Light.Standard Supply Service Charge</v>
      </c>
      <c r="D45" s="395" t="s">
        <v>310</v>
      </c>
      <c r="E45" s="321"/>
      <c r="F45" s="413">
        <f>IFERROR(VLOOKUP($C45,'Proposed Rates'!$B:$J,F$11,FALSE),0)</f>
        <v>0.25</v>
      </c>
      <c r="G45" s="416">
        <v>1</v>
      </c>
      <c r="H45" s="399">
        <f t="shared" si="74"/>
        <v>0.25</v>
      </c>
      <c r="I45" s="132"/>
      <c r="J45" s="413">
        <f>IFERROR(VLOOKUP($C45,'Proposed Rates'!$B:$J,J$11,FALSE),0)</f>
        <v>0.25</v>
      </c>
      <c r="K45" s="416">
        <v>1</v>
      </c>
      <c r="L45" s="399">
        <f t="shared" si="76"/>
        <v>0.25</v>
      </c>
      <c r="M45" s="132"/>
      <c r="N45" s="400">
        <f t="shared" si="49"/>
        <v>0</v>
      </c>
      <c r="O45" s="401">
        <f t="shared" si="50"/>
        <v>0</v>
      </c>
      <c r="P45" s="52"/>
      <c r="Q45" s="413">
        <f>IFERROR(VLOOKUP($C45,'Proposed Rates'!$B:$J,Q$11,FALSE),0)</f>
        <v>0.25</v>
      </c>
      <c r="R45" s="416">
        <v>1</v>
      </c>
      <c r="S45" s="399">
        <f t="shared" si="78"/>
        <v>0.25</v>
      </c>
      <c r="T45" s="132"/>
      <c r="U45" s="400">
        <f t="shared" si="51"/>
        <v>0</v>
      </c>
      <c r="V45" s="401">
        <f t="shared" si="52"/>
        <v>0</v>
      </c>
      <c r="W45" s="52"/>
      <c r="X45" s="413">
        <f>IFERROR(VLOOKUP($C45,'Proposed Rates'!$B:$J,X$11,FALSE),0)</f>
        <v>0.25</v>
      </c>
      <c r="Y45" s="416">
        <v>1</v>
      </c>
      <c r="Z45" s="399">
        <f t="shared" si="80"/>
        <v>0.25</v>
      </c>
      <c r="AA45" s="132"/>
      <c r="AB45" s="400">
        <f t="shared" si="53"/>
        <v>0</v>
      </c>
      <c r="AC45" s="401">
        <f t="shared" si="54"/>
        <v>0</v>
      </c>
      <c r="AD45" s="52"/>
      <c r="AE45" s="413">
        <f>IFERROR(VLOOKUP($C45,'Proposed Rates'!$B:$J,AE$11,FALSE),0)</f>
        <v>0.25</v>
      </c>
      <c r="AF45" s="416">
        <v>1</v>
      </c>
      <c r="AG45" s="399">
        <f t="shared" si="82"/>
        <v>0.25</v>
      </c>
      <c r="AH45" s="132"/>
      <c r="AI45" s="400">
        <f t="shared" si="55"/>
        <v>0</v>
      </c>
      <c r="AJ45" s="401">
        <f t="shared" si="56"/>
        <v>0</v>
      </c>
      <c r="AK45" s="52"/>
      <c r="AL45" s="413">
        <f>IFERROR(VLOOKUP($C45,'Proposed Rates'!$B:$J,AL$11,FALSE),0)</f>
        <v>0.25</v>
      </c>
      <c r="AM45" s="416">
        <v>1</v>
      </c>
      <c r="AN45" s="399">
        <f t="shared" si="84"/>
        <v>0.25</v>
      </c>
      <c r="AO45" s="132"/>
      <c r="AP45" s="400">
        <f t="shared" si="57"/>
        <v>0</v>
      </c>
      <c r="AQ45" s="401">
        <f t="shared" si="58"/>
        <v>0</v>
      </c>
      <c r="AR45" s="402"/>
      <c r="AS45" s="402"/>
    </row>
    <row r="46" spans="1:45" ht="15.75" customHeight="1">
      <c r="A46" s="52"/>
      <c r="B46" s="321" t="s">
        <v>271</v>
      </c>
      <c r="C46" s="394" t="str">
        <f>B46</f>
        <v>Average IESO Wholesale Market Price</v>
      </c>
      <c r="D46" s="395" t="s">
        <v>312</v>
      </c>
      <c r="E46" s="321"/>
      <c r="F46" s="413">
        <f>IFERROR(VLOOKUP($C46,'Proposed Rates'!$B:$J,F$11,FALSE),0)</f>
        <v>0.10453</v>
      </c>
      <c r="G46" s="574">
        <f>$F$9</f>
        <v>17860</v>
      </c>
      <c r="H46" s="399">
        <f t="shared" si="74"/>
        <v>1866.9058</v>
      </c>
      <c r="I46" s="132"/>
      <c r="J46" s="413">
        <f>IFERROR(VLOOKUP($C46,'Proposed Rates'!$B:$J,J$11,FALSE),0)</f>
        <v>0.10453</v>
      </c>
      <c r="K46" s="574">
        <f>$F$9</f>
        <v>17860</v>
      </c>
      <c r="L46" s="399">
        <f t="shared" si="76"/>
        <v>1866.9058</v>
      </c>
      <c r="M46" s="132"/>
      <c r="N46" s="400">
        <f t="shared" si="49"/>
        <v>0</v>
      </c>
      <c r="O46" s="401">
        <f t="shared" si="50"/>
        <v>0</v>
      </c>
      <c r="P46" s="52"/>
      <c r="Q46" s="413">
        <f>IFERROR(VLOOKUP($C46,'Proposed Rates'!$B:$J,Q$11,FALSE),0)</f>
        <v>0.10453</v>
      </c>
      <c r="R46" s="574">
        <f>$F$9</f>
        <v>17860</v>
      </c>
      <c r="S46" s="399">
        <f t="shared" si="78"/>
        <v>1866.9058</v>
      </c>
      <c r="T46" s="132"/>
      <c r="U46" s="400">
        <f t="shared" si="51"/>
        <v>0</v>
      </c>
      <c r="V46" s="401">
        <f t="shared" si="52"/>
        <v>0</v>
      </c>
      <c r="W46" s="52"/>
      <c r="X46" s="413">
        <f>IFERROR(VLOOKUP($C46,'Proposed Rates'!$B:$J,X$11,FALSE),0)</f>
        <v>0.10453</v>
      </c>
      <c r="Y46" s="574">
        <f>$F$9</f>
        <v>17860</v>
      </c>
      <c r="Z46" s="399">
        <f t="shared" si="80"/>
        <v>1866.9058</v>
      </c>
      <c r="AA46" s="132"/>
      <c r="AB46" s="400">
        <f t="shared" si="53"/>
        <v>0</v>
      </c>
      <c r="AC46" s="401">
        <f t="shared" si="54"/>
        <v>0</v>
      </c>
      <c r="AD46" s="52"/>
      <c r="AE46" s="413">
        <f>IFERROR(VLOOKUP($C46,'Proposed Rates'!$B:$J,AE$11,FALSE),0)</f>
        <v>0.10453</v>
      </c>
      <c r="AF46" s="574">
        <f>$F$9</f>
        <v>17860</v>
      </c>
      <c r="AG46" s="399">
        <f t="shared" si="82"/>
        <v>1866.9058</v>
      </c>
      <c r="AH46" s="132"/>
      <c r="AI46" s="400">
        <f t="shared" si="55"/>
        <v>0</v>
      </c>
      <c r="AJ46" s="401">
        <f t="shared" si="56"/>
        <v>0</v>
      </c>
      <c r="AK46" s="52"/>
      <c r="AL46" s="413">
        <f>IFERROR(VLOOKUP($C46,'Proposed Rates'!$B:$J,AL$11,FALSE),0)</f>
        <v>0.10453</v>
      </c>
      <c r="AM46" s="574">
        <f>$F$9</f>
        <v>17860</v>
      </c>
      <c r="AN46" s="399">
        <f t="shared" si="84"/>
        <v>1866.9058</v>
      </c>
      <c r="AO46" s="132"/>
      <c r="AP46" s="400">
        <f t="shared" si="57"/>
        <v>0</v>
      </c>
      <c r="AQ46" s="401">
        <f t="shared" si="58"/>
        <v>0</v>
      </c>
      <c r="AR46" s="402"/>
      <c r="AS46" s="402"/>
    </row>
    <row r="47" spans="1:45" ht="15.75" customHeight="1">
      <c r="A47" s="52"/>
      <c r="B47" s="321"/>
      <c r="C47" s="394" t="str">
        <f t="shared" ref="C47:C50" si="85">D$6&amp;"."&amp;B47</f>
        <v>Street Light.</v>
      </c>
      <c r="D47" s="395"/>
      <c r="E47" s="321"/>
      <c r="F47" s="429"/>
      <c r="G47" s="574"/>
      <c r="H47" s="399"/>
      <c r="I47" s="132"/>
      <c r="J47" s="429"/>
      <c r="K47" s="574"/>
      <c r="L47" s="399"/>
      <c r="M47" s="132"/>
      <c r="N47" s="400"/>
      <c r="O47" s="401"/>
      <c r="P47" s="52"/>
      <c r="Q47" s="429"/>
      <c r="R47" s="574"/>
      <c r="S47" s="399"/>
      <c r="T47" s="132"/>
      <c r="U47" s="400"/>
      <c r="V47" s="401"/>
      <c r="W47" s="52"/>
      <c r="X47" s="429"/>
      <c r="Y47" s="574"/>
      <c r="Z47" s="399"/>
      <c r="AA47" s="132"/>
      <c r="AB47" s="400"/>
      <c r="AC47" s="401"/>
      <c r="AD47" s="52"/>
      <c r="AE47" s="429"/>
      <c r="AF47" s="574"/>
      <c r="AG47" s="399"/>
      <c r="AH47" s="132"/>
      <c r="AI47" s="400"/>
      <c r="AJ47" s="401"/>
      <c r="AK47" s="52"/>
      <c r="AL47" s="429"/>
      <c r="AM47" s="574"/>
      <c r="AN47" s="399"/>
      <c r="AO47" s="132"/>
      <c r="AP47" s="400"/>
      <c r="AQ47" s="401"/>
      <c r="AR47" s="402"/>
      <c r="AS47" s="402"/>
    </row>
    <row r="48" spans="1:45" ht="15.75" customHeight="1">
      <c r="A48" s="52"/>
      <c r="B48" s="321"/>
      <c r="C48" s="394" t="str">
        <f t="shared" si="85"/>
        <v>Street Light.</v>
      </c>
      <c r="D48" s="395"/>
      <c r="E48" s="321"/>
      <c r="F48" s="429"/>
      <c r="G48" s="574"/>
      <c r="H48" s="399"/>
      <c r="I48" s="132"/>
      <c r="J48" s="429"/>
      <c r="K48" s="574"/>
      <c r="L48" s="399"/>
      <c r="M48" s="132"/>
      <c r="N48" s="400"/>
      <c r="O48" s="401"/>
      <c r="P48" s="52"/>
      <c r="Q48" s="429"/>
      <c r="R48" s="574"/>
      <c r="S48" s="399"/>
      <c r="T48" s="132"/>
      <c r="U48" s="400"/>
      <c r="V48" s="401"/>
      <c r="W48" s="52"/>
      <c r="X48" s="429"/>
      <c r="Y48" s="574"/>
      <c r="Z48" s="399"/>
      <c r="AA48" s="132"/>
      <c r="AB48" s="400"/>
      <c r="AC48" s="401"/>
      <c r="AD48" s="52"/>
      <c r="AE48" s="429"/>
      <c r="AF48" s="574"/>
      <c r="AG48" s="399"/>
      <c r="AH48" s="132"/>
      <c r="AI48" s="400"/>
      <c r="AJ48" s="401"/>
      <c r="AK48" s="52"/>
      <c r="AL48" s="429"/>
      <c r="AM48" s="574"/>
      <c r="AN48" s="399"/>
      <c r="AO48" s="132"/>
      <c r="AP48" s="400"/>
      <c r="AQ48" s="401"/>
      <c r="AR48" s="402"/>
      <c r="AS48" s="402"/>
    </row>
    <row r="49" spans="1:45" ht="15.75" customHeight="1">
      <c r="A49" s="52"/>
      <c r="B49" s="321"/>
      <c r="C49" s="394" t="str">
        <f t="shared" si="85"/>
        <v>Street Light.</v>
      </c>
      <c r="D49" s="395"/>
      <c r="E49" s="321"/>
      <c r="F49" s="429"/>
      <c r="G49" s="574"/>
      <c r="H49" s="399"/>
      <c r="I49" s="132"/>
      <c r="J49" s="429"/>
      <c r="K49" s="574"/>
      <c r="L49" s="399"/>
      <c r="M49" s="132"/>
      <c r="N49" s="400"/>
      <c r="O49" s="401"/>
      <c r="P49" s="52"/>
      <c r="Q49" s="429"/>
      <c r="R49" s="574"/>
      <c r="S49" s="399"/>
      <c r="T49" s="132"/>
      <c r="U49" s="400"/>
      <c r="V49" s="401"/>
      <c r="W49" s="52"/>
      <c r="X49" s="429"/>
      <c r="Y49" s="574"/>
      <c r="Z49" s="399"/>
      <c r="AA49" s="132"/>
      <c r="AB49" s="400"/>
      <c r="AC49" s="401"/>
      <c r="AD49" s="52"/>
      <c r="AE49" s="429"/>
      <c r="AF49" s="574"/>
      <c r="AG49" s="399"/>
      <c r="AH49" s="132"/>
      <c r="AI49" s="400"/>
      <c r="AJ49" s="401"/>
      <c r="AK49" s="52"/>
      <c r="AL49" s="429"/>
      <c r="AM49" s="574"/>
      <c r="AN49" s="399"/>
      <c r="AO49" s="132"/>
      <c r="AP49" s="400"/>
      <c r="AQ49" s="401"/>
      <c r="AR49" s="402"/>
      <c r="AS49" s="402"/>
    </row>
    <row r="50" spans="1:45" ht="15.75" customHeight="1">
      <c r="A50" s="52"/>
      <c r="B50" s="321"/>
      <c r="C50" s="394" t="str">
        <f t="shared" si="85"/>
        <v>Street Light.</v>
      </c>
      <c r="D50" s="395"/>
      <c r="E50" s="321"/>
      <c r="F50" s="429"/>
      <c r="G50" s="574"/>
      <c r="H50" s="399"/>
      <c r="I50" s="132"/>
      <c r="J50" s="429"/>
      <c r="K50" s="574"/>
      <c r="L50" s="399"/>
      <c r="M50" s="132"/>
      <c r="N50" s="400"/>
      <c r="O50" s="401"/>
      <c r="P50" s="52"/>
      <c r="Q50" s="429"/>
      <c r="R50" s="574"/>
      <c r="S50" s="399"/>
      <c r="T50" s="132"/>
      <c r="U50" s="400"/>
      <c r="V50" s="401"/>
      <c r="W50" s="52"/>
      <c r="X50" s="429"/>
      <c r="Y50" s="574"/>
      <c r="Z50" s="399"/>
      <c r="AA50" s="132"/>
      <c r="AB50" s="400"/>
      <c r="AC50" s="401"/>
      <c r="AD50" s="52"/>
      <c r="AE50" s="429"/>
      <c r="AF50" s="574"/>
      <c r="AG50" s="399"/>
      <c r="AH50" s="132"/>
      <c r="AI50" s="400"/>
      <c r="AJ50" s="401"/>
      <c r="AK50" s="52"/>
      <c r="AL50" s="429"/>
      <c r="AM50" s="574"/>
      <c r="AN50" s="399"/>
      <c r="AO50" s="132"/>
      <c r="AP50" s="400"/>
      <c r="AQ50" s="401"/>
      <c r="AR50" s="402"/>
      <c r="AS50" s="402"/>
    </row>
    <row r="51" spans="1:45" ht="15.75" customHeight="1">
      <c r="A51" s="52"/>
      <c r="B51" s="433"/>
      <c r="C51" s="560"/>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c r="AS51" s="442"/>
    </row>
    <row r="52" spans="1:45" ht="12.75" customHeight="1">
      <c r="A52" s="52"/>
      <c r="B52" s="443" t="s">
        <v>319</v>
      </c>
      <c r="C52" s="561"/>
      <c r="D52" s="321"/>
      <c r="E52" s="321"/>
      <c r="F52" s="444"/>
      <c r="G52" s="488"/>
      <c r="H52" s="446">
        <f>SUM(H43:H48,H42)</f>
        <v>3332.71722404</v>
      </c>
      <c r="I52" s="481"/>
      <c r="J52" s="445"/>
      <c r="K52" s="445"/>
      <c r="L52" s="446">
        <f>SUM(L43:L48,L42)</f>
        <v>3218.1852181599997</v>
      </c>
      <c r="M52" s="448"/>
      <c r="N52" s="447">
        <f t="shared" ref="N52:N56" si="86">L52-H52</f>
        <v>-114.53200588000027</v>
      </c>
      <c r="O52" s="449">
        <f t="shared" ref="O52:O56" si="87">IF((H52)=0,"",(N52/H52))</f>
        <v>-3.436595371903825E-2</v>
      </c>
      <c r="P52" s="52"/>
      <c r="Q52" s="445"/>
      <c r="R52" s="445"/>
      <c r="S52" s="446">
        <f>SUM(S43:S48,S42)</f>
        <v>2907.3512181599999</v>
      </c>
      <c r="T52" s="448"/>
      <c r="U52" s="447">
        <f t="shared" ref="U52:U56" si="88">S52-L52</f>
        <v>-310.83399999999983</v>
      </c>
      <c r="V52" s="449">
        <f t="shared" ref="V52:V56" si="89">IF((L52)=0,"",(U52/L52))</f>
        <v>-9.6586734115235121E-2</v>
      </c>
      <c r="W52" s="52"/>
      <c r="X52" s="445"/>
      <c r="Y52" s="445"/>
      <c r="Z52" s="446">
        <f>SUM(Z43:Z48,Z42)</f>
        <v>2947.9732181599998</v>
      </c>
      <c r="AA52" s="448"/>
      <c r="AB52" s="447">
        <f t="shared" ref="AB52:AB56" si="90">Z52-S52</f>
        <v>40.621999999999844</v>
      </c>
      <c r="AC52" s="449">
        <f t="shared" ref="AC52:AC56" si="91">IF((S52)=0,"",(AB52/S52))</f>
        <v>1.3972168118617824E-2</v>
      </c>
      <c r="AD52" s="52"/>
      <c r="AE52" s="445"/>
      <c r="AF52" s="445"/>
      <c r="AG52" s="446">
        <f>SUM(AG43:AG48,AG42)</f>
        <v>2952.5672181599998</v>
      </c>
      <c r="AH52" s="448"/>
      <c r="AI52" s="447">
        <f t="shared" ref="AI52:AI56" si="92">AG52-Z52</f>
        <v>4.5940000000000509</v>
      </c>
      <c r="AJ52" s="449">
        <f t="shared" ref="AJ52:AJ56" si="93">IF((Z52)=0,"",(AI52/Z52))</f>
        <v>1.5583587977327118E-3</v>
      </c>
      <c r="AK52" s="52"/>
      <c r="AL52" s="445"/>
      <c r="AM52" s="445"/>
      <c r="AN52" s="446">
        <f>SUM(AN43:AN48,AN42)</f>
        <v>2958.8127181599998</v>
      </c>
      <c r="AO52" s="448"/>
      <c r="AP52" s="447">
        <f t="shared" ref="AP52:AP56" si="94">AN52-AG52</f>
        <v>6.2454999999999927</v>
      </c>
      <c r="AQ52" s="449">
        <f t="shared" ref="AQ52:AQ56" si="95">IF((AG52)=0,"",(AP52/AG52))</f>
        <v>2.1152778373974171E-3</v>
      </c>
      <c r="AR52" s="450"/>
      <c r="AS52" s="450"/>
    </row>
    <row r="53" spans="1:45" ht="12.75" customHeight="1">
      <c r="A53" s="52"/>
      <c r="B53" s="451" t="s">
        <v>320</v>
      </c>
      <c r="C53" s="561"/>
      <c r="D53" s="321"/>
      <c r="E53" s="321"/>
      <c r="F53" s="444">
        <v>0.13</v>
      </c>
      <c r="G53" s="132"/>
      <c r="H53" s="489">
        <f>H52*F53</f>
        <v>433.25323912520003</v>
      </c>
      <c r="I53" s="416"/>
      <c r="J53" s="452">
        <v>0.13</v>
      </c>
      <c r="K53" s="416"/>
      <c r="L53" s="399">
        <f>L52*J53</f>
        <v>418.36407836079997</v>
      </c>
      <c r="M53" s="132"/>
      <c r="N53" s="400">
        <f t="shared" si="86"/>
        <v>-14.88916076440006</v>
      </c>
      <c r="O53" s="401">
        <f t="shared" si="87"/>
        <v>-3.4365953719038306E-2</v>
      </c>
      <c r="P53" s="52"/>
      <c r="Q53" s="452">
        <v>0.13</v>
      </c>
      <c r="R53" s="416"/>
      <c r="S53" s="399">
        <f>S52*Q53</f>
        <v>377.95565836079999</v>
      </c>
      <c r="T53" s="132"/>
      <c r="U53" s="400">
        <f t="shared" si="88"/>
        <v>-40.408419999999978</v>
      </c>
      <c r="V53" s="401">
        <f t="shared" si="89"/>
        <v>-9.6586734115235121E-2</v>
      </c>
      <c r="W53" s="52"/>
      <c r="X53" s="452">
        <v>0.13</v>
      </c>
      <c r="Y53" s="416"/>
      <c r="Z53" s="399">
        <f>Z52*X53</f>
        <v>383.23651836080001</v>
      </c>
      <c r="AA53" s="132"/>
      <c r="AB53" s="400">
        <f t="shared" si="90"/>
        <v>5.2808600000000183</v>
      </c>
      <c r="AC53" s="401">
        <f t="shared" si="91"/>
        <v>1.3972168118617926E-2</v>
      </c>
      <c r="AD53" s="52"/>
      <c r="AE53" s="452">
        <v>0.13</v>
      </c>
      <c r="AF53" s="416"/>
      <c r="AG53" s="399">
        <f>AG52*AE53</f>
        <v>383.8337383608</v>
      </c>
      <c r="AH53" s="132"/>
      <c r="AI53" s="400">
        <f t="shared" si="92"/>
        <v>0.59721999999999298</v>
      </c>
      <c r="AJ53" s="401">
        <f t="shared" si="93"/>
        <v>1.5583587977326763E-3</v>
      </c>
      <c r="AK53" s="52"/>
      <c r="AL53" s="452">
        <v>0.13</v>
      </c>
      <c r="AM53" s="416"/>
      <c r="AN53" s="399">
        <f>AN52*AL53</f>
        <v>384.6456533608</v>
      </c>
      <c r="AO53" s="132"/>
      <c r="AP53" s="400">
        <f t="shared" si="94"/>
        <v>0.81191499999999905</v>
      </c>
      <c r="AQ53" s="401">
        <f t="shared" si="95"/>
        <v>2.1152778373974171E-3</v>
      </c>
      <c r="AR53" s="402"/>
      <c r="AS53" s="402"/>
    </row>
    <row r="54" spans="1:45" ht="12.75" customHeight="1">
      <c r="A54" s="52"/>
      <c r="B54" s="453" t="s">
        <v>425</v>
      </c>
      <c r="C54" s="561"/>
      <c r="D54" s="321"/>
      <c r="E54" s="321"/>
      <c r="F54" s="454"/>
      <c r="G54" s="132"/>
      <c r="H54" s="489">
        <f>H52+H53</f>
        <v>3765.9704631652003</v>
      </c>
      <c r="I54" s="416"/>
      <c r="J54" s="416"/>
      <c r="K54" s="416"/>
      <c r="L54" s="399">
        <f>L52+L53</f>
        <v>3636.5492965207995</v>
      </c>
      <c r="M54" s="132"/>
      <c r="N54" s="400">
        <f t="shared" si="86"/>
        <v>-129.42116664440073</v>
      </c>
      <c r="O54" s="401">
        <f t="shared" si="87"/>
        <v>-3.4365953719038361E-2</v>
      </c>
      <c r="P54" s="52"/>
      <c r="Q54" s="416"/>
      <c r="R54" s="416"/>
      <c r="S54" s="399">
        <f>S52+S53</f>
        <v>3285.3068765208</v>
      </c>
      <c r="T54" s="132"/>
      <c r="U54" s="400">
        <f t="shared" si="88"/>
        <v>-351.24241999999958</v>
      </c>
      <c r="V54" s="401">
        <f t="shared" si="89"/>
        <v>-9.6586734115235065E-2</v>
      </c>
      <c r="W54" s="52"/>
      <c r="X54" s="416"/>
      <c r="Y54" s="416"/>
      <c r="Z54" s="399">
        <f>Z52+Z53</f>
        <v>3331.2097365207997</v>
      </c>
      <c r="AA54" s="132"/>
      <c r="AB54" s="400">
        <f t="shared" si="90"/>
        <v>45.902859999999691</v>
      </c>
      <c r="AC54" s="401">
        <f t="shared" si="91"/>
        <v>1.3972168118617782E-2</v>
      </c>
      <c r="AD54" s="52"/>
      <c r="AE54" s="416"/>
      <c r="AF54" s="416"/>
      <c r="AG54" s="399">
        <f>AG52+AG53</f>
        <v>3336.4009565207998</v>
      </c>
      <c r="AH54" s="132"/>
      <c r="AI54" s="400">
        <f t="shared" si="92"/>
        <v>5.1912200000001576</v>
      </c>
      <c r="AJ54" s="401">
        <f t="shared" si="93"/>
        <v>1.558358797732742E-3</v>
      </c>
      <c r="AK54" s="52"/>
      <c r="AL54" s="416"/>
      <c r="AM54" s="416"/>
      <c r="AN54" s="399">
        <f>AN52+AN53</f>
        <v>3343.4583715208</v>
      </c>
      <c r="AO54" s="132"/>
      <c r="AP54" s="400">
        <f t="shared" si="94"/>
        <v>7.0574150000002192</v>
      </c>
      <c r="AQ54" s="401">
        <f t="shared" si="95"/>
        <v>2.1152778373974856E-3</v>
      </c>
      <c r="AR54" s="402"/>
      <c r="AS54" s="402"/>
    </row>
    <row r="55" spans="1:45" ht="15.75" customHeight="1">
      <c r="A55" s="52"/>
      <c r="B55" s="632" t="s">
        <v>277</v>
      </c>
      <c r="C55" s="623"/>
      <c r="D55" s="623"/>
      <c r="E55" s="321"/>
      <c r="F55" s="454"/>
      <c r="G55" s="132"/>
      <c r="H55" s="491">
        <f>F55*H52</f>
        <v>0</v>
      </c>
      <c r="I55" s="416"/>
      <c r="J55" s="416"/>
      <c r="K55" s="416"/>
      <c r="L55" s="511">
        <f>J55*L52</f>
        <v>0</v>
      </c>
      <c r="M55" s="132"/>
      <c r="N55" s="456">
        <f t="shared" si="86"/>
        <v>0</v>
      </c>
      <c r="O55" s="458" t="str">
        <f t="shared" si="87"/>
        <v/>
      </c>
      <c r="P55" s="52"/>
      <c r="Q55" s="416"/>
      <c r="R55" s="416"/>
      <c r="S55" s="511">
        <f>Q55*S52</f>
        <v>0</v>
      </c>
      <c r="T55" s="132"/>
      <c r="U55" s="456">
        <f t="shared" si="88"/>
        <v>0</v>
      </c>
      <c r="V55" s="458" t="str">
        <f t="shared" si="89"/>
        <v/>
      </c>
      <c r="W55" s="52"/>
      <c r="X55" s="416"/>
      <c r="Y55" s="416"/>
      <c r="Z55" s="511">
        <f>X55*Z52</f>
        <v>0</v>
      </c>
      <c r="AA55" s="132"/>
      <c r="AB55" s="456">
        <f t="shared" si="90"/>
        <v>0</v>
      </c>
      <c r="AC55" s="458" t="str">
        <f t="shared" si="91"/>
        <v/>
      </c>
      <c r="AD55" s="52"/>
      <c r="AE55" s="416"/>
      <c r="AF55" s="416"/>
      <c r="AG55" s="511">
        <f>AE55*AG52</f>
        <v>0</v>
      </c>
      <c r="AH55" s="132"/>
      <c r="AI55" s="456">
        <f t="shared" si="92"/>
        <v>0</v>
      </c>
      <c r="AJ55" s="458" t="str">
        <f t="shared" si="93"/>
        <v/>
      </c>
      <c r="AK55" s="52"/>
      <c r="AL55" s="416"/>
      <c r="AM55" s="416"/>
      <c r="AN55" s="511">
        <f>AL55*AN52</f>
        <v>0</v>
      </c>
      <c r="AO55" s="132"/>
      <c r="AP55" s="456">
        <f t="shared" si="94"/>
        <v>0</v>
      </c>
      <c r="AQ55" s="458" t="str">
        <f t="shared" si="95"/>
        <v/>
      </c>
      <c r="AR55" s="459"/>
      <c r="AS55" s="459"/>
    </row>
    <row r="56" spans="1:45" ht="13.5" customHeight="1">
      <c r="A56" s="52"/>
      <c r="B56" s="634" t="s">
        <v>322</v>
      </c>
      <c r="C56" s="615"/>
      <c r="D56" s="615"/>
      <c r="E56" s="460"/>
      <c r="F56" s="461"/>
      <c r="G56" s="492"/>
      <c r="H56" s="493">
        <f>H54-H55</f>
        <v>3765.9704631652003</v>
      </c>
      <c r="I56" s="462"/>
      <c r="J56" s="462"/>
      <c r="K56" s="462"/>
      <c r="L56" s="463">
        <f>L54-L55</f>
        <v>3636.5492965207995</v>
      </c>
      <c r="M56" s="464"/>
      <c r="N56" s="465">
        <f t="shared" si="86"/>
        <v>-129.42116664440073</v>
      </c>
      <c r="O56" s="466">
        <f t="shared" si="87"/>
        <v>-3.4365953719038361E-2</v>
      </c>
      <c r="P56" s="52"/>
      <c r="Q56" s="462"/>
      <c r="R56" s="462"/>
      <c r="S56" s="463">
        <f>S54-S55</f>
        <v>3285.3068765208</v>
      </c>
      <c r="T56" s="464"/>
      <c r="U56" s="465">
        <f t="shared" si="88"/>
        <v>-351.24241999999958</v>
      </c>
      <c r="V56" s="466">
        <f t="shared" si="89"/>
        <v>-9.6586734115235065E-2</v>
      </c>
      <c r="W56" s="52"/>
      <c r="X56" s="462"/>
      <c r="Y56" s="462"/>
      <c r="Z56" s="463">
        <f>Z54-Z55</f>
        <v>3331.2097365207997</v>
      </c>
      <c r="AA56" s="464"/>
      <c r="AB56" s="465">
        <f t="shared" si="90"/>
        <v>45.902859999999691</v>
      </c>
      <c r="AC56" s="466">
        <f t="shared" si="91"/>
        <v>1.3972168118617782E-2</v>
      </c>
      <c r="AD56" s="52"/>
      <c r="AE56" s="462"/>
      <c r="AF56" s="462"/>
      <c r="AG56" s="463">
        <f>AG54-AG55</f>
        <v>3336.4009565207998</v>
      </c>
      <c r="AH56" s="464"/>
      <c r="AI56" s="465">
        <f t="shared" si="92"/>
        <v>5.1912200000001576</v>
      </c>
      <c r="AJ56" s="466">
        <f t="shared" si="93"/>
        <v>1.558358797732742E-3</v>
      </c>
      <c r="AK56" s="52"/>
      <c r="AL56" s="462"/>
      <c r="AM56" s="462"/>
      <c r="AN56" s="463">
        <f>AN54-AN55</f>
        <v>3343.4583715208</v>
      </c>
      <c r="AO56" s="464"/>
      <c r="AP56" s="465">
        <f t="shared" si="94"/>
        <v>7.0574150000002192</v>
      </c>
      <c r="AQ56" s="466">
        <f t="shared" si="95"/>
        <v>2.1152778373974856E-3</v>
      </c>
      <c r="AR56" s="467"/>
      <c r="AS56" s="467"/>
    </row>
    <row r="57" spans="1:45" ht="8.25" customHeight="1">
      <c r="A57" s="52"/>
      <c r="B57" s="433"/>
      <c r="C57" s="560"/>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c r="AS57" s="442"/>
    </row>
    <row r="58" spans="1:45" ht="12.75" customHeight="1">
      <c r="A58" s="52"/>
      <c r="B58" s="513" t="s">
        <v>323</v>
      </c>
      <c r="C58" s="562"/>
      <c r="D58" s="514"/>
      <c r="E58" s="514"/>
      <c r="F58" s="515"/>
      <c r="G58" s="516"/>
      <c r="H58" s="517">
        <f>SUM(H49:H50,H42,H43:H45)</f>
        <v>1465.8114240400002</v>
      </c>
      <c r="I58" s="518"/>
      <c r="J58" s="519"/>
      <c r="K58" s="519"/>
      <c r="L58" s="517">
        <f>SUM(L49:L50,L42,L43:L45)</f>
        <v>1351.27941816</v>
      </c>
      <c r="M58" s="520"/>
      <c r="N58" s="521">
        <f t="shared" ref="N58:N62" si="96">L58-H58</f>
        <v>-114.53200588000027</v>
      </c>
      <c r="O58" s="522">
        <f t="shared" ref="O58:O62" si="97">IF((H58)=0,"",(N58/H58))</f>
        <v>-7.8135566418450042E-2</v>
      </c>
      <c r="P58" s="512"/>
      <c r="Q58" s="519"/>
      <c r="R58" s="519"/>
      <c r="S58" s="517">
        <f>SUM(S49:S50,S42,S43:S45)</f>
        <v>1040.4454181599999</v>
      </c>
      <c r="T58" s="520"/>
      <c r="U58" s="521">
        <f t="shared" ref="U58:U62" si="98">S58-L58</f>
        <v>-310.83400000000006</v>
      </c>
      <c r="V58" s="522">
        <f t="shared" ref="V58:V62" si="99">IF((L58)=0,"",(U58/L58))</f>
        <v>-0.23002940459439111</v>
      </c>
      <c r="W58" s="512"/>
      <c r="X58" s="519"/>
      <c r="Y58" s="519"/>
      <c r="Z58" s="517">
        <f>SUM(Z49:Z50,Z42,Z43:Z45)</f>
        <v>1081.0674181599998</v>
      </c>
      <c r="AA58" s="520"/>
      <c r="AB58" s="521">
        <f t="shared" ref="AB58:AB62" si="100">Z58-S58</f>
        <v>40.621999999999844</v>
      </c>
      <c r="AC58" s="522">
        <f t="shared" ref="AC58:AC62" si="101">IF((S58)=0,"",(AB58/S58))</f>
        <v>3.9042893832757483E-2</v>
      </c>
      <c r="AD58" s="512"/>
      <c r="AE58" s="519"/>
      <c r="AF58" s="519"/>
      <c r="AG58" s="517">
        <f>SUM(AG49:AG50,AG42,AG43:AG45)</f>
        <v>1085.6614181599998</v>
      </c>
      <c r="AH58" s="520"/>
      <c r="AI58" s="521">
        <f t="shared" ref="AI58:AI62" si="102">AG58-Z58</f>
        <v>4.5940000000000509</v>
      </c>
      <c r="AJ58" s="522">
        <f t="shared" ref="AJ58:AJ62" si="103">IF((Z58)=0,"",(AI58/Z58))</f>
        <v>4.2495037060862849E-3</v>
      </c>
      <c r="AK58" s="512"/>
      <c r="AL58" s="519"/>
      <c r="AM58" s="519"/>
      <c r="AN58" s="517">
        <f>SUM(AN49:AN50,AN42,AN43:AN45)</f>
        <v>1091.9069181599998</v>
      </c>
      <c r="AO58" s="520"/>
      <c r="AP58" s="521">
        <f t="shared" ref="AP58:AP62" si="104">AN58-AG58</f>
        <v>6.2454999999999927</v>
      </c>
      <c r="AQ58" s="522">
        <f t="shared" ref="AQ58:AQ62" si="105">IF((AG58)=0,"",(AP58/AG58))</f>
        <v>5.752714332047452E-3</v>
      </c>
      <c r="AR58" s="450"/>
      <c r="AS58" s="450"/>
    </row>
    <row r="59" spans="1:45" ht="12.75" customHeight="1">
      <c r="A59" s="52"/>
      <c r="B59" s="524" t="s">
        <v>320</v>
      </c>
      <c r="C59" s="562"/>
      <c r="D59" s="514"/>
      <c r="E59" s="514"/>
      <c r="F59" s="515">
        <v>0.13</v>
      </c>
      <c r="G59" s="516"/>
      <c r="H59" s="525">
        <f>H58*F59</f>
        <v>190.55548512520005</v>
      </c>
      <c r="I59" s="526"/>
      <c r="J59" s="515">
        <v>0.13</v>
      </c>
      <c r="K59" s="527"/>
      <c r="L59" s="528">
        <f>L58*J59</f>
        <v>175.66632436079999</v>
      </c>
      <c r="M59" s="529"/>
      <c r="N59" s="530">
        <f t="shared" si="96"/>
        <v>-14.88916076440006</v>
      </c>
      <c r="O59" s="531">
        <f t="shared" si="97"/>
        <v>-7.8135566418450167E-2</v>
      </c>
      <c r="P59" s="512"/>
      <c r="Q59" s="515">
        <v>0.13</v>
      </c>
      <c r="R59" s="527"/>
      <c r="S59" s="528">
        <f>S58*Q59</f>
        <v>135.25790436079998</v>
      </c>
      <c r="T59" s="529"/>
      <c r="U59" s="530">
        <f t="shared" si="98"/>
        <v>-40.408420000000007</v>
      </c>
      <c r="V59" s="531">
        <f t="shared" si="99"/>
        <v>-0.23002940459439111</v>
      </c>
      <c r="W59" s="512"/>
      <c r="X59" s="515">
        <v>0.13</v>
      </c>
      <c r="Y59" s="527"/>
      <c r="Z59" s="528">
        <f>Z58*X59</f>
        <v>140.53876436079997</v>
      </c>
      <c r="AA59" s="529"/>
      <c r="AB59" s="530">
        <f t="shared" si="100"/>
        <v>5.2808599999999899</v>
      </c>
      <c r="AC59" s="531">
        <f t="shared" si="101"/>
        <v>3.9042893832757559E-2</v>
      </c>
      <c r="AD59" s="512"/>
      <c r="AE59" s="515">
        <v>0.13</v>
      </c>
      <c r="AF59" s="527"/>
      <c r="AG59" s="528">
        <f>AG58*AE59</f>
        <v>141.13598436079997</v>
      </c>
      <c r="AH59" s="529"/>
      <c r="AI59" s="530">
        <f t="shared" si="102"/>
        <v>0.59721999999999298</v>
      </c>
      <c r="AJ59" s="531">
        <f t="shared" si="103"/>
        <v>4.2495037060861877E-3</v>
      </c>
      <c r="AK59" s="512"/>
      <c r="AL59" s="515">
        <v>0.13</v>
      </c>
      <c r="AM59" s="527"/>
      <c r="AN59" s="528">
        <f>AN58*AL59</f>
        <v>141.94789936079997</v>
      </c>
      <c r="AO59" s="529"/>
      <c r="AP59" s="530">
        <f t="shared" si="104"/>
        <v>0.81191499999999905</v>
      </c>
      <c r="AQ59" s="531">
        <f t="shared" si="105"/>
        <v>5.752714332047452E-3</v>
      </c>
      <c r="AR59" s="402"/>
      <c r="AS59" s="402"/>
    </row>
    <row r="60" spans="1:45" ht="12.75" customHeight="1">
      <c r="A60" s="52"/>
      <c r="B60" s="533" t="s">
        <v>426</v>
      </c>
      <c r="C60" s="562"/>
      <c r="D60" s="514"/>
      <c r="E60" s="514"/>
      <c r="F60" s="534"/>
      <c r="G60" s="529"/>
      <c r="H60" s="525">
        <f>H58+H59</f>
        <v>1656.3669091652002</v>
      </c>
      <c r="I60" s="526"/>
      <c r="J60" s="526"/>
      <c r="K60" s="526"/>
      <c r="L60" s="528">
        <f>L58+L59</f>
        <v>1526.9457425208</v>
      </c>
      <c r="M60" s="529"/>
      <c r="N60" s="530">
        <f t="shared" si="96"/>
        <v>-129.42116664440027</v>
      </c>
      <c r="O60" s="531">
        <f t="shared" si="97"/>
        <v>-7.8135566418450014E-2</v>
      </c>
      <c r="P60" s="512"/>
      <c r="Q60" s="526"/>
      <c r="R60" s="526"/>
      <c r="S60" s="528">
        <f>S58+S59</f>
        <v>1175.7033225207999</v>
      </c>
      <c r="T60" s="529"/>
      <c r="U60" s="530">
        <f t="shared" si="98"/>
        <v>-351.24242000000004</v>
      </c>
      <c r="V60" s="531">
        <f t="shared" si="99"/>
        <v>-0.23002940459439111</v>
      </c>
      <c r="W60" s="512"/>
      <c r="X60" s="526"/>
      <c r="Y60" s="526"/>
      <c r="Z60" s="528">
        <f>Z58+Z59</f>
        <v>1221.6061825207998</v>
      </c>
      <c r="AA60" s="529"/>
      <c r="AB60" s="530">
        <f t="shared" si="100"/>
        <v>45.902859999999919</v>
      </c>
      <c r="AC60" s="531">
        <f t="shared" si="101"/>
        <v>3.9042893832757566E-2</v>
      </c>
      <c r="AD60" s="512"/>
      <c r="AE60" s="526"/>
      <c r="AF60" s="526"/>
      <c r="AG60" s="528">
        <f>AG58+AG59</f>
        <v>1226.7974025207998</v>
      </c>
      <c r="AH60" s="529"/>
      <c r="AI60" s="530">
        <f t="shared" si="102"/>
        <v>5.1912199999999302</v>
      </c>
      <c r="AJ60" s="531">
        <f t="shared" si="103"/>
        <v>4.2495037060861808E-3</v>
      </c>
      <c r="AK60" s="512"/>
      <c r="AL60" s="526"/>
      <c r="AM60" s="526"/>
      <c r="AN60" s="528">
        <f>AN58+AN59</f>
        <v>1233.8548175207998</v>
      </c>
      <c r="AO60" s="529"/>
      <c r="AP60" s="530">
        <f t="shared" si="104"/>
        <v>7.0574149999999918</v>
      </c>
      <c r="AQ60" s="531">
        <f t="shared" si="105"/>
        <v>5.752714332047452E-3</v>
      </c>
      <c r="AR60" s="402"/>
      <c r="AS60" s="402"/>
    </row>
    <row r="61" spans="1:45" ht="15.75" customHeight="1">
      <c r="A61" s="52"/>
      <c r="B61" s="644" t="s">
        <v>277</v>
      </c>
      <c r="C61" s="623"/>
      <c r="D61" s="623"/>
      <c r="E61" s="514"/>
      <c r="F61" s="534"/>
      <c r="G61" s="529"/>
      <c r="H61" s="535">
        <f>F61*H58</f>
        <v>0</v>
      </c>
      <c r="I61" s="526"/>
      <c r="J61" s="526"/>
      <c r="K61" s="526"/>
      <c r="L61" s="536">
        <f>J61*L58</f>
        <v>0</v>
      </c>
      <c r="M61" s="529"/>
      <c r="N61" s="537">
        <f t="shared" si="96"/>
        <v>0</v>
      </c>
      <c r="O61" s="538" t="str">
        <f t="shared" si="97"/>
        <v/>
      </c>
      <c r="P61" s="512"/>
      <c r="Q61" s="526"/>
      <c r="R61" s="526"/>
      <c r="S61" s="536">
        <f>Q61*S58</f>
        <v>0</v>
      </c>
      <c r="T61" s="529"/>
      <c r="U61" s="537">
        <f t="shared" si="98"/>
        <v>0</v>
      </c>
      <c r="V61" s="538" t="str">
        <f t="shared" si="99"/>
        <v/>
      </c>
      <c r="W61" s="512"/>
      <c r="X61" s="526"/>
      <c r="Y61" s="526"/>
      <c r="Z61" s="536">
        <f>X61*Z58</f>
        <v>0</v>
      </c>
      <c r="AA61" s="529"/>
      <c r="AB61" s="537">
        <f t="shared" si="100"/>
        <v>0</v>
      </c>
      <c r="AC61" s="538" t="str">
        <f t="shared" si="101"/>
        <v/>
      </c>
      <c r="AD61" s="512"/>
      <c r="AE61" s="526"/>
      <c r="AF61" s="526"/>
      <c r="AG61" s="536">
        <f>AE61*AG58</f>
        <v>0</v>
      </c>
      <c r="AH61" s="529"/>
      <c r="AI61" s="537">
        <f t="shared" si="102"/>
        <v>0</v>
      </c>
      <c r="AJ61" s="538" t="str">
        <f t="shared" si="103"/>
        <v/>
      </c>
      <c r="AK61" s="512"/>
      <c r="AL61" s="526"/>
      <c r="AM61" s="526"/>
      <c r="AN61" s="536">
        <f>AL61*AN58</f>
        <v>0</v>
      </c>
      <c r="AO61" s="529"/>
      <c r="AP61" s="537">
        <f t="shared" si="104"/>
        <v>0</v>
      </c>
      <c r="AQ61" s="538" t="str">
        <f t="shared" si="105"/>
        <v/>
      </c>
      <c r="AR61" s="459"/>
      <c r="AS61" s="459"/>
    </row>
    <row r="62" spans="1:45" ht="13.5" customHeight="1">
      <c r="A62" s="52"/>
      <c r="B62" s="643" t="s">
        <v>325</v>
      </c>
      <c r="C62" s="615"/>
      <c r="D62" s="615"/>
      <c r="E62" s="540"/>
      <c r="F62" s="541"/>
      <c r="G62" s="542"/>
      <c r="H62" s="543">
        <f>H60-H61</f>
        <v>1656.3669091652002</v>
      </c>
      <c r="I62" s="544"/>
      <c r="J62" s="544"/>
      <c r="K62" s="544"/>
      <c r="L62" s="545">
        <f>L60-L61</f>
        <v>1526.9457425208</v>
      </c>
      <c r="M62" s="546"/>
      <c r="N62" s="547">
        <f t="shared" si="96"/>
        <v>-129.42116664440027</v>
      </c>
      <c r="O62" s="548">
        <f t="shared" si="97"/>
        <v>-7.8135566418450014E-2</v>
      </c>
      <c r="P62" s="512"/>
      <c r="Q62" s="544"/>
      <c r="R62" s="544"/>
      <c r="S62" s="545">
        <f>S60-S61</f>
        <v>1175.7033225207999</v>
      </c>
      <c r="T62" s="546"/>
      <c r="U62" s="547">
        <f t="shared" si="98"/>
        <v>-351.24242000000004</v>
      </c>
      <c r="V62" s="548">
        <f t="shared" si="99"/>
        <v>-0.23002940459439111</v>
      </c>
      <c r="W62" s="512"/>
      <c r="X62" s="544"/>
      <c r="Y62" s="544"/>
      <c r="Z62" s="545">
        <f>Z60-Z61</f>
        <v>1221.6061825207998</v>
      </c>
      <c r="AA62" s="546"/>
      <c r="AB62" s="547">
        <f t="shared" si="100"/>
        <v>45.902859999999919</v>
      </c>
      <c r="AC62" s="548">
        <f t="shared" si="101"/>
        <v>3.9042893832757566E-2</v>
      </c>
      <c r="AD62" s="512"/>
      <c r="AE62" s="544"/>
      <c r="AF62" s="544"/>
      <c r="AG62" s="545">
        <f>AG60-AG61</f>
        <v>1226.7974025207998</v>
      </c>
      <c r="AH62" s="546"/>
      <c r="AI62" s="547">
        <f t="shared" si="102"/>
        <v>5.1912199999999302</v>
      </c>
      <c r="AJ62" s="548">
        <f t="shared" si="103"/>
        <v>4.2495037060861808E-3</v>
      </c>
      <c r="AK62" s="512"/>
      <c r="AL62" s="544"/>
      <c r="AM62" s="544"/>
      <c r="AN62" s="545">
        <f>AN60-AN61</f>
        <v>1233.8548175207998</v>
      </c>
      <c r="AO62" s="546"/>
      <c r="AP62" s="547">
        <f t="shared" si="104"/>
        <v>7.0574149999999918</v>
      </c>
      <c r="AQ62" s="548">
        <f t="shared" si="105"/>
        <v>5.752714332047452E-3</v>
      </c>
      <c r="AR62" s="467"/>
      <c r="AS62" s="467"/>
    </row>
    <row r="63" spans="1:45" ht="8.25" customHeight="1">
      <c r="A63" s="52"/>
      <c r="B63" s="433"/>
      <c r="C63" s="560"/>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c r="AS63" s="442"/>
    </row>
    <row r="64" spans="1:45" ht="12.75" customHeight="1">
      <c r="A64" s="52"/>
      <c r="B64" s="52"/>
      <c r="C64" s="554"/>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c r="AS64" s="52"/>
    </row>
    <row r="65" spans="1:45" ht="12.75" customHeight="1">
      <c r="A65" s="52"/>
      <c r="B65" s="307" t="s">
        <v>326</v>
      </c>
      <c r="C65" s="554"/>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c r="AS65" s="52"/>
    </row>
    <row r="66" spans="1:45" ht="12.75" customHeight="1">
      <c r="A66" s="52"/>
      <c r="B66" s="52"/>
      <c r="C66" s="554"/>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row>
    <row r="67" spans="1:45" ht="15.75" customHeight="1">
      <c r="A67" s="478" t="s">
        <v>427</v>
      </c>
      <c r="B67" s="52"/>
      <c r="C67" s="554"/>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row>
    <row r="68" spans="1:45" ht="13.5" customHeight="1">
      <c r="A68" s="52"/>
      <c r="B68" s="52"/>
      <c r="C68" s="554"/>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row>
    <row r="69" spans="1:45" ht="8.25" customHeight="1">
      <c r="A69" s="52" t="s">
        <v>328</v>
      </c>
      <c r="B69" s="52"/>
      <c r="C69" s="554"/>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row>
    <row r="70" spans="1:45" ht="12.75" customHeight="1">
      <c r="A70" s="52" t="s">
        <v>329</v>
      </c>
      <c r="B70" s="52"/>
      <c r="C70" s="554"/>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row>
    <row r="71" spans="1:45" ht="12.75" customHeight="1">
      <c r="A71" s="52"/>
      <c r="B71" s="52"/>
      <c r="C71" s="554"/>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row>
    <row r="72" spans="1:45" ht="12.75" customHeight="1">
      <c r="A72" s="52" t="s">
        <v>330</v>
      </c>
      <c r="B72" s="52"/>
      <c r="C72" s="554"/>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row>
    <row r="73" spans="1:45" ht="12.75" customHeight="1">
      <c r="A73" s="52" t="s">
        <v>331</v>
      </c>
      <c r="B73" s="52"/>
      <c r="C73" s="554"/>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row>
    <row r="74" spans="1:45" ht="12.75" customHeight="1">
      <c r="A74" s="52"/>
      <c r="B74" s="52"/>
      <c r="C74" s="554"/>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row>
    <row r="75" spans="1:45" ht="12.75" customHeight="1">
      <c r="A75" s="52" t="s">
        <v>332</v>
      </c>
      <c r="B75" s="52"/>
      <c r="C75" s="554"/>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row>
    <row r="76" spans="1:45" ht="12.75" customHeight="1">
      <c r="A76" s="52" t="s">
        <v>333</v>
      </c>
      <c r="B76" s="52"/>
      <c r="C76" s="554"/>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row>
    <row r="77" spans="1:45" ht="12.75" customHeight="1">
      <c r="A77" s="52" t="s">
        <v>334</v>
      </c>
      <c r="B77" s="52"/>
      <c r="C77" s="554"/>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row>
    <row r="78" spans="1:45" ht="12.75" customHeight="1">
      <c r="A78" s="52" t="s">
        <v>335</v>
      </c>
      <c r="B78" s="52"/>
      <c r="C78" s="554"/>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row>
    <row r="79" spans="1:45" ht="12.75" customHeight="1">
      <c r="A79" s="52" t="s">
        <v>336</v>
      </c>
      <c r="B79" s="52"/>
      <c r="C79" s="5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row>
    <row r="80" spans="1:45" ht="12.75" customHeight="1">
      <c r="A80" s="52"/>
      <c r="B80" s="52"/>
      <c r="C80" s="5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row>
    <row r="81" spans="1:45" ht="12.75" customHeight="1">
      <c r="A81" s="479"/>
      <c r="B81" s="52" t="s">
        <v>337</v>
      </c>
      <c r="C81" s="554"/>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row>
    <row r="82" spans="1:45" ht="12.75" customHeight="1">
      <c r="A82" s="52"/>
      <c r="B82" s="52"/>
      <c r="C82" s="554"/>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row>
    <row r="83" spans="1:45" ht="12.75" customHeight="1">
      <c r="A83" s="52"/>
      <c r="B83" s="52" t="s">
        <v>338</v>
      </c>
      <c r="C83" s="554"/>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row>
    <row r="84" spans="1:45" ht="12.75" customHeight="1">
      <c r="A84" s="52"/>
      <c r="B84" s="52"/>
      <c r="C84" s="554"/>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row>
    <row r="85" spans="1:45" ht="12.75" customHeight="1">
      <c r="A85" s="52"/>
      <c r="B85" s="52"/>
      <c r="C85" s="554"/>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row>
    <row r="86" spans="1:45" ht="12.75" customHeight="1">
      <c r="A86" s="52"/>
      <c r="B86" s="52"/>
      <c r="C86" s="554"/>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row>
    <row r="87" spans="1:45" ht="12.75" customHeight="1">
      <c r="A87" s="52"/>
      <c r="B87" s="52"/>
      <c r="C87" s="554"/>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row>
    <row r="88" spans="1:45" ht="12.75" customHeight="1">
      <c r="A88" s="52"/>
      <c r="B88" s="52"/>
      <c r="C88" s="554"/>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row>
    <row r="89" spans="1:45" ht="12.75" customHeight="1">
      <c r="A89" s="52"/>
      <c r="B89" s="52"/>
      <c r="C89" s="554"/>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row>
    <row r="90" spans="1:45" ht="12.75" customHeight="1">
      <c r="A90" s="52"/>
      <c r="B90" s="52"/>
      <c r="C90" s="554"/>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row>
    <row r="91" spans="1:45" ht="12.75" customHeight="1">
      <c r="A91" s="52"/>
      <c r="B91" s="52"/>
      <c r="C91" s="554"/>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row>
    <row r="92" spans="1:45" ht="12.75" customHeight="1">
      <c r="A92" s="52"/>
      <c r="B92" s="52"/>
      <c r="C92" s="554"/>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row>
    <row r="93" spans="1:45" ht="12.75" customHeight="1">
      <c r="A93" s="52"/>
      <c r="B93" s="52"/>
      <c r="C93" s="554"/>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row>
    <row r="94" spans="1:45" ht="12.75" customHeight="1">
      <c r="A94" s="52"/>
      <c r="B94" s="52"/>
      <c r="C94" s="554"/>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row>
    <row r="95" spans="1:45" ht="12.75" customHeight="1">
      <c r="A95" s="52"/>
      <c r="B95" s="52"/>
      <c r="C95" s="554"/>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row>
    <row r="96" spans="1:45" ht="12.75" customHeight="1">
      <c r="A96" s="52"/>
      <c r="B96" s="52"/>
      <c r="C96" s="554"/>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row>
    <row r="97" spans="1:45" ht="12.75" customHeight="1">
      <c r="A97" s="52"/>
      <c r="B97" s="52"/>
      <c r="C97" s="554"/>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row>
    <row r="98" spans="1:45" ht="12.75" customHeight="1">
      <c r="A98" s="52"/>
      <c r="B98" s="52"/>
      <c r="C98" s="554"/>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row>
    <row r="99" spans="1:45" ht="12.75" customHeight="1">
      <c r="A99" s="52"/>
      <c r="B99" s="52"/>
      <c r="C99" s="554"/>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row>
    <row r="100" spans="1:45" ht="12.75" customHeight="1">
      <c r="A100" s="52"/>
      <c r="B100" s="52"/>
      <c r="C100" s="554"/>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row>
    <row r="101" spans="1:45" ht="12.75" customHeight="1">
      <c r="A101" s="52"/>
      <c r="B101" s="52"/>
      <c r="C101" s="554"/>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row>
    <row r="102" spans="1:45" ht="12.75" customHeight="1">
      <c r="A102" s="52"/>
      <c r="B102" s="52"/>
      <c r="C102" s="554"/>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row>
    <row r="103" spans="1:45" ht="12.75" customHeight="1">
      <c r="A103" s="52"/>
      <c r="B103" s="52"/>
      <c r="C103" s="554"/>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row>
    <row r="104" spans="1:45" ht="12.75" customHeight="1">
      <c r="A104" s="52"/>
      <c r="B104" s="52"/>
      <c r="C104" s="554"/>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row>
    <row r="105" spans="1:45" ht="12.75" customHeight="1">
      <c r="A105" s="52"/>
      <c r="B105" s="52"/>
      <c r="C105" s="554"/>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row>
    <row r="106" spans="1:45" ht="12.75" customHeight="1">
      <c r="A106" s="52"/>
      <c r="B106" s="52"/>
      <c r="C106" s="554"/>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row>
    <row r="107" spans="1:45" ht="12.75" customHeight="1">
      <c r="A107" s="52"/>
      <c r="B107" s="52"/>
      <c r="C107" s="554"/>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row>
    <row r="108" spans="1:45" ht="12.75" customHeight="1">
      <c r="A108" s="52"/>
      <c r="B108" s="52"/>
      <c r="C108" s="554"/>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row>
    <row r="109" spans="1:45" ht="12.75" customHeight="1">
      <c r="A109" s="52"/>
      <c r="B109" s="52"/>
      <c r="C109" s="554"/>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row>
    <row r="110" spans="1:45" ht="12.75" customHeight="1">
      <c r="A110" s="52"/>
      <c r="B110" s="52"/>
      <c r="C110" s="554"/>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row>
    <row r="111" spans="1:45" ht="12.75" customHeight="1">
      <c r="A111" s="52"/>
      <c r="B111" s="52"/>
      <c r="C111" s="554"/>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row>
    <row r="112" spans="1:45" ht="12.75" customHeight="1">
      <c r="A112" s="52"/>
      <c r="B112" s="52"/>
      <c r="C112" s="554"/>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row>
    <row r="113" spans="1:45" ht="12.75" customHeight="1">
      <c r="A113" s="52"/>
      <c r="B113" s="52"/>
      <c r="C113" s="5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row>
    <row r="114" spans="1:45" ht="12.75" customHeight="1">
      <c r="A114" s="52"/>
      <c r="B114" s="52"/>
      <c r="C114" s="5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row>
    <row r="115" spans="1:45" ht="12.75" customHeight="1">
      <c r="A115" s="52"/>
      <c r="B115" s="52"/>
      <c r="C115" s="554"/>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row>
    <row r="116" spans="1:45" ht="12.75" customHeight="1">
      <c r="A116" s="52"/>
      <c r="B116" s="52"/>
      <c r="C116" s="554"/>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row>
    <row r="117" spans="1:45" ht="12.75" customHeight="1">
      <c r="A117" s="52"/>
      <c r="B117" s="52"/>
      <c r="C117" s="554"/>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row>
    <row r="118" spans="1:45" ht="12.75" customHeight="1">
      <c r="A118" s="52"/>
      <c r="B118" s="52"/>
      <c r="C118" s="554"/>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row>
    <row r="119" spans="1:45" ht="12.75" customHeight="1">
      <c r="A119" s="52"/>
      <c r="B119" s="52"/>
      <c r="C119" s="554"/>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row>
    <row r="120" spans="1:45" ht="12.75" customHeight="1">
      <c r="A120" s="52"/>
      <c r="B120" s="52"/>
      <c r="C120" s="554"/>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row>
    <row r="121" spans="1:45" ht="12.75" customHeight="1">
      <c r="A121" s="52"/>
      <c r="B121" s="52"/>
      <c r="C121" s="554"/>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row>
    <row r="122" spans="1:45" ht="12.75" customHeight="1">
      <c r="A122" s="52"/>
      <c r="B122" s="52"/>
      <c r="C122" s="554"/>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row>
    <row r="123" spans="1:45" ht="12.75" customHeight="1">
      <c r="A123" s="52"/>
      <c r="B123" s="52"/>
      <c r="C123" s="554"/>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row>
    <row r="124" spans="1:45" ht="12.75" customHeight="1">
      <c r="A124" s="52"/>
      <c r="B124" s="52"/>
      <c r="C124" s="554"/>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row>
    <row r="125" spans="1:45" ht="12.75" customHeight="1">
      <c r="A125" s="52"/>
      <c r="B125" s="52"/>
      <c r="C125" s="554"/>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row>
    <row r="126" spans="1:45" ht="12.75" customHeight="1">
      <c r="A126" s="52"/>
      <c r="B126" s="52"/>
      <c r="C126" s="554"/>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row>
    <row r="127" spans="1:45" ht="12.75" customHeight="1">
      <c r="A127" s="52"/>
      <c r="B127" s="52"/>
      <c r="C127" s="554"/>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row>
    <row r="128" spans="1:45" ht="12.75" customHeight="1">
      <c r="A128" s="52"/>
      <c r="B128" s="52"/>
      <c r="C128" s="554"/>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row>
    <row r="129" spans="1:45" ht="12.75" customHeight="1">
      <c r="A129" s="52"/>
      <c r="B129" s="52"/>
      <c r="C129" s="554"/>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row>
    <row r="130" spans="1:45" ht="12.75" customHeight="1">
      <c r="A130" s="52"/>
      <c r="B130" s="52"/>
      <c r="C130" s="554"/>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row>
    <row r="131" spans="1:45" ht="12.75" customHeight="1">
      <c r="A131" s="52"/>
      <c r="B131" s="52"/>
      <c r="C131" s="554"/>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row>
    <row r="132" spans="1:45" ht="12.75" customHeight="1">
      <c r="A132" s="52"/>
      <c r="B132" s="52"/>
      <c r="C132" s="554"/>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row>
    <row r="133" spans="1:45" ht="12.75" customHeight="1">
      <c r="A133" s="52"/>
      <c r="B133" s="52"/>
      <c r="C133" s="554"/>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row>
    <row r="134" spans="1:45" ht="12.75" customHeight="1">
      <c r="A134" s="52"/>
      <c r="B134" s="52"/>
      <c r="C134" s="554"/>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row>
    <row r="135" spans="1:45" ht="12.75" customHeight="1">
      <c r="A135" s="52"/>
      <c r="B135" s="52"/>
      <c r="C135" s="554"/>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row>
    <row r="136" spans="1:45" ht="12.75" customHeight="1">
      <c r="A136" s="52"/>
      <c r="B136" s="52"/>
      <c r="C136" s="554"/>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row>
    <row r="137" spans="1:45" ht="12.75" customHeight="1">
      <c r="A137" s="52"/>
      <c r="B137" s="52"/>
      <c r="C137" s="554"/>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row>
    <row r="138" spans="1:45" ht="12.75" customHeight="1">
      <c r="A138" s="52"/>
      <c r="B138" s="52"/>
      <c r="C138" s="554"/>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row>
    <row r="139" spans="1:45" ht="12.75" customHeight="1">
      <c r="A139" s="52"/>
      <c r="B139" s="52"/>
      <c r="C139" s="554"/>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row>
    <row r="140" spans="1:45" ht="12.75" customHeight="1">
      <c r="A140" s="52"/>
      <c r="B140" s="52"/>
      <c r="C140" s="554"/>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row>
    <row r="141" spans="1:45" ht="12.75" customHeight="1">
      <c r="A141" s="52"/>
      <c r="B141" s="52"/>
      <c r="C141" s="554"/>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row>
    <row r="142" spans="1:45" ht="12.75" customHeight="1">
      <c r="A142" s="52"/>
      <c r="B142" s="52"/>
      <c r="C142" s="554"/>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row>
    <row r="143" spans="1:45" ht="12.75" customHeight="1">
      <c r="A143" s="52"/>
      <c r="B143" s="52"/>
      <c r="C143" s="554"/>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row>
    <row r="144" spans="1:45" ht="12.75" customHeight="1">
      <c r="A144" s="52"/>
      <c r="B144" s="52"/>
      <c r="C144" s="554"/>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row>
    <row r="145" spans="1:45" ht="12.75" customHeight="1">
      <c r="A145" s="52"/>
      <c r="B145" s="52"/>
      <c r="C145" s="554"/>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row>
    <row r="146" spans="1:45" ht="12.75" customHeight="1">
      <c r="A146" s="52"/>
      <c r="B146" s="52"/>
      <c r="C146" s="554"/>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row>
    <row r="147" spans="1:45" ht="12.75" customHeight="1">
      <c r="A147" s="52"/>
      <c r="B147" s="52"/>
      <c r="C147" s="554"/>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row>
    <row r="148" spans="1:45" ht="12.75" customHeight="1">
      <c r="A148" s="52"/>
      <c r="B148" s="52"/>
      <c r="C148" s="554"/>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row>
    <row r="149" spans="1:45" ht="12.75" customHeight="1">
      <c r="A149" s="52"/>
      <c r="B149" s="52"/>
      <c r="C149" s="554"/>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row>
    <row r="150" spans="1:45" ht="12.75" customHeight="1">
      <c r="A150" s="52"/>
      <c r="B150" s="52"/>
      <c r="C150" s="554"/>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row>
    <row r="151" spans="1:45" ht="12.75" customHeight="1">
      <c r="A151" s="52"/>
      <c r="B151" s="52"/>
      <c r="C151" s="554"/>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row>
    <row r="152" spans="1:45" ht="12.75" customHeight="1">
      <c r="A152" s="52"/>
      <c r="B152" s="52"/>
      <c r="C152" s="554"/>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row>
    <row r="153" spans="1:45" ht="12.75" customHeight="1">
      <c r="A153" s="52"/>
      <c r="B153" s="52"/>
      <c r="C153" s="554"/>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row>
    <row r="154" spans="1:45" ht="12.75" customHeight="1">
      <c r="A154" s="52"/>
      <c r="B154" s="52"/>
      <c r="C154" s="554"/>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row>
    <row r="155" spans="1:45" ht="12.75" customHeight="1">
      <c r="A155" s="52"/>
      <c r="B155" s="52"/>
      <c r="C155" s="554"/>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row>
    <row r="156" spans="1:45" ht="12.75" customHeight="1">
      <c r="A156" s="52"/>
      <c r="B156" s="52"/>
      <c r="C156" s="554"/>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row>
    <row r="157" spans="1:45" ht="12.75" customHeight="1">
      <c r="A157" s="52"/>
      <c r="B157" s="52"/>
      <c r="C157" s="554"/>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row>
    <row r="158" spans="1:45" ht="12.75" customHeight="1">
      <c r="A158" s="52"/>
      <c r="B158" s="52"/>
      <c r="C158" s="554"/>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row>
    <row r="159" spans="1:45" ht="12.75" customHeight="1">
      <c r="A159" s="52"/>
      <c r="B159" s="52"/>
      <c r="C159" s="554"/>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row>
    <row r="160" spans="1:45" ht="12.75" customHeight="1">
      <c r="A160" s="52"/>
      <c r="B160" s="52"/>
      <c r="C160" s="554"/>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row>
    <row r="161" spans="1:45" ht="12.75" customHeight="1">
      <c r="A161" s="52"/>
      <c r="B161" s="52"/>
      <c r="C161" s="554"/>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row>
    <row r="162" spans="1:45" ht="12.75" customHeight="1">
      <c r="A162" s="52"/>
      <c r="B162" s="52"/>
      <c r="C162" s="554"/>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row>
    <row r="163" spans="1:45" ht="12.75" customHeight="1">
      <c r="A163" s="52"/>
      <c r="B163" s="52"/>
      <c r="C163" s="554"/>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row>
    <row r="164" spans="1:45" ht="12.75" customHeight="1">
      <c r="A164" s="52"/>
      <c r="B164" s="52"/>
      <c r="C164" s="554"/>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row>
    <row r="165" spans="1:45" ht="12.75" customHeight="1">
      <c r="A165" s="52"/>
      <c r="B165" s="52"/>
      <c r="C165" s="554"/>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row>
    <row r="166" spans="1:45" ht="12.75" customHeight="1">
      <c r="A166" s="52"/>
      <c r="B166" s="52"/>
      <c r="C166" s="554"/>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row>
    <row r="167" spans="1:45" ht="12.75" customHeight="1">
      <c r="A167" s="52"/>
      <c r="B167" s="52"/>
      <c r="C167" s="554"/>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row>
    <row r="168" spans="1:45" ht="12.75" customHeight="1">
      <c r="A168" s="52"/>
      <c r="B168" s="52"/>
      <c r="C168" s="554"/>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row>
    <row r="169" spans="1:45" ht="12.75" customHeight="1">
      <c r="A169" s="52"/>
      <c r="B169" s="52"/>
      <c r="C169" s="554"/>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row>
    <row r="170" spans="1:45" ht="12.75" customHeight="1">
      <c r="A170" s="52"/>
      <c r="B170" s="52"/>
      <c r="C170" s="554"/>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row>
    <row r="171" spans="1:45" ht="12.75" customHeight="1">
      <c r="A171" s="52"/>
      <c r="B171" s="52"/>
      <c r="C171" s="554"/>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row>
    <row r="172" spans="1:45" ht="12.75" customHeight="1">
      <c r="A172" s="52"/>
      <c r="B172" s="52"/>
      <c r="C172" s="554"/>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row>
    <row r="173" spans="1:45" ht="12.75" customHeight="1">
      <c r="A173" s="52"/>
      <c r="B173" s="52"/>
      <c r="C173" s="554"/>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row>
    <row r="174" spans="1:45" ht="12.75" customHeight="1">
      <c r="A174" s="52"/>
      <c r="B174" s="52"/>
      <c r="C174" s="554"/>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row>
    <row r="175" spans="1:45" ht="12.75" customHeight="1">
      <c r="A175" s="52"/>
      <c r="B175" s="52"/>
      <c r="C175" s="554"/>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row>
    <row r="176" spans="1:45" ht="12.75" customHeight="1">
      <c r="A176" s="52"/>
      <c r="B176" s="52"/>
      <c r="C176" s="554"/>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row>
    <row r="177" spans="1:45" ht="12.75" customHeight="1">
      <c r="A177" s="52"/>
      <c r="B177" s="52"/>
      <c r="C177" s="554"/>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row>
    <row r="178" spans="1:45" ht="12.75" customHeight="1">
      <c r="A178" s="52"/>
      <c r="B178" s="52"/>
      <c r="C178" s="554"/>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row>
    <row r="179" spans="1:45" ht="12.75" customHeight="1">
      <c r="A179" s="52"/>
      <c r="B179" s="52"/>
      <c r="C179" s="554"/>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row>
    <row r="180" spans="1:45" ht="12.75" customHeight="1">
      <c r="A180" s="52"/>
      <c r="B180" s="52"/>
      <c r="C180" s="554"/>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row>
    <row r="181" spans="1:45" ht="12.75" customHeight="1">
      <c r="A181" s="52"/>
      <c r="B181" s="52"/>
      <c r="C181" s="554"/>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row>
    <row r="182" spans="1:45" ht="12.75" customHeight="1">
      <c r="A182" s="52"/>
      <c r="B182" s="52"/>
      <c r="C182" s="554"/>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row>
    <row r="183" spans="1:45" ht="12.75" customHeight="1">
      <c r="A183" s="52"/>
      <c r="B183" s="52"/>
      <c r="C183" s="554"/>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row>
    <row r="184" spans="1:45" ht="12.75" customHeight="1">
      <c r="A184" s="52"/>
      <c r="B184" s="52"/>
      <c r="C184" s="554"/>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row>
    <row r="185" spans="1:45" ht="12.75" customHeight="1">
      <c r="A185" s="52"/>
      <c r="B185" s="52"/>
      <c r="C185" s="554"/>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row>
    <row r="186" spans="1:45" ht="12.75" customHeight="1">
      <c r="A186" s="52"/>
      <c r="B186" s="52"/>
      <c r="C186" s="554"/>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row>
    <row r="187" spans="1:45" ht="12.75" customHeight="1">
      <c r="A187" s="52"/>
      <c r="B187" s="52"/>
      <c r="C187" s="554"/>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row>
    <row r="188" spans="1:45" ht="12.75" customHeight="1">
      <c r="A188" s="52"/>
      <c r="B188" s="52"/>
      <c r="C188" s="554"/>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row>
    <row r="189" spans="1:45" ht="12.75" customHeight="1">
      <c r="A189" s="52"/>
      <c r="B189" s="52"/>
      <c r="C189" s="554"/>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row>
    <row r="190" spans="1:45" ht="12.75" customHeight="1">
      <c r="A190" s="52"/>
      <c r="B190" s="52"/>
      <c r="C190" s="554"/>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row>
    <row r="191" spans="1:45" ht="12.75" customHeight="1">
      <c r="A191" s="52"/>
      <c r="B191" s="52"/>
      <c r="C191" s="554"/>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row>
    <row r="192" spans="1:45" ht="12.75" customHeight="1">
      <c r="A192" s="52"/>
      <c r="B192" s="52"/>
      <c r="C192" s="554"/>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75" customHeight="1">
      <c r="A193" s="52"/>
      <c r="B193" s="52"/>
      <c r="C193" s="554"/>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75" customHeight="1">
      <c r="A194" s="52"/>
      <c r="B194" s="52"/>
      <c r="C194" s="554"/>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75" customHeight="1">
      <c r="A195" s="52"/>
      <c r="B195" s="52"/>
      <c r="C195" s="554"/>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75" customHeight="1">
      <c r="A196" s="52"/>
      <c r="B196" s="52"/>
      <c r="C196" s="554"/>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75" customHeight="1">
      <c r="A197" s="52"/>
      <c r="B197" s="52"/>
      <c r="C197" s="554"/>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75" customHeight="1">
      <c r="A198" s="52"/>
      <c r="B198" s="52"/>
      <c r="C198" s="554"/>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75" customHeight="1">
      <c r="A199" s="52"/>
      <c r="B199" s="52"/>
      <c r="C199" s="554"/>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75" customHeight="1">
      <c r="A200" s="52"/>
      <c r="B200" s="52"/>
      <c r="C200" s="554"/>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75" customHeight="1">
      <c r="A201" s="52"/>
      <c r="B201" s="52"/>
      <c r="C201" s="554"/>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75" customHeight="1">
      <c r="A202" s="52"/>
      <c r="B202" s="52"/>
      <c r="C202" s="554"/>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75" customHeight="1">
      <c r="A203" s="52"/>
      <c r="B203" s="52"/>
      <c r="C203" s="554"/>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75" customHeight="1">
      <c r="A204" s="52"/>
      <c r="B204" s="52"/>
      <c r="C204" s="554"/>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75" customHeight="1">
      <c r="A205" s="52"/>
      <c r="B205" s="52"/>
      <c r="C205" s="554"/>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75" customHeight="1">
      <c r="A206" s="52"/>
      <c r="B206" s="52"/>
      <c r="C206" s="554"/>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75" customHeight="1">
      <c r="A207" s="52"/>
      <c r="B207" s="52"/>
      <c r="C207" s="554"/>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75" customHeight="1">
      <c r="A208" s="52"/>
      <c r="B208" s="52"/>
      <c r="C208" s="554"/>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75" customHeight="1">
      <c r="A209" s="52"/>
      <c r="B209" s="52"/>
      <c r="C209" s="554"/>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75" customHeight="1">
      <c r="A210" s="52"/>
      <c r="B210" s="52"/>
      <c r="C210" s="554"/>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75" customHeight="1">
      <c r="A211" s="52"/>
      <c r="B211" s="52"/>
      <c r="C211" s="554"/>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75" customHeight="1">
      <c r="A212" s="52"/>
      <c r="B212" s="52"/>
      <c r="C212" s="554"/>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75" customHeight="1">
      <c r="A213" s="52"/>
      <c r="B213" s="52"/>
      <c r="C213" s="554"/>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75" customHeight="1">
      <c r="A214" s="52"/>
      <c r="B214" s="52"/>
      <c r="C214" s="554"/>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75" customHeight="1">
      <c r="A215" s="52"/>
      <c r="B215" s="52"/>
      <c r="C215" s="554"/>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75" customHeight="1">
      <c r="A216" s="52"/>
      <c r="B216" s="52"/>
      <c r="C216" s="554"/>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75" customHeight="1">
      <c r="A217" s="52"/>
      <c r="B217" s="52"/>
      <c r="C217" s="554"/>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75" customHeight="1">
      <c r="A218" s="52"/>
      <c r="B218" s="52"/>
      <c r="C218" s="554"/>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75" customHeight="1">
      <c r="A219" s="52"/>
      <c r="B219" s="52"/>
      <c r="C219" s="554"/>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75" customHeight="1">
      <c r="A220" s="52"/>
      <c r="B220" s="52"/>
      <c r="C220" s="554"/>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75" customHeight="1">
      <c r="A221" s="52"/>
      <c r="B221" s="52"/>
      <c r="C221" s="554"/>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75" customHeight="1">
      <c r="A222" s="52"/>
      <c r="B222" s="52"/>
      <c r="C222" s="554"/>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75" customHeight="1">
      <c r="A223" s="52"/>
      <c r="B223" s="52"/>
      <c r="C223" s="554"/>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75" customHeight="1">
      <c r="A224" s="52"/>
      <c r="B224" s="52"/>
      <c r="C224" s="554"/>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75" customHeight="1">
      <c r="A225" s="52"/>
      <c r="B225" s="52"/>
      <c r="C225" s="554"/>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75" customHeight="1">
      <c r="A226" s="52"/>
      <c r="B226" s="52"/>
      <c r="C226" s="554"/>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75" customHeight="1">
      <c r="A227" s="52"/>
      <c r="B227" s="52"/>
      <c r="C227" s="554"/>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75" customHeight="1">
      <c r="A228" s="52"/>
      <c r="B228" s="52"/>
      <c r="C228" s="554"/>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75" customHeight="1">
      <c r="A229" s="52"/>
      <c r="B229" s="52"/>
      <c r="C229" s="554"/>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75" customHeight="1">
      <c r="A230" s="52"/>
      <c r="B230" s="52"/>
      <c r="C230" s="554"/>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75" customHeight="1">
      <c r="A231" s="52"/>
      <c r="B231" s="52"/>
      <c r="C231" s="554"/>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75" customHeight="1">
      <c r="A232" s="52"/>
      <c r="B232" s="52"/>
      <c r="C232" s="554"/>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75" customHeight="1">
      <c r="A233" s="52"/>
      <c r="B233" s="52"/>
      <c r="C233" s="554"/>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75" customHeight="1">
      <c r="A234" s="52"/>
      <c r="B234" s="52"/>
      <c r="C234" s="554"/>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75" customHeight="1">
      <c r="A235" s="52"/>
      <c r="B235" s="52"/>
      <c r="C235" s="554"/>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75" customHeight="1">
      <c r="A236" s="52"/>
      <c r="B236" s="52"/>
      <c r="C236" s="554"/>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75" customHeight="1">
      <c r="A237" s="52"/>
      <c r="B237" s="52"/>
      <c r="C237" s="554"/>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75" customHeight="1">
      <c r="A238" s="52"/>
      <c r="B238" s="52"/>
      <c r="C238" s="554"/>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75" customHeight="1">
      <c r="A239" s="52"/>
      <c r="B239" s="52"/>
      <c r="C239" s="554"/>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75" customHeight="1">
      <c r="A240" s="52"/>
      <c r="B240" s="52"/>
      <c r="C240" s="554"/>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75" customHeight="1">
      <c r="A241" s="52"/>
      <c r="B241" s="52"/>
      <c r="C241" s="554"/>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75" customHeight="1">
      <c r="A242" s="52"/>
      <c r="B242" s="52"/>
      <c r="C242" s="554"/>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75" customHeight="1">
      <c r="A243" s="52"/>
      <c r="B243" s="52"/>
      <c r="C243" s="554"/>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75" customHeight="1">
      <c r="A244" s="52"/>
      <c r="B244" s="52"/>
      <c r="C244" s="554"/>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75" customHeight="1">
      <c r="A245" s="52"/>
      <c r="B245" s="52"/>
      <c r="C245" s="554"/>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75" customHeight="1">
      <c r="A246" s="52"/>
      <c r="B246" s="52"/>
      <c r="C246" s="554"/>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75" customHeight="1">
      <c r="A247" s="52"/>
      <c r="B247" s="52"/>
      <c r="C247" s="554"/>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75" customHeight="1">
      <c r="A248" s="52"/>
      <c r="B248" s="52"/>
      <c r="C248" s="554"/>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75" customHeight="1">
      <c r="A249" s="52"/>
      <c r="B249" s="52"/>
      <c r="C249" s="554"/>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75" customHeight="1">
      <c r="A250" s="52"/>
      <c r="B250" s="52"/>
      <c r="C250" s="554"/>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75" customHeight="1">
      <c r="A251" s="52"/>
      <c r="B251" s="52"/>
      <c r="C251" s="554"/>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75" customHeight="1">
      <c r="A252" s="52"/>
      <c r="B252" s="52"/>
      <c r="C252" s="554"/>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75" customHeight="1">
      <c r="A253" s="52"/>
      <c r="B253" s="52"/>
      <c r="C253" s="554"/>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75" customHeight="1">
      <c r="A254" s="52"/>
      <c r="B254" s="52"/>
      <c r="C254" s="554"/>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75" customHeight="1">
      <c r="A255" s="52"/>
      <c r="B255" s="52"/>
      <c r="C255" s="554"/>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75" customHeight="1">
      <c r="A256" s="52"/>
      <c r="B256" s="52"/>
      <c r="C256" s="554"/>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75" customHeight="1">
      <c r="A257" s="52"/>
      <c r="B257" s="52"/>
      <c r="C257" s="554"/>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75" customHeight="1">
      <c r="A258" s="52"/>
      <c r="B258" s="52"/>
      <c r="C258" s="554"/>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75" customHeight="1">
      <c r="A259" s="52"/>
      <c r="B259" s="52"/>
      <c r="C259" s="554"/>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75" customHeight="1">
      <c r="A260" s="52"/>
      <c r="B260" s="52"/>
      <c r="C260" s="554"/>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75" customHeight="1">
      <c r="A261" s="52"/>
      <c r="B261" s="52"/>
      <c r="C261" s="554"/>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75" customHeight="1">
      <c r="A262" s="52"/>
      <c r="B262" s="52"/>
      <c r="C262" s="554"/>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75" customHeight="1">
      <c r="A263" s="52"/>
      <c r="B263" s="52"/>
      <c r="C263" s="554"/>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75" customHeight="1">
      <c r="A264" s="52"/>
      <c r="B264" s="52"/>
      <c r="C264" s="554"/>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75" customHeight="1">
      <c r="A265" s="52"/>
      <c r="B265" s="52"/>
      <c r="C265" s="554"/>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75" customHeight="1">
      <c r="A266" s="52"/>
      <c r="B266" s="52"/>
      <c r="C266" s="554"/>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75" customHeight="1">
      <c r="A267" s="52"/>
      <c r="B267" s="52"/>
      <c r="C267" s="554"/>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75" customHeight="1">
      <c r="A268" s="52"/>
      <c r="B268" s="52"/>
      <c r="C268" s="554"/>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75" customHeight="1">
      <c r="A269" s="52"/>
      <c r="B269" s="52"/>
      <c r="C269" s="554"/>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75" customHeight="1">
      <c r="A270" s="52"/>
      <c r="B270" s="52"/>
      <c r="C270" s="554"/>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75" customHeight="1">
      <c r="A271" s="52"/>
      <c r="B271" s="52"/>
      <c r="C271" s="554"/>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75" customHeight="1">
      <c r="A272" s="52"/>
      <c r="B272" s="52"/>
      <c r="C272" s="554"/>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75" customHeight="1">
      <c r="A273" s="52"/>
      <c r="B273" s="52"/>
      <c r="C273" s="554"/>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75" customHeight="1">
      <c r="A274" s="52"/>
      <c r="B274" s="52"/>
      <c r="C274" s="554"/>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75" customHeight="1">
      <c r="A275" s="52"/>
      <c r="B275" s="52"/>
      <c r="C275" s="554"/>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75" customHeight="1">
      <c r="A276" s="52"/>
      <c r="B276" s="52"/>
      <c r="C276" s="554"/>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75" customHeight="1">
      <c r="A277" s="52"/>
      <c r="B277" s="52"/>
      <c r="C277" s="554"/>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75" customHeight="1">
      <c r="A278" s="52"/>
      <c r="B278" s="52"/>
      <c r="C278" s="554"/>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75" customHeight="1">
      <c r="A279" s="52"/>
      <c r="B279" s="52"/>
      <c r="C279" s="554"/>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75" customHeight="1">
      <c r="A280" s="52"/>
      <c r="B280" s="52"/>
      <c r="C280" s="554"/>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75" customHeight="1">
      <c r="A281" s="52"/>
      <c r="B281" s="52"/>
      <c r="C281" s="554"/>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75" customHeight="1">
      <c r="A282" s="52"/>
      <c r="B282" s="52"/>
      <c r="C282" s="554"/>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75" customHeight="1">
      <c r="A283" s="52"/>
      <c r="B283" s="52"/>
      <c r="C283" s="554"/>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 ref="B62:D62"/>
    <mergeCell ref="U13:U14"/>
    <mergeCell ref="V13:V14"/>
    <mergeCell ref="AB13:AB14"/>
    <mergeCell ref="AC13:AC14"/>
    <mergeCell ref="D13:D14"/>
    <mergeCell ref="N13:N14"/>
    <mergeCell ref="O13:O14"/>
    <mergeCell ref="B55:D55"/>
    <mergeCell ref="B56:D56"/>
    <mergeCell ref="B61:D61"/>
  </mergeCells>
  <dataValidations count="3">
    <dataValidation type="list" allowBlank="1" showErrorMessage="1" sqref="D8" xr:uid="{00000000-0002-0000-2600-000000000000}">
      <formula1>"TOU,non-TOU"</formula1>
    </dataValidation>
    <dataValidation type="list" allowBlank="1" showErrorMessage="1" sqref="E15:E28 E30:E38 E40:E41 E43:E51 E57 E63" xr:uid="{00000000-0002-0000-2600-000001000000}">
      <formula1>#REF!</formula1>
    </dataValidation>
    <dataValidation type="list" allowBlank="1" showInputMessage="1" showErrorMessage="1" prompt="Select Charge Unit - monthly, per kWh, per kW" sqref="D15:D28 D30:D38 D40:D41 D43:D51 D57 D63" xr:uid="{00000000-0002-0000-2600-000002000000}">
      <formula1>"Monthly,per kWh,per kW"</formula1>
    </dataValidation>
  </dataValidations>
  <pageMargins left="0.74803149606299213" right="0.74803149606299213" top="0.98425196850393704" bottom="0.98425196850393704"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19"/>
  <sheetViews>
    <sheetView topLeftCell="A463" workbookViewId="0">
      <selection activeCell="D480" sqref="D480"/>
    </sheetView>
  </sheetViews>
  <sheetFormatPr defaultColWidth="12.5703125" defaultRowHeight="15" customHeight="1"/>
  <cols>
    <col min="1" max="1" width="66.42578125" customWidth="1"/>
    <col min="2" max="2" width="2.42578125" customWidth="1"/>
    <col min="3" max="3" width="10.42578125" customWidth="1"/>
    <col min="4" max="4" width="9.42578125" customWidth="1"/>
    <col min="5" max="24" width="9.140625" customWidth="1"/>
  </cols>
  <sheetData>
    <row r="1" spans="1:26" ht="23.25" customHeight="1">
      <c r="A1" s="600" t="s">
        <v>26</v>
      </c>
      <c r="B1" s="601"/>
      <c r="C1" s="601"/>
      <c r="D1" s="602"/>
      <c r="E1" s="53"/>
      <c r="F1" s="53"/>
      <c r="G1" s="53"/>
      <c r="H1" s="53"/>
      <c r="I1" s="53"/>
      <c r="J1" s="53"/>
      <c r="K1" s="53"/>
      <c r="L1" s="53"/>
      <c r="M1" s="53"/>
      <c r="N1" s="53"/>
      <c r="O1" s="53"/>
      <c r="P1" s="53"/>
      <c r="Q1" s="53"/>
      <c r="R1" s="53"/>
      <c r="S1" s="53"/>
      <c r="T1" s="53"/>
      <c r="U1" s="53"/>
      <c r="V1" s="53"/>
      <c r="W1" s="53"/>
      <c r="X1" s="53"/>
      <c r="Y1" s="53"/>
      <c r="Z1" s="53"/>
    </row>
    <row r="2" spans="1:26" ht="18" customHeight="1">
      <c r="A2" s="603" t="s">
        <v>27</v>
      </c>
      <c r="B2" s="601"/>
      <c r="C2" s="601"/>
      <c r="D2" s="602"/>
      <c r="E2" s="53"/>
      <c r="F2" s="53"/>
      <c r="G2" s="53"/>
      <c r="H2" s="53"/>
      <c r="I2" s="53"/>
      <c r="J2" s="53"/>
      <c r="K2" s="53"/>
      <c r="L2" s="53"/>
      <c r="M2" s="53"/>
      <c r="N2" s="53"/>
      <c r="O2" s="53"/>
      <c r="P2" s="53"/>
      <c r="Q2" s="53"/>
      <c r="R2" s="53"/>
      <c r="S2" s="53"/>
      <c r="T2" s="53"/>
      <c r="U2" s="53"/>
      <c r="V2" s="53"/>
      <c r="W2" s="53"/>
      <c r="X2" s="53"/>
      <c r="Y2" s="53"/>
      <c r="Z2" s="53"/>
    </row>
    <row r="3" spans="1:26" ht="15.75" customHeight="1">
      <c r="A3" s="604" t="s">
        <v>212</v>
      </c>
      <c r="B3" s="601"/>
      <c r="C3" s="601"/>
      <c r="D3" s="602"/>
      <c r="E3" s="53"/>
      <c r="F3" s="53"/>
      <c r="G3" s="53"/>
      <c r="H3" s="53"/>
      <c r="I3" s="53"/>
      <c r="J3" s="53"/>
      <c r="K3" s="53"/>
      <c r="L3" s="53"/>
      <c r="M3" s="53"/>
      <c r="N3" s="53"/>
      <c r="O3" s="53"/>
      <c r="P3" s="53"/>
      <c r="Q3" s="53"/>
      <c r="R3" s="53"/>
      <c r="S3" s="53"/>
      <c r="T3" s="53"/>
      <c r="U3" s="53"/>
      <c r="V3" s="53"/>
      <c r="W3" s="53"/>
      <c r="X3" s="53"/>
      <c r="Y3" s="53"/>
      <c r="Z3" s="53"/>
    </row>
    <row r="4" spans="1:26" ht="11.25" customHeight="1">
      <c r="A4" s="605" t="s">
        <v>29</v>
      </c>
      <c r="B4" s="601"/>
      <c r="C4" s="601"/>
      <c r="D4" s="602"/>
      <c r="E4" s="53"/>
      <c r="F4" s="53"/>
      <c r="G4" s="53"/>
      <c r="H4" s="53"/>
      <c r="I4" s="53"/>
      <c r="J4" s="53"/>
      <c r="K4" s="53"/>
      <c r="L4" s="53"/>
      <c r="M4" s="53"/>
      <c r="N4" s="53"/>
      <c r="O4" s="53"/>
      <c r="P4" s="53"/>
      <c r="Q4" s="53"/>
      <c r="R4" s="53"/>
      <c r="S4" s="53"/>
      <c r="T4" s="53"/>
      <c r="U4" s="53"/>
      <c r="V4" s="53"/>
      <c r="W4" s="53"/>
      <c r="X4" s="53"/>
      <c r="Y4" s="53"/>
      <c r="Z4" s="53"/>
    </row>
    <row r="5" spans="1:26" ht="11.25" customHeight="1">
      <c r="A5" s="605" t="s">
        <v>30</v>
      </c>
      <c r="B5" s="601"/>
      <c r="C5" s="601"/>
      <c r="D5" s="602"/>
      <c r="E5" s="53"/>
      <c r="F5" s="53"/>
      <c r="G5" s="53"/>
      <c r="H5" s="53"/>
      <c r="I5" s="53"/>
      <c r="J5" s="53"/>
      <c r="K5" s="53"/>
      <c r="L5" s="53"/>
      <c r="M5" s="53"/>
      <c r="N5" s="53"/>
      <c r="O5" s="53"/>
      <c r="P5" s="53"/>
      <c r="Q5" s="53"/>
      <c r="R5" s="53"/>
      <c r="S5" s="53"/>
      <c r="T5" s="53"/>
      <c r="U5" s="53"/>
      <c r="V5" s="53"/>
      <c r="W5" s="53"/>
      <c r="X5" s="53"/>
      <c r="Y5" s="53"/>
      <c r="Z5" s="53"/>
    </row>
    <row r="6" spans="1:26" ht="11.25" customHeight="1">
      <c r="A6" s="606" t="s">
        <v>31</v>
      </c>
      <c r="B6" s="601"/>
      <c r="C6" s="601"/>
      <c r="D6" s="602"/>
      <c r="E6" s="53"/>
      <c r="F6" s="53"/>
      <c r="G6" s="53"/>
      <c r="H6" s="53"/>
      <c r="I6" s="53"/>
      <c r="J6" s="53"/>
      <c r="K6" s="53"/>
      <c r="L6" s="53"/>
      <c r="M6" s="53"/>
      <c r="N6" s="53"/>
      <c r="O6" s="53"/>
      <c r="P6" s="53"/>
      <c r="Q6" s="53"/>
      <c r="R6" s="53"/>
      <c r="S6" s="53"/>
      <c r="T6" s="53"/>
      <c r="U6" s="53"/>
      <c r="V6" s="53"/>
      <c r="W6" s="53"/>
      <c r="X6" s="53"/>
      <c r="Y6" s="53"/>
      <c r="Z6" s="53"/>
    </row>
    <row r="7" spans="1:26" ht="18.75" customHeight="1">
      <c r="A7" s="607" t="s">
        <v>32</v>
      </c>
      <c r="B7" s="601"/>
      <c r="C7" s="601"/>
      <c r="D7" s="602"/>
      <c r="E7" s="53"/>
      <c r="F7" s="53"/>
      <c r="G7" s="53"/>
      <c r="H7" s="53"/>
      <c r="I7" s="53"/>
      <c r="J7" s="53"/>
      <c r="K7" s="53"/>
      <c r="L7" s="53"/>
      <c r="M7" s="53"/>
      <c r="N7" s="53"/>
      <c r="O7" s="53"/>
      <c r="P7" s="53"/>
      <c r="Q7" s="53"/>
      <c r="R7" s="53"/>
      <c r="S7" s="53"/>
      <c r="T7" s="53"/>
      <c r="U7" s="53"/>
      <c r="V7" s="53"/>
      <c r="W7" s="53"/>
      <c r="X7" s="53"/>
      <c r="Y7" s="53"/>
      <c r="Z7" s="53"/>
    </row>
    <row r="8" spans="1:26" ht="72" customHeight="1">
      <c r="A8" s="608" t="s">
        <v>33</v>
      </c>
      <c r="B8" s="601"/>
      <c r="C8" s="601"/>
      <c r="D8" s="602"/>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9" t="s">
        <v>34</v>
      </c>
      <c r="B10" s="601"/>
      <c r="C10" s="601"/>
      <c r="D10" s="602"/>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8" t="s">
        <v>35</v>
      </c>
      <c r="B12" s="601"/>
      <c r="C12" s="601"/>
      <c r="D12" s="602"/>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8" t="s">
        <v>36</v>
      </c>
      <c r="B14" s="601"/>
      <c r="C14" s="601"/>
      <c r="D14" s="602"/>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8" t="s">
        <v>37</v>
      </c>
      <c r="B16" s="601"/>
      <c r="C16" s="601"/>
      <c r="D16" s="602"/>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8" t="s">
        <v>38</v>
      </c>
      <c r="B18" s="601"/>
      <c r="C18" s="601"/>
      <c r="D18" s="602"/>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610" t="s">
        <v>39</v>
      </c>
      <c r="B20" s="601"/>
      <c r="C20" s="601"/>
      <c r="D20" s="602"/>
      <c r="E20" s="53"/>
      <c r="F20" s="53"/>
      <c r="G20" s="53"/>
      <c r="H20" s="53"/>
      <c r="I20" s="53"/>
      <c r="J20" s="53"/>
      <c r="K20" s="53"/>
      <c r="L20" s="53"/>
      <c r="M20" s="53"/>
      <c r="N20" s="53"/>
      <c r="O20" s="53"/>
      <c r="P20" s="53"/>
      <c r="Q20" s="53"/>
      <c r="R20" s="53"/>
      <c r="S20" s="53"/>
      <c r="T20" s="53"/>
      <c r="U20" s="53"/>
      <c r="V20" s="53"/>
      <c r="W20" s="53"/>
      <c r="X20" s="53"/>
      <c r="Y20" s="53"/>
      <c r="Z20" s="53"/>
    </row>
    <row r="21" spans="1:26" ht="6"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1.25" customHeight="1">
      <c r="A22" s="62" t="s">
        <v>40</v>
      </c>
      <c r="B22" s="63"/>
      <c r="C22" s="64" t="s">
        <v>41</v>
      </c>
      <c r="D22" s="284">
        <f>'Proposed Rates'!G8</f>
        <v>42.64</v>
      </c>
      <c r="E22" s="53"/>
      <c r="F22" s="53"/>
      <c r="G22" s="53"/>
      <c r="H22" s="53"/>
      <c r="I22" s="53"/>
      <c r="J22" s="53"/>
      <c r="K22" s="53"/>
      <c r="L22" s="53"/>
      <c r="M22" s="53"/>
      <c r="N22" s="53"/>
      <c r="O22" s="53"/>
      <c r="P22" s="53"/>
      <c r="Q22" s="53"/>
      <c r="R22" s="53"/>
      <c r="S22" s="53"/>
      <c r="T22" s="53"/>
      <c r="U22" s="53"/>
      <c r="V22" s="53"/>
      <c r="W22" s="53"/>
      <c r="X22" s="53"/>
      <c r="Y22" s="53"/>
      <c r="Z22" s="53"/>
    </row>
    <row r="23" spans="1:26" ht="15" hidden="1" customHeight="1">
      <c r="A23" s="62" t="s">
        <v>42</v>
      </c>
      <c r="B23" s="63"/>
      <c r="C23" s="64" t="s">
        <v>41</v>
      </c>
      <c r="D23" s="285">
        <f>'Proposed Rates'!G90</f>
        <v>0</v>
      </c>
      <c r="E23" s="53"/>
      <c r="F23" s="53"/>
      <c r="G23" s="53"/>
      <c r="H23" s="53"/>
      <c r="I23" s="53"/>
      <c r="J23" s="53"/>
      <c r="K23" s="53"/>
      <c r="L23" s="53"/>
      <c r="M23" s="53"/>
      <c r="N23" s="53"/>
      <c r="O23" s="53"/>
      <c r="P23" s="53"/>
      <c r="Q23" s="53"/>
      <c r="R23" s="53"/>
      <c r="S23" s="53"/>
      <c r="T23" s="53"/>
      <c r="U23" s="53"/>
      <c r="V23" s="53"/>
      <c r="W23" s="53"/>
      <c r="X23" s="53"/>
      <c r="Y23" s="53"/>
      <c r="Z23" s="53"/>
    </row>
    <row r="24" spans="1:26" ht="15" hidden="1" customHeight="1">
      <c r="A24" s="62" t="s">
        <v>43</v>
      </c>
      <c r="B24" s="63"/>
      <c r="C24" s="64" t="s">
        <v>41</v>
      </c>
      <c r="D24" s="285">
        <f>'Proposed Rates'!G64</f>
        <v>0</v>
      </c>
      <c r="E24" s="53"/>
      <c r="F24" s="53"/>
      <c r="G24" s="53"/>
      <c r="H24" s="53"/>
      <c r="I24" s="53"/>
      <c r="J24" s="53"/>
      <c r="K24" s="53"/>
      <c r="L24" s="53"/>
      <c r="M24" s="53"/>
      <c r="N24" s="53"/>
      <c r="O24" s="53"/>
      <c r="P24" s="53"/>
      <c r="Q24" s="53"/>
      <c r="R24" s="53"/>
      <c r="S24" s="53"/>
      <c r="T24" s="53"/>
      <c r="U24" s="53"/>
      <c r="V24" s="53"/>
      <c r="W24" s="53"/>
      <c r="X24" s="53"/>
      <c r="Y24" s="53"/>
      <c r="Z24" s="53"/>
    </row>
    <row r="25" spans="1:26" ht="11.25" customHeight="1">
      <c r="A25" s="62" t="s">
        <v>44</v>
      </c>
      <c r="B25" s="63"/>
      <c r="C25" s="64" t="s">
        <v>41</v>
      </c>
      <c r="D25" s="286">
        <f>'Proposed Rates'!G277</f>
        <v>0.42</v>
      </c>
      <c r="E25" s="53"/>
      <c r="F25" s="53"/>
      <c r="G25" s="53"/>
      <c r="H25" s="53"/>
      <c r="I25" s="53"/>
      <c r="J25" s="53"/>
      <c r="K25" s="53"/>
      <c r="L25" s="53"/>
      <c r="M25" s="53"/>
      <c r="N25" s="53"/>
      <c r="O25" s="53"/>
      <c r="P25" s="53"/>
      <c r="Q25" s="53"/>
      <c r="R25" s="53"/>
      <c r="S25" s="53"/>
      <c r="T25" s="53"/>
      <c r="U25" s="53"/>
      <c r="V25" s="53"/>
      <c r="W25" s="53"/>
      <c r="X25" s="53"/>
      <c r="Y25" s="53"/>
      <c r="Z25" s="53"/>
    </row>
    <row r="26" spans="1:26" ht="11.25" customHeight="1">
      <c r="A26" s="62" t="s">
        <v>45</v>
      </c>
      <c r="B26" s="63"/>
      <c r="C26" s="64" t="s">
        <v>46</v>
      </c>
      <c r="D26" s="287">
        <f>'Proposed Rates'!G264</f>
        <v>6.9999999999999994E-5</v>
      </c>
      <c r="E26" s="53"/>
      <c r="F26" s="53"/>
      <c r="G26" s="53"/>
      <c r="H26" s="53"/>
      <c r="I26" s="53"/>
      <c r="J26" s="53"/>
      <c r="K26" s="53"/>
      <c r="L26" s="53"/>
      <c r="M26" s="53"/>
      <c r="N26" s="53"/>
      <c r="O26" s="53"/>
      <c r="P26" s="53"/>
      <c r="Q26" s="53"/>
      <c r="R26" s="53"/>
      <c r="S26" s="53"/>
      <c r="T26" s="53"/>
      <c r="U26" s="53"/>
      <c r="V26" s="53"/>
      <c r="W26" s="53"/>
      <c r="X26" s="53"/>
      <c r="Y26" s="53"/>
      <c r="Z26" s="53"/>
    </row>
    <row r="27" spans="1:26" ht="15" hidden="1" customHeight="1">
      <c r="A27" s="62" t="s">
        <v>47</v>
      </c>
      <c r="B27" s="63"/>
      <c r="C27" s="64" t="s">
        <v>46</v>
      </c>
      <c r="D27" s="285">
        <f>'Proposed Rates'!G37</f>
        <v>0</v>
      </c>
      <c r="E27" s="53"/>
      <c r="F27" s="53"/>
      <c r="G27" s="53"/>
      <c r="H27" s="53"/>
      <c r="I27" s="53"/>
      <c r="J27" s="53"/>
      <c r="K27" s="53"/>
      <c r="L27" s="53"/>
      <c r="M27" s="53"/>
      <c r="N27" s="53"/>
      <c r="O27" s="53"/>
      <c r="P27" s="53"/>
      <c r="Q27" s="53"/>
      <c r="R27" s="53"/>
      <c r="S27" s="53"/>
      <c r="T27" s="53"/>
      <c r="U27" s="53"/>
      <c r="V27" s="53"/>
      <c r="W27" s="53"/>
      <c r="X27" s="53"/>
      <c r="Y27" s="53"/>
      <c r="Z27" s="53"/>
    </row>
    <row r="28" spans="1:26" ht="15" hidden="1" customHeight="1">
      <c r="A28" s="62" t="s">
        <v>48</v>
      </c>
      <c r="B28" s="63"/>
      <c r="C28" s="64" t="s">
        <v>46</v>
      </c>
      <c r="D28" s="285">
        <f>'Proposed Rates'!G142</f>
        <v>0</v>
      </c>
      <c r="E28" s="53"/>
      <c r="F28" s="53"/>
      <c r="G28" s="53"/>
      <c r="H28" s="53"/>
      <c r="I28" s="53"/>
      <c r="J28" s="53"/>
      <c r="K28" s="53"/>
      <c r="L28" s="53"/>
      <c r="M28" s="53"/>
      <c r="N28" s="53"/>
      <c r="O28" s="53"/>
      <c r="P28" s="53"/>
      <c r="Q28" s="53"/>
      <c r="R28" s="53"/>
      <c r="S28" s="53"/>
      <c r="T28" s="53"/>
      <c r="U28" s="53"/>
      <c r="V28" s="53"/>
      <c r="W28" s="53"/>
      <c r="X28" s="53"/>
      <c r="Y28" s="53"/>
      <c r="Z28" s="53"/>
    </row>
    <row r="29" spans="1:26" ht="11.25" customHeight="1">
      <c r="A29" s="62" t="s">
        <v>49</v>
      </c>
      <c r="B29" s="63"/>
      <c r="C29" s="64" t="s">
        <v>46</v>
      </c>
      <c r="D29" s="285">
        <f>'Proposed Rates'!G183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1.25" customHeight="1">
      <c r="A30" s="62" t="s">
        <v>50</v>
      </c>
      <c r="B30" s="63"/>
      <c r="C30" s="64" t="s">
        <v>46</v>
      </c>
      <c r="D30" s="285">
        <f>'Proposed Rates'!G198</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1.25" customHeight="1">
      <c r="A34" s="62" t="s">
        <v>52</v>
      </c>
      <c r="B34" s="63"/>
      <c r="C34" s="64" t="s">
        <v>46</v>
      </c>
      <c r="D34" s="69">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1.25" customHeight="1">
      <c r="A35" s="62" t="s">
        <v>53</v>
      </c>
      <c r="B35" s="63"/>
      <c r="C35" s="64" t="s">
        <v>46</v>
      </c>
      <c r="D35" s="66">
        <f>'Proposed Rates'!G213-'2026'!D35</f>
        <v>5.9999999999999984E-4</v>
      </c>
      <c r="E35" s="53"/>
      <c r="F35" s="53"/>
      <c r="G35" s="53"/>
      <c r="H35" s="53"/>
      <c r="I35" s="53"/>
      <c r="J35" s="53"/>
      <c r="K35" s="53"/>
      <c r="L35" s="53"/>
      <c r="M35" s="53"/>
      <c r="N35" s="53"/>
      <c r="O35" s="53"/>
      <c r="P35" s="53"/>
      <c r="Q35" s="53"/>
      <c r="R35" s="53"/>
      <c r="S35" s="53"/>
      <c r="T35" s="53"/>
      <c r="U35" s="53"/>
      <c r="V35" s="53"/>
      <c r="W35" s="53"/>
      <c r="X35" s="53"/>
      <c r="Y35" s="53"/>
      <c r="Z35" s="53"/>
    </row>
    <row r="36" spans="1:26" ht="11.25" customHeight="1">
      <c r="A36" s="62" t="s">
        <v>54</v>
      </c>
      <c r="B36" s="63"/>
      <c r="C36" s="64" t="s">
        <v>46</v>
      </c>
      <c r="D36" s="66">
        <f>'Proposed Rates'!G226</f>
        <v>5.9999999999999995E-4</v>
      </c>
      <c r="E36" s="53"/>
      <c r="F36" s="53"/>
      <c r="G36" s="53"/>
      <c r="H36" s="53"/>
      <c r="I36" s="53"/>
      <c r="J36" s="53"/>
      <c r="K36" s="53"/>
      <c r="L36" s="53"/>
      <c r="M36" s="53"/>
      <c r="N36" s="53"/>
      <c r="O36" s="53"/>
      <c r="P36" s="53"/>
      <c r="Q36" s="53"/>
      <c r="R36" s="53"/>
      <c r="S36" s="53"/>
      <c r="T36" s="53"/>
      <c r="U36" s="53"/>
      <c r="V36" s="53"/>
      <c r="W36" s="53"/>
      <c r="X36" s="53"/>
      <c r="Y36" s="53"/>
      <c r="Z36" s="53"/>
    </row>
    <row r="37" spans="1:26" ht="11.25" customHeight="1">
      <c r="A37" s="62" t="s">
        <v>55</v>
      </c>
      <c r="B37" s="63"/>
      <c r="C37" s="64" t="s">
        <v>41</v>
      </c>
      <c r="D37" s="66">
        <f>'Proposed Rates'!G240</f>
        <v>0.25</v>
      </c>
      <c r="E37" s="53"/>
      <c r="F37" s="53"/>
      <c r="G37" s="53"/>
      <c r="H37" s="53"/>
      <c r="I37" s="53"/>
      <c r="J37" s="53"/>
      <c r="K37" s="53"/>
      <c r="L37" s="53"/>
      <c r="M37" s="53"/>
      <c r="N37" s="53"/>
      <c r="O37" s="53"/>
      <c r="P37" s="53"/>
      <c r="Q37" s="53"/>
      <c r="R37" s="53"/>
      <c r="S37" s="53"/>
      <c r="T37" s="53"/>
      <c r="U37" s="53"/>
      <c r="V37" s="53"/>
      <c r="W37" s="53"/>
      <c r="X37" s="53"/>
      <c r="Y37" s="53"/>
      <c r="Z37" s="53"/>
    </row>
    <row r="38" spans="1:26" ht="4.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3.25" customHeight="1">
      <c r="A39" s="600" t="str">
        <f>$A$1</f>
        <v>Hydro Ottawa Limited</v>
      </c>
      <c r="B39" s="601"/>
      <c r="C39" s="601"/>
      <c r="D39" s="602"/>
      <c r="E39" s="53"/>
      <c r="F39" s="53"/>
      <c r="G39" s="53"/>
      <c r="H39" s="53"/>
      <c r="I39" s="53"/>
      <c r="J39" s="53"/>
      <c r="K39" s="53"/>
      <c r="L39" s="53"/>
      <c r="M39" s="53"/>
      <c r="N39" s="53"/>
      <c r="O39" s="53"/>
      <c r="P39" s="53"/>
      <c r="Q39" s="53"/>
      <c r="R39" s="53"/>
      <c r="S39" s="53"/>
      <c r="T39" s="53"/>
      <c r="U39" s="53"/>
      <c r="V39" s="53"/>
      <c r="W39" s="53"/>
      <c r="X39" s="53"/>
      <c r="Y39" s="53"/>
      <c r="Z39" s="53"/>
    </row>
    <row r="40" spans="1:26" ht="18" customHeight="1">
      <c r="A40" s="603" t="str">
        <f>$A$2</f>
        <v>PROPOSED - TARIFF OF RATES AND CHARGES</v>
      </c>
      <c r="B40" s="601"/>
      <c r="C40" s="601"/>
      <c r="D40" s="602"/>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604" t="str">
        <f>$A$3</f>
        <v>Effective and Implementation Date January 1, 2027</v>
      </c>
      <c r="B41" s="601"/>
      <c r="C41" s="601"/>
      <c r="D41" s="602"/>
      <c r="E41" s="53"/>
      <c r="F41" s="53"/>
      <c r="G41" s="53"/>
      <c r="H41" s="53"/>
      <c r="I41" s="53"/>
      <c r="J41" s="53"/>
      <c r="K41" s="53"/>
      <c r="L41" s="53"/>
      <c r="M41" s="53"/>
      <c r="N41" s="53"/>
      <c r="O41" s="53"/>
      <c r="P41" s="53"/>
      <c r="Q41" s="53"/>
      <c r="R41" s="53"/>
      <c r="S41" s="53"/>
      <c r="T41" s="53"/>
      <c r="U41" s="53"/>
      <c r="V41" s="53"/>
      <c r="W41" s="53"/>
      <c r="X41" s="53"/>
      <c r="Y41" s="53"/>
      <c r="Z41" s="53"/>
    </row>
    <row r="42" spans="1:26" ht="11.25" customHeight="1">
      <c r="A42" s="605" t="str">
        <f>$A$4</f>
        <v>This schedule supersedes and replaces all previously</v>
      </c>
      <c r="B42" s="601"/>
      <c r="C42" s="601"/>
      <c r="D42" s="602"/>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5" t="str">
        <f>$A$5</f>
        <v>approved schedules of Rates, Charges and Loss Factors</v>
      </c>
      <c r="B43" s="601"/>
      <c r="C43" s="601"/>
      <c r="D43" s="602"/>
      <c r="E43" s="53"/>
      <c r="F43" s="53"/>
      <c r="G43" s="53"/>
      <c r="H43" s="53"/>
      <c r="I43" s="53"/>
      <c r="J43" s="53"/>
      <c r="K43" s="53"/>
      <c r="L43" s="53"/>
      <c r="M43" s="53"/>
      <c r="N43" s="53"/>
      <c r="O43" s="53"/>
      <c r="P43" s="53"/>
      <c r="Q43" s="53"/>
      <c r="R43" s="53"/>
      <c r="S43" s="53"/>
      <c r="T43" s="53"/>
      <c r="U43" s="53"/>
      <c r="V43" s="53"/>
      <c r="W43" s="53"/>
      <c r="X43" s="53"/>
      <c r="Y43" s="53"/>
      <c r="Z43" s="53"/>
    </row>
    <row r="44" spans="1:26" ht="11.25" customHeight="1">
      <c r="A44" s="606" t="str">
        <f>$A$6</f>
        <v>EB-2024-0115</v>
      </c>
      <c r="B44" s="601"/>
      <c r="C44" s="601"/>
      <c r="D44" s="602"/>
      <c r="E44" s="53"/>
      <c r="F44" s="53"/>
      <c r="G44" s="53"/>
      <c r="H44" s="53"/>
      <c r="I44" s="53"/>
      <c r="J44" s="53"/>
      <c r="K44" s="53"/>
      <c r="L44" s="53"/>
      <c r="M44" s="53"/>
      <c r="N44" s="53"/>
      <c r="O44" s="53"/>
      <c r="P44" s="53"/>
      <c r="Q44" s="53"/>
      <c r="R44" s="53"/>
      <c r="S44" s="53"/>
      <c r="T44" s="53"/>
      <c r="U44" s="53"/>
      <c r="V44" s="53"/>
      <c r="W44" s="53"/>
      <c r="X44" s="53"/>
      <c r="Y44" s="53"/>
      <c r="Z44" s="53"/>
    </row>
    <row r="45" spans="1:26" ht="15.75" customHeight="1">
      <c r="A45" s="607" t="s">
        <v>56</v>
      </c>
      <c r="B45" s="601"/>
      <c r="C45" s="601"/>
      <c r="D45" s="602"/>
      <c r="E45" s="53"/>
      <c r="F45" s="53"/>
      <c r="G45" s="53"/>
      <c r="H45" s="53"/>
      <c r="I45" s="53"/>
      <c r="J45" s="53"/>
      <c r="K45" s="53"/>
      <c r="L45" s="53"/>
      <c r="M45" s="53"/>
      <c r="N45" s="53"/>
      <c r="O45" s="53"/>
      <c r="P45" s="53"/>
      <c r="Q45" s="53"/>
      <c r="R45" s="53"/>
      <c r="S45" s="53"/>
      <c r="T45" s="53"/>
      <c r="U45" s="53"/>
      <c r="V45" s="53"/>
      <c r="W45" s="53"/>
      <c r="X45" s="53"/>
      <c r="Y45" s="53"/>
      <c r="Z45" s="53"/>
    </row>
    <row r="46" spans="1:26" ht="48" customHeight="1">
      <c r="A46" s="608" t="s">
        <v>57</v>
      </c>
      <c r="B46" s="601"/>
      <c r="C46" s="601"/>
      <c r="D46" s="602"/>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9" t="s">
        <v>34</v>
      </c>
      <c r="B48" s="601"/>
      <c r="C48" s="601"/>
      <c r="D48" s="602"/>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8" t="s">
        <v>35</v>
      </c>
      <c r="B50" s="601"/>
      <c r="C50" s="601"/>
      <c r="D50" s="602"/>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8" t="s">
        <v>36</v>
      </c>
      <c r="B52" s="601"/>
      <c r="C52" s="601"/>
      <c r="D52" s="602"/>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8" t="s">
        <v>37</v>
      </c>
      <c r="B54" s="601"/>
      <c r="C54" s="601"/>
      <c r="D54" s="602"/>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8" t="s">
        <v>58</v>
      </c>
      <c r="B56" s="601"/>
      <c r="C56" s="601"/>
      <c r="D56" s="602"/>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610" t="s">
        <v>39</v>
      </c>
      <c r="B58" s="601"/>
      <c r="C58" s="601"/>
      <c r="D58" s="602"/>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2" customHeight="1">
      <c r="A60" s="62" t="s">
        <v>40</v>
      </c>
      <c r="B60" s="63"/>
      <c r="C60" s="64" t="s">
        <v>41</v>
      </c>
      <c r="D60" s="284">
        <f>'Proposed Rates'!G9</f>
        <v>28.41</v>
      </c>
      <c r="E60" s="53"/>
      <c r="F60" s="53"/>
      <c r="G60" s="53"/>
      <c r="H60" s="53"/>
      <c r="I60" s="53"/>
      <c r="J60" s="53"/>
      <c r="K60" s="53"/>
      <c r="L60" s="53"/>
      <c r="M60" s="53"/>
      <c r="N60" s="53"/>
      <c r="O60" s="53"/>
      <c r="P60" s="53"/>
      <c r="Q60" s="53"/>
      <c r="R60" s="53"/>
      <c r="S60" s="53"/>
      <c r="T60" s="53"/>
      <c r="U60" s="53"/>
      <c r="V60" s="53"/>
      <c r="W60" s="53"/>
      <c r="X60" s="53"/>
      <c r="Y60" s="53"/>
      <c r="Z60" s="53"/>
    </row>
    <row r="61" spans="1:26" ht="12" customHeight="1">
      <c r="A61" s="62" t="s">
        <v>44</v>
      </c>
      <c r="B61" s="63"/>
      <c r="C61" s="64" t="s">
        <v>41</v>
      </c>
      <c r="D61" s="286">
        <f>'Proposed Rates'!G278</f>
        <v>0.42</v>
      </c>
      <c r="E61" s="53"/>
      <c r="F61" s="53"/>
      <c r="G61" s="53"/>
      <c r="H61" s="53"/>
      <c r="I61" s="53"/>
      <c r="J61" s="53"/>
      <c r="K61" s="53"/>
      <c r="L61" s="53"/>
      <c r="M61" s="53"/>
      <c r="N61" s="53"/>
      <c r="O61" s="53"/>
      <c r="P61" s="53"/>
      <c r="Q61" s="53"/>
      <c r="R61" s="53"/>
      <c r="S61" s="53"/>
      <c r="T61" s="53"/>
      <c r="U61" s="53"/>
      <c r="V61" s="53"/>
      <c r="W61" s="53"/>
      <c r="X61" s="53"/>
      <c r="Y61" s="53"/>
      <c r="Z61" s="53"/>
    </row>
    <row r="62" spans="1:26" ht="12" customHeight="1">
      <c r="A62" s="62" t="s">
        <v>59</v>
      </c>
      <c r="B62" s="63"/>
      <c r="C62" s="64" t="s">
        <v>46</v>
      </c>
      <c r="D62" s="285">
        <f>'Proposed Rates'!G22</f>
        <v>3.6900000000000002E-2</v>
      </c>
      <c r="E62" s="53"/>
      <c r="F62" s="53"/>
      <c r="G62" s="53"/>
      <c r="H62" s="53"/>
      <c r="I62" s="53"/>
      <c r="J62" s="53"/>
      <c r="K62" s="53"/>
      <c r="L62" s="53"/>
      <c r="M62" s="53"/>
      <c r="N62" s="53"/>
      <c r="O62" s="53"/>
      <c r="P62" s="53"/>
      <c r="Q62" s="53"/>
      <c r="R62" s="53"/>
      <c r="S62" s="53"/>
      <c r="T62" s="53"/>
      <c r="U62" s="53"/>
      <c r="V62" s="53"/>
      <c r="W62" s="53"/>
      <c r="X62" s="53"/>
      <c r="Y62" s="53"/>
      <c r="Z62" s="53"/>
    </row>
    <row r="63" spans="1:26" ht="12" customHeight="1">
      <c r="A63" s="62" t="s">
        <v>45</v>
      </c>
      <c r="B63" s="63"/>
      <c r="C63" s="64" t="s">
        <v>46</v>
      </c>
      <c r="D63" s="287">
        <f>'Proposed Rates'!G265</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5" hidden="1" customHeight="1">
      <c r="A64" s="62" t="s">
        <v>47</v>
      </c>
      <c r="B64" s="63"/>
      <c r="C64" s="64" t="s">
        <v>46</v>
      </c>
      <c r="D64" s="285">
        <f>'Proposed Rates'!G38</f>
        <v>0</v>
      </c>
      <c r="E64" s="53"/>
      <c r="F64" s="53"/>
      <c r="G64" s="53"/>
      <c r="H64" s="53"/>
      <c r="I64" s="53"/>
      <c r="J64" s="53"/>
      <c r="K64" s="53"/>
      <c r="L64" s="53"/>
      <c r="M64" s="53"/>
      <c r="N64" s="53"/>
      <c r="O64" s="53"/>
      <c r="P64" s="53"/>
      <c r="Q64" s="53"/>
      <c r="R64" s="53"/>
      <c r="S64" s="53"/>
      <c r="T64" s="53"/>
      <c r="U64" s="53"/>
      <c r="V64" s="53"/>
      <c r="W64" s="53"/>
      <c r="X64" s="53"/>
      <c r="Y64" s="53"/>
      <c r="Z64" s="53"/>
    </row>
    <row r="65" spans="1:26" ht="15" hidden="1" customHeight="1">
      <c r="A65" s="62" t="s">
        <v>43</v>
      </c>
      <c r="B65" s="63"/>
      <c r="C65" s="64" t="s">
        <v>46</v>
      </c>
      <c r="D65" s="285">
        <f>'Proposed Rates'!G65</f>
        <v>0</v>
      </c>
      <c r="E65" s="53"/>
      <c r="F65" s="53"/>
      <c r="G65" s="53"/>
      <c r="H65" s="53"/>
      <c r="I65" s="53"/>
      <c r="J65" s="53"/>
      <c r="K65" s="53"/>
      <c r="L65" s="53"/>
      <c r="M65" s="53"/>
      <c r="N65" s="53"/>
      <c r="O65" s="53"/>
      <c r="P65" s="53"/>
      <c r="Q65" s="53"/>
      <c r="R65" s="53"/>
      <c r="S65" s="53"/>
      <c r="T65" s="53"/>
      <c r="U65" s="53"/>
      <c r="V65" s="53"/>
      <c r="W65" s="53"/>
      <c r="X65" s="53"/>
      <c r="Y65" s="53"/>
      <c r="Z65" s="53"/>
    </row>
    <row r="66" spans="1:26" ht="15" hidden="1" customHeight="1">
      <c r="A66" s="62" t="s">
        <v>48</v>
      </c>
      <c r="B66" s="63"/>
      <c r="C66" s="64" t="s">
        <v>46</v>
      </c>
      <c r="D66" s="285">
        <f>'Proposed Rates'!G143</f>
        <v>0</v>
      </c>
      <c r="E66" s="53"/>
      <c r="F66" s="53"/>
      <c r="G66" s="53"/>
      <c r="H66" s="53"/>
      <c r="I66" s="53"/>
      <c r="J66" s="53"/>
      <c r="K66" s="53"/>
      <c r="L66" s="53"/>
      <c r="M66" s="53"/>
      <c r="N66" s="53"/>
      <c r="O66" s="53"/>
      <c r="P66" s="53"/>
      <c r="Q66" s="53"/>
      <c r="R66" s="53"/>
      <c r="S66" s="53"/>
      <c r="T66" s="53"/>
      <c r="U66" s="53"/>
      <c r="V66" s="53"/>
      <c r="W66" s="53"/>
      <c r="X66" s="53"/>
      <c r="Y66" s="53"/>
      <c r="Z66" s="53"/>
    </row>
    <row r="67" spans="1:26" ht="12" customHeight="1">
      <c r="A67" s="62" t="s">
        <v>49</v>
      </c>
      <c r="B67" s="63"/>
      <c r="C67" s="64" t="s">
        <v>46</v>
      </c>
      <c r="D67" s="285">
        <f>'Proposed Rates'!G184</f>
        <v>1.0699999999999999E-2</v>
      </c>
      <c r="E67" s="53"/>
      <c r="F67" s="53"/>
      <c r="G67" s="53"/>
      <c r="H67" s="53"/>
      <c r="I67" s="53"/>
      <c r="J67" s="53"/>
      <c r="K67" s="53"/>
      <c r="L67" s="53"/>
      <c r="M67" s="53"/>
      <c r="N67" s="53"/>
      <c r="O67" s="53"/>
      <c r="P67" s="53"/>
      <c r="Q67" s="53"/>
      <c r="R67" s="53"/>
      <c r="S67" s="53"/>
      <c r="T67" s="53"/>
      <c r="U67" s="53"/>
      <c r="V67" s="53"/>
      <c r="W67" s="53"/>
      <c r="X67" s="53"/>
      <c r="Y67" s="53"/>
      <c r="Z67" s="53"/>
    </row>
    <row r="68" spans="1:26" ht="12" customHeight="1">
      <c r="A68" s="62" t="s">
        <v>50</v>
      </c>
      <c r="B68" s="64"/>
      <c r="C68" s="64" t="s">
        <v>46</v>
      </c>
      <c r="D68" s="285">
        <f>'Proposed Rates'!G199</f>
        <v>6.1000000000000004E-3</v>
      </c>
      <c r="E68" s="53"/>
      <c r="F68" s="53"/>
      <c r="G68" s="53"/>
      <c r="H68" s="53"/>
      <c r="I68" s="53"/>
      <c r="J68" s="53"/>
      <c r="K68" s="53"/>
      <c r="L68" s="53"/>
      <c r="M68" s="53"/>
      <c r="N68" s="53"/>
      <c r="O68" s="53"/>
      <c r="P68" s="53"/>
      <c r="Q68" s="53"/>
      <c r="R68" s="53"/>
      <c r="S68" s="53"/>
      <c r="T68" s="53"/>
      <c r="U68" s="53"/>
      <c r="V68" s="53"/>
      <c r="W68" s="53"/>
      <c r="X68" s="53"/>
      <c r="Y68" s="53"/>
      <c r="Z68" s="53"/>
    </row>
    <row r="69" spans="1:26" ht="15.75" customHeight="1">
      <c r="A69" s="64"/>
      <c r="B69" s="63"/>
      <c r="C69" s="64"/>
      <c r="D69" s="288"/>
      <c r="E69" s="53"/>
      <c r="F69" s="53"/>
      <c r="G69" s="53"/>
      <c r="H69" s="53"/>
      <c r="I69" s="53"/>
      <c r="J69" s="53"/>
      <c r="K69" s="53"/>
      <c r="L69" s="53"/>
      <c r="M69" s="53"/>
      <c r="N69" s="53"/>
      <c r="O69" s="53"/>
      <c r="P69" s="53"/>
      <c r="Q69" s="53"/>
      <c r="R69" s="53"/>
      <c r="S69" s="53"/>
      <c r="T69" s="53"/>
      <c r="U69" s="53"/>
      <c r="V69" s="53"/>
      <c r="W69" s="53"/>
      <c r="X69" s="53"/>
      <c r="Y69" s="53"/>
      <c r="Z69" s="53"/>
    </row>
    <row r="70" spans="1:26" ht="15.75" customHeight="1">
      <c r="A70" s="70" t="s">
        <v>51</v>
      </c>
      <c r="B70" s="64"/>
      <c r="C70" s="64"/>
      <c r="D70" s="288"/>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59"/>
      <c r="B71" s="63"/>
      <c r="C71" s="64"/>
      <c r="D71" s="288"/>
      <c r="E71" s="53"/>
      <c r="F71" s="53"/>
      <c r="G71" s="53"/>
      <c r="H71" s="53"/>
      <c r="I71" s="53"/>
      <c r="J71" s="53"/>
      <c r="K71" s="53"/>
      <c r="L71" s="53"/>
      <c r="M71" s="53"/>
      <c r="N71" s="53"/>
      <c r="O71" s="53"/>
      <c r="P71" s="53"/>
      <c r="Q71" s="53"/>
      <c r="R71" s="53"/>
      <c r="S71" s="53"/>
      <c r="T71" s="53"/>
      <c r="U71" s="53"/>
      <c r="V71" s="53"/>
      <c r="W71" s="53"/>
      <c r="X71" s="53"/>
      <c r="Y71" s="53"/>
      <c r="Z71" s="53"/>
    </row>
    <row r="72" spans="1:26" ht="12" customHeight="1">
      <c r="A72" s="62" t="s">
        <v>52</v>
      </c>
      <c r="B72" s="63"/>
      <c r="C72" s="64" t="s">
        <v>46</v>
      </c>
      <c r="D72" s="288">
        <f>$D$34</f>
        <v>4.1000000000000003E-3</v>
      </c>
      <c r="E72" s="53"/>
      <c r="F72" s="53"/>
      <c r="G72" s="53"/>
      <c r="H72" s="53"/>
      <c r="I72" s="53"/>
      <c r="J72" s="53"/>
      <c r="K72" s="53"/>
      <c r="L72" s="53"/>
      <c r="M72" s="53"/>
      <c r="N72" s="53"/>
      <c r="O72" s="53"/>
      <c r="P72" s="53"/>
      <c r="Q72" s="53"/>
      <c r="R72" s="53"/>
      <c r="S72" s="53"/>
      <c r="T72" s="53"/>
      <c r="U72" s="53"/>
      <c r="V72" s="53"/>
      <c r="W72" s="53"/>
      <c r="X72" s="53"/>
      <c r="Y72" s="53"/>
      <c r="Z72" s="53"/>
    </row>
    <row r="73" spans="1:26" ht="12" customHeight="1">
      <c r="A73" s="62" t="s">
        <v>53</v>
      </c>
      <c r="B73" s="63"/>
      <c r="C73" s="64" t="s">
        <v>46</v>
      </c>
      <c r="D73" s="285">
        <f>'Proposed Rates'!G214-'2026'!D75</f>
        <v>5.9999999999999984E-4</v>
      </c>
      <c r="E73" s="53"/>
      <c r="F73" s="53"/>
      <c r="G73" s="53"/>
      <c r="H73" s="53"/>
      <c r="I73" s="53"/>
      <c r="J73" s="53"/>
      <c r="K73" s="53"/>
      <c r="L73" s="53"/>
      <c r="M73" s="53"/>
      <c r="N73" s="53"/>
      <c r="O73" s="53"/>
      <c r="P73" s="53"/>
      <c r="Q73" s="53"/>
      <c r="R73" s="53"/>
      <c r="S73" s="53"/>
      <c r="T73" s="53"/>
      <c r="U73" s="53"/>
      <c r="V73" s="53"/>
      <c r="W73" s="53"/>
      <c r="X73" s="53"/>
      <c r="Y73" s="53"/>
      <c r="Z73" s="53"/>
    </row>
    <row r="74" spans="1:26" ht="12" customHeight="1">
      <c r="A74" s="62" t="s">
        <v>54</v>
      </c>
      <c r="B74" s="63"/>
      <c r="C74" s="64" t="s">
        <v>46</v>
      </c>
      <c r="D74" s="285">
        <f>'Proposed Rates'!G227</f>
        <v>5.9999999999999995E-4</v>
      </c>
      <c r="E74" s="53"/>
      <c r="F74" s="53"/>
      <c r="G74" s="53"/>
      <c r="H74" s="53"/>
      <c r="I74" s="53"/>
      <c r="J74" s="53"/>
      <c r="K74" s="53"/>
      <c r="L74" s="53"/>
      <c r="M74" s="53"/>
      <c r="N74" s="53"/>
      <c r="O74" s="53"/>
      <c r="P74" s="53"/>
      <c r="Q74" s="53"/>
      <c r="R74" s="53"/>
      <c r="S74" s="53"/>
      <c r="T74" s="53"/>
      <c r="U74" s="53"/>
      <c r="V74" s="53"/>
      <c r="W74" s="53"/>
      <c r="X74" s="53"/>
      <c r="Y74" s="53"/>
      <c r="Z74" s="53"/>
    </row>
    <row r="75" spans="1:26" ht="12" customHeight="1">
      <c r="A75" s="62" t="s">
        <v>55</v>
      </c>
      <c r="B75" s="63"/>
      <c r="C75" s="64" t="s">
        <v>41</v>
      </c>
      <c r="D75" s="285">
        <f>'Proposed Rates'!G241</f>
        <v>0.25</v>
      </c>
      <c r="E75" s="71"/>
      <c r="F75" s="71"/>
      <c r="G75" s="71"/>
      <c r="H75" s="71"/>
      <c r="I75" s="71"/>
      <c r="J75" s="71"/>
      <c r="K75" s="71"/>
      <c r="L75" s="71"/>
      <c r="M75" s="71"/>
      <c r="N75" s="71"/>
      <c r="O75" s="71"/>
      <c r="P75" s="71"/>
      <c r="Q75" s="71"/>
      <c r="R75" s="71"/>
      <c r="S75" s="71"/>
      <c r="T75" s="71"/>
      <c r="U75" s="71"/>
      <c r="V75" s="71"/>
      <c r="W75" s="71"/>
      <c r="X75" s="71"/>
      <c r="Y75" s="71"/>
      <c r="Z75" s="71"/>
    </row>
    <row r="76" spans="1:26" ht="9" customHeight="1">
      <c r="A76" s="76"/>
      <c r="B76" s="63"/>
      <c r="C76" s="77"/>
      <c r="D76" s="288"/>
      <c r="E76" s="289"/>
      <c r="F76" s="289"/>
      <c r="G76" s="289"/>
      <c r="H76" s="289"/>
      <c r="I76" s="289"/>
      <c r="J76" s="289"/>
      <c r="K76" s="289"/>
      <c r="L76" s="289"/>
      <c r="M76" s="289"/>
      <c r="N76" s="289"/>
      <c r="O76" s="289"/>
      <c r="P76" s="289"/>
      <c r="Q76" s="289"/>
      <c r="R76" s="289"/>
      <c r="S76" s="289"/>
      <c r="T76" s="289"/>
      <c r="U76" s="289"/>
      <c r="V76" s="289"/>
      <c r="W76" s="289"/>
      <c r="X76" s="289"/>
      <c r="Y76" s="289"/>
      <c r="Z76" s="289"/>
    </row>
    <row r="77" spans="1:26" ht="23.25" customHeight="1">
      <c r="A77" s="600" t="str">
        <f>$A$1</f>
        <v>Hydro Ottawa Limited</v>
      </c>
      <c r="B77" s="601"/>
      <c r="C77" s="601"/>
      <c r="D77" s="602"/>
      <c r="E77" s="53"/>
      <c r="F77" s="53"/>
      <c r="G77" s="53"/>
      <c r="H77" s="53"/>
      <c r="I77" s="53"/>
      <c r="J77" s="53"/>
      <c r="K77" s="53"/>
      <c r="L77" s="53"/>
      <c r="M77" s="53"/>
      <c r="N77" s="53"/>
      <c r="O77" s="53"/>
      <c r="P77" s="53"/>
      <c r="Q77" s="53"/>
      <c r="R77" s="53"/>
      <c r="S77" s="53"/>
      <c r="T77" s="53"/>
      <c r="U77" s="53"/>
      <c r="V77" s="53"/>
      <c r="W77" s="53"/>
      <c r="X77" s="53"/>
      <c r="Y77" s="53"/>
      <c r="Z77" s="53"/>
    </row>
    <row r="78" spans="1:26" ht="18" customHeight="1">
      <c r="A78" s="603" t="str">
        <f>$A$2</f>
        <v>PROPOSED - TARIFF OF RATES AND CHARGES</v>
      </c>
      <c r="B78" s="601"/>
      <c r="C78" s="601"/>
      <c r="D78" s="602"/>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604" t="str">
        <f>$A$3</f>
        <v>Effective and Implementation Date January 1, 2027</v>
      </c>
      <c r="B79" s="601"/>
      <c r="C79" s="601"/>
      <c r="D79" s="602"/>
      <c r="E79" s="53"/>
      <c r="F79" s="53"/>
      <c r="G79" s="53"/>
      <c r="H79" s="53"/>
      <c r="I79" s="53"/>
      <c r="J79" s="53"/>
      <c r="K79" s="53"/>
      <c r="L79" s="53"/>
      <c r="M79" s="53"/>
      <c r="N79" s="53"/>
      <c r="O79" s="53"/>
      <c r="P79" s="53"/>
      <c r="Q79" s="53"/>
      <c r="R79" s="53"/>
      <c r="S79" s="53"/>
      <c r="T79" s="53"/>
      <c r="U79" s="53"/>
      <c r="V79" s="53"/>
      <c r="W79" s="53"/>
      <c r="X79" s="53"/>
      <c r="Y79" s="53"/>
      <c r="Z79" s="53"/>
    </row>
    <row r="80" spans="1:26" ht="11.25" customHeight="1">
      <c r="A80" s="605" t="str">
        <f>$A$4</f>
        <v>This schedule supersedes and replaces all previously</v>
      </c>
      <c r="B80" s="601"/>
      <c r="C80" s="601"/>
      <c r="D80" s="602"/>
      <c r="E80" s="53"/>
      <c r="F80" s="53"/>
      <c r="G80" s="53"/>
      <c r="H80" s="53"/>
      <c r="I80" s="53"/>
      <c r="J80" s="53"/>
      <c r="K80" s="53"/>
      <c r="L80" s="53"/>
      <c r="M80" s="53"/>
      <c r="N80" s="53"/>
      <c r="O80" s="53"/>
      <c r="P80" s="53"/>
      <c r="Q80" s="53"/>
      <c r="R80" s="53"/>
      <c r="S80" s="53"/>
      <c r="T80" s="53"/>
      <c r="U80" s="53"/>
      <c r="V80" s="53"/>
      <c r="W80" s="53"/>
      <c r="X80" s="53"/>
      <c r="Y80" s="53"/>
      <c r="Z80" s="53"/>
    </row>
    <row r="81" spans="1:26" ht="11.25" customHeight="1">
      <c r="A81" s="605" t="str">
        <f>$A$5</f>
        <v>approved schedules of Rates, Charges and Loss Factors</v>
      </c>
      <c r="B81" s="601"/>
      <c r="C81" s="601"/>
      <c r="D81" s="602"/>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6" t="str">
        <f>$A$6</f>
        <v>EB-2024-0115</v>
      </c>
      <c r="B82" s="601"/>
      <c r="C82" s="601"/>
      <c r="D82" s="602"/>
      <c r="E82" s="53"/>
      <c r="F82" s="53"/>
      <c r="G82" s="53"/>
      <c r="H82" s="53"/>
      <c r="I82" s="53"/>
      <c r="J82" s="53"/>
      <c r="K82" s="53"/>
      <c r="L82" s="53"/>
      <c r="M82" s="53"/>
      <c r="N82" s="53"/>
      <c r="O82" s="53"/>
      <c r="P82" s="53"/>
      <c r="Q82" s="53"/>
      <c r="R82" s="53"/>
      <c r="S82" s="53"/>
      <c r="T82" s="53"/>
      <c r="U82" s="53"/>
      <c r="V82" s="53"/>
      <c r="W82" s="53"/>
      <c r="X82" s="53"/>
      <c r="Y82" s="53"/>
      <c r="Z82" s="53"/>
    </row>
    <row r="83" spans="1:26" ht="15.75" customHeight="1">
      <c r="A83" s="607" t="s">
        <v>61</v>
      </c>
      <c r="B83" s="601"/>
      <c r="C83" s="601"/>
      <c r="D83" s="602"/>
      <c r="E83" s="71"/>
      <c r="F83" s="71"/>
      <c r="G83" s="71"/>
      <c r="H83" s="71"/>
      <c r="I83" s="71"/>
      <c r="J83" s="71"/>
      <c r="K83" s="71"/>
      <c r="L83" s="71"/>
      <c r="M83" s="71"/>
      <c r="N83" s="71"/>
      <c r="O83" s="71"/>
      <c r="P83" s="71"/>
      <c r="Q83" s="71"/>
      <c r="R83" s="71"/>
      <c r="S83" s="71"/>
      <c r="T83" s="71"/>
      <c r="U83" s="71"/>
      <c r="V83" s="71"/>
      <c r="W83" s="71"/>
      <c r="X83" s="71"/>
      <c r="Y83" s="71"/>
      <c r="Z83" s="71"/>
    </row>
    <row r="84" spans="1:26" ht="48" customHeight="1">
      <c r="A84" s="608" t="s">
        <v>62</v>
      </c>
      <c r="B84" s="601"/>
      <c r="C84" s="601"/>
      <c r="D84" s="602"/>
      <c r="E84" s="53"/>
      <c r="F84" s="53"/>
      <c r="G84" s="53"/>
      <c r="H84" s="53"/>
      <c r="I84" s="53"/>
      <c r="J84" s="53"/>
      <c r="K84" s="53"/>
      <c r="L84" s="53"/>
      <c r="M84" s="53"/>
      <c r="N84" s="53"/>
      <c r="O84" s="53"/>
      <c r="P84" s="53"/>
      <c r="Q84" s="53"/>
      <c r="R84" s="53"/>
      <c r="S84" s="53"/>
      <c r="T84" s="53"/>
      <c r="U84" s="53"/>
      <c r="V84" s="53"/>
      <c r="W84" s="53"/>
      <c r="X84" s="53"/>
      <c r="Y84" s="53"/>
      <c r="Z84" s="53"/>
    </row>
    <row r="85" spans="1:26" ht="6.75" customHeight="1">
      <c r="A85" s="54"/>
      <c r="B85" s="54"/>
      <c r="C85" s="54"/>
      <c r="D85" s="55"/>
      <c r="E85" s="53"/>
      <c r="F85" s="53"/>
      <c r="G85" s="53"/>
      <c r="H85" s="53"/>
      <c r="I85" s="53"/>
      <c r="J85" s="53"/>
      <c r="K85" s="53"/>
      <c r="L85" s="53"/>
      <c r="M85" s="53"/>
      <c r="N85" s="53"/>
      <c r="O85" s="53"/>
      <c r="P85" s="53"/>
      <c r="Q85" s="53"/>
      <c r="R85" s="53"/>
      <c r="S85" s="53"/>
      <c r="T85" s="53"/>
      <c r="U85" s="53"/>
      <c r="V85" s="53"/>
      <c r="W85" s="53"/>
      <c r="X85" s="53"/>
      <c r="Y85" s="53"/>
      <c r="Z85" s="53"/>
    </row>
    <row r="86" spans="1:26" ht="11.25" customHeight="1">
      <c r="A86" s="609" t="s">
        <v>34</v>
      </c>
      <c r="B86" s="601"/>
      <c r="C86" s="601"/>
      <c r="D86" s="602"/>
      <c r="E86" s="53"/>
      <c r="F86" s="53"/>
      <c r="G86" s="53"/>
      <c r="H86" s="53"/>
      <c r="I86" s="53"/>
      <c r="J86" s="53"/>
      <c r="K86" s="53"/>
      <c r="L86" s="53"/>
      <c r="M86" s="53"/>
      <c r="N86" s="53"/>
      <c r="O86" s="53"/>
      <c r="P86" s="53"/>
      <c r="Q86" s="53"/>
      <c r="R86" s="53"/>
      <c r="S86" s="53"/>
      <c r="T86" s="53"/>
      <c r="U86" s="53"/>
      <c r="V86" s="53"/>
      <c r="W86" s="53"/>
      <c r="X86" s="53"/>
      <c r="Y86" s="53"/>
      <c r="Z86" s="53"/>
    </row>
    <row r="87" spans="1:26" ht="6.75" customHeight="1">
      <c r="A87" s="56"/>
      <c r="B87" s="57"/>
      <c r="C87" s="57"/>
      <c r="D87" s="58"/>
      <c r="E87" s="53"/>
      <c r="F87" s="53"/>
      <c r="G87" s="53"/>
      <c r="H87" s="53"/>
      <c r="I87" s="53"/>
      <c r="J87" s="53"/>
      <c r="K87" s="53"/>
      <c r="L87" s="53"/>
      <c r="M87" s="53"/>
      <c r="N87" s="53"/>
      <c r="O87" s="53"/>
      <c r="P87" s="53"/>
      <c r="Q87" s="53"/>
      <c r="R87" s="53"/>
      <c r="S87" s="53"/>
      <c r="T87" s="53"/>
      <c r="U87" s="53"/>
      <c r="V87" s="53"/>
      <c r="W87" s="53"/>
      <c r="X87" s="53"/>
      <c r="Y87" s="53"/>
      <c r="Z87" s="53"/>
    </row>
    <row r="88" spans="1:26" ht="36" customHeight="1">
      <c r="A88" s="608" t="s">
        <v>35</v>
      </c>
      <c r="B88" s="601"/>
      <c r="C88" s="601"/>
      <c r="D88" s="602"/>
      <c r="E88" s="53"/>
      <c r="F88" s="53"/>
      <c r="G88" s="53"/>
      <c r="H88" s="53"/>
      <c r="I88" s="53"/>
      <c r="J88" s="53"/>
      <c r="K88" s="53"/>
      <c r="L88" s="53"/>
      <c r="M88" s="53"/>
      <c r="N88" s="53"/>
      <c r="O88" s="53"/>
      <c r="P88" s="53"/>
      <c r="Q88" s="53"/>
      <c r="R88" s="53"/>
      <c r="S88" s="53"/>
      <c r="T88" s="53"/>
      <c r="U88" s="53"/>
      <c r="V88" s="53"/>
      <c r="W88" s="53"/>
      <c r="X88" s="53"/>
      <c r="Y88" s="53"/>
      <c r="Z88" s="53"/>
    </row>
    <row r="89" spans="1:26" ht="6.75" customHeight="1">
      <c r="A89" s="54"/>
      <c r="B89" s="54"/>
      <c r="C89" s="54"/>
      <c r="D89" s="55"/>
      <c r="E89" s="53"/>
      <c r="F89" s="53"/>
      <c r="G89" s="53"/>
      <c r="H89" s="53"/>
      <c r="I89" s="53"/>
      <c r="J89" s="53"/>
      <c r="K89" s="53"/>
      <c r="L89" s="53"/>
      <c r="M89" s="53"/>
      <c r="N89" s="53"/>
      <c r="O89" s="53"/>
      <c r="P89" s="53"/>
      <c r="Q89" s="53"/>
      <c r="R89" s="53"/>
      <c r="S89" s="53"/>
      <c r="T89" s="53"/>
      <c r="U89" s="53"/>
      <c r="V89" s="53"/>
      <c r="W89" s="53"/>
      <c r="X89" s="53"/>
      <c r="Y89" s="53"/>
      <c r="Z89" s="53"/>
    </row>
    <row r="90" spans="1:26" ht="48" customHeight="1">
      <c r="A90" s="608" t="s">
        <v>36</v>
      </c>
      <c r="B90" s="601"/>
      <c r="C90" s="601"/>
      <c r="D90" s="602"/>
      <c r="E90" s="53"/>
      <c r="F90" s="53"/>
      <c r="G90" s="53"/>
      <c r="H90" s="53"/>
      <c r="I90" s="53"/>
      <c r="J90" s="53"/>
      <c r="K90" s="53"/>
      <c r="L90" s="53"/>
      <c r="M90" s="53"/>
      <c r="N90" s="53"/>
      <c r="O90" s="53"/>
      <c r="P90" s="53"/>
      <c r="Q90" s="53"/>
      <c r="R90" s="53"/>
      <c r="S90" s="53"/>
      <c r="T90" s="53"/>
      <c r="U90" s="53"/>
      <c r="V90" s="53"/>
      <c r="W90" s="53"/>
      <c r="X90" s="53"/>
      <c r="Y90" s="53"/>
      <c r="Z90" s="53"/>
    </row>
    <row r="91" spans="1:26" ht="6.75" customHeight="1">
      <c r="A91" s="54"/>
      <c r="B91" s="54"/>
      <c r="C91" s="54"/>
      <c r="D91" s="55"/>
      <c r="E91" s="53"/>
      <c r="F91" s="53"/>
      <c r="G91" s="53"/>
      <c r="H91" s="53"/>
      <c r="I91" s="53"/>
      <c r="J91" s="53"/>
      <c r="K91" s="53"/>
      <c r="L91" s="53"/>
      <c r="M91" s="53"/>
      <c r="N91" s="53"/>
      <c r="O91" s="53"/>
      <c r="P91" s="53"/>
      <c r="Q91" s="53"/>
      <c r="R91" s="53"/>
      <c r="S91" s="53"/>
      <c r="T91" s="53"/>
      <c r="U91" s="53"/>
      <c r="V91" s="53"/>
      <c r="W91" s="53"/>
      <c r="X91" s="53"/>
      <c r="Y91" s="53"/>
      <c r="Z91" s="53"/>
    </row>
    <row r="92" spans="1:26" ht="48" customHeight="1">
      <c r="A92" s="608" t="s">
        <v>37</v>
      </c>
      <c r="B92" s="601"/>
      <c r="C92" s="601"/>
      <c r="D92" s="602"/>
      <c r="E92" s="53"/>
      <c r="F92" s="53"/>
      <c r="G92" s="53"/>
      <c r="H92" s="53"/>
      <c r="I92" s="53"/>
      <c r="J92" s="53"/>
      <c r="K92" s="53"/>
      <c r="L92" s="53"/>
      <c r="M92" s="53"/>
      <c r="N92" s="53"/>
      <c r="O92" s="53"/>
      <c r="P92" s="53"/>
      <c r="Q92" s="53"/>
      <c r="R92" s="53"/>
      <c r="S92" s="53"/>
      <c r="T92" s="53"/>
      <c r="U92" s="53"/>
      <c r="V92" s="53"/>
      <c r="W92" s="53"/>
      <c r="X92" s="53"/>
      <c r="Y92" s="53"/>
      <c r="Z92" s="53"/>
    </row>
    <row r="93" spans="1:26" ht="6.75" customHeight="1">
      <c r="A93" s="54"/>
      <c r="B93" s="54"/>
      <c r="C93" s="54"/>
      <c r="D93" s="55"/>
      <c r="E93" s="53"/>
      <c r="F93" s="53"/>
      <c r="G93" s="53"/>
      <c r="H93" s="53"/>
      <c r="I93" s="53"/>
      <c r="J93" s="53"/>
      <c r="K93" s="53"/>
      <c r="L93" s="53"/>
      <c r="M93" s="53"/>
      <c r="N93" s="53"/>
      <c r="O93" s="53"/>
      <c r="P93" s="53"/>
      <c r="Q93" s="53"/>
      <c r="R93" s="53"/>
      <c r="S93" s="53"/>
      <c r="T93" s="53"/>
      <c r="U93" s="53"/>
      <c r="V93" s="53"/>
      <c r="W93" s="53"/>
      <c r="X93" s="53"/>
      <c r="Y93" s="53"/>
      <c r="Z93" s="53"/>
    </row>
    <row r="94" spans="1:26" ht="96" customHeight="1">
      <c r="A94" s="608" t="s">
        <v>63</v>
      </c>
      <c r="B94" s="601"/>
      <c r="C94" s="601"/>
      <c r="D94" s="602"/>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8" t="s">
        <v>64</v>
      </c>
      <c r="B95" s="601"/>
      <c r="C95" s="601"/>
      <c r="D95" s="602"/>
      <c r="E95" s="53"/>
      <c r="F95" s="53"/>
      <c r="G95" s="53"/>
      <c r="H95" s="53"/>
      <c r="I95" s="53"/>
      <c r="J95" s="53"/>
      <c r="K95" s="53"/>
      <c r="L95" s="53"/>
      <c r="M95" s="53"/>
      <c r="N95" s="53"/>
      <c r="O95" s="53"/>
      <c r="P95" s="53"/>
      <c r="Q95" s="53"/>
      <c r="R95" s="53"/>
      <c r="S95" s="53"/>
      <c r="T95" s="53"/>
      <c r="U95" s="53"/>
      <c r="V95" s="53"/>
      <c r="W95" s="53"/>
      <c r="X95" s="53"/>
      <c r="Y95" s="53"/>
      <c r="Z95" s="53"/>
    </row>
    <row r="96" spans="1:26" ht="36" customHeight="1">
      <c r="A96" s="608" t="s">
        <v>38</v>
      </c>
      <c r="B96" s="601"/>
      <c r="C96" s="601"/>
      <c r="D96" s="602"/>
      <c r="E96" s="53"/>
      <c r="F96" s="53"/>
      <c r="G96" s="53"/>
      <c r="H96" s="53"/>
      <c r="I96" s="53"/>
      <c r="J96" s="53"/>
      <c r="K96" s="53"/>
      <c r="L96" s="53"/>
      <c r="M96" s="53"/>
      <c r="N96" s="53"/>
      <c r="O96" s="53"/>
      <c r="P96" s="53"/>
      <c r="Q96" s="53"/>
      <c r="R96" s="53"/>
      <c r="S96" s="53"/>
      <c r="T96" s="53"/>
      <c r="U96" s="53"/>
      <c r="V96" s="53"/>
      <c r="W96" s="53"/>
      <c r="X96" s="53"/>
      <c r="Y96" s="53"/>
      <c r="Z96" s="53"/>
    </row>
    <row r="97" spans="1:26" ht="24" customHeight="1">
      <c r="A97" s="611" t="s">
        <v>65</v>
      </c>
      <c r="B97" s="601"/>
      <c r="C97" s="601"/>
      <c r="D97" s="602"/>
      <c r="E97" s="53"/>
      <c r="F97" s="53"/>
      <c r="G97" s="53"/>
      <c r="H97" s="53"/>
      <c r="I97" s="53"/>
      <c r="J97" s="53"/>
      <c r="K97" s="53"/>
      <c r="L97" s="53"/>
      <c r="M97" s="53"/>
      <c r="N97" s="53"/>
      <c r="O97" s="53"/>
      <c r="P97" s="53"/>
      <c r="Q97" s="53"/>
      <c r="R97" s="53"/>
      <c r="S97" s="53"/>
      <c r="T97" s="53"/>
      <c r="U97" s="53"/>
      <c r="V97" s="53"/>
      <c r="W97" s="53"/>
      <c r="X97" s="53"/>
      <c r="Y97" s="53"/>
      <c r="Z97" s="53"/>
    </row>
    <row r="98" spans="1:26" ht="6.75" customHeight="1">
      <c r="A98" s="74"/>
      <c r="B98" s="74"/>
      <c r="C98" s="74"/>
      <c r="D98" s="75"/>
      <c r="E98" s="53"/>
      <c r="F98" s="53"/>
      <c r="G98" s="53"/>
      <c r="H98" s="53"/>
      <c r="I98" s="53"/>
      <c r="J98" s="53"/>
      <c r="K98" s="53"/>
      <c r="L98" s="53"/>
      <c r="M98" s="53"/>
      <c r="N98" s="53"/>
      <c r="O98" s="53"/>
      <c r="P98" s="53"/>
      <c r="Q98" s="53"/>
      <c r="R98" s="53"/>
      <c r="S98" s="53"/>
      <c r="T98" s="53"/>
      <c r="U98" s="53"/>
      <c r="V98" s="53"/>
      <c r="W98" s="53"/>
      <c r="X98" s="53"/>
      <c r="Y98" s="53"/>
      <c r="Z98" s="53"/>
    </row>
    <row r="99" spans="1:26" ht="15" customHeight="1">
      <c r="A99" s="610" t="s">
        <v>39</v>
      </c>
      <c r="B99" s="601"/>
      <c r="C99" s="601"/>
      <c r="D99" s="602"/>
      <c r="E99" s="53"/>
      <c r="F99" s="53"/>
      <c r="G99" s="53"/>
      <c r="H99" s="53"/>
      <c r="I99" s="53"/>
      <c r="J99" s="53"/>
      <c r="K99" s="53"/>
      <c r="L99" s="53"/>
      <c r="M99" s="53"/>
      <c r="N99" s="53"/>
      <c r="O99" s="53"/>
      <c r="P99" s="53"/>
      <c r="Q99" s="53"/>
      <c r="R99" s="53"/>
      <c r="S99" s="53"/>
      <c r="T99" s="53"/>
      <c r="U99" s="53"/>
      <c r="V99" s="53"/>
      <c r="W99" s="53"/>
      <c r="X99" s="53"/>
      <c r="Y99" s="53"/>
      <c r="Z99" s="53"/>
    </row>
    <row r="100" spans="1:26" ht="6.75" customHeight="1">
      <c r="A100" s="59"/>
      <c r="B100" s="60"/>
      <c r="C100" s="60"/>
      <c r="D100" s="61"/>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2" customHeight="1">
      <c r="A101" s="62" t="s">
        <v>40</v>
      </c>
      <c r="B101" s="63"/>
      <c r="C101" s="64" t="s">
        <v>41</v>
      </c>
      <c r="D101" s="284">
        <f>'Proposed Rates'!G10</f>
        <v>200</v>
      </c>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59</v>
      </c>
      <c r="B102" s="63"/>
      <c r="C102" s="64" t="s">
        <v>66</v>
      </c>
      <c r="D102" s="285">
        <f>'Proposed Rates'!G23</f>
        <v>8.4202999999999992</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45</v>
      </c>
      <c r="B103" s="63"/>
      <c r="C103" s="64" t="s">
        <v>66</v>
      </c>
      <c r="D103" s="287">
        <f>'Proposed Rates'!G266</f>
        <v>2.392E-2</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 hidden="1" customHeight="1">
      <c r="A104" s="62" t="s">
        <v>47</v>
      </c>
      <c r="B104" s="63"/>
      <c r="C104" s="64" t="s">
        <v>66</v>
      </c>
      <c r="D104" s="285">
        <f>'Proposed Rates'!G39</f>
        <v>0</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 hidden="1" customHeight="1">
      <c r="A105" s="62" t="s">
        <v>43</v>
      </c>
      <c r="B105" s="63"/>
      <c r="C105" s="64" t="s">
        <v>66</v>
      </c>
      <c r="D105" s="285">
        <f>'Proposed Rates'!G66</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 hidden="1" customHeight="1">
      <c r="A106" s="62" t="s">
        <v>42</v>
      </c>
      <c r="B106" s="63"/>
      <c r="C106" s="64" t="s">
        <v>66</v>
      </c>
      <c r="D106" s="285">
        <f>'Proposed Rates'!G92</f>
        <v>2.7900000000000001E-2</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 hidden="1" customHeight="1">
      <c r="A107" s="62" t="s">
        <v>48</v>
      </c>
      <c r="B107" s="63"/>
      <c r="C107" s="64" t="s">
        <v>46</v>
      </c>
      <c r="D107" s="285">
        <f>'Proposed Rates'!G145</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customHeight="1">
      <c r="A108" s="73" t="s">
        <v>42</v>
      </c>
      <c r="B108" s="63"/>
      <c r="C108" s="64" t="s">
        <v>66</v>
      </c>
      <c r="D108" s="66">
        <f>'Proposed Rates'!G92</f>
        <v>2.7900000000000001E-2</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 hidden="1" customHeight="1">
      <c r="A109" s="62" t="s">
        <v>67</v>
      </c>
      <c r="B109" s="63"/>
      <c r="C109" s="64" t="s">
        <v>46</v>
      </c>
      <c r="D109" s="285">
        <f>'Proposed Rates'!G158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5">
        <f>'Proposed Rates'!G185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68</v>
      </c>
      <c r="B111" s="63"/>
      <c r="C111" s="64" t="s">
        <v>66</v>
      </c>
      <c r="D111" s="285">
        <f>'Proposed Rates'!G186</f>
        <v>0.77839999999999998</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2" customHeight="1">
      <c r="A112" s="62" t="s">
        <v>50</v>
      </c>
      <c r="B112" s="63"/>
      <c r="C112" s="64" t="s">
        <v>66</v>
      </c>
      <c r="D112" s="285">
        <f>'Proposed Rates'!G200</f>
        <v>2.5918000000000001</v>
      </c>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2" customHeight="1">
      <c r="A113" s="62" t="s">
        <v>69</v>
      </c>
      <c r="B113" s="63"/>
      <c r="C113" s="64" t="s">
        <v>66</v>
      </c>
      <c r="D113" s="285">
        <f>'Proposed Rates'!G201</f>
        <v>0.44059999999999999</v>
      </c>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6.75" customHeight="1">
      <c r="A114" s="64"/>
      <c r="B114" s="64"/>
      <c r="C114" s="64"/>
      <c r="D114" s="288"/>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 customHeight="1">
      <c r="A115" s="70" t="s">
        <v>51</v>
      </c>
      <c r="B115" s="63"/>
      <c r="C115" s="64"/>
      <c r="D115" s="288"/>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6.75" customHeight="1">
      <c r="A116" s="59"/>
      <c r="B116" s="64"/>
      <c r="C116" s="64"/>
      <c r="D116" s="288"/>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52</v>
      </c>
      <c r="B117" s="63"/>
      <c r="C117" s="64" t="s">
        <v>46</v>
      </c>
      <c r="D117" s="288">
        <f>$D$34</f>
        <v>4.1000000000000003E-3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53</v>
      </c>
      <c r="B118" s="63"/>
      <c r="C118" s="64" t="s">
        <v>46</v>
      </c>
      <c r="D118" s="285">
        <f>'Proposed Rates'!G215-'2026'!D119</f>
        <v>5.9999999999999984E-4</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2" customHeight="1">
      <c r="A119" s="62" t="s">
        <v>54</v>
      </c>
      <c r="B119" s="63"/>
      <c r="C119" s="64" t="s">
        <v>46</v>
      </c>
      <c r="D119" s="285">
        <f>'Proposed Rates'!G228</f>
        <v>5.9999999999999995E-4</v>
      </c>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2" customHeight="1">
      <c r="A120" s="62" t="s">
        <v>55</v>
      </c>
      <c r="B120" s="63"/>
      <c r="C120" s="64" t="s">
        <v>41</v>
      </c>
      <c r="D120" s="285">
        <f>'Proposed Rates'!G242</f>
        <v>0.25</v>
      </c>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2" customHeight="1">
      <c r="A121" s="62"/>
      <c r="B121" s="63"/>
      <c r="C121" s="64"/>
      <c r="D121" s="69"/>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23.25" customHeight="1">
      <c r="A122" s="600" t="str">
        <f>$A$1</f>
        <v>Hydro Ottawa Limited</v>
      </c>
      <c r="B122" s="601"/>
      <c r="C122" s="601"/>
      <c r="D122" s="602"/>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8" customHeight="1">
      <c r="A123" s="603" t="str">
        <f>$A$2</f>
        <v>PROPOSED - TARIFF OF RATES AND CHARGES</v>
      </c>
      <c r="B123" s="601"/>
      <c r="C123" s="601"/>
      <c r="D123" s="602"/>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c r="A124" s="604" t="str">
        <f>$A$3</f>
        <v>Effective and Implementation Date January 1, 2027</v>
      </c>
      <c r="B124" s="601"/>
      <c r="C124" s="601"/>
      <c r="D124" s="602"/>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1.25" customHeight="1">
      <c r="A125" s="605" t="str">
        <f>$A$4</f>
        <v>This schedule supersedes and replaces all previously</v>
      </c>
      <c r="B125" s="601"/>
      <c r="C125" s="601"/>
      <c r="D125" s="602"/>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1.25" customHeight="1">
      <c r="A126" s="605" t="str">
        <f>$A$5</f>
        <v>approved schedules of Rates, Charges and Loss Factors</v>
      </c>
      <c r="B126" s="601"/>
      <c r="C126" s="601"/>
      <c r="D126" s="602"/>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1.25" customHeight="1">
      <c r="A127" s="606" t="str">
        <f>$A$6</f>
        <v>EB-2024-0115</v>
      </c>
      <c r="B127" s="601"/>
      <c r="C127" s="601"/>
      <c r="D127" s="602"/>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8.75" customHeight="1">
      <c r="A128" s="607" t="s">
        <v>70</v>
      </c>
      <c r="B128" s="601"/>
      <c r="C128" s="601"/>
      <c r="D128" s="602"/>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ht="48" customHeight="1">
      <c r="A129" s="608" t="s">
        <v>71</v>
      </c>
      <c r="B129" s="601"/>
      <c r="C129" s="601"/>
      <c r="D129" s="602"/>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4"/>
      <c r="B130" s="54"/>
      <c r="C130" s="54"/>
      <c r="D130" s="55"/>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1.25" customHeight="1">
      <c r="A131" s="609" t="s">
        <v>34</v>
      </c>
      <c r="B131" s="601"/>
      <c r="C131" s="601"/>
      <c r="D131" s="602"/>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6"/>
      <c r="B132" s="57"/>
      <c r="C132" s="57"/>
      <c r="D132" s="58"/>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36" customHeight="1">
      <c r="A133" s="608" t="s">
        <v>35</v>
      </c>
      <c r="B133" s="601"/>
      <c r="C133" s="601"/>
      <c r="D133" s="602"/>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8" t="s">
        <v>72</v>
      </c>
      <c r="B135" s="601"/>
      <c r="C135" s="601"/>
      <c r="D135" s="602"/>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48" customHeight="1">
      <c r="A137" s="608" t="s">
        <v>37</v>
      </c>
      <c r="B137" s="601"/>
      <c r="C137" s="601"/>
      <c r="D137" s="602"/>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6.75" customHeight="1">
      <c r="A138" s="54"/>
      <c r="B138" s="54"/>
      <c r="C138" s="54"/>
      <c r="D138" s="55"/>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96" customHeight="1">
      <c r="A139" s="608" t="s">
        <v>63</v>
      </c>
      <c r="B139" s="601"/>
      <c r="C139" s="601"/>
      <c r="D139" s="602"/>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96" customHeight="1">
      <c r="A140" s="608" t="s">
        <v>64</v>
      </c>
      <c r="B140" s="601"/>
      <c r="C140" s="601"/>
      <c r="D140" s="602"/>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36" customHeight="1">
      <c r="A141" s="608" t="s">
        <v>38</v>
      </c>
      <c r="B141" s="601"/>
      <c r="C141" s="601"/>
      <c r="D141" s="602"/>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24" customHeight="1">
      <c r="A142" s="611" t="s">
        <v>65</v>
      </c>
      <c r="B142" s="601"/>
      <c r="C142" s="601"/>
      <c r="D142" s="602"/>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74"/>
      <c r="B143" s="74"/>
      <c r="C143" s="74"/>
      <c r="D143" s="75"/>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 customHeight="1">
      <c r="A144" s="610" t="s">
        <v>39</v>
      </c>
      <c r="B144" s="601"/>
      <c r="C144" s="601"/>
      <c r="D144" s="602"/>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6.75" customHeight="1">
      <c r="A145" s="59"/>
      <c r="B145" s="60"/>
      <c r="C145" s="60"/>
      <c r="D145" s="61"/>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2" customHeight="1">
      <c r="A146" s="62" t="s">
        <v>40</v>
      </c>
      <c r="B146" s="63"/>
      <c r="C146" s="64" t="s">
        <v>41</v>
      </c>
      <c r="D146" s="284">
        <f>'Proposed Rates'!G11</f>
        <v>4126.75</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2" customHeight="1">
      <c r="A147" s="62" t="s">
        <v>59</v>
      </c>
      <c r="B147" s="63"/>
      <c r="C147" s="64" t="s">
        <v>66</v>
      </c>
      <c r="D147" s="285">
        <f>'Proposed Rates'!G24</f>
        <v>8.1407000000000007</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2" customHeight="1">
      <c r="A148" s="62" t="s">
        <v>45</v>
      </c>
      <c r="B148" s="63"/>
      <c r="C148" s="64" t="s">
        <v>66</v>
      </c>
      <c r="D148" s="287">
        <f>'Proposed Rates'!G267</f>
        <v>2.3730000000000001E-2</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 hidden="1" customHeight="1">
      <c r="A149" s="62" t="s">
        <v>47</v>
      </c>
      <c r="B149" s="63"/>
      <c r="C149" s="64" t="s">
        <v>66</v>
      </c>
      <c r="D149" s="285">
        <f>'Proposed Rates'!G40</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 hidden="1" customHeight="1">
      <c r="A150" s="62" t="s">
        <v>43</v>
      </c>
      <c r="B150" s="63"/>
      <c r="C150" s="64" t="s">
        <v>66</v>
      </c>
      <c r="D150" s="285">
        <f>'Proposed Rates'!G67</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 hidden="1" customHeight="1">
      <c r="A151" s="62" t="s">
        <v>48</v>
      </c>
      <c r="B151" s="63"/>
      <c r="C151" s="64" t="s">
        <v>46</v>
      </c>
      <c r="D151" s="285">
        <f>'Proposed Rates'!G145</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 hidden="1" customHeight="1">
      <c r="A152" s="62" t="s">
        <v>67</v>
      </c>
      <c r="B152" s="63"/>
      <c r="C152" s="64" t="s">
        <v>46</v>
      </c>
      <c r="D152" s="285">
        <f>'Proposed Rates'!G159</f>
        <v>0</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2" customHeight="1">
      <c r="A153" s="62" t="s">
        <v>49</v>
      </c>
      <c r="B153" s="63"/>
      <c r="C153" s="64" t="s">
        <v>66</v>
      </c>
      <c r="D153" s="285">
        <f>'Proposed Rates'!G187</f>
        <v>4.5423999999999998</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2" customHeight="1">
      <c r="A154" s="62" t="s">
        <v>68</v>
      </c>
      <c r="B154" s="63"/>
      <c r="C154" s="64" t="s">
        <v>66</v>
      </c>
      <c r="D154" s="285">
        <f>'Proposed Rates'!G188</f>
        <v>0.7722</v>
      </c>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2" customHeight="1">
      <c r="A155" s="62" t="s">
        <v>50</v>
      </c>
      <c r="B155" s="63"/>
      <c r="C155" s="64" t="s">
        <v>66</v>
      </c>
      <c r="D155" s="285">
        <f>'Proposed Rates'!G202</f>
        <v>2.5712000000000002</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2" customHeight="1">
      <c r="A156" s="62" t="s">
        <v>69</v>
      </c>
      <c r="B156" s="63"/>
      <c r="C156" s="64" t="s">
        <v>66</v>
      </c>
      <c r="D156" s="285">
        <f>'Proposed Rates'!G203</f>
        <v>0.43709999999999999</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6.75" customHeight="1">
      <c r="A157" s="64"/>
      <c r="B157" s="64"/>
      <c r="C157" s="64"/>
      <c r="D157" s="288"/>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1.25" customHeight="1">
      <c r="A158" s="70" t="s">
        <v>51</v>
      </c>
      <c r="B158" s="63"/>
      <c r="C158" s="64"/>
      <c r="D158" s="288"/>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6" customHeight="1">
      <c r="A159" s="59"/>
      <c r="B159" s="64"/>
      <c r="C159" s="64"/>
      <c r="D159" s="288"/>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2" customHeight="1">
      <c r="A160" s="62" t="s">
        <v>52</v>
      </c>
      <c r="B160" s="63"/>
      <c r="C160" s="64" t="s">
        <v>46</v>
      </c>
      <c r="D160" s="288">
        <f>$D$34</f>
        <v>4.1000000000000003E-3</v>
      </c>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2" customHeight="1">
      <c r="A161" s="62" t="s">
        <v>53</v>
      </c>
      <c r="B161" s="63"/>
      <c r="C161" s="64" t="s">
        <v>46</v>
      </c>
      <c r="D161" s="285">
        <f>'Proposed Rates'!G216-'2026'!D163</f>
        <v>5.9999999999999984E-4</v>
      </c>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2" customHeight="1">
      <c r="A162" s="62" t="s">
        <v>54</v>
      </c>
      <c r="B162" s="63"/>
      <c r="C162" s="64" t="s">
        <v>46</v>
      </c>
      <c r="D162" s="285">
        <f>'Proposed Rates'!G229</f>
        <v>5.9999999999999995E-4</v>
      </c>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2" customHeight="1">
      <c r="A163" s="62" t="s">
        <v>55</v>
      </c>
      <c r="B163" s="63"/>
      <c r="C163" s="64" t="s">
        <v>41</v>
      </c>
      <c r="D163" s="285">
        <f>'Proposed Rates'!G243</f>
        <v>0.25</v>
      </c>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2" customHeight="1">
      <c r="A164" s="62"/>
      <c r="B164" s="63"/>
      <c r="C164" s="64"/>
      <c r="D164" s="285"/>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9" customHeight="1">
      <c r="A165" s="62"/>
      <c r="B165" s="63"/>
      <c r="C165" s="64"/>
      <c r="D165" s="69"/>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23.25" customHeight="1">
      <c r="A166" s="600" t="str">
        <f>$A$1</f>
        <v>Hydro Ottawa Limited</v>
      </c>
      <c r="B166" s="601"/>
      <c r="C166" s="601"/>
      <c r="D166" s="602"/>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8" customHeight="1">
      <c r="A167" s="603" t="str">
        <f>$A$2</f>
        <v>PROPOSED - TARIFF OF RATES AND CHARGES</v>
      </c>
      <c r="B167" s="601"/>
      <c r="C167" s="601"/>
      <c r="D167" s="602"/>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c r="A168" s="604" t="str">
        <f>$A$3</f>
        <v>Effective and Implementation Date January 1, 2027</v>
      </c>
      <c r="B168" s="601"/>
      <c r="C168" s="601"/>
      <c r="D168" s="602"/>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1.25" customHeight="1">
      <c r="A169" s="605" t="str">
        <f>$A$4</f>
        <v>This schedule supersedes and replaces all previously</v>
      </c>
      <c r="B169" s="601"/>
      <c r="C169" s="601"/>
      <c r="D169" s="602"/>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1.25" customHeight="1">
      <c r="A170" s="605" t="str">
        <f>$A$5</f>
        <v>approved schedules of Rates, Charges and Loss Factors</v>
      </c>
      <c r="B170" s="601"/>
      <c r="C170" s="601"/>
      <c r="D170" s="602"/>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6" t="str">
        <f>$A$6</f>
        <v>EB-2024-0115</v>
      </c>
      <c r="B171" s="601"/>
      <c r="C171" s="601"/>
      <c r="D171" s="602"/>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8.75" customHeight="1">
      <c r="A172" s="607" t="s">
        <v>73</v>
      </c>
      <c r="B172" s="601"/>
      <c r="C172" s="601"/>
      <c r="D172" s="602"/>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ht="48" customHeight="1">
      <c r="A173" s="608" t="s">
        <v>74</v>
      </c>
      <c r="B173" s="601"/>
      <c r="C173" s="601"/>
      <c r="D173" s="602"/>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1.25" customHeight="1">
      <c r="A175" s="609" t="s">
        <v>34</v>
      </c>
      <c r="B175" s="601"/>
      <c r="C175" s="601"/>
      <c r="D175" s="602"/>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6"/>
      <c r="B176" s="57"/>
      <c r="C176" s="57"/>
      <c r="D176" s="58"/>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36" customHeight="1">
      <c r="A177" s="608" t="s">
        <v>35</v>
      </c>
      <c r="B177" s="601"/>
      <c r="C177" s="601"/>
      <c r="D177" s="602"/>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48" customHeight="1">
      <c r="A179" s="608" t="s">
        <v>75</v>
      </c>
      <c r="B179" s="601"/>
      <c r="C179" s="601"/>
      <c r="D179" s="602"/>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6.75" customHeight="1">
      <c r="A180" s="54"/>
      <c r="B180" s="54"/>
      <c r="C180" s="54"/>
      <c r="D180" s="55"/>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48" customHeight="1">
      <c r="A181" s="608" t="s">
        <v>37</v>
      </c>
      <c r="B181" s="601"/>
      <c r="C181" s="601"/>
      <c r="D181" s="602"/>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6.75" customHeight="1">
      <c r="A182" s="54"/>
      <c r="B182" s="54"/>
      <c r="C182" s="54"/>
      <c r="D182" s="55"/>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96" customHeight="1">
      <c r="A183" s="608" t="s">
        <v>63</v>
      </c>
      <c r="B183" s="601"/>
      <c r="C183" s="601"/>
      <c r="D183" s="602"/>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96" customHeight="1">
      <c r="A184" s="608" t="s">
        <v>64</v>
      </c>
      <c r="B184" s="601"/>
      <c r="C184" s="601"/>
      <c r="D184" s="602"/>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36" customHeight="1">
      <c r="A185" s="608" t="s">
        <v>38</v>
      </c>
      <c r="B185" s="601"/>
      <c r="C185" s="601"/>
      <c r="D185" s="602"/>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24" customHeight="1">
      <c r="A186" s="611" t="s">
        <v>65</v>
      </c>
      <c r="B186" s="601"/>
      <c r="C186" s="601"/>
      <c r="D186" s="602"/>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6.75" customHeight="1">
      <c r="A187" s="74"/>
      <c r="B187" s="74"/>
      <c r="C187" s="74"/>
      <c r="D187" s="75"/>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 customHeight="1">
      <c r="A188" s="610" t="s">
        <v>39</v>
      </c>
      <c r="B188" s="601"/>
      <c r="C188" s="601"/>
      <c r="D188" s="602"/>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6.75" customHeight="1">
      <c r="A189" s="59"/>
      <c r="B189" s="60"/>
      <c r="C189" s="60"/>
      <c r="D189" s="61"/>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0.5" customHeight="1">
      <c r="A190" s="62" t="s">
        <v>40</v>
      </c>
      <c r="B190" s="63"/>
      <c r="C190" s="64" t="s">
        <v>41</v>
      </c>
      <c r="D190" s="284">
        <f>'Proposed Rates'!G12</f>
        <v>14946.93</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0.5" customHeight="1">
      <c r="A191" s="62" t="s">
        <v>59</v>
      </c>
      <c r="B191" s="63"/>
      <c r="C191" s="64" t="s">
        <v>66</v>
      </c>
      <c r="D191" s="285">
        <f>'Proposed Rates'!G25</f>
        <v>8.9039000000000001</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0.5" customHeight="1">
      <c r="A192" s="62" t="s">
        <v>45</v>
      </c>
      <c r="B192" s="63"/>
      <c r="C192" s="64" t="s">
        <v>66</v>
      </c>
      <c r="D192" s="287">
        <f>'Proposed Rates'!G268</f>
        <v>2.7869999999999999E-2</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 hidden="1" customHeight="1">
      <c r="A193" s="62" t="s">
        <v>47</v>
      </c>
      <c r="B193" s="63"/>
      <c r="C193" s="64" t="s">
        <v>66</v>
      </c>
      <c r="D193" s="285">
        <f>'Proposed Rates'!G41</f>
        <v>0</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 hidden="1" customHeight="1">
      <c r="A194" s="62" t="s">
        <v>43</v>
      </c>
      <c r="B194" s="63"/>
      <c r="C194" s="64" t="s">
        <v>66</v>
      </c>
      <c r="D194" s="285">
        <f>'Proposed Rates'!G68</f>
        <v>0</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 hidden="1" customHeight="1">
      <c r="A195" s="62" t="s">
        <v>48</v>
      </c>
      <c r="B195" s="63"/>
      <c r="C195" s="64" t="s">
        <v>46</v>
      </c>
      <c r="D195" s="285">
        <f>'Proposed Rates'!G146</f>
        <v>0</v>
      </c>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0.5" customHeight="1">
      <c r="A196" s="62" t="s">
        <v>49</v>
      </c>
      <c r="B196" s="63"/>
      <c r="C196" s="64" t="s">
        <v>66</v>
      </c>
      <c r="D196" s="285">
        <f>'Proposed Rates'!G189</f>
        <v>5.3339999999999996</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0.5" customHeight="1">
      <c r="A197" s="62" t="s">
        <v>50</v>
      </c>
      <c r="B197" s="63"/>
      <c r="C197" s="64" t="s">
        <v>66</v>
      </c>
      <c r="D197" s="285">
        <f>'Proposed Rates'!G204</f>
        <v>3.0192999999999999</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 customHeight="1">
      <c r="A198" s="64"/>
      <c r="B198" s="64"/>
      <c r="C198" s="64"/>
      <c r="D198" s="288"/>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75" customHeight="1">
      <c r="A199" s="70" t="s">
        <v>51</v>
      </c>
      <c r="B199" s="63"/>
      <c r="C199" s="64"/>
      <c r="D199" s="288"/>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1.25" customHeight="1">
      <c r="A200" s="59"/>
      <c r="B200" s="64"/>
      <c r="C200" s="64"/>
      <c r="D200" s="288"/>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0.5" customHeight="1">
      <c r="A201" s="62" t="s">
        <v>52</v>
      </c>
      <c r="B201" s="63"/>
      <c r="C201" s="64" t="s">
        <v>46</v>
      </c>
      <c r="D201" s="288">
        <f>$D$34</f>
        <v>4.1000000000000003E-3</v>
      </c>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0.5" customHeight="1">
      <c r="A202" s="62" t="s">
        <v>53</v>
      </c>
      <c r="B202" s="63"/>
      <c r="C202" s="64" t="s">
        <v>46</v>
      </c>
      <c r="D202" s="285">
        <f>'Proposed Rates'!G217-'2026'!D205</f>
        <v>5.9999999999999984E-4</v>
      </c>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0.5" customHeight="1">
      <c r="A203" s="62" t="s">
        <v>54</v>
      </c>
      <c r="B203" s="63"/>
      <c r="C203" s="64" t="s">
        <v>46</v>
      </c>
      <c r="D203" s="285">
        <f>'Proposed Rates'!G230</f>
        <v>5.9999999999999995E-4</v>
      </c>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0.5" customHeight="1">
      <c r="A204" s="62" t="s">
        <v>55</v>
      </c>
      <c r="B204" s="63"/>
      <c r="C204" s="64" t="s">
        <v>41</v>
      </c>
      <c r="D204" s="285">
        <f>'Proposed Rates'!G244</f>
        <v>0.25</v>
      </c>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2.75" customHeight="1">
      <c r="A205" s="85"/>
      <c r="B205" s="63"/>
      <c r="C205" s="64"/>
      <c r="D205" s="69"/>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23.25" customHeight="1">
      <c r="A206" s="600" t="str">
        <f>$A$1</f>
        <v>Hydro Ottawa Limited</v>
      </c>
      <c r="B206" s="601"/>
      <c r="C206" s="601"/>
      <c r="D206" s="602"/>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8" customHeight="1">
      <c r="A207" s="603" t="str">
        <f>$A$2</f>
        <v>PROPOSED - TARIFF OF RATES AND CHARGES</v>
      </c>
      <c r="B207" s="601"/>
      <c r="C207" s="601"/>
      <c r="D207" s="602"/>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customHeight="1">
      <c r="A208" s="604" t="str">
        <f>$A$3</f>
        <v>Effective and Implementation Date January 1, 2027</v>
      </c>
      <c r="B208" s="601"/>
      <c r="C208" s="601"/>
      <c r="D208" s="602"/>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1.25" customHeight="1">
      <c r="A209" s="605" t="str">
        <f>$A$4</f>
        <v>This schedule supersedes and replaces all previously</v>
      </c>
      <c r="B209" s="601"/>
      <c r="C209" s="601"/>
      <c r="D209" s="602"/>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1.25" customHeight="1">
      <c r="A210" s="605" t="str">
        <f>$A$5</f>
        <v>approved schedules of Rates, Charges and Loss Factors</v>
      </c>
      <c r="B210" s="601"/>
      <c r="C210" s="601"/>
      <c r="D210" s="602"/>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1.25" customHeight="1">
      <c r="A211" s="606" t="str">
        <f>$A$6</f>
        <v>EB-2024-0115</v>
      </c>
      <c r="B211" s="601"/>
      <c r="C211" s="601"/>
      <c r="D211" s="602"/>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8.75" customHeight="1">
      <c r="A212" s="607" t="s">
        <v>76</v>
      </c>
      <c r="B212" s="601"/>
      <c r="C212" s="601"/>
      <c r="D212" s="602"/>
      <c r="E212" s="71"/>
      <c r="F212" s="71"/>
      <c r="G212" s="71"/>
      <c r="H212" s="71"/>
      <c r="I212" s="71"/>
      <c r="J212" s="71"/>
      <c r="K212" s="71"/>
      <c r="L212" s="71"/>
      <c r="M212" s="71"/>
      <c r="N212" s="71"/>
      <c r="O212" s="71"/>
      <c r="P212" s="71"/>
      <c r="Q212" s="71"/>
      <c r="R212" s="71"/>
      <c r="S212" s="71"/>
      <c r="T212" s="71"/>
      <c r="U212" s="71"/>
      <c r="V212" s="71"/>
      <c r="W212" s="71"/>
      <c r="X212" s="71"/>
      <c r="Y212" s="71"/>
      <c r="Z212" s="71"/>
    </row>
    <row r="213" spans="1:26" ht="84" customHeight="1">
      <c r="A213" s="608" t="s">
        <v>77</v>
      </c>
      <c r="B213" s="601"/>
      <c r="C213" s="601"/>
      <c r="D213" s="602"/>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6.75" customHeight="1">
      <c r="A214" s="54"/>
      <c r="B214" s="54"/>
      <c r="C214" s="54"/>
      <c r="D214" s="55"/>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1.25" customHeight="1">
      <c r="A215" s="609" t="s">
        <v>34</v>
      </c>
      <c r="B215" s="601"/>
      <c r="C215" s="601"/>
      <c r="D215" s="602"/>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6.75" customHeight="1">
      <c r="A216" s="56"/>
      <c r="B216" s="57"/>
      <c r="C216" s="57"/>
      <c r="D216" s="58"/>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36" customHeight="1">
      <c r="A217" s="608" t="s">
        <v>35</v>
      </c>
      <c r="B217" s="601"/>
      <c r="C217" s="601"/>
      <c r="D217" s="602"/>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6.75" customHeight="1">
      <c r="A218" s="54"/>
      <c r="B218" s="54"/>
      <c r="C218" s="54"/>
      <c r="D218" s="55"/>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48" customHeight="1">
      <c r="A219" s="608" t="s">
        <v>36</v>
      </c>
      <c r="B219" s="601"/>
      <c r="C219" s="601"/>
      <c r="D219" s="602"/>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6.75" customHeight="1">
      <c r="A220" s="54"/>
      <c r="B220" s="54"/>
      <c r="C220" s="54"/>
      <c r="D220" s="55"/>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48" customHeight="1">
      <c r="A221" s="608" t="s">
        <v>37</v>
      </c>
      <c r="B221" s="601"/>
      <c r="C221" s="601"/>
      <c r="D221" s="602"/>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6.75" customHeight="1">
      <c r="A222" s="54"/>
      <c r="B222" s="54"/>
      <c r="C222" s="54"/>
      <c r="D222" s="55"/>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36" customHeight="1">
      <c r="A223" s="608" t="s">
        <v>38</v>
      </c>
      <c r="B223" s="601"/>
      <c r="C223" s="601"/>
      <c r="D223" s="602"/>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6.75" customHeight="1">
      <c r="A224" s="54"/>
      <c r="B224" s="54"/>
      <c r="C224" s="54"/>
      <c r="D224" s="55"/>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5" customHeight="1">
      <c r="A225" s="70" t="s">
        <v>39</v>
      </c>
      <c r="B225" s="63"/>
      <c r="C225" s="63"/>
      <c r="D225" s="6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6.75" customHeight="1">
      <c r="A226" s="59"/>
      <c r="B226" s="60"/>
      <c r="C226" s="60"/>
      <c r="D226" s="61"/>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1.25" customHeight="1">
      <c r="A227" s="62" t="s">
        <v>78</v>
      </c>
      <c r="B227" s="63"/>
      <c r="C227" s="64" t="s">
        <v>41</v>
      </c>
      <c r="D227" s="284">
        <f>'Proposed Rates'!G15</f>
        <v>8.69</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1.25" customHeight="1">
      <c r="A228" s="62" t="s">
        <v>59</v>
      </c>
      <c r="B228" s="63"/>
      <c r="C228" s="64" t="s">
        <v>46</v>
      </c>
      <c r="D228" s="285">
        <f>'Proposed Rates'!G28</f>
        <v>4.1500000000000002E-2</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1.25" customHeight="1">
      <c r="A229" s="62" t="s">
        <v>45</v>
      </c>
      <c r="B229" s="63"/>
      <c r="C229" s="64" t="s">
        <v>46</v>
      </c>
      <c r="D229" s="287">
        <f>'Proposed Rates'!G271</f>
        <v>4.0000000000000003E-5</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5" hidden="1" customHeight="1">
      <c r="A230" s="62" t="s">
        <v>47</v>
      </c>
      <c r="B230" s="63"/>
      <c r="C230" s="64" t="s">
        <v>46</v>
      </c>
      <c r="D230" s="285">
        <f>'Proposed Rates'!G44</f>
        <v>0</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 hidden="1" customHeight="1">
      <c r="A231" s="62" t="s">
        <v>43</v>
      </c>
      <c r="B231" s="63"/>
      <c r="C231" s="64" t="s">
        <v>46</v>
      </c>
      <c r="D231" s="285">
        <f>'Proposed Rates'!G71</f>
        <v>0</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1.25" customHeight="1">
      <c r="A232" s="62" t="s">
        <v>49</v>
      </c>
      <c r="B232" s="63"/>
      <c r="C232" s="64" t="s">
        <v>46</v>
      </c>
      <c r="D232" s="285">
        <f>'Proposed Rates'!G192</f>
        <v>7.4999999999999997E-3</v>
      </c>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customHeight="1">
      <c r="A233" s="62" t="s">
        <v>50</v>
      </c>
      <c r="B233" s="63"/>
      <c r="C233" s="64" t="s">
        <v>46</v>
      </c>
      <c r="D233" s="285">
        <f>'Proposed Rates'!G207</f>
        <v>4.3E-3</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6.75" customHeight="1">
      <c r="A234" s="64"/>
      <c r="B234" s="64"/>
      <c r="C234" s="64"/>
      <c r="D234" s="288"/>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5" customHeight="1">
      <c r="A235" s="70" t="s">
        <v>51</v>
      </c>
      <c r="B235" s="63"/>
      <c r="C235" s="64"/>
      <c r="D235" s="288"/>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6.75" customHeight="1">
      <c r="A236" s="59"/>
      <c r="B236" s="64"/>
      <c r="C236" s="64"/>
      <c r="D236" s="288"/>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1.25" customHeight="1">
      <c r="A237" s="62" t="s">
        <v>52</v>
      </c>
      <c r="B237" s="63"/>
      <c r="C237" s="64" t="s">
        <v>46</v>
      </c>
      <c r="D237" s="288">
        <f>$D$34</f>
        <v>4.1000000000000003E-3</v>
      </c>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1.25" customHeight="1">
      <c r="A238" s="62" t="s">
        <v>53</v>
      </c>
      <c r="B238" s="63"/>
      <c r="C238" s="64" t="s">
        <v>46</v>
      </c>
      <c r="D238" s="285">
        <f>'Proposed Rates'!G220-'2026'!D243</f>
        <v>5.9999999999999984E-4</v>
      </c>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1.25" customHeight="1">
      <c r="A239" s="62" t="s">
        <v>54</v>
      </c>
      <c r="B239" s="63"/>
      <c r="C239" s="64" t="s">
        <v>46</v>
      </c>
      <c r="D239" s="285">
        <f>'Proposed Rates'!G233</f>
        <v>5.9999999999999995E-4</v>
      </c>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1.25" customHeight="1">
      <c r="A240" s="62" t="s">
        <v>55</v>
      </c>
      <c r="B240" s="63"/>
      <c r="C240" s="64" t="s">
        <v>41</v>
      </c>
      <c r="D240" s="285">
        <f>'Proposed Rates'!G247</f>
        <v>0.25</v>
      </c>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3.5" customHeight="1">
      <c r="A241" s="62"/>
      <c r="B241" s="63"/>
      <c r="C241" s="64"/>
      <c r="D241" s="69"/>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23.25" customHeight="1">
      <c r="A242" s="600" t="str">
        <f>$A$1</f>
        <v>Hydro Ottawa Limited</v>
      </c>
      <c r="B242" s="601"/>
      <c r="C242" s="601"/>
      <c r="D242" s="602"/>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8" customHeight="1">
      <c r="A243" s="603" t="str">
        <f>$A$2</f>
        <v>PROPOSED - TARIFF OF RATES AND CHARGES</v>
      </c>
      <c r="B243" s="601"/>
      <c r="C243" s="601"/>
      <c r="D243" s="602"/>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5.75" customHeight="1">
      <c r="A244" s="604" t="str">
        <f>$A$3</f>
        <v>Effective and Implementation Date January 1, 2027</v>
      </c>
      <c r="B244" s="601"/>
      <c r="C244" s="601"/>
      <c r="D244" s="602"/>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1.25" customHeight="1">
      <c r="A245" s="605" t="str">
        <f>$A$4</f>
        <v>This schedule supersedes and replaces all previously</v>
      </c>
      <c r="B245" s="601"/>
      <c r="C245" s="601"/>
      <c r="D245" s="602"/>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1.25" customHeight="1">
      <c r="A246" s="605" t="str">
        <f>$A$5</f>
        <v>approved schedules of Rates, Charges and Loss Factors</v>
      </c>
      <c r="B246" s="601"/>
      <c r="C246" s="601"/>
      <c r="D246" s="602"/>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1.25" customHeight="1">
      <c r="A247" s="606" t="str">
        <f>$A$6</f>
        <v>EB-2024-0115</v>
      </c>
      <c r="B247" s="601"/>
      <c r="C247" s="601"/>
      <c r="D247" s="602"/>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8.75" customHeight="1">
      <c r="A248" s="607" t="s">
        <v>79</v>
      </c>
      <c r="B248" s="601"/>
      <c r="C248" s="601"/>
      <c r="D248" s="602"/>
      <c r="E248" s="71"/>
      <c r="F248" s="71"/>
      <c r="G248" s="71"/>
      <c r="H248" s="71"/>
      <c r="I248" s="71"/>
      <c r="J248" s="71"/>
      <c r="K248" s="71"/>
      <c r="L248" s="71"/>
      <c r="M248" s="71"/>
      <c r="N248" s="71"/>
      <c r="O248" s="71"/>
      <c r="P248" s="71"/>
      <c r="Q248" s="71"/>
      <c r="R248" s="71"/>
      <c r="S248" s="71"/>
      <c r="T248" s="71"/>
      <c r="U248" s="71"/>
      <c r="V248" s="71"/>
      <c r="W248" s="71"/>
      <c r="X248" s="71"/>
      <c r="Y248" s="71"/>
      <c r="Z248" s="71"/>
    </row>
    <row r="249" spans="1:26" ht="36" customHeight="1">
      <c r="A249" s="608" t="s">
        <v>80</v>
      </c>
      <c r="B249" s="601"/>
      <c r="C249" s="601"/>
      <c r="D249" s="602"/>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6.75" customHeight="1">
      <c r="A250" s="54"/>
      <c r="B250" s="54"/>
      <c r="C250" s="54"/>
      <c r="D250" s="55"/>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1.25" customHeight="1">
      <c r="A251" s="609" t="s">
        <v>34</v>
      </c>
      <c r="B251" s="601"/>
      <c r="C251" s="601"/>
      <c r="D251" s="602"/>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6"/>
      <c r="B252" s="57"/>
      <c r="C252" s="57"/>
      <c r="D252" s="58"/>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36" customHeight="1">
      <c r="A253" s="608" t="s">
        <v>35</v>
      </c>
      <c r="B253" s="601"/>
      <c r="C253" s="601"/>
      <c r="D253" s="602"/>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4"/>
      <c r="B254" s="54"/>
      <c r="C254" s="54"/>
      <c r="D254" s="55"/>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48" customHeight="1">
      <c r="A255" s="608" t="s">
        <v>36</v>
      </c>
      <c r="B255" s="601"/>
      <c r="C255" s="601"/>
      <c r="D255" s="602"/>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24" customHeight="1">
      <c r="A257" s="608" t="s">
        <v>81</v>
      </c>
      <c r="B257" s="601"/>
      <c r="C257" s="601"/>
      <c r="D257" s="602"/>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36" customHeight="1">
      <c r="A259" s="608" t="s">
        <v>82</v>
      </c>
      <c r="B259" s="601"/>
      <c r="C259" s="601"/>
      <c r="D259" s="602"/>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4"/>
      <c r="B260" s="54"/>
      <c r="C260" s="54"/>
      <c r="D260" s="55"/>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5" customHeight="1">
      <c r="A261" s="610" t="s">
        <v>83</v>
      </c>
      <c r="B261" s="601"/>
      <c r="C261" s="601"/>
      <c r="D261" s="602"/>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6.75" customHeight="1">
      <c r="A262" s="59"/>
      <c r="B262" s="60"/>
      <c r="C262" s="60"/>
      <c r="D262" s="61"/>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3.5" customHeight="1">
      <c r="A263" s="290" t="s">
        <v>40</v>
      </c>
      <c r="B263" s="80"/>
      <c r="C263" s="291" t="s">
        <v>41</v>
      </c>
      <c r="D263" s="292">
        <f>'Proposed Rates'!G16</f>
        <v>186.89</v>
      </c>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1.25" customHeight="1">
      <c r="A264" s="290" t="s">
        <v>84</v>
      </c>
      <c r="B264" s="80"/>
      <c r="C264" s="291" t="s">
        <v>66</v>
      </c>
      <c r="D264" s="293">
        <f>'Proposed Rates'!G29</f>
        <v>4.2095000000000002</v>
      </c>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1.25" customHeight="1">
      <c r="A265" s="290" t="s">
        <v>85</v>
      </c>
      <c r="B265" s="80"/>
      <c r="C265" s="291" t="s">
        <v>66</v>
      </c>
      <c r="D265" s="293">
        <f>'Proposed Rates'!G30</f>
        <v>4.0682999999999998</v>
      </c>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1.25" customHeight="1">
      <c r="A266" s="290" t="s">
        <v>86</v>
      </c>
      <c r="B266" s="80"/>
      <c r="C266" s="291" t="s">
        <v>66</v>
      </c>
      <c r="D266" s="293">
        <f>'Proposed Rates'!G31</f>
        <v>4.4516999999999998</v>
      </c>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4.25" customHeight="1">
      <c r="A267" s="85"/>
      <c r="B267" s="63"/>
      <c r="C267" s="64"/>
      <c r="D267" s="288"/>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23.25" customHeight="1">
      <c r="A268" s="600" t="str">
        <f>$A$1</f>
        <v>Hydro Ottawa Limited</v>
      </c>
      <c r="B268" s="601"/>
      <c r="C268" s="601"/>
      <c r="D268" s="602"/>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8" customHeight="1">
      <c r="A269" s="603" t="str">
        <f>$A$2</f>
        <v>PROPOSED - TARIFF OF RATES AND CHARGES</v>
      </c>
      <c r="B269" s="601"/>
      <c r="C269" s="601"/>
      <c r="D269" s="602"/>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5.75" customHeight="1">
      <c r="A270" s="604" t="str">
        <f>$A$3</f>
        <v>Effective and Implementation Date January 1, 2027</v>
      </c>
      <c r="B270" s="601"/>
      <c r="C270" s="601"/>
      <c r="D270" s="602"/>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1.25" customHeight="1">
      <c r="A271" s="605" t="str">
        <f>$A$4</f>
        <v>This schedule supersedes and replaces all previously</v>
      </c>
      <c r="B271" s="601"/>
      <c r="C271" s="601"/>
      <c r="D271" s="602"/>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1.25" customHeight="1">
      <c r="A272" s="605" t="str">
        <f>$A$5</f>
        <v>approved schedules of Rates, Charges and Loss Factors</v>
      </c>
      <c r="B272" s="601"/>
      <c r="C272" s="601"/>
      <c r="D272" s="602"/>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1.25" customHeight="1">
      <c r="A273" s="606" t="str">
        <f>$A$6</f>
        <v>EB-2024-0115</v>
      </c>
      <c r="B273" s="601"/>
      <c r="C273" s="601"/>
      <c r="D273" s="602"/>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8.75" customHeight="1">
      <c r="A274" s="607" t="s">
        <v>87</v>
      </c>
      <c r="B274" s="601"/>
      <c r="C274" s="601"/>
      <c r="D274" s="602"/>
      <c r="E274" s="71"/>
      <c r="F274" s="71"/>
      <c r="G274" s="71"/>
      <c r="H274" s="71"/>
      <c r="I274" s="71"/>
      <c r="J274" s="71"/>
      <c r="K274" s="71"/>
      <c r="L274" s="71"/>
      <c r="M274" s="71"/>
      <c r="N274" s="71"/>
      <c r="O274" s="71"/>
      <c r="P274" s="71"/>
      <c r="Q274" s="71"/>
      <c r="R274" s="71"/>
      <c r="S274" s="71"/>
      <c r="T274" s="71"/>
      <c r="U274" s="71"/>
      <c r="V274" s="71"/>
      <c r="W274" s="71"/>
      <c r="X274" s="71"/>
      <c r="Y274" s="71"/>
      <c r="Z274" s="71"/>
    </row>
    <row r="275" spans="1:26" ht="36" customHeight="1">
      <c r="A275" s="608" t="s">
        <v>88</v>
      </c>
      <c r="B275" s="601"/>
      <c r="C275" s="601"/>
      <c r="D275" s="602"/>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6.75" customHeight="1">
      <c r="A276" s="54"/>
      <c r="B276" s="54"/>
      <c r="C276" s="54"/>
      <c r="D276" s="55"/>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1.25" customHeight="1">
      <c r="A277" s="609" t="s">
        <v>34</v>
      </c>
      <c r="B277" s="601"/>
      <c r="C277" s="601"/>
      <c r="D277" s="602"/>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6"/>
      <c r="B278" s="57"/>
      <c r="C278" s="57"/>
      <c r="D278" s="58"/>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36" customHeight="1">
      <c r="A279" s="608" t="s">
        <v>35</v>
      </c>
      <c r="B279" s="601"/>
      <c r="C279" s="601"/>
      <c r="D279" s="602"/>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4"/>
      <c r="B280" s="54"/>
      <c r="C280" s="54"/>
      <c r="D280" s="55"/>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48" customHeight="1">
      <c r="A281" s="608" t="s">
        <v>36</v>
      </c>
      <c r="B281" s="601"/>
      <c r="C281" s="601"/>
      <c r="D281" s="602"/>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48" customHeight="1">
      <c r="A283" s="608" t="s">
        <v>37</v>
      </c>
      <c r="B283" s="601"/>
      <c r="C283" s="601"/>
      <c r="D283" s="602"/>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36" customHeight="1">
      <c r="A285" s="608" t="s">
        <v>38</v>
      </c>
      <c r="B285" s="601"/>
      <c r="C285" s="601"/>
      <c r="D285" s="602"/>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4"/>
      <c r="B286" s="54"/>
      <c r="C286" s="54"/>
      <c r="D286" s="55"/>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5" customHeight="1">
      <c r="A287" s="610" t="s">
        <v>39</v>
      </c>
      <c r="B287" s="601"/>
      <c r="C287" s="601"/>
      <c r="D287" s="602"/>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6.75" customHeight="1">
      <c r="A288" s="59"/>
      <c r="B288" s="60"/>
      <c r="C288" s="60"/>
      <c r="D288" s="61"/>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1.25" customHeight="1">
      <c r="A289" s="62" t="s">
        <v>78</v>
      </c>
      <c r="B289" s="63"/>
      <c r="C289" s="64" t="s">
        <v>41</v>
      </c>
      <c r="D289" s="284">
        <f>'Proposed Rates'!G14</f>
        <v>8.7200000000000006</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1.25" customHeight="1">
      <c r="A290" s="62" t="s">
        <v>59</v>
      </c>
      <c r="B290" s="63"/>
      <c r="C290" s="64" t="s">
        <v>66</v>
      </c>
      <c r="D290" s="285">
        <f>'Proposed Rates'!G27</f>
        <v>40.930700000000002</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1.25" customHeight="1">
      <c r="A291" s="62" t="s">
        <v>45</v>
      </c>
      <c r="B291" s="63"/>
      <c r="C291" s="64" t="s">
        <v>66</v>
      </c>
      <c r="D291" s="287">
        <f>'Proposed Rates'!G270</f>
        <v>4.4600000000000004E-3</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5" hidden="1" customHeight="1">
      <c r="A292" s="62" t="s">
        <v>47</v>
      </c>
      <c r="B292" s="63"/>
      <c r="C292" s="64" t="s">
        <v>66</v>
      </c>
      <c r="D292" s="285">
        <f>'Proposed Rates'!G43</f>
        <v>0</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5" hidden="1" customHeight="1">
      <c r="A293" s="62" t="s">
        <v>43</v>
      </c>
      <c r="B293" s="63"/>
      <c r="C293" s="64" t="s">
        <v>66</v>
      </c>
      <c r="D293" s="285">
        <f>'Proposed Rates'!G70</f>
        <v>0</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 hidden="1" customHeight="1">
      <c r="A294" s="62" t="s">
        <v>48</v>
      </c>
      <c r="B294" s="63"/>
      <c r="C294" s="64" t="s">
        <v>46</v>
      </c>
      <c r="D294" s="285">
        <f>'Proposed Rates'!G148</f>
        <v>0</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2" customHeight="1">
      <c r="A295" s="62" t="s">
        <v>49</v>
      </c>
      <c r="B295" s="63"/>
      <c r="C295" s="64" t="s">
        <v>66</v>
      </c>
      <c r="D295" s="285">
        <f>'Proposed Rates'!G191</f>
        <v>0.85450000000000004</v>
      </c>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5.75" customHeight="1">
      <c r="A296" s="89" t="s">
        <v>50</v>
      </c>
      <c r="B296" s="63"/>
      <c r="C296" s="90" t="s">
        <v>66</v>
      </c>
      <c r="D296" s="294">
        <f>'Proposed Rates'!G206</f>
        <v>0.48370000000000002</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4.5" customHeight="1">
      <c r="A297" s="89"/>
      <c r="B297" s="63"/>
      <c r="C297" s="90"/>
      <c r="D297" s="295"/>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5" customHeight="1">
      <c r="A298" s="70" t="s">
        <v>51</v>
      </c>
      <c r="B298" s="63"/>
      <c r="C298" s="64"/>
      <c r="D298" s="288"/>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6.75" customHeight="1">
      <c r="A299" s="59"/>
      <c r="B299" s="64"/>
      <c r="C299" s="64"/>
      <c r="D299" s="288"/>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0.5" customHeight="1">
      <c r="A300" s="62" t="s">
        <v>52</v>
      </c>
      <c r="B300" s="63"/>
      <c r="C300" s="64" t="s">
        <v>46</v>
      </c>
      <c r="D300" s="288">
        <f>$D$34</f>
        <v>4.1000000000000003E-3</v>
      </c>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1.25" customHeight="1">
      <c r="A301" s="62" t="s">
        <v>53</v>
      </c>
      <c r="B301" s="63"/>
      <c r="C301" s="64" t="s">
        <v>46</v>
      </c>
      <c r="D301" s="285">
        <f>'Proposed Rates'!G219-'2026'!D307</f>
        <v>5.9999999999999984E-4</v>
      </c>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1.25" customHeight="1">
      <c r="A302" s="62" t="s">
        <v>54</v>
      </c>
      <c r="B302" s="63"/>
      <c r="C302" s="64" t="s">
        <v>46</v>
      </c>
      <c r="D302" s="285">
        <f>'Proposed Rates'!G232</f>
        <v>5.9999999999999995E-4</v>
      </c>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1.25" customHeight="1">
      <c r="A303" s="62" t="s">
        <v>55</v>
      </c>
      <c r="B303" s="63"/>
      <c r="C303" s="64" t="s">
        <v>41</v>
      </c>
      <c r="D303" s="285">
        <f>'Proposed Rates'!G246</f>
        <v>0.25</v>
      </c>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1.25" customHeight="1">
      <c r="A304" s="85"/>
      <c r="B304" s="63"/>
      <c r="C304" s="64"/>
      <c r="D304" s="69"/>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23.25" customHeight="1">
      <c r="A305" s="600" t="str">
        <f>$A$1</f>
        <v>Hydro Ottawa Limited</v>
      </c>
      <c r="B305" s="601"/>
      <c r="C305" s="601"/>
      <c r="D305" s="602"/>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8" customHeight="1">
      <c r="A306" s="603" t="str">
        <f>$A$2</f>
        <v>PROPOSED - TARIFF OF RATES AND CHARGES</v>
      </c>
      <c r="B306" s="601"/>
      <c r="C306" s="601"/>
      <c r="D306" s="602"/>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5.75" customHeight="1">
      <c r="A307" s="604" t="str">
        <f>$A$3</f>
        <v>Effective and Implementation Date January 1, 2027</v>
      </c>
      <c r="B307" s="601"/>
      <c r="C307" s="601"/>
      <c r="D307" s="602"/>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1.25" customHeight="1">
      <c r="A308" s="605" t="str">
        <f>$A$4</f>
        <v>This schedule supersedes and replaces all previously</v>
      </c>
      <c r="B308" s="601"/>
      <c r="C308" s="601"/>
      <c r="D308" s="602"/>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1.25" customHeight="1">
      <c r="A309" s="605" t="str">
        <f>$A$5</f>
        <v>approved schedules of Rates, Charges and Loss Factors</v>
      </c>
      <c r="B309" s="601"/>
      <c r="C309" s="601"/>
      <c r="D309" s="602"/>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1.25" customHeight="1">
      <c r="A310" s="606" t="str">
        <f>$A$6</f>
        <v>EB-2024-0115</v>
      </c>
      <c r="B310" s="601"/>
      <c r="C310" s="601"/>
      <c r="D310" s="602"/>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8.75" customHeight="1">
      <c r="A311" s="607" t="s">
        <v>89</v>
      </c>
      <c r="B311" s="601"/>
      <c r="C311" s="601"/>
      <c r="D311" s="602"/>
      <c r="E311" s="71"/>
      <c r="F311" s="71"/>
      <c r="G311" s="71"/>
      <c r="H311" s="71"/>
      <c r="I311" s="71"/>
      <c r="J311" s="71"/>
      <c r="K311" s="71"/>
      <c r="L311" s="71"/>
      <c r="M311" s="71"/>
      <c r="N311" s="71"/>
      <c r="O311" s="71"/>
      <c r="P311" s="71"/>
      <c r="Q311" s="71"/>
      <c r="R311" s="71"/>
      <c r="S311" s="71"/>
      <c r="T311" s="71"/>
      <c r="U311" s="71"/>
      <c r="V311" s="71"/>
      <c r="W311" s="71"/>
      <c r="X311" s="71"/>
      <c r="Y311" s="71"/>
      <c r="Z311" s="71"/>
    </row>
    <row r="312" spans="1:26" ht="60" customHeight="1">
      <c r="A312" s="608" t="s">
        <v>90</v>
      </c>
      <c r="B312" s="601"/>
      <c r="C312" s="601"/>
      <c r="D312" s="602"/>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6.75" customHeight="1">
      <c r="A313" s="54"/>
      <c r="B313" s="54"/>
      <c r="C313" s="54"/>
      <c r="D313" s="55"/>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1.25" customHeight="1">
      <c r="A314" s="609" t="s">
        <v>34</v>
      </c>
      <c r="B314" s="601"/>
      <c r="C314" s="601"/>
      <c r="D314" s="602"/>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6"/>
      <c r="B315" s="57"/>
      <c r="C315" s="57"/>
      <c r="D315" s="58"/>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36" customHeight="1">
      <c r="A316" s="608" t="s">
        <v>35</v>
      </c>
      <c r="B316" s="601"/>
      <c r="C316" s="601"/>
      <c r="D316" s="602"/>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4"/>
      <c r="B317" s="54"/>
      <c r="C317" s="54"/>
      <c r="D317" s="55"/>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48" customHeight="1">
      <c r="A318" s="608" t="s">
        <v>36</v>
      </c>
      <c r="B318" s="601"/>
      <c r="C318" s="601"/>
      <c r="D318" s="602"/>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48" customHeight="1">
      <c r="A320" s="608" t="s">
        <v>37</v>
      </c>
      <c r="B320" s="601"/>
      <c r="C320" s="601"/>
      <c r="D320" s="602"/>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36" customHeight="1">
      <c r="A322" s="608" t="s">
        <v>91</v>
      </c>
      <c r="B322" s="601"/>
      <c r="C322" s="601"/>
      <c r="D322" s="602"/>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75" customHeight="1">
      <c r="A323" s="54"/>
      <c r="B323" s="54"/>
      <c r="C323" s="54"/>
      <c r="D323" s="55"/>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5" customHeight="1">
      <c r="A324" s="610" t="s">
        <v>39</v>
      </c>
      <c r="B324" s="601"/>
      <c r="C324" s="601"/>
      <c r="D324" s="602"/>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6.75" customHeight="1">
      <c r="A325" s="59"/>
      <c r="B325" s="60"/>
      <c r="C325" s="60"/>
      <c r="D325" s="61"/>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0.5" customHeight="1">
      <c r="A326" s="62" t="s">
        <v>78</v>
      </c>
      <c r="B326" s="63"/>
      <c r="C326" s="64" t="s">
        <v>41</v>
      </c>
      <c r="D326" s="284">
        <f>'Proposed Rates'!G13</f>
        <v>1.17</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0.5" customHeight="1">
      <c r="A327" s="62" t="s">
        <v>59</v>
      </c>
      <c r="B327" s="63"/>
      <c r="C327" s="64" t="s">
        <v>66</v>
      </c>
      <c r="D327" s="285">
        <f>'Proposed Rates'!G26</f>
        <v>8.0873000000000008</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0.5" customHeight="1">
      <c r="A328" s="62" t="s">
        <v>45</v>
      </c>
      <c r="B328" s="63"/>
      <c r="C328" s="64" t="s">
        <v>66</v>
      </c>
      <c r="D328" s="287">
        <f>'Proposed Rates'!G269</f>
        <v>1.1270000000000001E-2</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5" hidden="1" customHeight="1">
      <c r="A329" s="62" t="s">
        <v>47</v>
      </c>
      <c r="B329" s="63"/>
      <c r="C329" s="64" t="s">
        <v>66</v>
      </c>
      <c r="D329" s="285">
        <f>'Proposed Rates'!G42</f>
        <v>0</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5" hidden="1" customHeight="1">
      <c r="A330" s="62" t="s">
        <v>43</v>
      </c>
      <c r="B330" s="63"/>
      <c r="C330" s="64" t="s">
        <v>66</v>
      </c>
      <c r="D330" s="285">
        <f>'Proposed Rates'!G69</f>
        <v>0</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 hidden="1" customHeight="1">
      <c r="A331" s="62" t="s">
        <v>48</v>
      </c>
      <c r="B331" s="63"/>
      <c r="C331" s="64" t="s">
        <v>46</v>
      </c>
      <c r="D331" s="285">
        <f>'Proposed Rates'!G147</f>
        <v>0</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0.5" customHeight="1">
      <c r="A332" s="62" t="s">
        <v>49</v>
      </c>
      <c r="B332" s="63"/>
      <c r="C332" s="64" t="s">
        <v>66</v>
      </c>
      <c r="D332" s="285">
        <f>'Proposed Rates'!G190</f>
        <v>2.1576</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0.5" customHeight="1">
      <c r="A333" s="62" t="s">
        <v>50</v>
      </c>
      <c r="B333" s="63"/>
      <c r="C333" s="64" t="s">
        <v>66</v>
      </c>
      <c r="D333" s="285">
        <f>'Proposed Rates'!G205</f>
        <v>1.2213000000000001</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9" customHeight="1">
      <c r="A334" s="64"/>
      <c r="B334" s="64"/>
      <c r="C334" s="64"/>
      <c r="D334" s="288"/>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5.75" customHeight="1">
      <c r="A335" s="70" t="s">
        <v>51</v>
      </c>
      <c r="B335" s="63"/>
      <c r="C335" s="64"/>
      <c r="D335" s="288"/>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6.75" customHeight="1">
      <c r="A336" s="59"/>
      <c r="B336" s="64"/>
      <c r="C336" s="64"/>
      <c r="D336" s="288"/>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0.5" customHeight="1">
      <c r="A337" s="62" t="s">
        <v>52</v>
      </c>
      <c r="B337" s="63"/>
      <c r="C337" s="64" t="s">
        <v>46</v>
      </c>
      <c r="D337" s="288">
        <f>$D$34</f>
        <v>4.1000000000000003E-3</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0.5" customHeight="1">
      <c r="A338" s="62" t="s">
        <v>53</v>
      </c>
      <c r="B338" s="63"/>
      <c r="C338" s="64" t="s">
        <v>46</v>
      </c>
      <c r="D338" s="285">
        <f>'Proposed Rates'!G218-'2026'!D347</f>
        <v>5.9999999999999984E-4</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0.5" customHeight="1">
      <c r="A339" s="62" t="s">
        <v>54</v>
      </c>
      <c r="B339" s="63"/>
      <c r="C339" s="64" t="s">
        <v>46</v>
      </c>
      <c r="D339" s="285">
        <f>'Proposed Rates'!G231</f>
        <v>5.9999999999999995E-4</v>
      </c>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0.5" customHeight="1">
      <c r="A340" s="62" t="s">
        <v>55</v>
      </c>
      <c r="B340" s="63"/>
      <c r="C340" s="64" t="s">
        <v>41</v>
      </c>
      <c r="D340" s="285">
        <f>'Proposed Rates'!G245</f>
        <v>0.25</v>
      </c>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9.75" customHeight="1">
      <c r="A341" s="296"/>
      <c r="B341" s="95"/>
      <c r="C341" s="96"/>
      <c r="D341" s="297"/>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23.25" customHeight="1">
      <c r="A342" s="600" t="str">
        <f>$A$1</f>
        <v>Hydro Ottawa Limited</v>
      </c>
      <c r="B342" s="601"/>
      <c r="C342" s="601"/>
      <c r="D342" s="602"/>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8" customHeight="1">
      <c r="A343" s="603" t="str">
        <f>$A$2</f>
        <v>PROPOSED - TARIFF OF RATES AND CHARGES</v>
      </c>
      <c r="B343" s="601"/>
      <c r="C343" s="601"/>
      <c r="D343" s="602"/>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75" customHeight="1">
      <c r="A344" s="604" t="str">
        <f>$A$3</f>
        <v>Effective and Implementation Date January 1, 2027</v>
      </c>
      <c r="B344" s="601"/>
      <c r="C344" s="601"/>
      <c r="D344" s="602"/>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1.25" customHeight="1">
      <c r="A345" s="605" t="str">
        <f>$A$4</f>
        <v>This schedule supersedes and replaces all previously</v>
      </c>
      <c r="B345" s="601"/>
      <c r="C345" s="601"/>
      <c r="D345" s="602"/>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1.25" customHeight="1">
      <c r="A346" s="605" t="str">
        <f>$A$5</f>
        <v>approved schedules of Rates, Charges and Loss Factors</v>
      </c>
      <c r="B346" s="601"/>
      <c r="C346" s="601"/>
      <c r="D346" s="602"/>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6" customHeight="1">
      <c r="A347" s="606" t="str">
        <f>$A$6</f>
        <v>EB-2024-0115</v>
      </c>
      <c r="B347" s="601"/>
      <c r="C347" s="601"/>
      <c r="D347" s="602"/>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8.75" customHeight="1">
      <c r="A348" s="607" t="s">
        <v>93</v>
      </c>
      <c r="B348" s="601"/>
      <c r="C348" s="601"/>
      <c r="D348" s="602"/>
      <c r="E348" s="71"/>
      <c r="F348" s="71"/>
      <c r="G348" s="71"/>
      <c r="H348" s="71"/>
      <c r="I348" s="71"/>
      <c r="J348" s="71"/>
      <c r="K348" s="71"/>
      <c r="L348" s="71"/>
      <c r="M348" s="71"/>
      <c r="N348" s="71"/>
      <c r="O348" s="71"/>
      <c r="P348" s="71"/>
      <c r="Q348" s="71"/>
      <c r="R348" s="71"/>
      <c r="S348" s="71"/>
      <c r="T348" s="71"/>
      <c r="U348" s="71"/>
      <c r="V348" s="71"/>
      <c r="W348" s="71"/>
      <c r="X348" s="71"/>
      <c r="Y348" s="71"/>
      <c r="Z348" s="71"/>
    </row>
    <row r="349" spans="1:26" ht="36" customHeight="1">
      <c r="A349" s="608" t="s">
        <v>94</v>
      </c>
      <c r="B349" s="601"/>
      <c r="C349" s="601"/>
      <c r="D349" s="602"/>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6.75" customHeight="1">
      <c r="A350" s="54"/>
      <c r="B350" s="54"/>
      <c r="C350" s="54"/>
      <c r="D350" s="55"/>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1.25" customHeight="1">
      <c r="A351" s="609" t="s">
        <v>34</v>
      </c>
      <c r="B351" s="601"/>
      <c r="C351" s="601"/>
      <c r="D351" s="602"/>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6.75" customHeight="1">
      <c r="A352" s="56"/>
      <c r="B352" s="57"/>
      <c r="C352" s="57"/>
      <c r="D352" s="58"/>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36" customHeight="1">
      <c r="A353" s="608" t="s">
        <v>35</v>
      </c>
      <c r="B353" s="601"/>
      <c r="C353" s="601"/>
      <c r="D353" s="602"/>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6.75" customHeight="1">
      <c r="A354" s="54"/>
      <c r="B354" s="54"/>
      <c r="C354" s="54"/>
      <c r="D354" s="55"/>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48" customHeight="1">
      <c r="A355" s="608" t="s">
        <v>36</v>
      </c>
      <c r="B355" s="601"/>
      <c r="C355" s="601"/>
      <c r="D355" s="602"/>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6.75" customHeight="1">
      <c r="A356" s="54"/>
      <c r="B356" s="54"/>
      <c r="C356" s="54"/>
      <c r="D356" s="55"/>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24" customHeight="1">
      <c r="A357" s="608" t="s">
        <v>95</v>
      </c>
      <c r="B357" s="601"/>
      <c r="C357" s="601"/>
      <c r="D357" s="602"/>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6.75" customHeight="1">
      <c r="A358" s="54"/>
      <c r="B358" s="54"/>
      <c r="C358" s="54"/>
      <c r="D358" s="55"/>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36" customHeight="1">
      <c r="A359" s="608" t="s">
        <v>91</v>
      </c>
      <c r="B359" s="601"/>
      <c r="C359" s="601"/>
      <c r="D359" s="602"/>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6.75" customHeight="1">
      <c r="A360" s="54"/>
      <c r="B360" s="54"/>
      <c r="C360" s="54"/>
      <c r="D360" s="55"/>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5" customHeight="1">
      <c r="A361" s="610" t="s">
        <v>39</v>
      </c>
      <c r="B361" s="601"/>
      <c r="C361" s="601"/>
      <c r="D361" s="602"/>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6.75" customHeight="1">
      <c r="A362" s="59"/>
      <c r="B362" s="60"/>
      <c r="C362" s="60"/>
      <c r="D362" s="61"/>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1.25" customHeight="1">
      <c r="A363" s="612" t="s">
        <v>40</v>
      </c>
      <c r="B363" s="602"/>
      <c r="C363" s="64" t="s">
        <v>41</v>
      </c>
      <c r="D363" s="93">
        <f>'Proposed Rates'!G376</f>
        <v>0</v>
      </c>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1.25" customHeight="1">
      <c r="A364" s="296"/>
      <c r="B364" s="298"/>
      <c r="C364" s="64"/>
      <c r="D364" s="9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1.25" customHeight="1">
      <c r="A365" s="296"/>
      <c r="B365" s="298"/>
      <c r="C365" s="64"/>
      <c r="D365" s="9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1.25" customHeight="1">
      <c r="A366" s="296"/>
      <c r="B366" s="298"/>
      <c r="C366" s="64"/>
      <c r="D366" s="9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1.25" customHeight="1">
      <c r="A367" s="296"/>
      <c r="B367" s="298"/>
      <c r="C367" s="64"/>
      <c r="D367" s="9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1.25" customHeight="1">
      <c r="A368" s="296"/>
      <c r="B368" s="298"/>
      <c r="C368" s="64"/>
      <c r="D368" s="9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1.25" customHeight="1">
      <c r="A369" s="296"/>
      <c r="B369" s="298"/>
      <c r="C369" s="64"/>
      <c r="D369" s="9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1.25" customHeight="1">
      <c r="A370" s="296"/>
      <c r="B370" s="298"/>
      <c r="C370" s="64"/>
      <c r="D370" s="9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1.25" customHeight="1">
      <c r="A371" s="296"/>
      <c r="B371" s="298"/>
      <c r="C371" s="64"/>
      <c r="D371" s="9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1.25" customHeight="1">
      <c r="A372" s="296"/>
      <c r="B372" s="298"/>
      <c r="C372" s="64"/>
      <c r="D372" s="9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1.25" customHeight="1">
      <c r="A373" s="296"/>
      <c r="B373" s="298"/>
      <c r="C373" s="64"/>
      <c r="D373" s="9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1.25" customHeight="1">
      <c r="A374" s="296"/>
      <c r="B374" s="298"/>
      <c r="C374" s="64"/>
      <c r="D374" s="9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1.25" customHeight="1">
      <c r="A375" s="296"/>
      <c r="B375" s="298"/>
      <c r="C375" s="64"/>
      <c r="D375" s="9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1.25" customHeight="1">
      <c r="A376" s="296"/>
      <c r="B376" s="298"/>
      <c r="C376" s="64"/>
      <c r="D376" s="9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6" customHeight="1">
      <c r="A377" s="85"/>
      <c r="B377" s="63"/>
      <c r="C377" s="64"/>
      <c r="D377" s="69"/>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 customHeight="1">
      <c r="A378" s="296"/>
      <c r="B378" s="95"/>
      <c r="C378" s="96"/>
      <c r="D378" s="297"/>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6" customHeight="1">
      <c r="A379" s="296"/>
      <c r="B379" s="95"/>
      <c r="C379" s="96"/>
      <c r="D379" s="297"/>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23.25" customHeight="1">
      <c r="A380" s="600" t="str">
        <f>$A$1</f>
        <v>Hydro Ottawa Limited</v>
      </c>
      <c r="B380" s="601"/>
      <c r="C380" s="601"/>
      <c r="D380" s="602"/>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8" customHeight="1">
      <c r="A381" s="603" t="str">
        <f>$A$2</f>
        <v>PROPOSED - TARIFF OF RATES AND CHARGES</v>
      </c>
      <c r="B381" s="601"/>
      <c r="C381" s="601"/>
      <c r="D381" s="602"/>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75" customHeight="1">
      <c r="A382" s="604" t="str">
        <f>$A$3</f>
        <v>Effective and Implementation Date January 1, 2027</v>
      </c>
      <c r="B382" s="601"/>
      <c r="C382" s="601"/>
      <c r="D382" s="602"/>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1.25" customHeight="1">
      <c r="A383" s="605" t="str">
        <f>$A$4</f>
        <v>This schedule supersedes and replaces all previously</v>
      </c>
      <c r="B383" s="601"/>
      <c r="C383" s="601"/>
      <c r="D383" s="602"/>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1.25" customHeight="1">
      <c r="A384" s="605" t="str">
        <f>$A$5</f>
        <v>approved schedules of Rates, Charges and Loss Factors</v>
      </c>
      <c r="B384" s="601"/>
      <c r="C384" s="601"/>
      <c r="D384" s="602"/>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1.25" customHeight="1">
      <c r="A385" s="606" t="str">
        <f>$A$6</f>
        <v>EB-2024-0115</v>
      </c>
      <c r="B385" s="601"/>
      <c r="C385" s="601"/>
      <c r="D385" s="602"/>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8.75" customHeight="1">
      <c r="A386" s="607" t="s">
        <v>96</v>
      </c>
      <c r="B386" s="601"/>
      <c r="C386" s="601"/>
      <c r="D386" s="602"/>
      <c r="E386" s="71"/>
      <c r="F386" s="71"/>
      <c r="G386" s="71"/>
      <c r="H386" s="71"/>
      <c r="I386" s="71"/>
      <c r="J386" s="71"/>
      <c r="K386" s="71"/>
      <c r="L386" s="71"/>
      <c r="M386" s="71"/>
      <c r="N386" s="71"/>
      <c r="O386" s="71"/>
      <c r="P386" s="71"/>
      <c r="Q386" s="71"/>
      <c r="R386" s="71"/>
      <c r="S386" s="71"/>
      <c r="T386" s="71"/>
      <c r="U386" s="71"/>
      <c r="V386" s="71"/>
      <c r="W386" s="71"/>
      <c r="X386" s="71"/>
      <c r="Y386" s="71"/>
      <c r="Z386" s="71"/>
    </row>
    <row r="387" spans="1:26" ht="36" customHeight="1">
      <c r="A387" s="608" t="s">
        <v>213</v>
      </c>
      <c r="B387" s="601"/>
      <c r="C387" s="601"/>
      <c r="D387" s="602"/>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6.75" customHeight="1">
      <c r="A388" s="54"/>
      <c r="B388" s="54"/>
      <c r="C388" s="54"/>
      <c r="D388" s="55"/>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1.25" customHeight="1">
      <c r="A389" s="609" t="s">
        <v>34</v>
      </c>
      <c r="B389" s="601"/>
      <c r="C389" s="601"/>
      <c r="D389" s="602"/>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6.75" customHeight="1">
      <c r="A390" s="56"/>
      <c r="B390" s="57"/>
      <c r="C390" s="57"/>
      <c r="D390" s="58"/>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36" customHeight="1">
      <c r="A391" s="608" t="s">
        <v>35</v>
      </c>
      <c r="B391" s="601"/>
      <c r="C391" s="601"/>
      <c r="D391" s="602"/>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6.75" customHeight="1">
      <c r="A392" s="54"/>
      <c r="B392" s="54"/>
      <c r="C392" s="54"/>
      <c r="D392" s="55"/>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48" customHeight="1">
      <c r="A393" s="608" t="s">
        <v>36</v>
      </c>
      <c r="B393" s="601"/>
      <c r="C393" s="601"/>
      <c r="D393" s="602"/>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6.75" customHeight="1">
      <c r="A394" s="54"/>
      <c r="B394" s="54"/>
      <c r="C394" s="54"/>
      <c r="D394" s="55"/>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24" customHeight="1">
      <c r="A395" s="608" t="s">
        <v>95</v>
      </c>
      <c r="B395" s="601"/>
      <c r="C395" s="601"/>
      <c r="D395" s="602"/>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6.75" customHeight="1">
      <c r="A396" s="54"/>
      <c r="B396" s="54"/>
      <c r="C396" s="54"/>
      <c r="D396" s="55"/>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36" customHeight="1">
      <c r="A397" s="608" t="s">
        <v>91</v>
      </c>
      <c r="B397" s="601"/>
      <c r="C397" s="601"/>
      <c r="D397" s="602"/>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6.75" customHeight="1">
      <c r="A398" s="54"/>
      <c r="B398" s="54"/>
      <c r="C398" s="54"/>
      <c r="D398" s="55"/>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5" customHeight="1">
      <c r="A399" s="610" t="s">
        <v>39</v>
      </c>
      <c r="B399" s="601"/>
      <c r="C399" s="601"/>
      <c r="D399" s="602"/>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6.75" customHeight="1">
      <c r="A400" s="59"/>
      <c r="B400" s="60"/>
      <c r="C400" s="60"/>
      <c r="D400" s="61"/>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1.25" customHeight="1">
      <c r="A401" s="612" t="s">
        <v>40</v>
      </c>
      <c r="B401" s="602"/>
      <c r="C401" s="64" t="s">
        <v>41</v>
      </c>
      <c r="D401" s="93">
        <f>'Proposed Rates'!G373</f>
        <v>12</v>
      </c>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7.5" customHeight="1">
      <c r="A402" s="85"/>
      <c r="B402" s="63"/>
      <c r="C402" s="64"/>
      <c r="D402" s="69"/>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23.25" customHeight="1">
      <c r="A403" s="600" t="str">
        <f>$A$1</f>
        <v>Hydro Ottawa Limited</v>
      </c>
      <c r="B403" s="601"/>
      <c r="C403" s="601"/>
      <c r="D403" s="602"/>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8" customHeight="1">
      <c r="A404" s="603" t="str">
        <f>$A$2</f>
        <v>PROPOSED - TARIFF OF RATES AND CHARGES</v>
      </c>
      <c r="B404" s="601"/>
      <c r="C404" s="601"/>
      <c r="D404" s="602"/>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75" customHeight="1">
      <c r="A405" s="604" t="str">
        <f>$A$3</f>
        <v>Effective and Implementation Date January 1, 2027</v>
      </c>
      <c r="B405" s="601"/>
      <c r="C405" s="601"/>
      <c r="D405" s="602"/>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1.25" customHeight="1">
      <c r="A406" s="605" t="str">
        <f>$A$4</f>
        <v>This schedule supersedes and replaces all previously</v>
      </c>
      <c r="B406" s="601"/>
      <c r="C406" s="601"/>
      <c r="D406" s="602"/>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1.25" customHeight="1">
      <c r="A407" s="605" t="str">
        <f>$A$5</f>
        <v>approved schedules of Rates, Charges and Loss Factors</v>
      </c>
      <c r="B407" s="601"/>
      <c r="C407" s="601"/>
      <c r="D407" s="602"/>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1.25" customHeight="1">
      <c r="A408" s="606" t="str">
        <f>$A$6</f>
        <v>EB-2024-0115</v>
      </c>
      <c r="B408" s="601"/>
      <c r="C408" s="601"/>
      <c r="D408" s="602"/>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8.75" customHeight="1">
      <c r="A409" s="607" t="s">
        <v>98</v>
      </c>
      <c r="B409" s="601"/>
      <c r="C409" s="601"/>
      <c r="D409" s="602"/>
      <c r="E409" s="71"/>
      <c r="F409" s="71"/>
      <c r="G409" s="71"/>
      <c r="H409" s="71"/>
      <c r="I409" s="71"/>
      <c r="J409" s="71"/>
      <c r="K409" s="71"/>
      <c r="L409" s="71"/>
      <c r="M409" s="71"/>
      <c r="N409" s="71"/>
      <c r="O409" s="71"/>
      <c r="P409" s="71"/>
      <c r="Q409" s="71"/>
      <c r="R409" s="71"/>
      <c r="S409" s="71"/>
      <c r="T409" s="71"/>
      <c r="U409" s="71"/>
      <c r="V409" s="71"/>
      <c r="W409" s="71"/>
      <c r="X409" s="71"/>
      <c r="Y409" s="71"/>
      <c r="Z409" s="71"/>
    </row>
    <row r="410" spans="1:26" ht="36" customHeight="1">
      <c r="A410" s="614" t="s">
        <v>99</v>
      </c>
      <c r="B410" s="615"/>
      <c r="C410" s="615"/>
      <c r="D410" s="615"/>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6.75" customHeight="1">
      <c r="A411" s="54"/>
      <c r="B411" s="54"/>
      <c r="C411" s="54"/>
      <c r="D411" s="55"/>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1.25" customHeight="1">
      <c r="A412" s="609" t="s">
        <v>34</v>
      </c>
      <c r="B412" s="601"/>
      <c r="C412" s="601"/>
      <c r="D412" s="602"/>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6.75" customHeight="1">
      <c r="A413" s="56"/>
      <c r="B413" s="57"/>
      <c r="C413" s="57"/>
      <c r="D413" s="58"/>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36" customHeight="1">
      <c r="A414" s="608" t="s">
        <v>35</v>
      </c>
      <c r="B414" s="601"/>
      <c r="C414" s="601"/>
      <c r="D414" s="602"/>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6.75" customHeight="1">
      <c r="A415" s="54"/>
      <c r="B415" s="54"/>
      <c r="C415" s="54"/>
      <c r="D415" s="55"/>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48" customHeight="1">
      <c r="A416" s="608" t="s">
        <v>36</v>
      </c>
      <c r="B416" s="601"/>
      <c r="C416" s="601"/>
      <c r="D416" s="602"/>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6.75" customHeight="1">
      <c r="A417" s="54"/>
      <c r="B417" s="54"/>
      <c r="C417" s="54"/>
      <c r="D417" s="55"/>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24" customHeight="1">
      <c r="A418" s="608" t="s">
        <v>95</v>
      </c>
      <c r="B418" s="601"/>
      <c r="C418" s="601"/>
      <c r="D418" s="602"/>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6.75" customHeight="1">
      <c r="A419" s="54"/>
      <c r="B419" s="54"/>
      <c r="C419" s="54"/>
      <c r="D419" s="55"/>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36" customHeight="1">
      <c r="A420" s="608" t="s">
        <v>91</v>
      </c>
      <c r="B420" s="601"/>
      <c r="C420" s="601"/>
      <c r="D420" s="602"/>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6.75" customHeight="1">
      <c r="A421" s="54"/>
      <c r="B421" s="54"/>
      <c r="C421" s="54"/>
      <c r="D421" s="55"/>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5" customHeight="1">
      <c r="A422" s="610" t="s">
        <v>39</v>
      </c>
      <c r="B422" s="601"/>
      <c r="C422" s="601"/>
      <c r="D422" s="602"/>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6.75" customHeight="1">
      <c r="A423" s="59"/>
      <c r="B423" s="60"/>
      <c r="C423" s="60"/>
      <c r="D423" s="61"/>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1.25" customHeight="1">
      <c r="A424" s="612" t="s">
        <v>40</v>
      </c>
      <c r="B424" s="602"/>
      <c r="C424" s="64" t="s">
        <v>41</v>
      </c>
      <c r="D424" s="93">
        <f>'Proposed Rates'!G374</f>
        <v>89</v>
      </c>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75" customHeight="1">
      <c r="A425" s="296"/>
      <c r="B425" s="95"/>
      <c r="C425" s="96"/>
      <c r="D425" s="297"/>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23.25" customHeight="1">
      <c r="A426" s="600" t="str">
        <f>$A$1</f>
        <v>Hydro Ottawa Limited</v>
      </c>
      <c r="B426" s="601"/>
      <c r="C426" s="601"/>
      <c r="D426" s="602"/>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8" customHeight="1">
      <c r="A427" s="603" t="str">
        <f>$A$2</f>
        <v>PROPOSED - TARIFF OF RATES AND CHARGES</v>
      </c>
      <c r="B427" s="601"/>
      <c r="C427" s="601"/>
      <c r="D427" s="602"/>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75" customHeight="1">
      <c r="A428" s="604" t="str">
        <f>$A$3</f>
        <v>Effective and Implementation Date January 1, 2027</v>
      </c>
      <c r="B428" s="601"/>
      <c r="C428" s="601"/>
      <c r="D428" s="602"/>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1.25" customHeight="1">
      <c r="A429" s="605" t="str">
        <f>$A$4</f>
        <v>This schedule supersedes and replaces all previously</v>
      </c>
      <c r="B429" s="601"/>
      <c r="C429" s="601"/>
      <c r="D429" s="602"/>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1.25" customHeight="1">
      <c r="A430" s="605" t="str">
        <f>$A$5</f>
        <v>approved schedules of Rates, Charges and Loss Factors</v>
      </c>
      <c r="B430" s="601"/>
      <c r="C430" s="601"/>
      <c r="D430" s="602"/>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1.25" customHeight="1">
      <c r="A431" s="606" t="str">
        <f>$A$6</f>
        <v>EB-2024-0115</v>
      </c>
      <c r="B431" s="601"/>
      <c r="C431" s="601"/>
      <c r="D431" s="602"/>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8.75" customHeight="1">
      <c r="A432" s="607" t="s">
        <v>100</v>
      </c>
      <c r="B432" s="601"/>
      <c r="C432" s="601"/>
      <c r="D432" s="602"/>
      <c r="E432" s="71"/>
      <c r="F432" s="71"/>
      <c r="G432" s="71"/>
      <c r="H432" s="71"/>
      <c r="I432" s="71"/>
      <c r="J432" s="71"/>
      <c r="K432" s="71"/>
      <c r="L432" s="71"/>
      <c r="M432" s="71"/>
      <c r="N432" s="71"/>
      <c r="O432" s="71"/>
      <c r="P432" s="71"/>
      <c r="Q432" s="71"/>
      <c r="R432" s="71"/>
      <c r="S432" s="71"/>
      <c r="T432" s="71"/>
      <c r="U432" s="71"/>
      <c r="V432" s="71"/>
      <c r="W432" s="71"/>
      <c r="X432" s="71"/>
      <c r="Y432" s="71"/>
      <c r="Z432" s="71"/>
    </row>
    <row r="433" spans="1:26" ht="36" customHeight="1">
      <c r="A433" s="608" t="s">
        <v>101</v>
      </c>
      <c r="B433" s="601"/>
      <c r="C433" s="601"/>
      <c r="D433" s="602"/>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6.75" customHeight="1">
      <c r="A434" s="54"/>
      <c r="B434" s="54"/>
      <c r="C434" s="54"/>
      <c r="D434" s="55"/>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1.25" customHeight="1">
      <c r="A435" s="609" t="s">
        <v>34</v>
      </c>
      <c r="B435" s="601"/>
      <c r="C435" s="601"/>
      <c r="D435" s="602"/>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6.75" customHeight="1">
      <c r="A436" s="56"/>
      <c r="B436" s="57"/>
      <c r="C436" s="57"/>
      <c r="D436" s="58"/>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36" customHeight="1">
      <c r="A437" s="608" t="s">
        <v>35</v>
      </c>
      <c r="B437" s="601"/>
      <c r="C437" s="601"/>
      <c r="D437" s="602"/>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6.75" customHeight="1">
      <c r="A438" s="54"/>
      <c r="B438" s="54"/>
      <c r="C438" s="54"/>
      <c r="D438" s="55"/>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48" customHeight="1">
      <c r="A439" s="608" t="s">
        <v>36</v>
      </c>
      <c r="B439" s="601"/>
      <c r="C439" s="601"/>
      <c r="D439" s="602"/>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6.75" customHeight="1">
      <c r="A440" s="54"/>
      <c r="B440" s="54"/>
      <c r="C440" s="54"/>
      <c r="D440" s="55"/>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24" customHeight="1">
      <c r="A441" s="608" t="s">
        <v>95</v>
      </c>
      <c r="B441" s="601"/>
      <c r="C441" s="601"/>
      <c r="D441" s="602"/>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6.75" customHeight="1">
      <c r="A442" s="54"/>
      <c r="B442" s="54"/>
      <c r="C442" s="54"/>
      <c r="D442" s="55"/>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36" customHeight="1">
      <c r="A443" s="608" t="s">
        <v>91</v>
      </c>
      <c r="B443" s="601"/>
      <c r="C443" s="601"/>
      <c r="D443" s="60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6.75" customHeight="1">
      <c r="A444" s="54"/>
      <c r="B444" s="54"/>
      <c r="C444" s="54"/>
      <c r="D444" s="55"/>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5" customHeight="1">
      <c r="A445" s="610" t="s">
        <v>39</v>
      </c>
      <c r="B445" s="601"/>
      <c r="C445" s="601"/>
      <c r="D445" s="602"/>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6.75" customHeight="1">
      <c r="A446" s="59"/>
      <c r="B446" s="60"/>
      <c r="C446" s="60"/>
      <c r="D446" s="61"/>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1.25" customHeight="1">
      <c r="A447" s="612" t="s">
        <v>40</v>
      </c>
      <c r="B447" s="602"/>
      <c r="C447" s="64" t="s">
        <v>41</v>
      </c>
      <c r="D447" s="93">
        <f>'Proposed Rates'!G375</f>
        <v>272</v>
      </c>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6.75" customHeight="1">
      <c r="A448" s="99"/>
      <c r="B448" s="85"/>
      <c r="C448" s="64"/>
      <c r="D448" s="288"/>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8" customHeight="1">
      <c r="A449" s="100" t="s">
        <v>102</v>
      </c>
      <c r="B449" s="101"/>
      <c r="C449" s="101"/>
      <c r="D449" s="299"/>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1.25" customHeight="1">
      <c r="A450" s="612" t="s">
        <v>103</v>
      </c>
      <c r="B450" s="602"/>
      <c r="C450" s="102" t="s">
        <v>104</v>
      </c>
      <c r="D450" s="288">
        <v>-1</v>
      </c>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3.5" customHeight="1">
      <c r="A451" s="85"/>
      <c r="B451" s="63"/>
      <c r="C451" s="102"/>
      <c r="D451" s="69"/>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23.25" customHeight="1">
      <c r="A452" s="600" t="str">
        <f>$A$1</f>
        <v>Hydro Ottawa Limited</v>
      </c>
      <c r="B452" s="601"/>
      <c r="C452" s="601"/>
      <c r="D452" s="60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8" customHeight="1">
      <c r="A453" s="603" t="str">
        <f>$A$2</f>
        <v>PROPOSED - TARIFF OF RATES AND CHARGES</v>
      </c>
      <c r="B453" s="601"/>
      <c r="C453" s="601"/>
      <c r="D453" s="602"/>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5.75" customHeight="1">
      <c r="A454" s="604" t="str">
        <f>$A$3</f>
        <v>Effective and Implementation Date January 1, 2027</v>
      </c>
      <c r="B454" s="601"/>
      <c r="C454" s="601"/>
      <c r="D454" s="602"/>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1.25" customHeight="1">
      <c r="A455" s="605" t="str">
        <f>$A$4</f>
        <v>This schedule supersedes and replaces all previously</v>
      </c>
      <c r="B455" s="601"/>
      <c r="C455" s="601"/>
      <c r="D455" s="602"/>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1.25" customHeight="1">
      <c r="A456" s="605" t="str">
        <f>$A$5</f>
        <v>approved schedules of Rates, Charges and Loss Factors</v>
      </c>
      <c r="B456" s="601"/>
      <c r="C456" s="601"/>
      <c r="D456" s="602"/>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06" t="str">
        <f>$A$6</f>
        <v>EB-2024-0115</v>
      </c>
      <c r="B457" s="601"/>
      <c r="C457" s="601"/>
      <c r="D457" s="602"/>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8" customHeight="1">
      <c r="A458" s="100" t="s">
        <v>105</v>
      </c>
      <c r="B458" s="101"/>
      <c r="C458" s="101"/>
      <c r="D458" s="72"/>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6.75" customHeight="1">
      <c r="A459" s="100"/>
      <c r="B459" s="101"/>
      <c r="C459" s="101"/>
      <c r="D459" s="72"/>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1.25" customHeight="1">
      <c r="A460" s="616" t="s">
        <v>34</v>
      </c>
      <c r="B460" s="601"/>
      <c r="C460" s="601"/>
      <c r="D460" s="602"/>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6.75" customHeight="1">
      <c r="A461" s="103"/>
      <c r="B461" s="54"/>
      <c r="C461" s="54"/>
      <c r="D461" s="55"/>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36" customHeight="1">
      <c r="A462" s="608" t="s">
        <v>35</v>
      </c>
      <c r="B462" s="601"/>
      <c r="C462" s="601"/>
      <c r="D462" s="602"/>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6.75" customHeight="1">
      <c r="A463" s="54"/>
      <c r="B463" s="54"/>
      <c r="C463" s="54"/>
      <c r="D463" s="55"/>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48" customHeight="1">
      <c r="A464" s="608" t="s">
        <v>106</v>
      </c>
      <c r="B464" s="601"/>
      <c r="C464" s="601"/>
      <c r="D464" s="602"/>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6.75" customHeight="1">
      <c r="A465" s="54"/>
      <c r="B465" s="54"/>
      <c r="C465" s="54"/>
      <c r="D465" s="55"/>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36" customHeight="1">
      <c r="A466" s="608" t="s">
        <v>38</v>
      </c>
      <c r="B466" s="601"/>
      <c r="C466" s="601"/>
      <c r="D466" s="602"/>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6.75" customHeight="1">
      <c r="A467" s="54"/>
      <c r="B467" s="54"/>
      <c r="C467" s="54"/>
      <c r="D467" s="55"/>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5" customHeight="1">
      <c r="A468" s="104" t="s">
        <v>107</v>
      </c>
      <c r="B468" s="101"/>
      <c r="C468" s="101"/>
      <c r="D468" s="72"/>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1.25" customHeight="1">
      <c r="A469" s="62" t="s">
        <v>108</v>
      </c>
      <c r="B469" s="63"/>
      <c r="C469" s="64" t="s">
        <v>41</v>
      </c>
      <c r="D469" s="300">
        <f>'Proposed Rates'!G323</f>
        <v>0</v>
      </c>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1.25" customHeight="1">
      <c r="A470" s="64" t="s">
        <v>109</v>
      </c>
      <c r="B470" s="64"/>
      <c r="C470" s="64" t="s">
        <v>41</v>
      </c>
      <c r="D470" s="300">
        <f>'Proposed Rates'!G324</f>
        <v>30</v>
      </c>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1.25" customHeight="1">
      <c r="A471" s="62" t="s">
        <v>110</v>
      </c>
      <c r="B471" s="63"/>
      <c r="C471" s="64" t="s">
        <v>41</v>
      </c>
      <c r="D471" s="300">
        <f>'Proposed Rates'!G325</f>
        <v>7</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1.25" customHeight="1">
      <c r="A472" s="62" t="s">
        <v>111</v>
      </c>
      <c r="B472" s="63"/>
      <c r="C472" s="64" t="s">
        <v>41</v>
      </c>
      <c r="D472" s="300">
        <f>'Proposed Rates'!G326</f>
        <v>144</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1.25" customHeight="1">
      <c r="A473" s="62" t="s">
        <v>112</v>
      </c>
      <c r="B473" s="63"/>
      <c r="C473" s="64" t="s">
        <v>41</v>
      </c>
      <c r="D473" s="300">
        <f>'Proposed Rates'!G327</f>
        <v>20</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1.25" customHeight="1">
      <c r="A474" s="62" t="s">
        <v>113</v>
      </c>
      <c r="B474" s="63"/>
      <c r="C474" s="64" t="s">
        <v>41</v>
      </c>
      <c r="D474" s="300">
        <f>'Proposed Rates'!G328</f>
        <v>25</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1.25" customHeight="1">
      <c r="A475" s="62" t="s">
        <v>114</v>
      </c>
      <c r="B475" s="63"/>
      <c r="C475" s="64" t="s">
        <v>41</v>
      </c>
      <c r="D475" s="300">
        <f>'Proposed Rates'!G329</f>
        <v>10</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1.25" customHeight="1">
      <c r="A476" s="62" t="s">
        <v>115</v>
      </c>
      <c r="B476" s="63"/>
      <c r="C476" s="64" t="s">
        <v>41</v>
      </c>
      <c r="D476" s="300">
        <f>'Proposed Rates'!G332</f>
        <v>374</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1.25" customHeight="1">
      <c r="A477" s="62" t="s">
        <v>116</v>
      </c>
      <c r="B477" s="63"/>
      <c r="C477" s="64" t="s">
        <v>41</v>
      </c>
      <c r="D477" s="300">
        <f>'Proposed Rates'!G333</f>
        <v>328</v>
      </c>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6.75" customHeight="1">
      <c r="A478" s="64"/>
      <c r="B478" s="64"/>
      <c r="C478" s="64"/>
      <c r="D478" s="288"/>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 customHeight="1">
      <c r="A479" s="104" t="s">
        <v>117</v>
      </c>
      <c r="B479" s="101"/>
      <c r="C479" s="90"/>
      <c r="D479" s="295"/>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1.25" customHeight="1">
      <c r="A480" s="62" t="s">
        <v>118</v>
      </c>
      <c r="B480" s="63"/>
      <c r="C480" s="64" t="s">
        <v>104</v>
      </c>
      <c r="D480" s="591">
        <f>'Proposed Rates'!G336</f>
        <v>1.4999999999999999E-2</v>
      </c>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1.25" customHeight="1">
      <c r="A481" s="62" t="s">
        <v>119</v>
      </c>
      <c r="B481" s="63"/>
      <c r="C481" s="64" t="s">
        <v>41</v>
      </c>
      <c r="D481" s="300">
        <f>'Proposed Rates'!G337</f>
        <v>71</v>
      </c>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1.25" customHeight="1">
      <c r="A482" s="62" t="s">
        <v>120</v>
      </c>
      <c r="B482" s="63"/>
      <c r="C482" s="64" t="s">
        <v>41</v>
      </c>
      <c r="D482" s="300">
        <f>'Proposed Rates'!G338</f>
        <v>96</v>
      </c>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1.25" customHeight="1">
      <c r="A483" s="98" t="s">
        <v>121</v>
      </c>
      <c r="B483" s="63"/>
      <c r="C483" s="64" t="s">
        <v>41</v>
      </c>
      <c r="D483" s="300">
        <f>'Proposed Rates'!G339</f>
        <v>325</v>
      </c>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1.25" customHeight="1">
      <c r="A484" s="62" t="s">
        <v>122</v>
      </c>
      <c r="B484" s="63"/>
      <c r="C484" s="64" t="s">
        <v>41</v>
      </c>
      <c r="D484" s="300">
        <f>'Proposed Rates'!G340</f>
        <v>490</v>
      </c>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6.75" customHeight="1">
      <c r="A485" s="64"/>
      <c r="B485" s="64"/>
      <c r="C485" s="64"/>
      <c r="D485" s="288"/>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 customHeight="1">
      <c r="A486" s="104" t="s">
        <v>123</v>
      </c>
      <c r="B486" s="101"/>
      <c r="C486" s="90"/>
      <c r="D486" s="288"/>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1.25" customHeight="1">
      <c r="A487" s="62" t="s">
        <v>124</v>
      </c>
      <c r="B487" s="63"/>
      <c r="C487" s="64" t="s">
        <v>41</v>
      </c>
      <c r="D487" s="300">
        <f>'Proposed Rates'!G343</f>
        <v>1102</v>
      </c>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1.25" customHeight="1">
      <c r="A488" s="62" t="s">
        <v>125</v>
      </c>
      <c r="B488" s="63"/>
      <c r="C488" s="64" t="s">
        <v>41</v>
      </c>
      <c r="D488" s="300">
        <f>'Proposed Rates'!G344</f>
        <v>1452</v>
      </c>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1.25" customHeight="1">
      <c r="A489" s="62" t="s">
        <v>126</v>
      </c>
      <c r="B489" s="63"/>
      <c r="C489" s="64" t="s">
        <v>41</v>
      </c>
      <c r="D489" s="300">
        <f>'Proposed Rates'!G345</f>
        <v>5116</v>
      </c>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1.25" customHeight="1">
      <c r="A490" s="62" t="s">
        <v>127</v>
      </c>
      <c r="B490" s="63"/>
      <c r="C490" s="64" t="s">
        <v>41</v>
      </c>
      <c r="D490" s="93">
        <f>'Proposed Rates'!G346</f>
        <v>40.590000000000003</v>
      </c>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1.25" customHeight="1">
      <c r="A491" s="62" t="s">
        <v>128</v>
      </c>
      <c r="B491" s="63"/>
      <c r="C491" s="64"/>
      <c r="D491" s="288" t="str">
        <f>'Proposed Rates'!G347</f>
        <v>Per Attached Table</v>
      </c>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1.25" customHeight="1">
      <c r="A492" s="62" t="s">
        <v>129</v>
      </c>
      <c r="B492" s="63"/>
      <c r="C492" s="64" t="s">
        <v>41</v>
      </c>
      <c r="D492" s="300">
        <f>'Proposed Rates'!G348</f>
        <v>168</v>
      </c>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6.5" customHeight="1">
      <c r="A493" s="296"/>
      <c r="B493" s="298"/>
      <c r="C493" s="64"/>
      <c r="D493" s="69"/>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23.25" customHeight="1">
      <c r="A494" s="600" t="str">
        <f>$A$1</f>
        <v>Hydro Ottawa Limited</v>
      </c>
      <c r="B494" s="601"/>
      <c r="C494" s="601"/>
      <c r="D494" s="602"/>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8" customHeight="1">
      <c r="A495" s="603" t="str">
        <f>$A$2</f>
        <v>PROPOSED - TARIFF OF RATES AND CHARGES</v>
      </c>
      <c r="B495" s="601"/>
      <c r="C495" s="601"/>
      <c r="D495" s="602"/>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75" customHeight="1">
      <c r="A496" s="604" t="str">
        <f>$A$3</f>
        <v>Effective and Implementation Date January 1, 2027</v>
      </c>
      <c r="B496" s="601"/>
      <c r="C496" s="601"/>
      <c r="D496" s="602"/>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1.25" customHeight="1">
      <c r="A497" s="605" t="str">
        <f>$A$4</f>
        <v>This schedule supersedes and replaces all previously</v>
      </c>
      <c r="B497" s="601"/>
      <c r="C497" s="601"/>
      <c r="D497" s="602"/>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1.25" customHeight="1">
      <c r="A498" s="605" t="str">
        <f>$A$5</f>
        <v>approved schedules of Rates, Charges and Loss Factors</v>
      </c>
      <c r="B498" s="601"/>
      <c r="C498" s="601"/>
      <c r="D498" s="602"/>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1.25" customHeight="1">
      <c r="A499" s="606" t="str">
        <f>$A$6</f>
        <v>EB-2024-0115</v>
      </c>
      <c r="B499" s="601"/>
      <c r="C499" s="601"/>
      <c r="D499" s="602"/>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8" customHeight="1">
      <c r="A500" s="100" t="s">
        <v>130</v>
      </c>
      <c r="B500" s="101"/>
      <c r="C500" s="101"/>
      <c r="D500" s="72"/>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6.75" customHeight="1">
      <c r="A501" s="100"/>
      <c r="B501" s="101"/>
      <c r="C501" s="101"/>
      <c r="D501" s="72"/>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36" customHeight="1">
      <c r="A502" s="608" t="s">
        <v>131</v>
      </c>
      <c r="B502" s="601"/>
      <c r="C502" s="601"/>
      <c r="D502" s="602"/>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6.75" customHeight="1">
      <c r="A503" s="54"/>
      <c r="B503" s="54"/>
      <c r="C503" s="54"/>
      <c r="D503" s="55"/>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48" customHeight="1">
      <c r="A504" s="608" t="s">
        <v>36</v>
      </c>
      <c r="B504" s="601"/>
      <c r="C504" s="601"/>
      <c r="D504" s="602"/>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6.75" customHeight="1">
      <c r="A505" s="54"/>
      <c r="B505" s="54"/>
      <c r="C505" s="54"/>
      <c r="D505" s="55"/>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24" customHeight="1">
      <c r="A506" s="608" t="s">
        <v>81</v>
      </c>
      <c r="B506" s="601"/>
      <c r="C506" s="601"/>
      <c r="D506" s="602"/>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6.75" customHeight="1">
      <c r="A507" s="54"/>
      <c r="B507" s="54"/>
      <c r="C507" s="54"/>
      <c r="D507" s="55"/>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36" customHeight="1">
      <c r="A508" s="608" t="s">
        <v>38</v>
      </c>
      <c r="B508" s="601"/>
      <c r="C508" s="601"/>
      <c r="D508" s="602"/>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6.75" customHeight="1">
      <c r="A509" s="54"/>
      <c r="B509" s="54"/>
      <c r="C509" s="54"/>
      <c r="D509" s="55"/>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24" customHeight="1">
      <c r="A510" s="608" t="s">
        <v>132</v>
      </c>
      <c r="B510" s="601"/>
      <c r="C510" s="601"/>
      <c r="D510" s="602"/>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0.5" customHeight="1">
      <c r="A511" s="54"/>
      <c r="B511" s="63"/>
      <c r="C511" s="63"/>
      <c r="D511" s="6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0.5" customHeight="1">
      <c r="A512" s="62" t="s">
        <v>133</v>
      </c>
      <c r="B512" s="63"/>
      <c r="C512" s="106" t="s">
        <v>41</v>
      </c>
      <c r="D512" s="301">
        <f>'Proposed Rates'!G351</f>
        <v>125.72</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0.5" customHeight="1">
      <c r="A513" s="62" t="s">
        <v>134</v>
      </c>
      <c r="B513" s="63"/>
      <c r="C513" s="106" t="s">
        <v>41</v>
      </c>
      <c r="D513" s="301">
        <f>'Proposed Rates'!G352</f>
        <v>50.29</v>
      </c>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0.5" customHeight="1">
      <c r="A514" s="62" t="s">
        <v>135</v>
      </c>
      <c r="B514" s="63"/>
      <c r="C514" s="106" t="s">
        <v>136</v>
      </c>
      <c r="D514" s="301">
        <f>'Proposed Rates'!G353</f>
        <v>1.24</v>
      </c>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0.5" customHeight="1">
      <c r="A515" s="62" t="s">
        <v>137</v>
      </c>
      <c r="B515" s="63"/>
      <c r="C515" s="106" t="s">
        <v>136</v>
      </c>
      <c r="D515" s="301">
        <f>'Proposed Rates'!G354</f>
        <v>0.74</v>
      </c>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0.5" customHeight="1">
      <c r="A516" s="62" t="s">
        <v>138</v>
      </c>
      <c r="B516" s="63"/>
      <c r="C516" s="106" t="s">
        <v>136</v>
      </c>
      <c r="D516" s="301">
        <f>'Proposed Rates'!G355</f>
        <v>-0.74</v>
      </c>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0.5" customHeight="1">
      <c r="A517" s="62" t="s">
        <v>139</v>
      </c>
      <c r="B517" s="63"/>
      <c r="C517" s="62"/>
      <c r="D517" s="301"/>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0.5" customHeight="1">
      <c r="A518" s="62" t="s">
        <v>140</v>
      </c>
      <c r="B518" s="63"/>
      <c r="C518" s="106" t="s">
        <v>41</v>
      </c>
      <c r="D518" s="301">
        <f>'Proposed Rates'!G357</f>
        <v>0.63</v>
      </c>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0.5" customHeight="1">
      <c r="A519" s="62" t="s">
        <v>141</v>
      </c>
      <c r="B519" s="63"/>
      <c r="C519" s="106" t="s">
        <v>41</v>
      </c>
      <c r="D519" s="301">
        <f>'Proposed Rates'!G358</f>
        <v>1.24</v>
      </c>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4.5" customHeight="1">
      <c r="A520" s="62"/>
      <c r="B520" s="63"/>
      <c r="C520" s="106"/>
      <c r="D520" s="295"/>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0.5" customHeight="1">
      <c r="A521" s="62" t="s">
        <v>142</v>
      </c>
      <c r="B521" s="63"/>
      <c r="C521" s="109"/>
      <c r="D521" s="295"/>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0.5" customHeight="1">
      <c r="A522" s="62" t="s">
        <v>143</v>
      </c>
      <c r="B522" s="63"/>
      <c r="C522" s="109"/>
      <c r="D522" s="295"/>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0.5" customHeight="1">
      <c r="A523" s="62" t="s">
        <v>144</v>
      </c>
      <c r="B523" s="63"/>
      <c r="C523" s="109"/>
      <c r="D523" s="295"/>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0.5" customHeight="1">
      <c r="A524" s="62" t="s">
        <v>145</v>
      </c>
      <c r="B524" s="63"/>
      <c r="C524" s="106" t="s">
        <v>41</v>
      </c>
      <c r="D524" s="295" t="str">
        <f>'Proposed Rates'!G362</f>
        <v>no charge</v>
      </c>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0.5" customHeight="1">
      <c r="A525" s="62" t="s">
        <v>146</v>
      </c>
      <c r="B525" s="63"/>
      <c r="C525" s="106" t="s">
        <v>41</v>
      </c>
      <c r="D525" s="301">
        <f>'Proposed Rates'!G363</f>
        <v>5.03</v>
      </c>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4.5" customHeight="1">
      <c r="A526" s="62"/>
      <c r="B526" s="63"/>
      <c r="C526" s="106"/>
      <c r="D526" s="301"/>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0.5" customHeight="1">
      <c r="A527" s="62" t="s">
        <v>147</v>
      </c>
      <c r="B527" s="63"/>
      <c r="C527" s="109"/>
      <c r="D527" s="301"/>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0.5" customHeight="1">
      <c r="A528" s="62" t="s">
        <v>148</v>
      </c>
      <c r="B528" s="63"/>
      <c r="C528" s="106" t="s">
        <v>41</v>
      </c>
      <c r="D528" s="301">
        <f>'Proposed Rates'!G365</f>
        <v>2.5099999999999998</v>
      </c>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8.25" customHeight="1">
      <c r="A529" s="73"/>
      <c r="B529" s="73"/>
      <c r="C529" s="106"/>
      <c r="D529" s="107"/>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21.75" customHeight="1">
      <c r="A530" s="600" t="str">
        <f>$A$1</f>
        <v>Hydro Ottawa Limited</v>
      </c>
      <c r="B530" s="601"/>
      <c r="C530" s="601"/>
      <c r="D530" s="602"/>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5.75" customHeight="1">
      <c r="A531" s="603" t="str">
        <f>$A$2</f>
        <v>PROPOSED - TARIFF OF RATES AND CHARGES</v>
      </c>
      <c r="B531" s="601"/>
      <c r="C531" s="601"/>
      <c r="D531" s="602"/>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5.75" customHeight="1">
      <c r="A532" s="604" t="str">
        <f>$A$3</f>
        <v>Effective and Implementation Date January 1, 2027</v>
      </c>
      <c r="B532" s="601"/>
      <c r="C532" s="601"/>
      <c r="D532" s="602"/>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5.75" customHeight="1">
      <c r="A533" s="605" t="str">
        <f>$A$4</f>
        <v>This schedule supersedes and replaces all previously</v>
      </c>
      <c r="B533" s="601"/>
      <c r="C533" s="601"/>
      <c r="D533" s="602"/>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5.75" customHeight="1">
      <c r="A534" s="605" t="str">
        <f>$A$5</f>
        <v>approved schedules of Rates, Charges and Loss Factors</v>
      </c>
      <c r="B534" s="601"/>
      <c r="C534" s="601"/>
      <c r="D534" s="602"/>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75" customHeight="1">
      <c r="A535" s="606" t="str">
        <f>$A$6</f>
        <v>EB-2024-0115</v>
      </c>
      <c r="B535" s="601"/>
      <c r="C535" s="601"/>
      <c r="D535" s="602"/>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24.75" customHeight="1">
      <c r="A536" s="110" t="s">
        <v>149</v>
      </c>
      <c r="B536" s="110"/>
      <c r="C536" s="111"/>
      <c r="D536" s="112"/>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6.75" customHeight="1">
      <c r="A537" s="110"/>
      <c r="B537" s="110"/>
      <c r="C537" s="111"/>
      <c r="D537" s="112"/>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23.25" customHeight="1">
      <c r="A538" s="617" t="s">
        <v>150</v>
      </c>
      <c r="B538" s="601"/>
      <c r="C538" s="602"/>
      <c r="D538" s="6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1.25" customHeight="1">
      <c r="A539" s="62" t="s">
        <v>151</v>
      </c>
      <c r="B539" s="63"/>
      <c r="C539" s="63"/>
      <c r="D539" s="288">
        <f>'Proposed Rates'!G316</f>
        <v>1.0331999999999999</v>
      </c>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1.25" customHeight="1">
      <c r="A540" s="62" t="s">
        <v>152</v>
      </c>
      <c r="B540" s="63"/>
      <c r="C540" s="63"/>
      <c r="D540" s="288">
        <f>'Proposed Rates'!G317</f>
        <v>1.0149999999999999</v>
      </c>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1.25" customHeight="1">
      <c r="A541" s="62" t="s">
        <v>153</v>
      </c>
      <c r="B541" s="63"/>
      <c r="C541" s="63"/>
      <c r="D541" s="288">
        <f>'Proposed Rates'!G318</f>
        <v>1.0230999999999999</v>
      </c>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1.25" customHeight="1">
      <c r="A542" s="62" t="s">
        <v>154</v>
      </c>
      <c r="B542" s="63"/>
      <c r="C542" s="63"/>
      <c r="D542" s="288">
        <f>'Proposed Rates'!G319</f>
        <v>1.0047999999999999</v>
      </c>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1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1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1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1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1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1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1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1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1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1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1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1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1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1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1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1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1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1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1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1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1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1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1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1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1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1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1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1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1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1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1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1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1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1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1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1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1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1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1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1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1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1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1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1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1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1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1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1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1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1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1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1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1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1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1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1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1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1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1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1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1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1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1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1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1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1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1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1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1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1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1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1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1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1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1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1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1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1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1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1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1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1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1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1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1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1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1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1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1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1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1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1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1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1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1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1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1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1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1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1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1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1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1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1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1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1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1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1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1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1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27.5" customHeight="1">
      <c r="A653" s="53"/>
      <c r="B653" s="53"/>
      <c r="C653" s="53"/>
      <c r="D653" s="11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27.5" customHeight="1">
      <c r="A654" s="53"/>
      <c r="B654" s="53"/>
      <c r="C654" s="53"/>
      <c r="D654" s="11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27.5" customHeight="1">
      <c r="A655" s="53"/>
      <c r="B655" s="53"/>
      <c r="C655" s="53"/>
      <c r="D655" s="11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27.5" customHeight="1">
      <c r="A656" s="53"/>
      <c r="B656" s="53"/>
      <c r="C656" s="53"/>
      <c r="D656" s="11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27.5" customHeight="1">
      <c r="A657" s="53"/>
      <c r="B657" s="53"/>
      <c r="C657" s="53"/>
      <c r="D657" s="11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27.5" customHeight="1">
      <c r="A658" s="53"/>
      <c r="B658" s="53"/>
      <c r="C658" s="53"/>
      <c r="D658" s="11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27.5" customHeight="1">
      <c r="A659" s="53"/>
      <c r="B659" s="53"/>
      <c r="C659" s="53"/>
      <c r="D659" s="11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27.5" customHeight="1">
      <c r="A660" s="53"/>
      <c r="B660" s="53"/>
      <c r="C660" s="53"/>
      <c r="D660" s="11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27.5" customHeight="1">
      <c r="A661" s="53"/>
      <c r="B661" s="53"/>
      <c r="C661" s="53"/>
      <c r="D661" s="11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27.5" customHeight="1">
      <c r="A662" s="53"/>
      <c r="B662" s="53"/>
      <c r="C662" s="53"/>
      <c r="D662" s="11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27.5" customHeight="1">
      <c r="A663" s="53"/>
      <c r="B663" s="53"/>
      <c r="C663" s="53"/>
      <c r="D663" s="11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27.5" customHeight="1">
      <c r="A664" s="53"/>
      <c r="B664" s="53"/>
      <c r="C664" s="53"/>
      <c r="D664" s="11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27.5" customHeight="1">
      <c r="A665" s="53"/>
      <c r="B665" s="53"/>
      <c r="C665" s="53"/>
      <c r="D665" s="11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27.5" customHeight="1">
      <c r="A666" s="53"/>
      <c r="B666" s="53"/>
      <c r="C666" s="53"/>
      <c r="D666" s="11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27.5" customHeight="1">
      <c r="A667" s="53"/>
      <c r="B667" s="53"/>
      <c r="C667" s="53"/>
      <c r="D667" s="11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27.5" customHeight="1">
      <c r="A668" s="53"/>
      <c r="B668" s="53"/>
      <c r="C668" s="53"/>
      <c r="D668" s="11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1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1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1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1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1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1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1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1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1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1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1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1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1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1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1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1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1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1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1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1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1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1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1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1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1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1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1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1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1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1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1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1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1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1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1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1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1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1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1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1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1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1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1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1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1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1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1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1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1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1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1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1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1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1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1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1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1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1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c r="A727" s="53"/>
      <c r="B727" s="53"/>
      <c r="C727" s="53"/>
      <c r="D727" s="11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customHeight="1">
      <c r="A728" s="53"/>
      <c r="B728" s="53"/>
      <c r="C728" s="53"/>
      <c r="D728" s="11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customHeight="1">
      <c r="A729" s="53"/>
      <c r="B729" s="53"/>
      <c r="C729" s="53"/>
      <c r="D729" s="11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customHeight="1">
      <c r="A730" s="53"/>
      <c r="B730" s="53"/>
      <c r="C730" s="53"/>
      <c r="D730" s="11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customHeight="1">
      <c r="A731" s="53"/>
      <c r="B731" s="53"/>
      <c r="C731" s="53"/>
      <c r="D731" s="11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5.75" customHeight="1">
      <c r="A732" s="53"/>
      <c r="B732" s="53"/>
      <c r="C732" s="53"/>
      <c r="D732" s="11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5.75" customHeight="1">
      <c r="A733" s="53"/>
      <c r="B733" s="53"/>
      <c r="C733" s="53"/>
      <c r="D733" s="11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5.75" customHeight="1">
      <c r="A734" s="53"/>
      <c r="B734" s="53"/>
      <c r="C734" s="53"/>
      <c r="D734" s="11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5.75" customHeight="1">
      <c r="A735" s="53"/>
      <c r="B735" s="53"/>
      <c r="C735" s="53"/>
      <c r="D735" s="11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5.75" customHeight="1">
      <c r="A736" s="53"/>
      <c r="B736" s="53"/>
      <c r="C736" s="53"/>
      <c r="D736" s="11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5.75" customHeight="1">
      <c r="A737" s="53"/>
      <c r="B737" s="53"/>
      <c r="C737" s="53"/>
      <c r="D737" s="11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5.75" customHeight="1">
      <c r="A738" s="53"/>
      <c r="B738" s="53"/>
      <c r="C738" s="53"/>
      <c r="D738" s="11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5.75" customHeight="1">
      <c r="A739" s="53"/>
      <c r="B739" s="53"/>
      <c r="C739" s="53"/>
      <c r="D739" s="11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5.75" customHeight="1">
      <c r="A740" s="53"/>
      <c r="B740" s="53"/>
      <c r="C740" s="53"/>
      <c r="D740" s="11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5.75" customHeight="1">
      <c r="A741" s="53"/>
      <c r="B741" s="53"/>
      <c r="C741" s="53"/>
      <c r="D741" s="11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5.75" customHeight="1">
      <c r="A742" s="53"/>
      <c r="B742" s="53"/>
      <c r="C742" s="53"/>
      <c r="D742" s="11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5.75" customHeight="1"/>
    <row r="744" spans="1:26" ht="15.75" customHeight="1"/>
    <row r="745" spans="1:26" ht="15.75" customHeight="1"/>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223">
    <mergeCell ref="A416:D416"/>
    <mergeCell ref="A418:D418"/>
    <mergeCell ref="A420:D420"/>
    <mergeCell ref="A422:D422"/>
    <mergeCell ref="A424:B424"/>
    <mergeCell ref="A426:D426"/>
    <mergeCell ref="A427:D427"/>
    <mergeCell ref="A428:D428"/>
    <mergeCell ref="A95:D95"/>
    <mergeCell ref="A175:D175"/>
    <mergeCell ref="A177:D177"/>
    <mergeCell ref="A179:D179"/>
    <mergeCell ref="A181:D181"/>
    <mergeCell ref="A183:D183"/>
    <mergeCell ref="A184:D184"/>
    <mergeCell ref="A185:D185"/>
    <mergeCell ref="A287:D287"/>
    <mergeCell ref="A173:D173"/>
    <mergeCell ref="A168:D168"/>
    <mergeCell ref="A169:D169"/>
    <mergeCell ref="A170:D170"/>
    <mergeCell ref="A171:D171"/>
    <mergeCell ref="A172:D172"/>
    <mergeCell ref="A125:D125"/>
    <mergeCell ref="A126:D126"/>
    <mergeCell ref="A127:D127"/>
    <mergeCell ref="A275:D275"/>
    <mergeCell ref="A277:D277"/>
    <mergeCell ref="A279:D279"/>
    <mergeCell ref="A281:D281"/>
    <mergeCell ref="A283:D283"/>
    <mergeCell ref="A285:D285"/>
    <mergeCell ref="A81:D81"/>
    <mergeCell ref="A82:D82"/>
    <mergeCell ref="A83:D83"/>
    <mergeCell ref="A84:D84"/>
    <mergeCell ref="A86:D86"/>
    <mergeCell ref="A88:D88"/>
    <mergeCell ref="A90:D90"/>
    <mergeCell ref="A92:D92"/>
    <mergeCell ref="A94:D94"/>
    <mergeCell ref="A50:D50"/>
    <mergeCell ref="A52:D52"/>
    <mergeCell ref="A54:D54"/>
    <mergeCell ref="A56:D56"/>
    <mergeCell ref="A58:D58"/>
    <mergeCell ref="A77:D77"/>
    <mergeCell ref="A78:D78"/>
    <mergeCell ref="A79:D79"/>
    <mergeCell ref="A80:D80"/>
    <mergeCell ref="A1:D1"/>
    <mergeCell ref="A2:D2"/>
    <mergeCell ref="A3:D3"/>
    <mergeCell ref="A4:D4"/>
    <mergeCell ref="A5:D5"/>
    <mergeCell ref="A6:D6"/>
    <mergeCell ref="A7:D7"/>
    <mergeCell ref="A8:D8"/>
    <mergeCell ref="A10:D10"/>
    <mergeCell ref="A12:D12"/>
    <mergeCell ref="A14:D14"/>
    <mergeCell ref="A16:D16"/>
    <mergeCell ref="A18:D18"/>
    <mergeCell ref="A20:D20"/>
    <mergeCell ref="A39:D39"/>
    <mergeCell ref="A40:D40"/>
    <mergeCell ref="A41:D41"/>
    <mergeCell ref="A42:D42"/>
    <mergeCell ref="A43:D43"/>
    <mergeCell ref="A44:D44"/>
    <mergeCell ref="A45:D45"/>
    <mergeCell ref="A46:D46"/>
    <mergeCell ref="A48:D48"/>
    <mergeCell ref="A142:D142"/>
    <mergeCell ref="A144:D144"/>
    <mergeCell ref="A166:D166"/>
    <mergeCell ref="A167:D167"/>
    <mergeCell ref="A128:D128"/>
    <mergeCell ref="A129:D129"/>
    <mergeCell ref="A131:D131"/>
    <mergeCell ref="A133:D133"/>
    <mergeCell ref="A135:D135"/>
    <mergeCell ref="A137:D137"/>
    <mergeCell ref="A139:D139"/>
    <mergeCell ref="A140:D140"/>
    <mergeCell ref="A141:D141"/>
    <mergeCell ref="A96:D96"/>
    <mergeCell ref="A97:D97"/>
    <mergeCell ref="A99:D99"/>
    <mergeCell ref="A122:D122"/>
    <mergeCell ref="A123:D123"/>
    <mergeCell ref="A124:D124"/>
    <mergeCell ref="A316:D316"/>
    <mergeCell ref="A318:D318"/>
    <mergeCell ref="A320:D320"/>
    <mergeCell ref="A322:D322"/>
    <mergeCell ref="A361:D361"/>
    <mergeCell ref="A363:B363"/>
    <mergeCell ref="A462:D462"/>
    <mergeCell ref="A351:D351"/>
    <mergeCell ref="A353:D353"/>
    <mergeCell ref="A355:D355"/>
    <mergeCell ref="A357:D357"/>
    <mergeCell ref="A359:D359"/>
    <mergeCell ref="A403:D403"/>
    <mergeCell ref="A404:D404"/>
    <mergeCell ref="A405:D405"/>
    <mergeCell ref="A406:D406"/>
    <mergeCell ref="A407:D407"/>
    <mergeCell ref="A408:D408"/>
    <mergeCell ref="A409:D409"/>
    <mergeCell ref="A410:D410"/>
    <mergeCell ref="A412:D412"/>
    <mergeCell ref="A429:D429"/>
    <mergeCell ref="A430:D430"/>
    <mergeCell ref="A431:D431"/>
    <mergeCell ref="A305:D305"/>
    <mergeCell ref="A306:D306"/>
    <mergeCell ref="A307:D307"/>
    <mergeCell ref="A308:D308"/>
    <mergeCell ref="A309:D309"/>
    <mergeCell ref="A310:D310"/>
    <mergeCell ref="A311:D311"/>
    <mergeCell ref="A312:D312"/>
    <mergeCell ref="A314:D314"/>
    <mergeCell ref="A259:D259"/>
    <mergeCell ref="A261:D261"/>
    <mergeCell ref="A268:D268"/>
    <mergeCell ref="A269:D269"/>
    <mergeCell ref="A270:D270"/>
    <mergeCell ref="A271:D271"/>
    <mergeCell ref="A272:D272"/>
    <mergeCell ref="A273:D273"/>
    <mergeCell ref="A274:D274"/>
    <mergeCell ref="A245:D245"/>
    <mergeCell ref="A246:D246"/>
    <mergeCell ref="A247:D247"/>
    <mergeCell ref="A248:D248"/>
    <mergeCell ref="A249:D249"/>
    <mergeCell ref="A251:D251"/>
    <mergeCell ref="A253:D253"/>
    <mergeCell ref="A255:D255"/>
    <mergeCell ref="A257:D257"/>
    <mergeCell ref="A213:D213"/>
    <mergeCell ref="A215:D215"/>
    <mergeCell ref="A217:D217"/>
    <mergeCell ref="A219:D219"/>
    <mergeCell ref="A221:D221"/>
    <mergeCell ref="A223:D223"/>
    <mergeCell ref="A242:D242"/>
    <mergeCell ref="A243:D243"/>
    <mergeCell ref="A244:D244"/>
    <mergeCell ref="A186:D186"/>
    <mergeCell ref="A188:D188"/>
    <mergeCell ref="A206:D206"/>
    <mergeCell ref="A207:D207"/>
    <mergeCell ref="A208:D208"/>
    <mergeCell ref="A209:D209"/>
    <mergeCell ref="A210:D210"/>
    <mergeCell ref="A211:D211"/>
    <mergeCell ref="A212:D212"/>
    <mergeCell ref="A531:D531"/>
    <mergeCell ref="A532:D532"/>
    <mergeCell ref="A533:D533"/>
    <mergeCell ref="A534:D534"/>
    <mergeCell ref="A535:D535"/>
    <mergeCell ref="A538:C538"/>
    <mergeCell ref="A499:D499"/>
    <mergeCell ref="A502:D502"/>
    <mergeCell ref="A504:D504"/>
    <mergeCell ref="A506:D506"/>
    <mergeCell ref="A508:D508"/>
    <mergeCell ref="A510:D510"/>
    <mergeCell ref="A530:D530"/>
    <mergeCell ref="A495:D495"/>
    <mergeCell ref="A496:D496"/>
    <mergeCell ref="A497:D497"/>
    <mergeCell ref="A498:D498"/>
    <mergeCell ref="A447:B447"/>
    <mergeCell ref="A450:B450"/>
    <mergeCell ref="A452:D452"/>
    <mergeCell ref="A453:D453"/>
    <mergeCell ref="A454:D454"/>
    <mergeCell ref="A455:D455"/>
    <mergeCell ref="A456:D456"/>
    <mergeCell ref="A457:D457"/>
    <mergeCell ref="A460:D460"/>
    <mergeCell ref="A464:D464"/>
    <mergeCell ref="A466:D466"/>
    <mergeCell ref="A494:D494"/>
    <mergeCell ref="A439:D439"/>
    <mergeCell ref="A441:D441"/>
    <mergeCell ref="A443:D443"/>
    <mergeCell ref="A445:D445"/>
    <mergeCell ref="A380:D380"/>
    <mergeCell ref="A381:D381"/>
    <mergeCell ref="A382:D382"/>
    <mergeCell ref="A383:D383"/>
    <mergeCell ref="A384:D384"/>
    <mergeCell ref="A385:D385"/>
    <mergeCell ref="A386:D386"/>
    <mergeCell ref="A387:D387"/>
    <mergeCell ref="A389:D389"/>
    <mergeCell ref="A391:D391"/>
    <mergeCell ref="A393:D393"/>
    <mergeCell ref="A395:D395"/>
    <mergeCell ref="A397:D397"/>
    <mergeCell ref="A399:D399"/>
    <mergeCell ref="A401:B401"/>
    <mergeCell ref="A432:D432"/>
    <mergeCell ref="A433:D433"/>
    <mergeCell ref="A435:D435"/>
    <mergeCell ref="A437:D437"/>
    <mergeCell ref="A414:D414"/>
    <mergeCell ref="A324:D324"/>
    <mergeCell ref="A342:D342"/>
    <mergeCell ref="A343:D343"/>
    <mergeCell ref="A344:D344"/>
    <mergeCell ref="A345:D345"/>
    <mergeCell ref="A346:D346"/>
    <mergeCell ref="A347:D347"/>
    <mergeCell ref="A348:D348"/>
    <mergeCell ref="A349:D349"/>
  </mergeCells>
  <pageMargins left="0.7" right="0.7" top="0.75" bottom="0.75" header="0" footer="0"/>
  <pageSetup fitToHeight="0"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3.140625" customWidth="1"/>
    <col min="6" max="6" width="11.140625" customWidth="1"/>
    <col min="7" max="7" width="11" customWidth="1"/>
    <col min="8" max="8" width="13" customWidth="1"/>
    <col min="9" max="9" width="0.85546875" customWidth="1"/>
    <col min="10" max="10" width="10.42578125" customWidth="1"/>
    <col min="11" max="11" width="11" customWidth="1"/>
    <col min="12" max="12" width="13" customWidth="1"/>
    <col min="13" max="13" width="0.7109375" customWidth="1"/>
    <col min="14" max="14" width="12.28515625" customWidth="1"/>
    <col min="15" max="15" width="10" customWidth="1"/>
    <col min="16" max="16" width="0.42578125" customWidth="1"/>
    <col min="17" max="17" width="10.42578125" customWidth="1"/>
    <col min="18" max="18" width="11" customWidth="1"/>
    <col min="19" max="19" width="13" customWidth="1"/>
    <col min="20" max="20" width="0.42578125" customWidth="1"/>
    <col min="21" max="21" width="12.28515625" customWidth="1"/>
    <col min="22" max="22" width="10" customWidth="1"/>
    <col min="23" max="23" width="1" customWidth="1"/>
    <col min="24" max="24" width="10.425781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0.42578125" customWidth="1"/>
    <col min="32" max="32" width="11" customWidth="1"/>
    <col min="33" max="33" width="13" customWidth="1"/>
    <col min="34" max="34" width="0.42578125" customWidth="1"/>
    <col min="35" max="35" width="11" customWidth="1"/>
    <col min="36" max="36" width="10" customWidth="1"/>
    <col min="37" max="37" width="0.7109375" customWidth="1"/>
    <col min="38" max="38" width="10.42578125" customWidth="1"/>
    <col min="39" max="39" width="11" customWidth="1"/>
    <col min="40" max="40" width="13" customWidth="1"/>
    <col min="41" max="41" width="1.28515625" customWidth="1"/>
    <col min="42" max="42" width="11.28515625" customWidth="1"/>
    <col min="43" max="43" width="10" customWidth="1"/>
    <col min="44" max="44" width="1.28515625" customWidth="1"/>
    <col min="45" max="46" width="12.42578125" customWidth="1"/>
  </cols>
  <sheetData>
    <row r="1" spans="1:46" ht="12" customHeight="1">
      <c r="A1" s="52"/>
      <c r="B1" s="52"/>
      <c r="C1" s="576"/>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6" ht="12" customHeight="1">
      <c r="A2" s="52"/>
      <c r="B2" s="52"/>
      <c r="C2" s="577"/>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6" ht="12" customHeight="1">
      <c r="A3" s="52"/>
      <c r="B3" s="52"/>
      <c r="C3" s="577"/>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6" ht="12" customHeight="1">
      <c r="A4" s="52"/>
      <c r="B4" s="52"/>
      <c r="C4" s="576"/>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6" ht="12" customHeight="1">
      <c r="A5" s="52"/>
      <c r="B5" s="52"/>
      <c r="C5" s="576"/>
      <c r="D5" s="52"/>
      <c r="E5" s="52"/>
      <c r="F5" s="52"/>
      <c r="G5" s="52"/>
      <c r="H5" s="52"/>
      <c r="I5" s="52"/>
      <c r="J5" s="52"/>
      <c r="K5" s="52"/>
      <c r="L5" s="3"/>
      <c r="M5" s="3"/>
      <c r="N5" s="3"/>
      <c r="O5" s="3"/>
      <c r="P5" s="3"/>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3"/>
      <c r="AT5" s="3"/>
    </row>
    <row r="6" spans="1:46" ht="12" customHeight="1">
      <c r="A6" s="52"/>
      <c r="B6" s="320" t="s">
        <v>298</v>
      </c>
      <c r="C6" s="576"/>
      <c r="D6" s="380" t="s">
        <v>227</v>
      </c>
      <c r="E6" s="380"/>
      <c r="F6" s="381"/>
      <c r="G6" s="381"/>
      <c r="H6" s="381"/>
      <c r="I6" s="381"/>
      <c r="J6" s="381"/>
      <c r="K6" s="381"/>
      <c r="L6" s="381"/>
      <c r="M6" s="381"/>
      <c r="N6" s="381"/>
      <c r="O6" s="381"/>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row>
    <row r="7" spans="1:46" ht="16.5" customHeight="1">
      <c r="A7" s="52"/>
      <c r="B7" s="382"/>
      <c r="C7" s="576"/>
      <c r="D7" s="383"/>
      <c r="E7" s="383"/>
      <c r="F7" s="383"/>
      <c r="G7" s="383"/>
      <c r="H7" s="383"/>
      <c r="I7" s="383"/>
      <c r="J7" s="383"/>
      <c r="K7" s="383"/>
      <c r="L7" s="575">
        <v>262</v>
      </c>
      <c r="M7" s="571" t="s">
        <v>423</v>
      </c>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6" ht="17.25" customHeight="1">
      <c r="A8" s="52"/>
      <c r="B8" s="320" t="s">
        <v>299</v>
      </c>
      <c r="C8" s="576"/>
      <c r="D8" s="384" t="s">
        <v>300</v>
      </c>
      <c r="E8" s="383"/>
      <c r="F8" s="383"/>
      <c r="G8" s="383"/>
      <c r="H8" s="383"/>
      <c r="I8" s="383"/>
      <c r="J8" s="383"/>
      <c r="K8" s="383"/>
      <c r="L8" s="575">
        <v>63264</v>
      </c>
      <c r="M8" s="571" t="s">
        <v>424</v>
      </c>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6" ht="12" customHeight="1">
      <c r="A9" s="52"/>
      <c r="B9" s="382"/>
      <c r="C9" s="576"/>
      <c r="D9" s="307" t="s">
        <v>301</v>
      </c>
      <c r="E9" s="307"/>
      <c r="F9" s="385">
        <v>1745419</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6" ht="12" customHeight="1">
      <c r="A10" s="52"/>
      <c r="B10" s="52"/>
      <c r="C10" s="576"/>
      <c r="D10" s="52"/>
      <c r="E10" s="52"/>
      <c r="F10" s="385">
        <v>4909.7700000000004</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6" ht="12" customHeight="1">
      <c r="A11" s="52"/>
      <c r="B11" s="52"/>
      <c r="C11" s="576"/>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6" ht="12" customHeight="1">
      <c r="A12" s="52"/>
      <c r="B12" s="52"/>
      <c r="C12" s="576"/>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6" ht="12" customHeight="1">
      <c r="A13" s="52"/>
      <c r="B13" s="52"/>
      <c r="C13" s="576"/>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6" ht="12" customHeight="1">
      <c r="A14" s="52"/>
      <c r="B14" s="52"/>
      <c r="C14" s="576"/>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6" ht="12" customHeight="1">
      <c r="A15" s="52"/>
      <c r="B15" s="321" t="s">
        <v>221</v>
      </c>
      <c r="C15" s="578" t="str">
        <f t="shared" ref="C15:C26" si="0">D$6&amp;"."&amp;B15</f>
        <v>Street Light.Monthly Service Charge</v>
      </c>
      <c r="D15" s="395" t="s">
        <v>310</v>
      </c>
      <c r="E15" s="321"/>
      <c r="F15" s="396">
        <f>IFERROR(VLOOKUP($C15,'Proposed Rates'!$B:$J,F$11,FALSE),0)</f>
        <v>1.1200000000000001</v>
      </c>
      <c r="G15" s="414">
        <f>$L$8</f>
        <v>63264</v>
      </c>
      <c r="H15" s="399">
        <f t="shared" ref="H15:H28" si="1">G15*F15</f>
        <v>70855.680000000008</v>
      </c>
      <c r="I15" s="132"/>
      <c r="J15" s="396">
        <f>IFERROR(VLOOKUP($C15,'Proposed Rates'!$B:$J,J$11,FALSE),0)</f>
        <v>1.24</v>
      </c>
      <c r="K15" s="414">
        <f>$L$8</f>
        <v>63264</v>
      </c>
      <c r="L15" s="399">
        <f t="shared" ref="L15:L28" si="2">K15*J15</f>
        <v>78447.360000000001</v>
      </c>
      <c r="M15" s="132"/>
      <c r="N15" s="400">
        <f t="shared" ref="N15:N50" si="3">L15-H15</f>
        <v>7591.679999999993</v>
      </c>
      <c r="O15" s="401">
        <f t="shared" ref="O15:O50" si="4">IF((H15)=0,"",(N15/H15))</f>
        <v>0.10714285714285704</v>
      </c>
      <c r="P15" s="52"/>
      <c r="Q15" s="396">
        <f>IFERROR(VLOOKUP($C15,'Proposed Rates'!$B:$J,Q$11,FALSE),0)</f>
        <v>1.17</v>
      </c>
      <c r="R15" s="414">
        <f>$L$8</f>
        <v>63264</v>
      </c>
      <c r="S15" s="399">
        <f t="shared" ref="S15:S28" si="5">R15*Q15</f>
        <v>74018.87999999999</v>
      </c>
      <c r="T15" s="132"/>
      <c r="U15" s="400">
        <f t="shared" ref="U15:U50" si="6">S15-L15</f>
        <v>-4428.4800000000105</v>
      </c>
      <c r="V15" s="401">
        <f t="shared" ref="V15:V50" si="7">IF((L15)=0,"",(U15/L15))</f>
        <v>-5.6451612903225937E-2</v>
      </c>
      <c r="W15" s="52"/>
      <c r="X15" s="396">
        <f>IFERROR(VLOOKUP($C15,'Proposed Rates'!$B:$J,X$11,FALSE),0)</f>
        <v>1.24</v>
      </c>
      <c r="Y15" s="414">
        <f>$L$8</f>
        <v>63264</v>
      </c>
      <c r="Z15" s="399">
        <f t="shared" ref="Z15:Z28" si="8">Y15*X15</f>
        <v>78447.360000000001</v>
      </c>
      <c r="AA15" s="132"/>
      <c r="AB15" s="400">
        <f t="shared" ref="AB15:AB50" si="9">Z15-S15</f>
        <v>4428.4800000000105</v>
      </c>
      <c r="AC15" s="401">
        <f t="shared" ref="AC15:AC50" si="10">IF((S15)=0,"",(AB15/S15))</f>
        <v>5.9829059829059977E-2</v>
      </c>
      <c r="AD15" s="52"/>
      <c r="AE15" s="396">
        <f>IFERROR(VLOOKUP($C15,'Proposed Rates'!$B:$J,AE$11,FALSE),0)</f>
        <v>1.24</v>
      </c>
      <c r="AF15" s="414">
        <f>$L$8</f>
        <v>63264</v>
      </c>
      <c r="AG15" s="399">
        <f t="shared" ref="AG15:AG28" si="11">AF15*AE15</f>
        <v>78447.360000000001</v>
      </c>
      <c r="AH15" s="132"/>
      <c r="AI15" s="400">
        <f t="shared" ref="AI15:AI50" si="12">AG15-Z15</f>
        <v>0</v>
      </c>
      <c r="AJ15" s="401">
        <f t="shared" ref="AJ15:AJ50" si="13">IF((Z15)=0,"",(AI15/Z15))</f>
        <v>0</v>
      </c>
      <c r="AK15" s="52"/>
      <c r="AL15" s="396">
        <f>IFERROR(VLOOKUP($C15,'Proposed Rates'!$B:$J,AL$11,FALSE),0)</f>
        <v>1.25</v>
      </c>
      <c r="AM15" s="414">
        <f>$L$8</f>
        <v>63264</v>
      </c>
      <c r="AN15" s="399">
        <f t="shared" ref="AN15:AN28" si="14">AM15*AL15</f>
        <v>79080</v>
      </c>
      <c r="AO15" s="132"/>
      <c r="AP15" s="400">
        <f t="shared" ref="AP15:AP50" si="15">AN15-AG15</f>
        <v>632.63999999999942</v>
      </c>
      <c r="AQ15" s="401">
        <f t="shared" ref="AQ15:AQ50" si="16">IF((AG15)=0,"",(AP15/AG15))</f>
        <v>8.0645161290322509E-3</v>
      </c>
      <c r="AR15" s="402"/>
    </row>
    <row r="16" spans="1:46" ht="12" customHeight="1">
      <c r="A16" s="52"/>
      <c r="B16" s="321" t="s">
        <v>311</v>
      </c>
      <c r="C16" s="578" t="str">
        <f t="shared" si="0"/>
        <v>Street Light.Smart Meter Rate Adder</v>
      </c>
      <c r="D16" s="395" t="s">
        <v>310</v>
      </c>
      <c r="E16" s="321"/>
      <c r="F16" s="396">
        <f>IFERROR(VLOOKUP($C16,'Proposed Rates'!$B:$J,F$11,FALSE),0)</f>
        <v>0</v>
      </c>
      <c r="G16" s="414">
        <f t="shared" ref="G16:G28" si="17">IF($D16="Monthly",1,IF($D16="per KW",$F$10,IF($D16="per kWh",$F$9,0)))</f>
        <v>1</v>
      </c>
      <c r="H16" s="399">
        <f t="shared" si="1"/>
        <v>0</v>
      </c>
      <c r="I16" s="132"/>
      <c r="J16" s="396">
        <f>IFERROR(VLOOKUP($C16,'Proposed Rates'!$B:$J,J$11,FALSE),0)</f>
        <v>0</v>
      </c>
      <c r="K16" s="414">
        <f t="shared" ref="K16:K28" si="18">IF($D16="Monthly",1,IF($D16="per KW",$F$10,IF($D16="per kWh",$F$9,0)))</f>
        <v>1</v>
      </c>
      <c r="L16" s="399">
        <f t="shared" si="2"/>
        <v>0</v>
      </c>
      <c r="M16" s="132"/>
      <c r="N16" s="400">
        <f t="shared" si="3"/>
        <v>0</v>
      </c>
      <c r="O16" s="401" t="str">
        <f t="shared" si="4"/>
        <v/>
      </c>
      <c r="P16" s="52"/>
      <c r="Q16" s="396">
        <f>IFERROR(VLOOKUP($C16,'Proposed Rates'!$B:$J,Q$11,FALSE),0)</f>
        <v>0</v>
      </c>
      <c r="R16" s="414">
        <f t="shared" ref="R16:R28" si="19">IF($D16="Monthly",1,IF($D16="per KW",$F$10,IF($D16="per kWh",$F$9,0)))</f>
        <v>1</v>
      </c>
      <c r="S16" s="399">
        <f t="shared" si="5"/>
        <v>0</v>
      </c>
      <c r="T16" s="132"/>
      <c r="U16" s="400">
        <f t="shared" si="6"/>
        <v>0</v>
      </c>
      <c r="V16" s="401" t="str">
        <f t="shared" si="7"/>
        <v/>
      </c>
      <c r="W16" s="52"/>
      <c r="X16" s="396">
        <f>IFERROR(VLOOKUP($C16,'Proposed Rates'!$B:$J,X$11,FALSE),0)</f>
        <v>0</v>
      </c>
      <c r="Y16" s="414">
        <f t="shared" ref="Y16:Y28" si="20">IF($D16="Monthly",1,IF($D16="per KW",$F$10,IF($D16="per kWh",$F$9,0)))</f>
        <v>1</v>
      </c>
      <c r="Z16" s="399">
        <f t="shared" si="8"/>
        <v>0</v>
      </c>
      <c r="AA16" s="132"/>
      <c r="AB16" s="400">
        <f t="shared" si="9"/>
        <v>0</v>
      </c>
      <c r="AC16" s="401" t="str">
        <f t="shared" si="10"/>
        <v/>
      </c>
      <c r="AD16" s="52"/>
      <c r="AE16" s="396">
        <f>IFERROR(VLOOKUP($C16,'Proposed Rates'!$B:$J,AE$11,FALSE),0)</f>
        <v>0</v>
      </c>
      <c r="AF16" s="414">
        <f t="shared" ref="AF16:AF28" si="21">IF($D16="Monthly",1,IF($D16="per KW",$F$10,IF($D16="per kWh",$F$9,0)))</f>
        <v>1</v>
      </c>
      <c r="AG16" s="399">
        <f t="shared" si="11"/>
        <v>0</v>
      </c>
      <c r="AH16" s="132"/>
      <c r="AI16" s="400">
        <f t="shared" si="12"/>
        <v>0</v>
      </c>
      <c r="AJ16" s="401" t="str">
        <f t="shared" si="13"/>
        <v/>
      </c>
      <c r="AK16" s="52"/>
      <c r="AL16" s="396">
        <f>IFERROR(VLOOKUP($C16,'Proposed Rates'!$B:$J,AL$11,FALSE),0)</f>
        <v>0</v>
      </c>
      <c r="AM16" s="414">
        <f t="shared" ref="AM16:AM28" si="22">IF($D16="Monthly",1,IF($D16="per KW",$F$10,IF($D16="per kWh",$F$9,0)))</f>
        <v>1</v>
      </c>
      <c r="AN16" s="399">
        <f t="shared" si="14"/>
        <v>0</v>
      </c>
      <c r="AO16" s="132"/>
      <c r="AP16" s="400">
        <f t="shared" si="15"/>
        <v>0</v>
      </c>
      <c r="AQ16" s="401" t="str">
        <f t="shared" si="16"/>
        <v/>
      </c>
      <c r="AR16" s="402"/>
    </row>
    <row r="17" spans="1:44" ht="12" customHeight="1">
      <c r="A17" s="52"/>
      <c r="B17" s="403" t="str">
        <f>'Proposed Rates'!C115</f>
        <v>Rate Rider Calculation for PILs</v>
      </c>
      <c r="C17" s="578" t="str">
        <f t="shared" si="0"/>
        <v>Street Light.Rate Rider Calculation for PILs</v>
      </c>
      <c r="D17" s="395" t="s">
        <v>381</v>
      </c>
      <c r="E17" s="321"/>
      <c r="F17" s="396">
        <f>IFERROR(VLOOKUP($C17,'Proposed Rates'!$B:$J,F$11,FALSE),0)</f>
        <v>0</v>
      </c>
      <c r="G17" s="414">
        <f t="shared" si="17"/>
        <v>4909.7700000000004</v>
      </c>
      <c r="H17" s="399">
        <f t="shared" si="1"/>
        <v>0</v>
      </c>
      <c r="I17" s="132"/>
      <c r="J17" s="396">
        <f>IFERROR(VLOOKUP($C17,'Proposed Rates'!$B:$J,J$11,FALSE),0)</f>
        <v>0</v>
      </c>
      <c r="K17" s="414">
        <f t="shared" si="18"/>
        <v>4909.7700000000004</v>
      </c>
      <c r="L17" s="399">
        <f t="shared" si="2"/>
        <v>0</v>
      </c>
      <c r="M17" s="132"/>
      <c r="N17" s="400">
        <f t="shared" si="3"/>
        <v>0</v>
      </c>
      <c r="O17" s="401" t="str">
        <f t="shared" si="4"/>
        <v/>
      </c>
      <c r="P17" s="52"/>
      <c r="Q17" s="396">
        <f>IFERROR(VLOOKUP($C17,'Proposed Rates'!$B:$J,Q$11,FALSE),0)</f>
        <v>0</v>
      </c>
      <c r="R17" s="414">
        <f t="shared" si="19"/>
        <v>4909.7700000000004</v>
      </c>
      <c r="S17" s="399">
        <f t="shared" si="5"/>
        <v>0</v>
      </c>
      <c r="T17" s="132"/>
      <c r="U17" s="400">
        <f t="shared" si="6"/>
        <v>0</v>
      </c>
      <c r="V17" s="401" t="str">
        <f t="shared" si="7"/>
        <v/>
      </c>
      <c r="W17" s="52"/>
      <c r="X17" s="396">
        <f>IFERROR(VLOOKUP($C17,'Proposed Rates'!$B:$J,X$11,FALSE),0)</f>
        <v>0</v>
      </c>
      <c r="Y17" s="414">
        <f t="shared" si="20"/>
        <v>4909.7700000000004</v>
      </c>
      <c r="Z17" s="399">
        <f t="shared" si="8"/>
        <v>0</v>
      </c>
      <c r="AA17" s="132"/>
      <c r="AB17" s="400">
        <f t="shared" si="9"/>
        <v>0</v>
      </c>
      <c r="AC17" s="401" t="str">
        <f t="shared" si="10"/>
        <v/>
      </c>
      <c r="AD17" s="52"/>
      <c r="AE17" s="396">
        <f>IFERROR(VLOOKUP($C17,'Proposed Rates'!$B:$J,AE$11,FALSE),0)</f>
        <v>0</v>
      </c>
      <c r="AF17" s="414">
        <f t="shared" si="21"/>
        <v>4909.7700000000004</v>
      </c>
      <c r="AG17" s="399">
        <f t="shared" si="11"/>
        <v>0</v>
      </c>
      <c r="AH17" s="132"/>
      <c r="AI17" s="400">
        <f t="shared" si="12"/>
        <v>0</v>
      </c>
      <c r="AJ17" s="401" t="str">
        <f t="shared" si="13"/>
        <v/>
      </c>
      <c r="AK17" s="52"/>
      <c r="AL17" s="396">
        <f>IFERROR(VLOOKUP($C17,'Proposed Rates'!$B:$J,AL$11,FALSE),0)</f>
        <v>0</v>
      </c>
      <c r="AM17" s="414">
        <f t="shared" si="22"/>
        <v>4909.7700000000004</v>
      </c>
      <c r="AN17" s="399">
        <f t="shared" si="14"/>
        <v>0</v>
      </c>
      <c r="AO17" s="132"/>
      <c r="AP17" s="400">
        <f t="shared" si="15"/>
        <v>0</v>
      </c>
      <c r="AQ17" s="401" t="str">
        <f t="shared" si="16"/>
        <v/>
      </c>
      <c r="AR17" s="402"/>
    </row>
    <row r="18" spans="1:44" ht="12" customHeight="1">
      <c r="A18" s="52"/>
      <c r="B18" s="403" t="str">
        <f>'Proposed Rates'!C128</f>
        <v>Rate Rider Calculation for Generic</v>
      </c>
      <c r="C18" s="578" t="str">
        <f t="shared" si="0"/>
        <v>Street Light.Rate Rider Calculation for Generic</v>
      </c>
      <c r="D18" s="395" t="s">
        <v>381</v>
      </c>
      <c r="E18" s="321"/>
      <c r="F18" s="396">
        <f>IFERROR(VLOOKUP($C18,'Proposed Rates'!$B:$J,F$11,FALSE),0)</f>
        <v>0</v>
      </c>
      <c r="G18" s="414">
        <f t="shared" si="17"/>
        <v>4909.7700000000004</v>
      </c>
      <c r="H18" s="399">
        <f t="shared" si="1"/>
        <v>0</v>
      </c>
      <c r="I18" s="132"/>
      <c r="J18" s="396">
        <f>IFERROR(VLOOKUP($C18,'Proposed Rates'!$B:$J,J$11,FALSE),0)</f>
        <v>0</v>
      </c>
      <c r="K18" s="414">
        <f t="shared" si="18"/>
        <v>4909.7700000000004</v>
      </c>
      <c r="L18" s="399">
        <f t="shared" si="2"/>
        <v>0</v>
      </c>
      <c r="M18" s="132"/>
      <c r="N18" s="400">
        <f t="shared" si="3"/>
        <v>0</v>
      </c>
      <c r="O18" s="401" t="str">
        <f t="shared" si="4"/>
        <v/>
      </c>
      <c r="P18" s="52"/>
      <c r="Q18" s="396">
        <f>IFERROR(VLOOKUP($C18,'Proposed Rates'!$B:$J,Q$11,FALSE),0)</f>
        <v>0</v>
      </c>
      <c r="R18" s="414">
        <f t="shared" si="19"/>
        <v>4909.7700000000004</v>
      </c>
      <c r="S18" s="399">
        <f t="shared" si="5"/>
        <v>0</v>
      </c>
      <c r="T18" s="132"/>
      <c r="U18" s="400">
        <f t="shared" si="6"/>
        <v>0</v>
      </c>
      <c r="V18" s="401" t="str">
        <f t="shared" si="7"/>
        <v/>
      </c>
      <c r="W18" s="52"/>
      <c r="X18" s="396">
        <f>IFERROR(VLOOKUP($C18,'Proposed Rates'!$B:$J,X$11,FALSE),0)</f>
        <v>0</v>
      </c>
      <c r="Y18" s="414">
        <f t="shared" si="20"/>
        <v>4909.7700000000004</v>
      </c>
      <c r="Z18" s="399">
        <f t="shared" si="8"/>
        <v>0</v>
      </c>
      <c r="AA18" s="132"/>
      <c r="AB18" s="400">
        <f t="shared" si="9"/>
        <v>0</v>
      </c>
      <c r="AC18" s="401" t="str">
        <f t="shared" si="10"/>
        <v/>
      </c>
      <c r="AD18" s="52"/>
      <c r="AE18" s="396">
        <f>IFERROR(VLOOKUP($C18,'Proposed Rates'!$B:$J,AE$11,FALSE),0)</f>
        <v>0</v>
      </c>
      <c r="AF18" s="414">
        <f t="shared" si="21"/>
        <v>4909.7700000000004</v>
      </c>
      <c r="AG18" s="399">
        <f t="shared" si="11"/>
        <v>0</v>
      </c>
      <c r="AH18" s="132"/>
      <c r="AI18" s="400">
        <f t="shared" si="12"/>
        <v>0</v>
      </c>
      <c r="AJ18" s="401" t="str">
        <f t="shared" si="13"/>
        <v/>
      </c>
      <c r="AK18" s="52"/>
      <c r="AL18" s="396">
        <f>IFERROR(VLOOKUP($C18,'Proposed Rates'!$B:$J,AL$11,FALSE),0)</f>
        <v>0</v>
      </c>
      <c r="AM18" s="414">
        <f t="shared" si="22"/>
        <v>4909.7700000000004</v>
      </c>
      <c r="AN18" s="399">
        <f t="shared" si="14"/>
        <v>0</v>
      </c>
      <c r="AO18" s="132"/>
      <c r="AP18" s="400">
        <f t="shared" si="15"/>
        <v>0</v>
      </c>
      <c r="AQ18" s="401" t="str">
        <f t="shared" si="16"/>
        <v/>
      </c>
      <c r="AR18" s="402"/>
    </row>
    <row r="19" spans="1:44" ht="12" customHeight="1">
      <c r="A19" s="52"/>
      <c r="B19" s="321" t="s">
        <v>59</v>
      </c>
      <c r="C19" s="578" t="str">
        <f t="shared" si="0"/>
        <v>Street Light.Distribution Volumetric Rate</v>
      </c>
      <c r="D19" s="395" t="s">
        <v>381</v>
      </c>
      <c r="E19" s="321"/>
      <c r="F19" s="413">
        <f>IFERROR(VLOOKUP($C19,'Proposed Rates'!$B:$J,F$11,FALSE),0)</f>
        <v>7.8163999999999998</v>
      </c>
      <c r="G19" s="414">
        <f t="shared" si="17"/>
        <v>4909.7700000000004</v>
      </c>
      <c r="H19" s="399">
        <f t="shared" si="1"/>
        <v>38376.726228</v>
      </c>
      <c r="I19" s="132"/>
      <c r="J19" s="413">
        <f>IFERROR(VLOOKUP($C19,'Proposed Rates'!$B:$J,J$11,FALSE),0)</f>
        <v>8.5587999999999997</v>
      </c>
      <c r="K19" s="414">
        <f t="shared" si="18"/>
        <v>4909.7700000000004</v>
      </c>
      <c r="L19" s="399">
        <f t="shared" si="2"/>
        <v>42021.739476000002</v>
      </c>
      <c r="M19" s="132"/>
      <c r="N19" s="400">
        <f t="shared" si="3"/>
        <v>3645.0132480000029</v>
      </c>
      <c r="O19" s="401">
        <f t="shared" si="4"/>
        <v>9.4979786090783558E-2</v>
      </c>
      <c r="P19" s="52"/>
      <c r="Q19" s="413">
        <f>IFERROR(VLOOKUP($C19,'Proposed Rates'!$B:$J,Q$11,FALSE),0)</f>
        <v>8.0873000000000008</v>
      </c>
      <c r="R19" s="414">
        <f t="shared" si="19"/>
        <v>4909.7700000000004</v>
      </c>
      <c r="S19" s="399">
        <f t="shared" si="5"/>
        <v>39706.782921000005</v>
      </c>
      <c r="T19" s="132"/>
      <c r="U19" s="400">
        <f t="shared" si="6"/>
        <v>-2314.956554999997</v>
      </c>
      <c r="V19" s="401">
        <f t="shared" si="7"/>
        <v>-5.5089498527830932E-2</v>
      </c>
      <c r="W19" s="52"/>
      <c r="X19" s="413">
        <f>IFERROR(VLOOKUP($C19,'Proposed Rates'!$B:$J,X$11,FALSE),0)</f>
        <v>8.5327999999999999</v>
      </c>
      <c r="Y19" s="414">
        <f t="shared" si="20"/>
        <v>4909.7700000000004</v>
      </c>
      <c r="Z19" s="399">
        <f t="shared" si="8"/>
        <v>41894.085456000001</v>
      </c>
      <c r="AA19" s="132"/>
      <c r="AB19" s="400">
        <f t="shared" si="9"/>
        <v>2187.3025349999953</v>
      </c>
      <c r="AC19" s="401">
        <f t="shared" si="10"/>
        <v>5.5086369987511159E-2</v>
      </c>
      <c r="AD19" s="52"/>
      <c r="AE19" s="413">
        <f>IFERROR(VLOOKUP($C19,'Proposed Rates'!$B:$J,AE$11,FALSE),0)</f>
        <v>8.6244999999999994</v>
      </c>
      <c r="AF19" s="414">
        <f t="shared" si="21"/>
        <v>4909.7700000000004</v>
      </c>
      <c r="AG19" s="399">
        <f t="shared" si="11"/>
        <v>42344.311365000001</v>
      </c>
      <c r="AH19" s="132"/>
      <c r="AI19" s="400">
        <f t="shared" si="12"/>
        <v>450.22590900000068</v>
      </c>
      <c r="AJ19" s="401">
        <f t="shared" si="13"/>
        <v>1.0746765422838943E-2</v>
      </c>
      <c r="AK19" s="52"/>
      <c r="AL19" s="413">
        <f>IFERROR(VLOOKUP($C19,'Proposed Rates'!$B:$J,AL$11,FALSE),0)</f>
        <v>8.6967999999999996</v>
      </c>
      <c r="AM19" s="414">
        <f t="shared" si="22"/>
        <v>4909.7700000000004</v>
      </c>
      <c r="AN19" s="399">
        <f t="shared" si="14"/>
        <v>42699.287735999998</v>
      </c>
      <c r="AO19" s="132"/>
      <c r="AP19" s="400">
        <f t="shared" si="15"/>
        <v>354.97637099999702</v>
      </c>
      <c r="AQ19" s="401">
        <f t="shared" si="16"/>
        <v>8.3830946721548377E-3</v>
      </c>
      <c r="AR19" s="402"/>
    </row>
    <row r="20" spans="1:44" ht="12" customHeight="1">
      <c r="A20" s="52"/>
      <c r="B20" s="321" t="s">
        <v>313</v>
      </c>
      <c r="C20" s="578" t="str">
        <f t="shared" si="0"/>
        <v>Street Light.Smart Meter Disposition Rider</v>
      </c>
      <c r="D20" s="395" t="s">
        <v>312</v>
      </c>
      <c r="E20" s="321"/>
      <c r="F20" s="396">
        <f>IFERROR(VLOOKUP($C20,'Proposed Rates'!$B:$J,F$11,FALSE),0)</f>
        <v>0</v>
      </c>
      <c r="G20" s="414">
        <f t="shared" si="17"/>
        <v>1745419</v>
      </c>
      <c r="H20" s="399">
        <f t="shared" si="1"/>
        <v>0</v>
      </c>
      <c r="I20" s="132"/>
      <c r="J20" s="396">
        <f>IFERROR(VLOOKUP($C20,'Proposed Rates'!$B:$J,J$11,FALSE),0)</f>
        <v>0</v>
      </c>
      <c r="K20" s="414">
        <f t="shared" si="18"/>
        <v>1745419</v>
      </c>
      <c r="L20" s="399">
        <f t="shared" si="2"/>
        <v>0</v>
      </c>
      <c r="M20" s="132"/>
      <c r="N20" s="400">
        <f t="shared" si="3"/>
        <v>0</v>
      </c>
      <c r="O20" s="401" t="str">
        <f t="shared" si="4"/>
        <v/>
      </c>
      <c r="P20" s="52"/>
      <c r="Q20" s="396">
        <f>IFERROR(VLOOKUP($C20,'Proposed Rates'!$B:$J,Q$11,FALSE),0)</f>
        <v>0</v>
      </c>
      <c r="R20" s="414">
        <f t="shared" si="19"/>
        <v>1745419</v>
      </c>
      <c r="S20" s="399">
        <f t="shared" si="5"/>
        <v>0</v>
      </c>
      <c r="T20" s="132"/>
      <c r="U20" s="400">
        <f t="shared" si="6"/>
        <v>0</v>
      </c>
      <c r="V20" s="401" t="str">
        <f t="shared" si="7"/>
        <v/>
      </c>
      <c r="W20" s="52"/>
      <c r="X20" s="396">
        <f>IFERROR(VLOOKUP($C20,'Proposed Rates'!$B:$J,X$11,FALSE),0)</f>
        <v>0</v>
      </c>
      <c r="Y20" s="414">
        <f t="shared" si="20"/>
        <v>1745419</v>
      </c>
      <c r="Z20" s="399">
        <f t="shared" si="8"/>
        <v>0</v>
      </c>
      <c r="AA20" s="132"/>
      <c r="AB20" s="400">
        <f t="shared" si="9"/>
        <v>0</v>
      </c>
      <c r="AC20" s="401" t="str">
        <f t="shared" si="10"/>
        <v/>
      </c>
      <c r="AD20" s="52"/>
      <c r="AE20" s="396">
        <f>IFERROR(VLOOKUP($C20,'Proposed Rates'!$B:$J,AE$11,FALSE),0)</f>
        <v>0</v>
      </c>
      <c r="AF20" s="414">
        <f t="shared" si="21"/>
        <v>1745419</v>
      </c>
      <c r="AG20" s="399">
        <f t="shared" si="11"/>
        <v>0</v>
      </c>
      <c r="AH20" s="132"/>
      <c r="AI20" s="400">
        <f t="shared" si="12"/>
        <v>0</v>
      </c>
      <c r="AJ20" s="401" t="str">
        <f t="shared" si="13"/>
        <v/>
      </c>
      <c r="AK20" s="52"/>
      <c r="AL20" s="396">
        <f>IFERROR(VLOOKUP($C20,'Proposed Rates'!$B:$J,AL$11,FALSE),0)</f>
        <v>0</v>
      </c>
      <c r="AM20" s="414">
        <f t="shared" si="22"/>
        <v>1745419</v>
      </c>
      <c r="AN20" s="399">
        <f t="shared" si="14"/>
        <v>0</v>
      </c>
      <c r="AO20" s="132"/>
      <c r="AP20" s="400">
        <f t="shared" si="15"/>
        <v>0</v>
      </c>
      <c r="AQ20" s="401" t="str">
        <f t="shared" si="16"/>
        <v/>
      </c>
      <c r="AR20" s="402"/>
    </row>
    <row r="21" spans="1:44" ht="12" customHeight="1">
      <c r="A21" s="52"/>
      <c r="B21" s="321" t="s">
        <v>244</v>
      </c>
      <c r="C21" s="578" t="str">
        <f t="shared" si="0"/>
        <v>Street Light.LRAM Rate Rider</v>
      </c>
      <c r="D21" s="395" t="s">
        <v>381</v>
      </c>
      <c r="E21" s="321"/>
      <c r="F21" s="413">
        <f>'Proposed Rates'!E82+'Proposed Rates'!E95</f>
        <v>4.8925000000000001</v>
      </c>
      <c r="G21" s="414">
        <f t="shared" si="17"/>
        <v>4909.7700000000004</v>
      </c>
      <c r="H21" s="399">
        <f t="shared" si="1"/>
        <v>24021.049725000001</v>
      </c>
      <c r="I21" s="132"/>
      <c r="J21" s="413">
        <f>'Proposed Rates'!F82+'Proposed Rates'!F95</f>
        <v>4.2968000000000002</v>
      </c>
      <c r="K21" s="414">
        <f t="shared" si="18"/>
        <v>4909.7700000000004</v>
      </c>
      <c r="L21" s="399">
        <f t="shared" si="2"/>
        <v>21096.299736000004</v>
      </c>
      <c r="M21" s="132"/>
      <c r="N21" s="400">
        <f t="shared" si="3"/>
        <v>-2924.7499889999963</v>
      </c>
      <c r="O21" s="401">
        <f t="shared" si="4"/>
        <v>-0.12175779253960127</v>
      </c>
      <c r="P21" s="52"/>
      <c r="Q21" s="413">
        <f>'Proposed Rates'!G82+'Proposed Rates'!G95</f>
        <v>0</v>
      </c>
      <c r="R21" s="414">
        <f t="shared" si="19"/>
        <v>4909.7700000000004</v>
      </c>
      <c r="S21" s="399">
        <f t="shared" si="5"/>
        <v>0</v>
      </c>
      <c r="T21" s="132"/>
      <c r="U21" s="400">
        <f t="shared" si="6"/>
        <v>-21096.299736000004</v>
      </c>
      <c r="V21" s="401">
        <f t="shared" si="7"/>
        <v>-1</v>
      </c>
      <c r="W21" s="52"/>
      <c r="X21" s="413">
        <f>IFERROR(VLOOKUP($C21,'Proposed Rates'!$B:$J,X$11,FALSE),0)</f>
        <v>0</v>
      </c>
      <c r="Y21" s="414">
        <f t="shared" si="20"/>
        <v>4909.7700000000004</v>
      </c>
      <c r="Z21" s="399">
        <f t="shared" si="8"/>
        <v>0</v>
      </c>
      <c r="AA21" s="132"/>
      <c r="AB21" s="400">
        <f t="shared" si="9"/>
        <v>0</v>
      </c>
      <c r="AC21" s="401" t="str">
        <f t="shared" si="10"/>
        <v/>
      </c>
      <c r="AD21" s="52"/>
      <c r="AE21" s="413">
        <f>IFERROR(VLOOKUP($C21,'Proposed Rates'!$B:$J,AE$11,FALSE),0)</f>
        <v>0</v>
      </c>
      <c r="AF21" s="414">
        <f t="shared" si="21"/>
        <v>4909.7700000000004</v>
      </c>
      <c r="AG21" s="399">
        <f t="shared" si="11"/>
        <v>0</v>
      </c>
      <c r="AH21" s="132"/>
      <c r="AI21" s="400">
        <f t="shared" si="12"/>
        <v>0</v>
      </c>
      <c r="AJ21" s="401" t="str">
        <f t="shared" si="13"/>
        <v/>
      </c>
      <c r="AK21" s="52"/>
      <c r="AL21" s="413">
        <f>IFERROR(VLOOKUP($C21,'Proposed Rates'!$B:$J,AL$11,FALSE),0)</f>
        <v>0</v>
      </c>
      <c r="AM21" s="414">
        <f t="shared" si="22"/>
        <v>4909.7700000000004</v>
      </c>
      <c r="AN21" s="399">
        <f t="shared" si="14"/>
        <v>0</v>
      </c>
      <c r="AO21" s="132"/>
      <c r="AP21" s="400">
        <f t="shared" si="15"/>
        <v>0</v>
      </c>
      <c r="AQ21" s="401" t="str">
        <f t="shared" si="16"/>
        <v/>
      </c>
      <c r="AR21" s="402"/>
    </row>
    <row r="22" spans="1:44" ht="12" customHeight="1">
      <c r="A22" s="52"/>
      <c r="B22" s="403" t="s">
        <v>240</v>
      </c>
      <c r="C22" s="578" t="str">
        <f t="shared" si="0"/>
        <v>Street Light.Deferral/Variance Account Disposition Rate Rider Group 2</v>
      </c>
      <c r="D22" s="395" t="s">
        <v>381</v>
      </c>
      <c r="E22" s="321"/>
      <c r="F22" s="396">
        <f>IFERROR(VLOOKUP($C22,'Proposed Rates'!$B:$J,F$11,FALSE),0)</f>
        <v>0</v>
      </c>
      <c r="G22" s="414">
        <f t="shared" si="17"/>
        <v>4909.7700000000004</v>
      </c>
      <c r="H22" s="399">
        <f t="shared" si="1"/>
        <v>0</v>
      </c>
      <c r="I22" s="132"/>
      <c r="J22" s="396">
        <f>IFERROR(VLOOKUP($C22,'Proposed Rates'!$B:$J,J$11,FALSE),0)</f>
        <v>-0.4123</v>
      </c>
      <c r="K22" s="414">
        <f t="shared" si="18"/>
        <v>4909.7700000000004</v>
      </c>
      <c r="L22" s="399">
        <f t="shared" si="2"/>
        <v>-2024.2981710000001</v>
      </c>
      <c r="M22" s="132"/>
      <c r="N22" s="400">
        <f t="shared" si="3"/>
        <v>-2024.2981710000001</v>
      </c>
      <c r="O22" s="401" t="str">
        <f t="shared" si="4"/>
        <v/>
      </c>
      <c r="P22" s="52"/>
      <c r="Q22" s="396">
        <f>IFERROR(VLOOKUP($C22,'Proposed Rates'!$B:$J,Q$11,FALSE),0)</f>
        <v>0</v>
      </c>
      <c r="R22" s="414">
        <f t="shared" si="19"/>
        <v>4909.7700000000004</v>
      </c>
      <c r="S22" s="399">
        <f t="shared" si="5"/>
        <v>0</v>
      </c>
      <c r="T22" s="132"/>
      <c r="U22" s="400">
        <f t="shared" si="6"/>
        <v>2024.2981710000001</v>
      </c>
      <c r="V22" s="401">
        <f t="shared" si="7"/>
        <v>-1</v>
      </c>
      <c r="W22" s="52"/>
      <c r="X22" s="396">
        <f>IFERROR(VLOOKUP($C22,'Proposed Rates'!$B:$J,X$11,FALSE),0)</f>
        <v>0</v>
      </c>
      <c r="Y22" s="414">
        <f t="shared" si="20"/>
        <v>4909.7700000000004</v>
      </c>
      <c r="Z22" s="399">
        <f t="shared" si="8"/>
        <v>0</v>
      </c>
      <c r="AA22" s="132"/>
      <c r="AB22" s="400">
        <f t="shared" si="9"/>
        <v>0</v>
      </c>
      <c r="AC22" s="401" t="str">
        <f t="shared" si="10"/>
        <v/>
      </c>
      <c r="AD22" s="52"/>
      <c r="AE22" s="396">
        <f>IFERROR(VLOOKUP($C22,'Proposed Rates'!$B:$J,AE$11,FALSE),0)</f>
        <v>0</v>
      </c>
      <c r="AF22" s="414">
        <f t="shared" si="21"/>
        <v>4909.7700000000004</v>
      </c>
      <c r="AG22" s="399">
        <f t="shared" si="11"/>
        <v>0</v>
      </c>
      <c r="AH22" s="132"/>
      <c r="AI22" s="400">
        <f t="shared" si="12"/>
        <v>0</v>
      </c>
      <c r="AJ22" s="401" t="str">
        <f t="shared" si="13"/>
        <v/>
      </c>
      <c r="AK22" s="52"/>
      <c r="AL22" s="396">
        <f>IFERROR(VLOOKUP($C22,'Proposed Rates'!$B:$J,AL$11,FALSE),0)</f>
        <v>0</v>
      </c>
      <c r="AM22" s="414">
        <f t="shared" si="22"/>
        <v>4909.7700000000004</v>
      </c>
      <c r="AN22" s="399">
        <f t="shared" si="14"/>
        <v>0</v>
      </c>
      <c r="AO22" s="132"/>
      <c r="AP22" s="400">
        <f t="shared" si="15"/>
        <v>0</v>
      </c>
      <c r="AQ22" s="401" t="str">
        <f t="shared" si="16"/>
        <v/>
      </c>
      <c r="AR22" s="402"/>
    </row>
    <row r="23" spans="1:44" ht="12" customHeight="1">
      <c r="A23" s="52"/>
      <c r="B23" s="403"/>
      <c r="C23" s="578" t="str">
        <f t="shared" si="0"/>
        <v>Street Light.</v>
      </c>
      <c r="D23" s="395"/>
      <c r="E23" s="321"/>
      <c r="F23" s="396">
        <f>IFERROR(VLOOKUP($C23,'Proposed Rates'!$B:$J,F$11,FALSE),0)</f>
        <v>0</v>
      </c>
      <c r="G23" s="414">
        <f t="shared" si="17"/>
        <v>0</v>
      </c>
      <c r="H23" s="399">
        <f t="shared" si="1"/>
        <v>0</v>
      </c>
      <c r="I23" s="132"/>
      <c r="J23" s="396">
        <f>IFERROR(VLOOKUP($C23,'Proposed Rates'!$B:$J,J$11,FALSE),0)</f>
        <v>0</v>
      </c>
      <c r="K23" s="414">
        <f t="shared" si="18"/>
        <v>0</v>
      </c>
      <c r="L23" s="399">
        <f t="shared" si="2"/>
        <v>0</v>
      </c>
      <c r="M23" s="132"/>
      <c r="N23" s="400">
        <f t="shared" si="3"/>
        <v>0</v>
      </c>
      <c r="O23" s="401" t="str">
        <f t="shared" si="4"/>
        <v/>
      </c>
      <c r="P23" s="52"/>
      <c r="Q23" s="396">
        <f>IFERROR(VLOOKUP($C23,'Proposed Rates'!$B:$J,Q$11,FALSE),0)</f>
        <v>0</v>
      </c>
      <c r="R23" s="414">
        <f t="shared" si="19"/>
        <v>0</v>
      </c>
      <c r="S23" s="399">
        <f t="shared" si="5"/>
        <v>0</v>
      </c>
      <c r="T23" s="132"/>
      <c r="U23" s="400">
        <f t="shared" si="6"/>
        <v>0</v>
      </c>
      <c r="V23" s="401" t="str">
        <f t="shared" si="7"/>
        <v/>
      </c>
      <c r="W23" s="52"/>
      <c r="X23" s="396">
        <f>IFERROR(VLOOKUP($C23,'Proposed Rates'!$B:$J,X$11,FALSE),0)</f>
        <v>0</v>
      </c>
      <c r="Y23" s="414">
        <f t="shared" si="20"/>
        <v>0</v>
      </c>
      <c r="Z23" s="399">
        <f t="shared" si="8"/>
        <v>0</v>
      </c>
      <c r="AA23" s="132"/>
      <c r="AB23" s="400">
        <f t="shared" si="9"/>
        <v>0</v>
      </c>
      <c r="AC23" s="401" t="str">
        <f t="shared" si="10"/>
        <v/>
      </c>
      <c r="AD23" s="52"/>
      <c r="AE23" s="396">
        <f>IFERROR(VLOOKUP($C23,'Proposed Rates'!$B:$J,AE$11,FALSE),0)</f>
        <v>0</v>
      </c>
      <c r="AF23" s="414">
        <f t="shared" si="21"/>
        <v>0</v>
      </c>
      <c r="AG23" s="399">
        <f t="shared" si="11"/>
        <v>0</v>
      </c>
      <c r="AH23" s="132"/>
      <c r="AI23" s="400">
        <f t="shared" si="12"/>
        <v>0</v>
      </c>
      <c r="AJ23" s="401" t="str">
        <f t="shared" si="13"/>
        <v/>
      </c>
      <c r="AK23" s="52"/>
      <c r="AL23" s="396">
        <f>IFERROR(VLOOKUP($C23,'Proposed Rates'!$B:$J,AL$11,FALSE),0)</f>
        <v>0</v>
      </c>
      <c r="AM23" s="414">
        <f t="shared" si="22"/>
        <v>0</v>
      </c>
      <c r="AN23" s="399">
        <f t="shared" si="14"/>
        <v>0</v>
      </c>
      <c r="AO23" s="132"/>
      <c r="AP23" s="400">
        <f t="shared" si="15"/>
        <v>0</v>
      </c>
      <c r="AQ23" s="401" t="str">
        <f t="shared" si="16"/>
        <v/>
      </c>
      <c r="AR23" s="402"/>
    </row>
    <row r="24" spans="1:44" ht="12" customHeight="1">
      <c r="A24" s="52"/>
      <c r="B24" s="403"/>
      <c r="C24" s="578" t="str">
        <f t="shared" si="0"/>
        <v>Street Light.</v>
      </c>
      <c r="D24" s="395"/>
      <c r="E24" s="321"/>
      <c r="F24" s="396">
        <f>IFERROR(VLOOKUP($C24,'Proposed Rates'!$B:$J,F$11,FALSE),0)</f>
        <v>0</v>
      </c>
      <c r="G24" s="414">
        <f t="shared" si="17"/>
        <v>0</v>
      </c>
      <c r="H24" s="399">
        <f t="shared" si="1"/>
        <v>0</v>
      </c>
      <c r="I24" s="132"/>
      <c r="J24" s="396">
        <f>IFERROR(VLOOKUP($C24,'Proposed Rates'!$B:$J,J$11,FALSE),0)</f>
        <v>0</v>
      </c>
      <c r="K24" s="414">
        <f t="shared" si="18"/>
        <v>0</v>
      </c>
      <c r="L24" s="399">
        <f t="shared" si="2"/>
        <v>0</v>
      </c>
      <c r="M24" s="132"/>
      <c r="N24" s="400">
        <f t="shared" si="3"/>
        <v>0</v>
      </c>
      <c r="O24" s="401" t="str">
        <f t="shared" si="4"/>
        <v/>
      </c>
      <c r="P24" s="52"/>
      <c r="Q24" s="396">
        <f>IFERROR(VLOOKUP($C24,'Proposed Rates'!$B:$J,Q$11,FALSE),0)</f>
        <v>0</v>
      </c>
      <c r="R24" s="414">
        <f t="shared" si="19"/>
        <v>0</v>
      </c>
      <c r="S24" s="399">
        <f t="shared" si="5"/>
        <v>0</v>
      </c>
      <c r="T24" s="132"/>
      <c r="U24" s="400">
        <f t="shared" si="6"/>
        <v>0</v>
      </c>
      <c r="V24" s="401" t="str">
        <f t="shared" si="7"/>
        <v/>
      </c>
      <c r="W24" s="52"/>
      <c r="X24" s="396">
        <f>IFERROR(VLOOKUP($C24,'Proposed Rates'!$B:$J,X$11,FALSE),0)</f>
        <v>0</v>
      </c>
      <c r="Y24" s="414">
        <f t="shared" si="20"/>
        <v>0</v>
      </c>
      <c r="Z24" s="399">
        <f t="shared" si="8"/>
        <v>0</v>
      </c>
      <c r="AA24" s="132"/>
      <c r="AB24" s="400">
        <f t="shared" si="9"/>
        <v>0</v>
      </c>
      <c r="AC24" s="401" t="str">
        <f t="shared" si="10"/>
        <v/>
      </c>
      <c r="AD24" s="52"/>
      <c r="AE24" s="396">
        <f>IFERROR(VLOOKUP($C24,'Proposed Rates'!$B:$J,AE$11,FALSE),0)</f>
        <v>0</v>
      </c>
      <c r="AF24" s="414">
        <f t="shared" si="21"/>
        <v>0</v>
      </c>
      <c r="AG24" s="399">
        <f t="shared" si="11"/>
        <v>0</v>
      </c>
      <c r="AH24" s="132"/>
      <c r="AI24" s="400">
        <f t="shared" si="12"/>
        <v>0</v>
      </c>
      <c r="AJ24" s="401" t="str">
        <f t="shared" si="13"/>
        <v/>
      </c>
      <c r="AK24" s="52"/>
      <c r="AL24" s="396">
        <f>IFERROR(VLOOKUP($C24,'Proposed Rates'!$B:$J,AL$11,FALSE),0)</f>
        <v>0</v>
      </c>
      <c r="AM24" s="414">
        <f t="shared" si="22"/>
        <v>0</v>
      </c>
      <c r="AN24" s="399">
        <f t="shared" si="14"/>
        <v>0</v>
      </c>
      <c r="AO24" s="132"/>
      <c r="AP24" s="400">
        <f t="shared" si="15"/>
        <v>0</v>
      </c>
      <c r="AQ24" s="401" t="str">
        <f t="shared" si="16"/>
        <v/>
      </c>
      <c r="AR24" s="402"/>
    </row>
    <row r="25" spans="1:44" ht="12" customHeight="1">
      <c r="A25" s="52"/>
      <c r="B25" s="403"/>
      <c r="C25" s="578" t="str">
        <f t="shared" si="0"/>
        <v>Street Light.</v>
      </c>
      <c r="D25" s="395"/>
      <c r="E25" s="321"/>
      <c r="F25" s="396">
        <f>IFERROR(VLOOKUP($C25,'Proposed Rates'!$B:$J,F$11,FALSE),0)</f>
        <v>0</v>
      </c>
      <c r="G25" s="414">
        <f t="shared" si="17"/>
        <v>0</v>
      </c>
      <c r="H25" s="399">
        <f t="shared" si="1"/>
        <v>0</v>
      </c>
      <c r="I25" s="132"/>
      <c r="J25" s="396">
        <f>IFERROR(VLOOKUP($C25,'Proposed Rates'!$B:$J,J$11,FALSE),0)</f>
        <v>0</v>
      </c>
      <c r="K25" s="414">
        <f t="shared" si="18"/>
        <v>0</v>
      </c>
      <c r="L25" s="399">
        <f t="shared" si="2"/>
        <v>0</v>
      </c>
      <c r="M25" s="132"/>
      <c r="N25" s="400">
        <f t="shared" si="3"/>
        <v>0</v>
      </c>
      <c r="O25" s="401" t="str">
        <f t="shared" si="4"/>
        <v/>
      </c>
      <c r="P25" s="52"/>
      <c r="Q25" s="396">
        <f>IFERROR(VLOOKUP($C25,'Proposed Rates'!$B:$J,Q$11,FALSE),0)</f>
        <v>0</v>
      </c>
      <c r="R25" s="414">
        <f t="shared" si="19"/>
        <v>0</v>
      </c>
      <c r="S25" s="399">
        <f t="shared" si="5"/>
        <v>0</v>
      </c>
      <c r="T25" s="132"/>
      <c r="U25" s="400">
        <f t="shared" si="6"/>
        <v>0</v>
      </c>
      <c r="V25" s="401" t="str">
        <f t="shared" si="7"/>
        <v/>
      </c>
      <c r="W25" s="52"/>
      <c r="X25" s="396">
        <f>IFERROR(VLOOKUP($C25,'Proposed Rates'!$B:$J,X$11,FALSE),0)</f>
        <v>0</v>
      </c>
      <c r="Y25" s="414">
        <f t="shared" si="20"/>
        <v>0</v>
      </c>
      <c r="Z25" s="399">
        <f t="shared" si="8"/>
        <v>0</v>
      </c>
      <c r="AA25" s="132"/>
      <c r="AB25" s="400">
        <f t="shared" si="9"/>
        <v>0</v>
      </c>
      <c r="AC25" s="401" t="str">
        <f t="shared" si="10"/>
        <v/>
      </c>
      <c r="AD25" s="52"/>
      <c r="AE25" s="396">
        <f>IFERROR(VLOOKUP($C25,'Proposed Rates'!$B:$J,AE$11,FALSE),0)</f>
        <v>0</v>
      </c>
      <c r="AF25" s="414">
        <f t="shared" si="21"/>
        <v>0</v>
      </c>
      <c r="AG25" s="399">
        <f t="shared" si="11"/>
        <v>0</v>
      </c>
      <c r="AH25" s="132"/>
      <c r="AI25" s="400">
        <f t="shared" si="12"/>
        <v>0</v>
      </c>
      <c r="AJ25" s="401" t="str">
        <f t="shared" si="13"/>
        <v/>
      </c>
      <c r="AK25" s="52"/>
      <c r="AL25" s="396">
        <f>IFERROR(VLOOKUP($C25,'Proposed Rates'!$B:$J,AL$11,FALSE),0)</f>
        <v>0</v>
      </c>
      <c r="AM25" s="414">
        <f t="shared" si="22"/>
        <v>0</v>
      </c>
      <c r="AN25" s="399">
        <f t="shared" si="14"/>
        <v>0</v>
      </c>
      <c r="AO25" s="132"/>
      <c r="AP25" s="400">
        <f t="shared" si="15"/>
        <v>0</v>
      </c>
      <c r="AQ25" s="401" t="str">
        <f t="shared" si="16"/>
        <v/>
      </c>
      <c r="AR25" s="402"/>
    </row>
    <row r="26" spans="1:44" ht="12" customHeight="1">
      <c r="A26" s="52"/>
      <c r="B26" s="403"/>
      <c r="C26" s="578" t="str">
        <f t="shared" si="0"/>
        <v>Street Light.</v>
      </c>
      <c r="D26" s="395"/>
      <c r="E26" s="321"/>
      <c r="F26" s="396">
        <f>IFERROR(VLOOKUP($C26,'Proposed Rates'!$B:$J,F$11,FALSE),0)</f>
        <v>0</v>
      </c>
      <c r="G26" s="414">
        <f t="shared" si="17"/>
        <v>0</v>
      </c>
      <c r="H26" s="399">
        <f t="shared" si="1"/>
        <v>0</v>
      </c>
      <c r="I26" s="132"/>
      <c r="J26" s="396">
        <f>IFERROR(VLOOKUP($C26,'Proposed Rates'!$B:$J,J$11,FALSE),0)</f>
        <v>0</v>
      </c>
      <c r="K26" s="414">
        <f t="shared" si="18"/>
        <v>0</v>
      </c>
      <c r="L26" s="399">
        <f t="shared" si="2"/>
        <v>0</v>
      </c>
      <c r="M26" s="132"/>
      <c r="N26" s="400">
        <f t="shared" si="3"/>
        <v>0</v>
      </c>
      <c r="O26" s="401" t="str">
        <f t="shared" si="4"/>
        <v/>
      </c>
      <c r="P26" s="52"/>
      <c r="Q26" s="396">
        <f>IFERROR(VLOOKUP($C26,'Proposed Rates'!$B:$J,Q$11,FALSE),0)</f>
        <v>0</v>
      </c>
      <c r="R26" s="414">
        <f t="shared" si="19"/>
        <v>0</v>
      </c>
      <c r="S26" s="399">
        <f t="shared" si="5"/>
        <v>0</v>
      </c>
      <c r="T26" s="132"/>
      <c r="U26" s="400">
        <f t="shared" si="6"/>
        <v>0</v>
      </c>
      <c r="V26" s="401" t="str">
        <f t="shared" si="7"/>
        <v/>
      </c>
      <c r="W26" s="52"/>
      <c r="X26" s="396">
        <f>IFERROR(VLOOKUP($C26,'Proposed Rates'!$B:$J,X$11,FALSE),0)</f>
        <v>0</v>
      </c>
      <c r="Y26" s="414">
        <f t="shared" si="20"/>
        <v>0</v>
      </c>
      <c r="Z26" s="399">
        <f t="shared" si="8"/>
        <v>0</v>
      </c>
      <c r="AA26" s="132"/>
      <c r="AB26" s="400">
        <f t="shared" si="9"/>
        <v>0</v>
      </c>
      <c r="AC26" s="401" t="str">
        <f t="shared" si="10"/>
        <v/>
      </c>
      <c r="AD26" s="52"/>
      <c r="AE26" s="396">
        <f>IFERROR(VLOOKUP($C26,'Proposed Rates'!$B:$J,AE$11,FALSE),0)</f>
        <v>0</v>
      </c>
      <c r="AF26" s="414">
        <f t="shared" si="21"/>
        <v>0</v>
      </c>
      <c r="AG26" s="399">
        <f t="shared" si="11"/>
        <v>0</v>
      </c>
      <c r="AH26" s="132"/>
      <c r="AI26" s="400">
        <f t="shared" si="12"/>
        <v>0</v>
      </c>
      <c r="AJ26" s="401" t="str">
        <f t="shared" si="13"/>
        <v/>
      </c>
      <c r="AK26" s="52"/>
      <c r="AL26" s="396">
        <f>IFERROR(VLOOKUP($C26,'Proposed Rates'!$B:$J,AL$11,FALSE),0)</f>
        <v>0</v>
      </c>
      <c r="AM26" s="414">
        <f t="shared" si="22"/>
        <v>0</v>
      </c>
      <c r="AN26" s="399">
        <f t="shared" si="14"/>
        <v>0</v>
      </c>
      <c r="AO26" s="132"/>
      <c r="AP26" s="400">
        <f t="shared" si="15"/>
        <v>0</v>
      </c>
      <c r="AQ26" s="401" t="str">
        <f t="shared" si="16"/>
        <v/>
      </c>
      <c r="AR26" s="402"/>
    </row>
    <row r="27" spans="1:44" ht="12" customHeight="1">
      <c r="A27" s="52"/>
      <c r="B27" s="403"/>
      <c r="C27" s="578"/>
      <c r="D27" s="395"/>
      <c r="E27" s="321"/>
      <c r="F27" s="396">
        <f>IFERROR(VLOOKUP($C27,'Proposed Rates'!$B:$J,F$11,FALSE),0)</f>
        <v>0</v>
      </c>
      <c r="G27" s="414">
        <f t="shared" si="17"/>
        <v>0</v>
      </c>
      <c r="H27" s="399">
        <f t="shared" si="1"/>
        <v>0</v>
      </c>
      <c r="I27" s="132"/>
      <c r="J27" s="396">
        <f>IFERROR(VLOOKUP($C27,'Proposed Rates'!$B:$J,J$11,FALSE),0)</f>
        <v>0</v>
      </c>
      <c r="K27" s="414">
        <f t="shared" si="18"/>
        <v>0</v>
      </c>
      <c r="L27" s="399">
        <f t="shared" si="2"/>
        <v>0</v>
      </c>
      <c r="M27" s="132"/>
      <c r="N27" s="400">
        <f t="shared" si="3"/>
        <v>0</v>
      </c>
      <c r="O27" s="401" t="str">
        <f t="shared" si="4"/>
        <v/>
      </c>
      <c r="P27" s="52"/>
      <c r="Q27" s="396">
        <f>IFERROR(VLOOKUP($C27,'Proposed Rates'!$B:$J,Q$11,FALSE),0)</f>
        <v>0</v>
      </c>
      <c r="R27" s="414">
        <f t="shared" si="19"/>
        <v>0</v>
      </c>
      <c r="S27" s="399">
        <f t="shared" si="5"/>
        <v>0</v>
      </c>
      <c r="T27" s="132"/>
      <c r="U27" s="400">
        <f t="shared" si="6"/>
        <v>0</v>
      </c>
      <c r="V27" s="401" t="str">
        <f t="shared" si="7"/>
        <v/>
      </c>
      <c r="W27" s="52"/>
      <c r="X27" s="396">
        <f>IFERROR(VLOOKUP($C27,'Proposed Rates'!$B:$J,X$11,FALSE),0)</f>
        <v>0</v>
      </c>
      <c r="Y27" s="414">
        <f t="shared" si="20"/>
        <v>0</v>
      </c>
      <c r="Z27" s="399">
        <f t="shared" si="8"/>
        <v>0</v>
      </c>
      <c r="AA27" s="132"/>
      <c r="AB27" s="400">
        <f t="shared" si="9"/>
        <v>0</v>
      </c>
      <c r="AC27" s="401" t="str">
        <f t="shared" si="10"/>
        <v/>
      </c>
      <c r="AD27" s="52"/>
      <c r="AE27" s="396">
        <f>IFERROR(VLOOKUP($C27,'Proposed Rates'!$B:$J,AE$11,FALSE),0)</f>
        <v>0</v>
      </c>
      <c r="AF27" s="414">
        <f t="shared" si="21"/>
        <v>0</v>
      </c>
      <c r="AG27" s="399">
        <f t="shared" si="11"/>
        <v>0</v>
      </c>
      <c r="AH27" s="132"/>
      <c r="AI27" s="400">
        <f t="shared" si="12"/>
        <v>0</v>
      </c>
      <c r="AJ27" s="401" t="str">
        <f t="shared" si="13"/>
        <v/>
      </c>
      <c r="AK27" s="52"/>
      <c r="AL27" s="396">
        <f>IFERROR(VLOOKUP($C27,'Proposed Rates'!$B:$J,AL$11,FALSE),0)</f>
        <v>0</v>
      </c>
      <c r="AM27" s="414">
        <f t="shared" si="22"/>
        <v>0</v>
      </c>
      <c r="AN27" s="399">
        <f t="shared" si="14"/>
        <v>0</v>
      </c>
      <c r="AO27" s="132"/>
      <c r="AP27" s="400">
        <f t="shared" si="15"/>
        <v>0</v>
      </c>
      <c r="AQ27" s="401" t="str">
        <f t="shared" si="16"/>
        <v/>
      </c>
      <c r="AR27" s="402"/>
    </row>
    <row r="28" spans="1:44" ht="12" customHeight="1">
      <c r="A28" s="52"/>
      <c r="B28" s="403"/>
      <c r="C28" s="578"/>
      <c r="D28" s="395"/>
      <c r="E28" s="321"/>
      <c r="F28" s="396">
        <f>IFERROR(VLOOKUP($C28,'Proposed Rates'!$B:$J,F$11,FALSE),0)</f>
        <v>0</v>
      </c>
      <c r="G28" s="414">
        <f t="shared" si="17"/>
        <v>0</v>
      </c>
      <c r="H28" s="399">
        <f t="shared" si="1"/>
        <v>0</v>
      </c>
      <c r="I28" s="132"/>
      <c r="J28" s="396">
        <f>IFERROR(VLOOKUP($C28,'Proposed Rates'!$B:$J,J$11,FALSE),0)</f>
        <v>0</v>
      </c>
      <c r="K28" s="414">
        <f t="shared" si="18"/>
        <v>0</v>
      </c>
      <c r="L28" s="399">
        <f t="shared" si="2"/>
        <v>0</v>
      </c>
      <c r="M28" s="132"/>
      <c r="N28" s="400">
        <f t="shared" si="3"/>
        <v>0</v>
      </c>
      <c r="O28" s="401" t="str">
        <f t="shared" si="4"/>
        <v/>
      </c>
      <c r="P28" s="52"/>
      <c r="Q28" s="396">
        <f>IFERROR(VLOOKUP($C28,'Proposed Rates'!$B:$J,Q$11,FALSE),0)</f>
        <v>0</v>
      </c>
      <c r="R28" s="414">
        <f t="shared" si="19"/>
        <v>0</v>
      </c>
      <c r="S28" s="399">
        <f t="shared" si="5"/>
        <v>0</v>
      </c>
      <c r="T28" s="132"/>
      <c r="U28" s="400">
        <f t="shared" si="6"/>
        <v>0</v>
      </c>
      <c r="V28" s="401" t="str">
        <f t="shared" si="7"/>
        <v/>
      </c>
      <c r="W28" s="52"/>
      <c r="X28" s="396">
        <f>IFERROR(VLOOKUP($C28,'Proposed Rates'!$B:$J,X$11,FALSE),0)</f>
        <v>0</v>
      </c>
      <c r="Y28" s="414">
        <f t="shared" si="20"/>
        <v>0</v>
      </c>
      <c r="Z28" s="399">
        <f t="shared" si="8"/>
        <v>0</v>
      </c>
      <c r="AA28" s="132"/>
      <c r="AB28" s="400">
        <f t="shared" si="9"/>
        <v>0</v>
      </c>
      <c r="AC28" s="401" t="str">
        <f t="shared" si="10"/>
        <v/>
      </c>
      <c r="AD28" s="52"/>
      <c r="AE28" s="396">
        <f>IFERROR(VLOOKUP($C28,'Proposed Rates'!$B:$J,AE$11,FALSE),0)</f>
        <v>0</v>
      </c>
      <c r="AF28" s="414">
        <f t="shared" si="21"/>
        <v>0</v>
      </c>
      <c r="AG28" s="399">
        <f t="shared" si="11"/>
        <v>0</v>
      </c>
      <c r="AH28" s="132"/>
      <c r="AI28" s="400">
        <f t="shared" si="12"/>
        <v>0</v>
      </c>
      <c r="AJ28" s="401" t="str">
        <f t="shared" si="13"/>
        <v/>
      </c>
      <c r="AK28" s="52"/>
      <c r="AL28" s="396">
        <f>IFERROR(VLOOKUP($C28,'Proposed Rates'!$B:$J,AL$11,FALSE),0)</f>
        <v>0</v>
      </c>
      <c r="AM28" s="414">
        <f t="shared" si="22"/>
        <v>0</v>
      </c>
      <c r="AN28" s="399">
        <f t="shared" si="14"/>
        <v>0</v>
      </c>
      <c r="AO28" s="132"/>
      <c r="AP28" s="400">
        <f t="shared" si="15"/>
        <v>0</v>
      </c>
      <c r="AQ28" s="401" t="str">
        <f t="shared" si="16"/>
        <v/>
      </c>
      <c r="AR28" s="402"/>
    </row>
    <row r="29" spans="1:44" ht="12" customHeight="1">
      <c r="A29" s="307"/>
      <c r="B29" s="404" t="s">
        <v>314</v>
      </c>
      <c r="C29" s="579"/>
      <c r="D29" s="405"/>
      <c r="E29" s="405"/>
      <c r="F29" s="406"/>
      <c r="G29" s="499"/>
      <c r="H29" s="408">
        <f>SUM(H15:H28)</f>
        <v>133253.455953</v>
      </c>
      <c r="I29" s="409"/>
      <c r="J29" s="406"/>
      <c r="K29" s="499"/>
      <c r="L29" s="408">
        <f>SUM(L15:L28)</f>
        <v>139541.10104100002</v>
      </c>
      <c r="M29" s="409"/>
      <c r="N29" s="410">
        <f t="shared" si="3"/>
        <v>6287.6450880000193</v>
      </c>
      <c r="O29" s="411">
        <f t="shared" si="4"/>
        <v>4.7185606129553165E-2</v>
      </c>
      <c r="P29" s="307"/>
      <c r="Q29" s="406"/>
      <c r="R29" s="499"/>
      <c r="S29" s="408">
        <f>SUM(S15:S28)</f>
        <v>113725.662921</v>
      </c>
      <c r="T29" s="409"/>
      <c r="U29" s="410">
        <f t="shared" si="6"/>
        <v>-25815.438120000021</v>
      </c>
      <c r="V29" s="411">
        <f t="shared" si="7"/>
        <v>-0.1850023966230202</v>
      </c>
      <c r="W29" s="307"/>
      <c r="X29" s="406"/>
      <c r="Y29" s="499"/>
      <c r="Z29" s="408">
        <f>SUM(Z15:Z28)</f>
        <v>120341.445456</v>
      </c>
      <c r="AA29" s="409"/>
      <c r="AB29" s="410">
        <f t="shared" si="9"/>
        <v>6615.7825350000057</v>
      </c>
      <c r="AC29" s="411">
        <f t="shared" si="10"/>
        <v>5.8173171868830399E-2</v>
      </c>
      <c r="AD29" s="307"/>
      <c r="AE29" s="406"/>
      <c r="AF29" s="499"/>
      <c r="AG29" s="408">
        <f>SUM(AG15:AG28)</f>
        <v>120791.671365</v>
      </c>
      <c r="AH29" s="409"/>
      <c r="AI29" s="410">
        <f t="shared" si="12"/>
        <v>450.22590900000068</v>
      </c>
      <c r="AJ29" s="411">
        <f t="shared" si="13"/>
        <v>3.7412373375938475E-3</v>
      </c>
      <c r="AK29" s="307"/>
      <c r="AL29" s="406"/>
      <c r="AM29" s="499"/>
      <c r="AN29" s="408">
        <f>SUM(AN15:AN28)</f>
        <v>121779.287736</v>
      </c>
      <c r="AO29" s="409"/>
      <c r="AP29" s="410">
        <f t="shared" si="15"/>
        <v>987.61637099999643</v>
      </c>
      <c r="AQ29" s="411">
        <f t="shared" si="16"/>
        <v>8.1761959234398288E-3</v>
      </c>
      <c r="AR29" s="412"/>
    </row>
    <row r="30" spans="1:44" ht="12" customHeight="1">
      <c r="A30" s="52"/>
      <c r="B30" s="403" t="s">
        <v>237</v>
      </c>
      <c r="C30" s="578" t="str">
        <f t="shared" ref="C30:C36" si="23">D$6&amp;"."&amp;B30</f>
        <v>Street Light.DVA Disposition Rate Rider Group 1 -2025</v>
      </c>
      <c r="D30" s="395" t="s">
        <v>381</v>
      </c>
      <c r="E30" s="321"/>
      <c r="F30" s="413">
        <f>IFERROR(VLOOKUP($C30,'Proposed Rates'!$B:$J,F$11,FALSE),0)</f>
        <v>4.1000000000000002E-2</v>
      </c>
      <c r="G30" s="414">
        <f t="shared" ref="G30:G36" si="24">IF($D30="Monthly",1,IF($D30="per KW",$F$10,IF($D30="per kWh",$F$9,0)))</f>
        <v>4909.7700000000004</v>
      </c>
      <c r="H30" s="399">
        <f t="shared" ref="H30:H38" si="25">G30*F30</f>
        <v>201.30057000000002</v>
      </c>
      <c r="I30" s="132"/>
      <c r="J30" s="413">
        <f>IFERROR(VLOOKUP($C30,'Proposed Rates'!$B:$J,J$11,FALSE),0)</f>
        <v>-0.22040000000000001</v>
      </c>
      <c r="K30" s="414">
        <f t="shared" ref="K30:K36" si="26">IF($D30="Monthly",1,IF($D30="per KW",$F$10,IF($D30="per kWh",$F$9,0)))</f>
        <v>4909.7700000000004</v>
      </c>
      <c r="L30" s="399">
        <f t="shared" ref="L30:L38" si="27">K30*J30</f>
        <v>-1082.1133080000002</v>
      </c>
      <c r="M30" s="132"/>
      <c r="N30" s="400">
        <f t="shared" si="3"/>
        <v>-1283.4138780000003</v>
      </c>
      <c r="O30" s="401">
        <f t="shared" si="4"/>
        <v>-6.3756097560975622</v>
      </c>
      <c r="P30" s="52"/>
      <c r="Q30" s="413">
        <f>IFERROR(VLOOKUP($C30,'Proposed Rates'!$B:$J,Q$11,FALSE),0)</f>
        <v>0</v>
      </c>
      <c r="R30" s="414">
        <f t="shared" ref="R30:R36" si="28">IF($D30="Monthly",1,IF($D30="per KW",$F$10,IF($D30="per kWh",$F$9,0)))</f>
        <v>4909.7700000000004</v>
      </c>
      <c r="S30" s="399">
        <f t="shared" ref="S30:S38" si="29">R30*Q30</f>
        <v>0</v>
      </c>
      <c r="T30" s="132"/>
      <c r="U30" s="400">
        <f t="shared" si="6"/>
        <v>1082.1133080000002</v>
      </c>
      <c r="V30" s="401">
        <f t="shared" si="7"/>
        <v>-1</v>
      </c>
      <c r="W30" s="52"/>
      <c r="X30" s="413">
        <f>IFERROR(VLOOKUP($C30,'Proposed Rates'!$B:$J,X$11,FALSE),0)</f>
        <v>0</v>
      </c>
      <c r="Y30" s="414">
        <f t="shared" ref="Y30:Y36" si="30">IF($D30="Monthly",1,IF($D30="per KW",$F$10,IF($D30="per kWh",$F$9,0)))</f>
        <v>4909.7700000000004</v>
      </c>
      <c r="Z30" s="399">
        <f t="shared" ref="Z30:Z38" si="31">Y30*X30</f>
        <v>0</v>
      </c>
      <c r="AA30" s="132"/>
      <c r="AB30" s="400">
        <f t="shared" si="9"/>
        <v>0</v>
      </c>
      <c r="AC30" s="401" t="str">
        <f t="shared" si="10"/>
        <v/>
      </c>
      <c r="AD30" s="52"/>
      <c r="AE30" s="413">
        <f>IFERROR(VLOOKUP($C30,'Proposed Rates'!$B:$J,AE$11,FALSE),0)</f>
        <v>0</v>
      </c>
      <c r="AF30" s="414">
        <f t="shared" ref="AF30:AF36" si="32">IF($D30="Monthly",1,IF($D30="per KW",$F$10,IF($D30="per kWh",$F$9,0)))</f>
        <v>4909.7700000000004</v>
      </c>
      <c r="AG30" s="399">
        <f t="shared" ref="AG30:AG38" si="33">AF30*AE30</f>
        <v>0</v>
      </c>
      <c r="AH30" s="132"/>
      <c r="AI30" s="400">
        <f t="shared" si="12"/>
        <v>0</v>
      </c>
      <c r="AJ30" s="401" t="str">
        <f t="shared" si="13"/>
        <v/>
      </c>
      <c r="AK30" s="52"/>
      <c r="AL30" s="413">
        <f>IFERROR(VLOOKUP($C30,'Proposed Rates'!$B:$J,AL$11,FALSE),0)</f>
        <v>0</v>
      </c>
      <c r="AM30" s="414">
        <f t="shared" ref="AM30:AM36" si="34">IF($D30="Monthly",1,IF($D30="per KW",$F$10,IF($D30="per kWh",$F$9,0)))</f>
        <v>4909.7700000000004</v>
      </c>
      <c r="AN30" s="399">
        <f t="shared" ref="AN30:AN38" si="35">AM30*AL30</f>
        <v>0</v>
      </c>
      <c r="AO30" s="132"/>
      <c r="AP30" s="400">
        <f t="shared" si="15"/>
        <v>0</v>
      </c>
      <c r="AQ30" s="401" t="str">
        <f t="shared" si="16"/>
        <v/>
      </c>
      <c r="AR30" s="402"/>
    </row>
    <row r="31" spans="1:44" ht="12" customHeight="1">
      <c r="A31" s="52"/>
      <c r="B31" s="403" t="s">
        <v>239</v>
      </c>
      <c r="C31" s="578" t="str">
        <f t="shared" si="23"/>
        <v>Street Light.DVA Disposition Rate Rider Group 1 - 2024</v>
      </c>
      <c r="D31" s="395" t="s">
        <v>381</v>
      </c>
      <c r="E31" s="321"/>
      <c r="F31" s="396">
        <f>IFERROR(VLOOKUP($C31,'Proposed Rates'!$B:$J,F$11,FALSE),0)</f>
        <v>0</v>
      </c>
      <c r="G31" s="414">
        <f t="shared" si="24"/>
        <v>4909.7700000000004</v>
      </c>
      <c r="H31" s="399">
        <f t="shared" si="25"/>
        <v>0</v>
      </c>
      <c r="I31" s="132"/>
      <c r="J31" s="396">
        <f>IFERROR(VLOOKUP($C31,'Proposed Rates'!$B:$J,J$11,FALSE),0)</f>
        <v>0</v>
      </c>
      <c r="K31" s="414">
        <f t="shared" si="26"/>
        <v>4909.7700000000004</v>
      </c>
      <c r="L31" s="399">
        <f t="shared" si="27"/>
        <v>0</v>
      </c>
      <c r="M31" s="132"/>
      <c r="N31" s="400">
        <f t="shared" si="3"/>
        <v>0</v>
      </c>
      <c r="O31" s="401" t="str">
        <f t="shared" si="4"/>
        <v/>
      </c>
      <c r="P31" s="52"/>
      <c r="Q31" s="396">
        <f>IFERROR(VLOOKUP($C31,'Proposed Rates'!$B:$J,Q$11,FALSE),0)</f>
        <v>0</v>
      </c>
      <c r="R31" s="414">
        <f t="shared" si="28"/>
        <v>4909.7700000000004</v>
      </c>
      <c r="S31" s="399">
        <f t="shared" si="29"/>
        <v>0</v>
      </c>
      <c r="T31" s="132"/>
      <c r="U31" s="400">
        <f t="shared" si="6"/>
        <v>0</v>
      </c>
      <c r="V31" s="401" t="str">
        <f t="shared" si="7"/>
        <v/>
      </c>
      <c r="W31" s="52"/>
      <c r="X31" s="396">
        <f>IFERROR(VLOOKUP($C31,'Proposed Rates'!$B:$J,X$11,FALSE),0)</f>
        <v>0</v>
      </c>
      <c r="Y31" s="414">
        <f t="shared" si="30"/>
        <v>4909.7700000000004</v>
      </c>
      <c r="Z31" s="399">
        <f t="shared" si="31"/>
        <v>0</v>
      </c>
      <c r="AA31" s="132"/>
      <c r="AB31" s="400">
        <f t="shared" si="9"/>
        <v>0</v>
      </c>
      <c r="AC31" s="401" t="str">
        <f t="shared" si="10"/>
        <v/>
      </c>
      <c r="AD31" s="52"/>
      <c r="AE31" s="396">
        <f>IFERROR(VLOOKUP($C31,'Proposed Rates'!$B:$J,AE$11,FALSE),0)</f>
        <v>0</v>
      </c>
      <c r="AF31" s="414">
        <f t="shared" si="32"/>
        <v>4909.7700000000004</v>
      </c>
      <c r="AG31" s="399">
        <f t="shared" si="33"/>
        <v>0</v>
      </c>
      <c r="AH31" s="132"/>
      <c r="AI31" s="400">
        <f t="shared" si="12"/>
        <v>0</v>
      </c>
      <c r="AJ31" s="401" t="str">
        <f t="shared" si="13"/>
        <v/>
      </c>
      <c r="AK31" s="52"/>
      <c r="AL31" s="396">
        <f>IFERROR(VLOOKUP($C31,'Proposed Rates'!$B:$J,AL$11,FALSE),0)</f>
        <v>0</v>
      </c>
      <c r="AM31" s="414">
        <f t="shared" si="34"/>
        <v>4909.7700000000004</v>
      </c>
      <c r="AN31" s="399">
        <f t="shared" si="35"/>
        <v>0</v>
      </c>
      <c r="AO31" s="132"/>
      <c r="AP31" s="400">
        <f t="shared" si="15"/>
        <v>0</v>
      </c>
      <c r="AQ31" s="401" t="str">
        <f t="shared" si="16"/>
        <v/>
      </c>
      <c r="AR31" s="402"/>
    </row>
    <row r="32" spans="1:44" ht="12" customHeight="1">
      <c r="A32" s="52"/>
      <c r="B32" s="403" t="s">
        <v>247</v>
      </c>
      <c r="C32" s="578" t="str">
        <f t="shared" si="23"/>
        <v>Street Light.CBR Class B Rate Riders</v>
      </c>
      <c r="D32" s="395" t="s">
        <v>312</v>
      </c>
      <c r="E32" s="321"/>
      <c r="F32" s="413">
        <f>IFERROR(VLOOKUP($C32,'Proposed Rates'!$B:$J,F$11,FALSE),0)</f>
        <v>2.0000000000000001E-4</v>
      </c>
      <c r="G32" s="414">
        <f t="shared" si="24"/>
        <v>1745419</v>
      </c>
      <c r="H32" s="399">
        <f t="shared" si="25"/>
        <v>349.0838</v>
      </c>
      <c r="I32" s="484"/>
      <c r="J32" s="413">
        <f>IFERROR(VLOOKUP($C32,'Proposed Rates'!$B:$J,J$11,FALSE),0)</f>
        <v>4.0000000000000002E-4</v>
      </c>
      <c r="K32" s="414">
        <f t="shared" si="26"/>
        <v>1745419</v>
      </c>
      <c r="L32" s="399">
        <f t="shared" si="27"/>
        <v>698.16759999999999</v>
      </c>
      <c r="M32" s="416"/>
      <c r="N32" s="400">
        <f t="shared" si="3"/>
        <v>349.0838</v>
      </c>
      <c r="O32" s="401">
        <f t="shared" si="4"/>
        <v>1</v>
      </c>
      <c r="P32" s="52"/>
      <c r="Q32" s="413">
        <f>IFERROR(VLOOKUP($C32,'Proposed Rates'!$B:$J,Q$11,FALSE),0)</f>
        <v>0</v>
      </c>
      <c r="R32" s="414">
        <f t="shared" si="28"/>
        <v>1745419</v>
      </c>
      <c r="S32" s="399">
        <f t="shared" si="29"/>
        <v>0</v>
      </c>
      <c r="T32" s="416"/>
      <c r="U32" s="400">
        <f t="shared" si="6"/>
        <v>-698.16759999999999</v>
      </c>
      <c r="V32" s="401">
        <f t="shared" si="7"/>
        <v>-1</v>
      </c>
      <c r="W32" s="52"/>
      <c r="X32" s="413">
        <f>IFERROR(VLOOKUP($C32,'Proposed Rates'!$B:$J,X$11,FALSE),0)</f>
        <v>0</v>
      </c>
      <c r="Y32" s="414">
        <f t="shared" si="30"/>
        <v>1745419</v>
      </c>
      <c r="Z32" s="399">
        <f t="shared" si="31"/>
        <v>0</v>
      </c>
      <c r="AA32" s="132"/>
      <c r="AB32" s="400">
        <f t="shared" si="9"/>
        <v>0</v>
      </c>
      <c r="AC32" s="401" t="str">
        <f t="shared" si="10"/>
        <v/>
      </c>
      <c r="AD32" s="52"/>
      <c r="AE32" s="413">
        <f>IFERROR(VLOOKUP($C32,'Proposed Rates'!$B:$J,AE$11,FALSE),0)</f>
        <v>0</v>
      </c>
      <c r="AF32" s="414">
        <f t="shared" si="32"/>
        <v>1745419</v>
      </c>
      <c r="AG32" s="399">
        <f t="shared" si="33"/>
        <v>0</v>
      </c>
      <c r="AH32" s="132"/>
      <c r="AI32" s="400">
        <f t="shared" si="12"/>
        <v>0</v>
      </c>
      <c r="AJ32" s="401" t="str">
        <f t="shared" si="13"/>
        <v/>
      </c>
      <c r="AK32" s="52"/>
      <c r="AL32" s="413">
        <f>IFERROR(VLOOKUP($C32,'Proposed Rates'!$B:$J,AL$11,FALSE),0)</f>
        <v>0</v>
      </c>
      <c r="AM32" s="414">
        <f t="shared" si="34"/>
        <v>1745419</v>
      </c>
      <c r="AN32" s="399">
        <f t="shared" si="35"/>
        <v>0</v>
      </c>
      <c r="AO32" s="416"/>
      <c r="AP32" s="400">
        <f t="shared" si="15"/>
        <v>0</v>
      </c>
      <c r="AQ32" s="401" t="str">
        <f t="shared" si="16"/>
        <v/>
      </c>
      <c r="AR32" s="402"/>
    </row>
    <row r="33" spans="1:44" ht="12" customHeight="1">
      <c r="A33" s="52"/>
      <c r="B33" s="403" t="s">
        <v>252</v>
      </c>
      <c r="C33" s="578" t="str">
        <f t="shared" si="23"/>
        <v>Street Light.GA Rate Riders</v>
      </c>
      <c r="D33" s="395" t="s">
        <v>312</v>
      </c>
      <c r="E33" s="321"/>
      <c r="F33" s="413">
        <f>IFERROR(VLOOKUP($C33,'Proposed Rates'!$B:$J,F$11,FALSE),0)</f>
        <v>3.8999999999999998E-3</v>
      </c>
      <c r="G33" s="414">
        <f t="shared" si="24"/>
        <v>1745419</v>
      </c>
      <c r="H33" s="399">
        <f t="shared" si="25"/>
        <v>6807.1340999999993</v>
      </c>
      <c r="I33" s="484"/>
      <c r="J33" s="413">
        <f>IFERROR(VLOOKUP($C33,'Proposed Rates'!$B:$J,J$11,FALSE),0)</f>
        <v>4.4000000000000003E-3</v>
      </c>
      <c r="K33" s="414">
        <f t="shared" si="26"/>
        <v>1745419</v>
      </c>
      <c r="L33" s="399">
        <f t="shared" si="27"/>
        <v>7679.8436000000002</v>
      </c>
      <c r="M33" s="416"/>
      <c r="N33" s="400">
        <f t="shared" si="3"/>
        <v>872.70950000000084</v>
      </c>
      <c r="O33" s="401">
        <f t="shared" si="4"/>
        <v>0.12820512820512833</v>
      </c>
      <c r="P33" s="52"/>
      <c r="Q33" s="413">
        <f>IFERROR(VLOOKUP($C33,'Proposed Rates'!$B:$J,Q$11,FALSE),0)</f>
        <v>0</v>
      </c>
      <c r="R33" s="414">
        <f t="shared" si="28"/>
        <v>1745419</v>
      </c>
      <c r="S33" s="399">
        <f t="shared" si="29"/>
        <v>0</v>
      </c>
      <c r="T33" s="416"/>
      <c r="U33" s="400">
        <f t="shared" si="6"/>
        <v>-7679.8436000000002</v>
      </c>
      <c r="V33" s="401">
        <f t="shared" si="7"/>
        <v>-1</v>
      </c>
      <c r="W33" s="52"/>
      <c r="X33" s="413">
        <f>IFERROR(VLOOKUP($C33,'Proposed Rates'!$B:$J,X$11,FALSE),0)</f>
        <v>0</v>
      </c>
      <c r="Y33" s="414">
        <f t="shared" si="30"/>
        <v>1745419</v>
      </c>
      <c r="Z33" s="399">
        <f t="shared" si="31"/>
        <v>0</v>
      </c>
      <c r="AA33" s="416"/>
      <c r="AB33" s="400">
        <f t="shared" si="9"/>
        <v>0</v>
      </c>
      <c r="AC33" s="401" t="str">
        <f t="shared" si="10"/>
        <v/>
      </c>
      <c r="AD33" s="52"/>
      <c r="AE33" s="413">
        <f>IFERROR(VLOOKUP($C33,'Proposed Rates'!$B:$J,AE$11,FALSE),0)</f>
        <v>0</v>
      </c>
      <c r="AF33" s="414">
        <f t="shared" si="32"/>
        <v>1745419</v>
      </c>
      <c r="AG33" s="399">
        <f t="shared" si="33"/>
        <v>0</v>
      </c>
      <c r="AH33" s="416"/>
      <c r="AI33" s="400">
        <f t="shared" si="12"/>
        <v>0</v>
      </c>
      <c r="AJ33" s="401" t="str">
        <f t="shared" si="13"/>
        <v/>
      </c>
      <c r="AK33" s="52"/>
      <c r="AL33" s="413">
        <f>IFERROR(VLOOKUP($C33,'Proposed Rates'!$B:$J,AL$11,FALSE),0)</f>
        <v>0</v>
      </c>
      <c r="AM33" s="414">
        <f t="shared" si="34"/>
        <v>1745419</v>
      </c>
      <c r="AN33" s="399">
        <f t="shared" si="35"/>
        <v>0</v>
      </c>
      <c r="AO33" s="416"/>
      <c r="AP33" s="400">
        <f t="shared" si="15"/>
        <v>0</v>
      </c>
      <c r="AQ33" s="401" t="str">
        <f t="shared" si="16"/>
        <v/>
      </c>
      <c r="AR33" s="402"/>
    </row>
    <row r="34" spans="1:44" ht="12" customHeight="1">
      <c r="A34" s="52"/>
      <c r="B34" s="403" t="s">
        <v>255</v>
      </c>
      <c r="C34" s="578" t="str">
        <f t="shared" si="23"/>
        <v>Street Light.Total Deferral/Variance Account Rate RidersYr2</v>
      </c>
      <c r="D34" s="395" t="s">
        <v>381</v>
      </c>
      <c r="E34" s="321"/>
      <c r="F34" s="396">
        <f>IFERROR(VLOOKUP($C34,'Proposed Rates'!$B:$J,F$11,FALSE),0)</f>
        <v>0</v>
      </c>
      <c r="G34" s="414">
        <f t="shared" si="24"/>
        <v>4909.7700000000004</v>
      </c>
      <c r="H34" s="399">
        <f t="shared" si="25"/>
        <v>0</v>
      </c>
      <c r="I34" s="484"/>
      <c r="J34" s="396">
        <f>IFERROR(VLOOKUP($C34,'Proposed Rates'!$B:$J,J$11,FALSE),0)</f>
        <v>0</v>
      </c>
      <c r="K34" s="414">
        <f t="shared" si="26"/>
        <v>4909.7700000000004</v>
      </c>
      <c r="L34" s="399">
        <f t="shared" si="27"/>
        <v>0</v>
      </c>
      <c r="M34" s="416"/>
      <c r="N34" s="400">
        <f t="shared" si="3"/>
        <v>0</v>
      </c>
      <c r="O34" s="401" t="str">
        <f t="shared" si="4"/>
        <v/>
      </c>
      <c r="P34" s="52"/>
      <c r="Q34" s="396">
        <f>IFERROR(VLOOKUP($C34,'Proposed Rates'!$B:$J,Q$11,FALSE),0)</f>
        <v>0</v>
      </c>
      <c r="R34" s="414">
        <f t="shared" si="28"/>
        <v>4909.7700000000004</v>
      </c>
      <c r="S34" s="399">
        <f t="shared" si="29"/>
        <v>0</v>
      </c>
      <c r="T34" s="416"/>
      <c r="U34" s="400">
        <f t="shared" si="6"/>
        <v>0</v>
      </c>
      <c r="V34" s="401" t="str">
        <f t="shared" si="7"/>
        <v/>
      </c>
      <c r="W34" s="52"/>
      <c r="X34" s="396">
        <f>IFERROR(VLOOKUP($C34,'Proposed Rates'!$B:$J,X$11,FALSE),0)</f>
        <v>0</v>
      </c>
      <c r="Y34" s="414">
        <f t="shared" si="30"/>
        <v>4909.7700000000004</v>
      </c>
      <c r="Z34" s="399">
        <f t="shared" si="31"/>
        <v>0</v>
      </c>
      <c r="AA34" s="416"/>
      <c r="AB34" s="400">
        <f t="shared" si="9"/>
        <v>0</v>
      </c>
      <c r="AC34" s="401" t="str">
        <f t="shared" si="10"/>
        <v/>
      </c>
      <c r="AD34" s="52"/>
      <c r="AE34" s="396">
        <f>IFERROR(VLOOKUP($C34,'Proposed Rates'!$B:$J,AE$11,FALSE),0)</f>
        <v>0</v>
      </c>
      <c r="AF34" s="414">
        <f t="shared" si="32"/>
        <v>4909.7700000000004</v>
      </c>
      <c r="AG34" s="399">
        <f t="shared" si="33"/>
        <v>0</v>
      </c>
      <c r="AH34" s="416"/>
      <c r="AI34" s="400">
        <f t="shared" si="12"/>
        <v>0</v>
      </c>
      <c r="AJ34" s="401" t="str">
        <f t="shared" si="13"/>
        <v/>
      </c>
      <c r="AK34" s="52"/>
      <c r="AL34" s="396">
        <f>IFERROR(VLOOKUP($C34,'Proposed Rates'!$B:$J,AL$11,FALSE),0)</f>
        <v>0</v>
      </c>
      <c r="AM34" s="414">
        <f t="shared" si="34"/>
        <v>4909.7700000000004</v>
      </c>
      <c r="AN34" s="399">
        <f t="shared" si="35"/>
        <v>0</v>
      </c>
      <c r="AO34" s="416"/>
      <c r="AP34" s="400">
        <f t="shared" si="15"/>
        <v>0</v>
      </c>
      <c r="AQ34" s="401" t="str">
        <f t="shared" si="16"/>
        <v/>
      </c>
      <c r="AR34" s="402"/>
    </row>
    <row r="35" spans="1:44" ht="12" customHeight="1">
      <c r="A35" s="52"/>
      <c r="B35" s="403" t="s">
        <v>257</v>
      </c>
      <c r="C35" s="578" t="str">
        <f t="shared" si="23"/>
        <v>Street Light.Total Deferral/Variance Account Rate Riders</v>
      </c>
      <c r="D35" s="395" t="s">
        <v>381</v>
      </c>
      <c r="E35" s="321"/>
      <c r="F35" s="396">
        <f>IFERROR(VLOOKUP($C35,'Proposed Rates'!$B:$J,F$11,FALSE),0)</f>
        <v>0</v>
      </c>
      <c r="G35" s="414">
        <f t="shared" si="24"/>
        <v>4909.7700000000004</v>
      </c>
      <c r="H35" s="399">
        <f t="shared" si="25"/>
        <v>0</v>
      </c>
      <c r="I35" s="132"/>
      <c r="J35" s="396">
        <f>IFERROR(VLOOKUP($C35,'Proposed Rates'!$B:$J,J$11,FALSE),0)</f>
        <v>0</v>
      </c>
      <c r="K35" s="414">
        <f t="shared" si="26"/>
        <v>4909.7700000000004</v>
      </c>
      <c r="L35" s="399">
        <f t="shared" si="27"/>
        <v>0</v>
      </c>
      <c r="M35" s="132"/>
      <c r="N35" s="400">
        <f t="shared" si="3"/>
        <v>0</v>
      </c>
      <c r="O35" s="401" t="str">
        <f t="shared" si="4"/>
        <v/>
      </c>
      <c r="P35" s="52"/>
      <c r="Q35" s="396">
        <f>IFERROR(VLOOKUP($C35,'Proposed Rates'!$B:$J,Q$11,FALSE),0)</f>
        <v>0</v>
      </c>
      <c r="R35" s="414">
        <f t="shared" si="28"/>
        <v>4909.7700000000004</v>
      </c>
      <c r="S35" s="399">
        <f t="shared" si="29"/>
        <v>0</v>
      </c>
      <c r="T35" s="132"/>
      <c r="U35" s="400">
        <f t="shared" si="6"/>
        <v>0</v>
      </c>
      <c r="V35" s="401" t="str">
        <f t="shared" si="7"/>
        <v/>
      </c>
      <c r="W35" s="52"/>
      <c r="X35" s="396">
        <f>IFERROR(VLOOKUP($C35,'Proposed Rates'!$B:$J,X$11,FALSE),0)</f>
        <v>0</v>
      </c>
      <c r="Y35" s="414">
        <f t="shared" si="30"/>
        <v>4909.7700000000004</v>
      </c>
      <c r="Z35" s="399">
        <f t="shared" si="31"/>
        <v>0</v>
      </c>
      <c r="AA35" s="132"/>
      <c r="AB35" s="400">
        <f t="shared" si="9"/>
        <v>0</v>
      </c>
      <c r="AC35" s="401" t="str">
        <f t="shared" si="10"/>
        <v/>
      </c>
      <c r="AD35" s="52"/>
      <c r="AE35" s="396">
        <f>IFERROR(VLOOKUP($C35,'Proposed Rates'!$B:$J,AE$11,FALSE),0)</f>
        <v>0</v>
      </c>
      <c r="AF35" s="414">
        <f t="shared" si="32"/>
        <v>4909.7700000000004</v>
      </c>
      <c r="AG35" s="399">
        <f t="shared" si="33"/>
        <v>0</v>
      </c>
      <c r="AH35" s="132"/>
      <c r="AI35" s="400">
        <f t="shared" si="12"/>
        <v>0</v>
      </c>
      <c r="AJ35" s="401" t="str">
        <f t="shared" si="13"/>
        <v/>
      </c>
      <c r="AK35" s="52"/>
      <c r="AL35" s="396">
        <f>IFERROR(VLOOKUP($C35,'Proposed Rates'!$B:$J,AL$11,FALSE),0)</f>
        <v>0</v>
      </c>
      <c r="AM35" s="414">
        <f t="shared" si="34"/>
        <v>4909.7700000000004</v>
      </c>
      <c r="AN35" s="399">
        <f t="shared" si="35"/>
        <v>0</v>
      </c>
      <c r="AO35" s="132"/>
      <c r="AP35" s="400">
        <f t="shared" si="15"/>
        <v>0</v>
      </c>
      <c r="AQ35" s="401" t="str">
        <f t="shared" si="16"/>
        <v/>
      </c>
      <c r="AR35" s="402"/>
    </row>
    <row r="36" spans="1:44" ht="12" customHeight="1">
      <c r="A36" s="52"/>
      <c r="B36" s="321" t="s">
        <v>273</v>
      </c>
      <c r="C36" s="578" t="str">
        <f t="shared" si="23"/>
        <v>Street Light.Low Voltage Service Charge</v>
      </c>
      <c r="D36" s="395" t="s">
        <v>381</v>
      </c>
      <c r="E36" s="321"/>
      <c r="F36" s="417">
        <f>IFERROR(VLOOKUP($C36,'Proposed Rates'!$B:$J,F$11,FALSE),0)</f>
        <v>1.5640000000000001E-2</v>
      </c>
      <c r="G36" s="414">
        <f t="shared" si="24"/>
        <v>4909.7700000000004</v>
      </c>
      <c r="H36" s="399">
        <f t="shared" si="25"/>
        <v>76.788802800000013</v>
      </c>
      <c r="I36" s="132"/>
      <c r="J36" s="417">
        <f>IFERROR(VLOOKUP($C36,'Proposed Rates'!$B:$J,J$11,FALSE),0)</f>
        <v>1.099E-2</v>
      </c>
      <c r="K36" s="414">
        <f t="shared" si="26"/>
        <v>4909.7700000000004</v>
      </c>
      <c r="L36" s="399">
        <f t="shared" si="27"/>
        <v>53.958372300000001</v>
      </c>
      <c r="M36" s="132"/>
      <c r="N36" s="400">
        <f t="shared" si="3"/>
        <v>-22.830430500000013</v>
      </c>
      <c r="O36" s="401">
        <f t="shared" si="4"/>
        <v>-0.29731457800511518</v>
      </c>
      <c r="P36" s="52"/>
      <c r="Q36" s="417">
        <f>IFERROR(VLOOKUP($C36,'Proposed Rates'!$B:$J,Q$11,FALSE),0)</f>
        <v>1.1270000000000001E-2</v>
      </c>
      <c r="R36" s="414">
        <f t="shared" si="28"/>
        <v>4909.7700000000004</v>
      </c>
      <c r="S36" s="399">
        <f t="shared" si="29"/>
        <v>55.333107900000009</v>
      </c>
      <c r="T36" s="132"/>
      <c r="U36" s="400">
        <f t="shared" si="6"/>
        <v>1.3747356000000082</v>
      </c>
      <c r="V36" s="401">
        <f t="shared" si="7"/>
        <v>2.5477707006369577E-2</v>
      </c>
      <c r="W36" s="52"/>
      <c r="X36" s="417">
        <f>IFERROR(VLOOKUP($C36,'Proposed Rates'!$B:$J,X$11,FALSE),0)</f>
        <v>1.141E-2</v>
      </c>
      <c r="Y36" s="414">
        <f t="shared" si="30"/>
        <v>4909.7700000000004</v>
      </c>
      <c r="Z36" s="399">
        <f t="shared" si="31"/>
        <v>56.020475700000006</v>
      </c>
      <c r="AA36" s="132"/>
      <c r="AB36" s="400">
        <f t="shared" si="9"/>
        <v>0.68736779999999698</v>
      </c>
      <c r="AC36" s="401">
        <f t="shared" si="10"/>
        <v>1.2422360248447149E-2</v>
      </c>
      <c r="AD36" s="52"/>
      <c r="AE36" s="417">
        <f>IFERROR(VLOOKUP($C36,'Proposed Rates'!$B:$J,AE$11,FALSE),0)</f>
        <v>1.159E-2</v>
      </c>
      <c r="AF36" s="414">
        <f t="shared" si="32"/>
        <v>4909.7700000000004</v>
      </c>
      <c r="AG36" s="399">
        <f t="shared" si="33"/>
        <v>56.904234300000006</v>
      </c>
      <c r="AH36" s="132"/>
      <c r="AI36" s="400">
        <f t="shared" si="12"/>
        <v>0.88375860000000017</v>
      </c>
      <c r="AJ36" s="401">
        <f t="shared" si="13"/>
        <v>1.577563540753725E-2</v>
      </c>
      <c r="AK36" s="52"/>
      <c r="AL36" s="417">
        <f>IFERROR(VLOOKUP($C36,'Proposed Rates'!$B:$J,AL$11,FALSE),0)</f>
        <v>1.18E-2</v>
      </c>
      <c r="AM36" s="414">
        <f t="shared" si="34"/>
        <v>4909.7700000000004</v>
      </c>
      <c r="AN36" s="399">
        <f t="shared" si="35"/>
        <v>57.935286000000005</v>
      </c>
      <c r="AO36" s="132"/>
      <c r="AP36" s="400">
        <f t="shared" si="15"/>
        <v>1.031051699999999</v>
      </c>
      <c r="AQ36" s="401">
        <f t="shared" si="16"/>
        <v>1.8119068162208783E-2</v>
      </c>
      <c r="AR36" s="402"/>
    </row>
    <row r="37" spans="1:44" ht="12" customHeight="1">
      <c r="A37" s="52"/>
      <c r="B37" s="321" t="s">
        <v>316</v>
      </c>
      <c r="C37" s="580"/>
      <c r="D37" s="395"/>
      <c r="E37" s="321"/>
      <c r="F37" s="419">
        <f>'Proposed Rates'!$K$253*F$46+'Proposed Rates'!$K$254*F$47+'Proposed Rates'!$K$255*F$48</f>
        <v>0.12752000000000002</v>
      </c>
      <c r="G37" s="506">
        <f>$F$9*(1+F$65)-$F$9</f>
        <v>58995.162200000137</v>
      </c>
      <c r="H37" s="399">
        <f t="shared" si="25"/>
        <v>7523.0630837440185</v>
      </c>
      <c r="I37" s="132"/>
      <c r="J37" s="419">
        <f>'Proposed Rates'!$K$253*J$46+'Proposed Rates'!$K$254*J$47+'Proposed Rates'!$K$255*J$48</f>
        <v>0.12752000000000002</v>
      </c>
      <c r="K37" s="506">
        <f>$F$9*(1+J$65)-$F$9</f>
        <v>57947.910799999721</v>
      </c>
      <c r="L37" s="399">
        <f t="shared" si="27"/>
        <v>7389.5175852159655</v>
      </c>
      <c r="M37" s="132"/>
      <c r="N37" s="400">
        <f t="shared" si="3"/>
        <v>-133.54549852805303</v>
      </c>
      <c r="O37" s="401">
        <f t="shared" si="4"/>
        <v>-1.7751479289947834E-2</v>
      </c>
      <c r="P37" s="52"/>
      <c r="Q37" s="419">
        <f>'Proposed Rates'!$K$253*Q$46+'Proposed Rates'!$K$254*Q$47+'Proposed Rates'!$K$255*Q$48</f>
        <v>0.12752000000000002</v>
      </c>
      <c r="R37" s="506">
        <f>$F$9*(1+Q$65)-$F$9</f>
        <v>57947.910799999721</v>
      </c>
      <c r="S37" s="399">
        <f t="shared" si="29"/>
        <v>7389.5175852159655</v>
      </c>
      <c r="T37" s="132"/>
      <c r="U37" s="400">
        <f t="shared" si="6"/>
        <v>0</v>
      </c>
      <c r="V37" s="401">
        <f t="shared" si="7"/>
        <v>0</v>
      </c>
      <c r="W37" s="52"/>
      <c r="X37" s="419">
        <f>'Proposed Rates'!$K$253*X$46+'Proposed Rates'!$K$254*X$47+'Proposed Rates'!$K$255*X$48</f>
        <v>0.12752000000000002</v>
      </c>
      <c r="Y37" s="506">
        <f>$F$9*(1+X$65)-$F$9</f>
        <v>57947.910799999721</v>
      </c>
      <c r="Z37" s="399">
        <f t="shared" si="31"/>
        <v>7389.5175852159655</v>
      </c>
      <c r="AA37" s="132"/>
      <c r="AB37" s="400">
        <f t="shared" si="9"/>
        <v>0</v>
      </c>
      <c r="AC37" s="401">
        <f t="shared" si="10"/>
        <v>0</v>
      </c>
      <c r="AD37" s="52"/>
      <c r="AE37" s="419">
        <f>'Proposed Rates'!$K$253*AE$46+'Proposed Rates'!$K$254*AE$47+'Proposed Rates'!$K$255*AE$48</f>
        <v>0.12752000000000002</v>
      </c>
      <c r="AF37" s="506">
        <f>$F$9*(1+AE$65)-$F$9</f>
        <v>57947.910799999721</v>
      </c>
      <c r="AG37" s="399">
        <f t="shared" si="33"/>
        <v>7389.5175852159655</v>
      </c>
      <c r="AH37" s="132"/>
      <c r="AI37" s="400">
        <f t="shared" si="12"/>
        <v>0</v>
      </c>
      <c r="AJ37" s="401">
        <f t="shared" si="13"/>
        <v>0</v>
      </c>
      <c r="AK37" s="52"/>
      <c r="AL37" s="419">
        <f>'Proposed Rates'!$K$253*AL$46+'Proposed Rates'!$K$254*AL$47+'Proposed Rates'!$K$255*AL$48</f>
        <v>0.12752000000000002</v>
      </c>
      <c r="AM37" s="506">
        <f>$F$9*(1+AL$65)-$F$9</f>
        <v>57947.910799999721</v>
      </c>
      <c r="AN37" s="399">
        <f t="shared" si="35"/>
        <v>7389.5175852159655</v>
      </c>
      <c r="AO37" s="132"/>
      <c r="AP37" s="400">
        <f t="shared" si="15"/>
        <v>0</v>
      </c>
      <c r="AQ37" s="401">
        <f t="shared" si="16"/>
        <v>0</v>
      </c>
      <c r="AR37" s="402"/>
    </row>
    <row r="38" spans="1:44" ht="12" customHeight="1">
      <c r="A38" s="52"/>
      <c r="B38" s="321" t="s">
        <v>275</v>
      </c>
      <c r="C38" s="578"/>
      <c r="D38" s="395"/>
      <c r="E38" s="321"/>
      <c r="F38" s="413">
        <f>IFERROR(VLOOKUP($C38,'Proposed Rates'!$B:$J,F$11,FALSE),0)</f>
        <v>0</v>
      </c>
      <c r="G38" s="414">
        <f>IF($D38="Monthly",1,IF($D38="per KW",$F$10,IF($D38="per kWh",$F$9,0)))</f>
        <v>0</v>
      </c>
      <c r="H38" s="399">
        <f t="shared" si="25"/>
        <v>0</v>
      </c>
      <c r="I38" s="132"/>
      <c r="J38" s="413">
        <f>IFERROR(VLOOKUP($C38,'Proposed Rates'!$B:$J,J$11,FALSE),0)</f>
        <v>0</v>
      </c>
      <c r="K38" s="414">
        <f>IF($D38="Monthly",1,IF($D38="per KW",$F$10,IF($D38="per kWh",$F$9,0)))</f>
        <v>0</v>
      </c>
      <c r="L38" s="399">
        <f t="shared" si="27"/>
        <v>0</v>
      </c>
      <c r="M38" s="132"/>
      <c r="N38" s="400">
        <f t="shared" si="3"/>
        <v>0</v>
      </c>
      <c r="O38" s="401" t="str">
        <f t="shared" si="4"/>
        <v/>
      </c>
      <c r="P38" s="52"/>
      <c r="Q38" s="413">
        <f>IFERROR(VLOOKUP($C38,'Proposed Rates'!$B:$J,Q$11,FALSE),0)</f>
        <v>0</v>
      </c>
      <c r="R38" s="414">
        <f>IF($D38="Monthly",1,IF($D38="per KW",$F$10,IF($D38="per kWh",$F$9,0)))</f>
        <v>0</v>
      </c>
      <c r="S38" s="399">
        <f t="shared" si="29"/>
        <v>0</v>
      </c>
      <c r="T38" s="132"/>
      <c r="U38" s="400">
        <f t="shared" si="6"/>
        <v>0</v>
      </c>
      <c r="V38" s="401" t="str">
        <f t="shared" si="7"/>
        <v/>
      </c>
      <c r="W38" s="52"/>
      <c r="X38" s="413">
        <f>IFERROR(VLOOKUP($C38,'Proposed Rates'!$B:$J,X$11,FALSE),0)</f>
        <v>0</v>
      </c>
      <c r="Y38" s="414">
        <f>IF($D38="Monthly",1,IF($D38="per KW",$F$10,IF($D38="per kWh",$F$9,0)))</f>
        <v>0</v>
      </c>
      <c r="Z38" s="399">
        <f t="shared" si="31"/>
        <v>0</v>
      </c>
      <c r="AA38" s="132"/>
      <c r="AB38" s="400">
        <f t="shared" si="9"/>
        <v>0</v>
      </c>
      <c r="AC38" s="401" t="str">
        <f t="shared" si="10"/>
        <v/>
      </c>
      <c r="AD38" s="52"/>
      <c r="AE38" s="413">
        <f>IFERROR(VLOOKUP($C38,'Proposed Rates'!$B:$J,AE$11,FALSE),0)</f>
        <v>0</v>
      </c>
      <c r="AF38" s="414">
        <f>IF($D38="Monthly",1,IF($D38="per KW",$F$10,IF($D38="per kWh",$F$9,0)))</f>
        <v>0</v>
      </c>
      <c r="AG38" s="399">
        <f t="shared" si="33"/>
        <v>0</v>
      </c>
      <c r="AH38" s="132"/>
      <c r="AI38" s="400">
        <f t="shared" si="12"/>
        <v>0</v>
      </c>
      <c r="AJ38" s="401" t="str">
        <f t="shared" si="13"/>
        <v/>
      </c>
      <c r="AK38" s="52"/>
      <c r="AL38" s="413">
        <f>IFERROR(VLOOKUP($C38,'Proposed Rates'!$B:$J,AL$11,FALSE),0)</f>
        <v>0</v>
      </c>
      <c r="AM38" s="414">
        <f>IF($D38="Monthly",1,IF($D38="per KW",$F$10,IF($D38="per kWh",$F$9,0)))</f>
        <v>0</v>
      </c>
      <c r="AN38" s="399">
        <f t="shared" si="35"/>
        <v>0</v>
      </c>
      <c r="AO38" s="132"/>
      <c r="AP38" s="400">
        <f t="shared" si="15"/>
        <v>0</v>
      </c>
      <c r="AQ38" s="401" t="str">
        <f t="shared" si="16"/>
        <v/>
      </c>
      <c r="AR38" s="402"/>
    </row>
    <row r="39" spans="1:44" ht="12" customHeight="1">
      <c r="A39" s="52"/>
      <c r="B39" s="404" t="s">
        <v>317</v>
      </c>
      <c r="C39" s="581"/>
      <c r="D39" s="421"/>
      <c r="E39" s="421"/>
      <c r="F39" s="422"/>
      <c r="G39" s="500"/>
      <c r="H39" s="408">
        <f>SUM(H30:H38)+H29</f>
        <v>148210.82630954401</v>
      </c>
      <c r="I39" s="424"/>
      <c r="J39" s="422"/>
      <c r="K39" s="500"/>
      <c r="L39" s="408">
        <f>SUM(L30:L38)+L29</f>
        <v>154280.47489051599</v>
      </c>
      <c r="M39" s="424"/>
      <c r="N39" s="410">
        <f t="shared" si="3"/>
        <v>6069.6485809719888</v>
      </c>
      <c r="O39" s="411">
        <f t="shared" si="4"/>
        <v>4.0952801708933832E-2</v>
      </c>
      <c r="P39" s="52"/>
      <c r="Q39" s="422"/>
      <c r="R39" s="500"/>
      <c r="S39" s="408">
        <f>SUM(S30:S38)+S29</f>
        <v>121170.51361411596</v>
      </c>
      <c r="T39" s="424"/>
      <c r="U39" s="410">
        <f t="shared" si="6"/>
        <v>-33109.961276400034</v>
      </c>
      <c r="V39" s="411">
        <f t="shared" si="7"/>
        <v>-0.21460888877802764</v>
      </c>
      <c r="W39" s="52"/>
      <c r="X39" s="422"/>
      <c r="Y39" s="500"/>
      <c r="Z39" s="408">
        <f>SUM(Z30:Z38)+Z29</f>
        <v>127786.98351691596</v>
      </c>
      <c r="AA39" s="424"/>
      <c r="AB39" s="410">
        <f t="shared" si="9"/>
        <v>6616.4699028000032</v>
      </c>
      <c r="AC39" s="411">
        <f t="shared" si="10"/>
        <v>5.4604620426641541E-2</v>
      </c>
      <c r="AD39" s="52"/>
      <c r="AE39" s="422"/>
      <c r="AF39" s="500"/>
      <c r="AG39" s="408">
        <f>SUM(AG30:AG38)+AG29</f>
        <v>128238.09318451596</v>
      </c>
      <c r="AH39" s="424"/>
      <c r="AI39" s="410">
        <f t="shared" si="12"/>
        <v>451.10966760000156</v>
      </c>
      <c r="AJ39" s="411">
        <f t="shared" si="13"/>
        <v>3.5301691548285537E-3</v>
      </c>
      <c r="AK39" s="52"/>
      <c r="AL39" s="422"/>
      <c r="AM39" s="500"/>
      <c r="AN39" s="408">
        <f>SUM(AN30:AN38)+AN29</f>
        <v>129226.74060721596</v>
      </c>
      <c r="AO39" s="424"/>
      <c r="AP39" s="410">
        <f t="shared" si="15"/>
        <v>988.64742269999988</v>
      </c>
      <c r="AQ39" s="411">
        <f t="shared" si="16"/>
        <v>7.7094675860275002E-3</v>
      </c>
      <c r="AR39" s="412"/>
    </row>
    <row r="40" spans="1:44" ht="12" customHeight="1">
      <c r="A40" s="52"/>
      <c r="B40" s="132" t="s">
        <v>258</v>
      </c>
      <c r="C40" s="578" t="str">
        <f t="shared" ref="C40:C41" si="36">D$6&amp;"."&amp;B40</f>
        <v>Street Light.RTSR - Network</v>
      </c>
      <c r="D40" s="425" t="s">
        <v>381</v>
      </c>
      <c r="E40" s="132"/>
      <c r="F40" s="413">
        <f>IFERROR(VLOOKUP($C40,'Proposed Rates'!$B:$J,F$11,FALSE),0)</f>
        <v>3.597</v>
      </c>
      <c r="G40" s="414">
        <f t="shared" ref="G40:G41" si="37">IF($D40="Monthly",1,IF($D40="per KW",$F$10,IF($D40="per kWh",$F$9,0)))</f>
        <v>4909.7700000000004</v>
      </c>
      <c r="H40" s="399">
        <f t="shared" ref="H40:H41" si="38">G40*F40</f>
        <v>17660.44269</v>
      </c>
      <c r="I40" s="132"/>
      <c r="J40" s="413">
        <f>IFERROR(VLOOKUP($C40,'Proposed Rates'!$B:$J,J$11,FALSE),0)</f>
        <v>2.1576</v>
      </c>
      <c r="K40" s="414">
        <f t="shared" ref="K40:K41" si="39">IF($D40="Monthly",1,IF($D40="per KW",$F$10,IF($D40="per kWh",$F$9,0)))</f>
        <v>4909.7700000000004</v>
      </c>
      <c r="L40" s="399">
        <f t="shared" ref="L40:L41" si="40">K40*J40</f>
        <v>10593.319752000001</v>
      </c>
      <c r="M40" s="132"/>
      <c r="N40" s="400">
        <f t="shared" si="3"/>
        <v>-7067.1229379999986</v>
      </c>
      <c r="O40" s="401">
        <f t="shared" si="4"/>
        <v>-0.40016680567139273</v>
      </c>
      <c r="P40" s="52"/>
      <c r="Q40" s="413">
        <f>IFERROR(VLOOKUP($C40,'Proposed Rates'!$B:$J,Q$11,FALSE),0)</f>
        <v>2.1576</v>
      </c>
      <c r="R40" s="414">
        <f t="shared" ref="R40:R41" si="41">IF($D40="Monthly",1,IF($D40="per KW",$F$10,IF($D40="per kWh",$F$9,0)))</f>
        <v>4909.7700000000004</v>
      </c>
      <c r="S40" s="399">
        <f t="shared" ref="S40:S41" si="42">R40*Q40</f>
        <v>10593.319752000001</v>
      </c>
      <c r="T40" s="132"/>
      <c r="U40" s="400">
        <f t="shared" si="6"/>
        <v>0</v>
      </c>
      <c r="V40" s="401">
        <f t="shared" si="7"/>
        <v>0</v>
      </c>
      <c r="W40" s="52"/>
      <c r="X40" s="413">
        <f>IFERROR(VLOOKUP($C40,'Proposed Rates'!$B:$J,X$11,FALSE),0)</f>
        <v>2.1576</v>
      </c>
      <c r="Y40" s="414">
        <f t="shared" ref="Y40:Y41" si="43">IF($D40="Monthly",1,IF($D40="per KW",$F$10,IF($D40="per kWh",$F$9,0)))</f>
        <v>4909.7700000000004</v>
      </c>
      <c r="Z40" s="399">
        <f t="shared" ref="Z40:Z41" si="44">Y40*X40</f>
        <v>10593.319752000001</v>
      </c>
      <c r="AA40" s="132"/>
      <c r="AB40" s="400">
        <f t="shared" si="9"/>
        <v>0</v>
      </c>
      <c r="AC40" s="401">
        <f t="shared" si="10"/>
        <v>0</v>
      </c>
      <c r="AD40" s="52"/>
      <c r="AE40" s="413">
        <f>IFERROR(VLOOKUP($C40,'Proposed Rates'!$B:$J,AE$11,FALSE),0)</f>
        <v>2.1576</v>
      </c>
      <c r="AF40" s="414">
        <f t="shared" ref="AF40:AF41" si="45">IF($D40="Monthly",1,IF($D40="per KW",$F$10,IF($D40="per kWh",$F$9,0)))</f>
        <v>4909.7700000000004</v>
      </c>
      <c r="AG40" s="399">
        <f t="shared" ref="AG40:AG41" si="46">AF40*AE40</f>
        <v>10593.319752000001</v>
      </c>
      <c r="AH40" s="132"/>
      <c r="AI40" s="400">
        <f t="shared" si="12"/>
        <v>0</v>
      </c>
      <c r="AJ40" s="401">
        <f t="shared" si="13"/>
        <v>0</v>
      </c>
      <c r="AK40" s="52"/>
      <c r="AL40" s="413">
        <f>IFERROR(VLOOKUP($C40,'Proposed Rates'!$B:$J,AL$11,FALSE),0)</f>
        <v>2.1576</v>
      </c>
      <c r="AM40" s="414">
        <f t="shared" ref="AM40:AM41" si="47">IF($D40="Monthly",1,IF($D40="per KW",$F$10,IF($D40="per kWh",$F$9,0)))</f>
        <v>4909.7700000000004</v>
      </c>
      <c r="AN40" s="399">
        <f t="shared" ref="AN40:AN41" si="48">AM40*AL40</f>
        <v>10593.319752000001</v>
      </c>
      <c r="AO40" s="132"/>
      <c r="AP40" s="400">
        <f t="shared" si="15"/>
        <v>0</v>
      </c>
      <c r="AQ40" s="401">
        <f t="shared" si="16"/>
        <v>0</v>
      </c>
      <c r="AR40" s="402"/>
    </row>
    <row r="41" spans="1:44" ht="12" customHeight="1">
      <c r="A41" s="52"/>
      <c r="B41" s="132" t="s">
        <v>261</v>
      </c>
      <c r="C41" s="578" t="str">
        <f t="shared" si="36"/>
        <v>Street Light.RTSR - Line and Transformation Connection</v>
      </c>
      <c r="D41" s="425" t="s">
        <v>381</v>
      </c>
      <c r="E41" s="132"/>
      <c r="F41" s="413">
        <f>IFERROR(VLOOKUP($C41,'Proposed Rates'!$B:$J,F$11,FALSE),0)</f>
        <v>2.1377000000000002</v>
      </c>
      <c r="G41" s="414">
        <f t="shared" si="37"/>
        <v>4909.7700000000004</v>
      </c>
      <c r="H41" s="399">
        <f t="shared" si="38"/>
        <v>10495.615329000002</v>
      </c>
      <c r="I41" s="132"/>
      <c r="J41" s="413">
        <f>IFERROR(VLOOKUP($C41,'Proposed Rates'!$B:$J,J$11,FALSE),0)</f>
        <v>1.2213000000000001</v>
      </c>
      <c r="K41" s="414">
        <f t="shared" si="39"/>
        <v>4909.7700000000004</v>
      </c>
      <c r="L41" s="399">
        <f t="shared" si="40"/>
        <v>5996.3021010000011</v>
      </c>
      <c r="M41" s="132"/>
      <c r="N41" s="400">
        <f t="shared" si="3"/>
        <v>-4499.3132280000009</v>
      </c>
      <c r="O41" s="401">
        <f t="shared" si="4"/>
        <v>-0.4286850353183328</v>
      </c>
      <c r="P41" s="52"/>
      <c r="Q41" s="413">
        <f>IFERROR(VLOOKUP($C41,'Proposed Rates'!$B:$J,Q$11,FALSE),0)</f>
        <v>1.2213000000000001</v>
      </c>
      <c r="R41" s="414">
        <f t="shared" si="41"/>
        <v>4909.7700000000004</v>
      </c>
      <c r="S41" s="399">
        <f t="shared" si="42"/>
        <v>5996.3021010000011</v>
      </c>
      <c r="T41" s="132"/>
      <c r="U41" s="400">
        <f t="shared" si="6"/>
        <v>0</v>
      </c>
      <c r="V41" s="401">
        <f t="shared" si="7"/>
        <v>0</v>
      </c>
      <c r="W41" s="52"/>
      <c r="X41" s="413">
        <f>IFERROR(VLOOKUP($C41,'Proposed Rates'!$B:$J,X$11,FALSE),0)</f>
        <v>1.2213000000000001</v>
      </c>
      <c r="Y41" s="414">
        <f t="shared" si="43"/>
        <v>4909.7700000000004</v>
      </c>
      <c r="Z41" s="399">
        <f t="shared" si="44"/>
        <v>5996.3021010000011</v>
      </c>
      <c r="AA41" s="132"/>
      <c r="AB41" s="400">
        <f t="shared" si="9"/>
        <v>0</v>
      </c>
      <c r="AC41" s="401">
        <f t="shared" si="10"/>
        <v>0</v>
      </c>
      <c r="AD41" s="52"/>
      <c r="AE41" s="413">
        <f>IFERROR(VLOOKUP($C41,'Proposed Rates'!$B:$J,AE$11,FALSE),0)</f>
        <v>1.2213000000000001</v>
      </c>
      <c r="AF41" s="414">
        <f t="shared" si="45"/>
        <v>4909.7700000000004</v>
      </c>
      <c r="AG41" s="399">
        <f t="shared" si="46"/>
        <v>5996.3021010000011</v>
      </c>
      <c r="AH41" s="132"/>
      <c r="AI41" s="400">
        <f t="shared" si="12"/>
        <v>0</v>
      </c>
      <c r="AJ41" s="401">
        <f t="shared" si="13"/>
        <v>0</v>
      </c>
      <c r="AK41" s="52"/>
      <c r="AL41" s="413">
        <f>IFERROR(VLOOKUP($C41,'Proposed Rates'!$B:$J,AL$11,FALSE),0)</f>
        <v>1.2213000000000001</v>
      </c>
      <c r="AM41" s="414">
        <f t="shared" si="47"/>
        <v>4909.7700000000004</v>
      </c>
      <c r="AN41" s="399">
        <f t="shared" si="48"/>
        <v>5996.3021010000011</v>
      </c>
      <c r="AO41" s="132"/>
      <c r="AP41" s="400">
        <f t="shared" si="15"/>
        <v>0</v>
      </c>
      <c r="AQ41" s="401">
        <f t="shared" si="16"/>
        <v>0</v>
      </c>
      <c r="AR41" s="402"/>
    </row>
    <row r="42" spans="1:44" ht="12" customHeight="1">
      <c r="A42" s="52"/>
      <c r="B42" s="404" t="s">
        <v>318</v>
      </c>
      <c r="C42" s="582"/>
      <c r="D42" s="426"/>
      <c r="E42" s="426"/>
      <c r="F42" s="427"/>
      <c r="G42" s="500"/>
      <c r="H42" s="408">
        <f>SUM(H39:H41)</f>
        <v>176366.88432854399</v>
      </c>
      <c r="I42" s="409"/>
      <c r="J42" s="427"/>
      <c r="K42" s="500"/>
      <c r="L42" s="408">
        <f>SUM(L39:L41)</f>
        <v>170870.09674351601</v>
      </c>
      <c r="M42" s="409"/>
      <c r="N42" s="410">
        <f t="shared" si="3"/>
        <v>-5496.7875850279815</v>
      </c>
      <c r="O42" s="411">
        <f t="shared" si="4"/>
        <v>-3.1166778309630529E-2</v>
      </c>
      <c r="P42" s="52"/>
      <c r="Q42" s="427"/>
      <c r="R42" s="500"/>
      <c r="S42" s="408">
        <f>SUM(S39:S41)</f>
        <v>137760.13546711596</v>
      </c>
      <c r="T42" s="409"/>
      <c r="U42" s="410">
        <f t="shared" si="6"/>
        <v>-33109.961276400049</v>
      </c>
      <c r="V42" s="411">
        <f t="shared" si="7"/>
        <v>-0.19377270749778788</v>
      </c>
      <c r="W42" s="52"/>
      <c r="X42" s="427"/>
      <c r="Y42" s="500"/>
      <c r="Z42" s="408">
        <f>SUM(Z39:Z41)</f>
        <v>144376.60536991598</v>
      </c>
      <c r="AA42" s="409"/>
      <c r="AB42" s="410">
        <f t="shared" si="9"/>
        <v>6616.4699028000177</v>
      </c>
      <c r="AC42" s="411">
        <f t="shared" si="10"/>
        <v>4.8028915479539448E-2</v>
      </c>
      <c r="AD42" s="52"/>
      <c r="AE42" s="427"/>
      <c r="AF42" s="500"/>
      <c r="AG42" s="408">
        <f>SUM(AG39:AG41)</f>
        <v>144827.71503751597</v>
      </c>
      <c r="AH42" s="409"/>
      <c r="AI42" s="410">
        <f t="shared" si="12"/>
        <v>451.10966759998701</v>
      </c>
      <c r="AJ42" s="411">
        <f t="shared" si="13"/>
        <v>3.1245343831444979E-3</v>
      </c>
      <c r="AK42" s="52"/>
      <c r="AL42" s="427"/>
      <c r="AM42" s="500"/>
      <c r="AN42" s="408">
        <f>SUM(AN39:AN41)</f>
        <v>145816.36246021598</v>
      </c>
      <c r="AO42" s="409"/>
      <c r="AP42" s="410">
        <f t="shared" si="15"/>
        <v>988.64742270001443</v>
      </c>
      <c r="AQ42" s="411">
        <f t="shared" si="16"/>
        <v>6.8263689891393826E-3</v>
      </c>
      <c r="AR42" s="412"/>
    </row>
    <row r="43" spans="1:44" ht="12" customHeight="1">
      <c r="A43" s="52"/>
      <c r="B43" s="321" t="s">
        <v>262</v>
      </c>
      <c r="C43" s="578" t="str">
        <f t="shared" ref="C43:C45" si="49">D$6&amp;"."&amp;B43</f>
        <v>Street Light.Wholesale Market Service Charge (WMSC)</v>
      </c>
      <c r="D43" s="395" t="s">
        <v>312</v>
      </c>
      <c r="E43" s="321"/>
      <c r="F43" s="413">
        <f>IFERROR(VLOOKUP($C43,'Proposed Rates'!$B:$J,F$11,FALSE),0)</f>
        <v>4.4999999999999997E-3</v>
      </c>
      <c r="G43" s="573">
        <f t="shared" ref="G43:G44" si="50">$F$9+G$37</f>
        <v>1804414.1622000001</v>
      </c>
      <c r="H43" s="399">
        <f t="shared" ref="H43:H50" si="51">G43*F43</f>
        <v>8119.8637299000002</v>
      </c>
      <c r="I43" s="132"/>
      <c r="J43" s="413">
        <f>IFERROR(VLOOKUP($C43,'Proposed Rates'!$B:$J,J$11,FALSE),0)</f>
        <v>4.7000000000000002E-3</v>
      </c>
      <c r="K43" s="573">
        <f t="shared" ref="K43:K44" si="52">$F$9+K$37</f>
        <v>1803366.9107999997</v>
      </c>
      <c r="L43" s="399">
        <f t="shared" ref="L43:L50" si="53">K43*J43</f>
        <v>8475.8244807599986</v>
      </c>
      <c r="M43" s="132"/>
      <c r="N43" s="400">
        <f t="shared" si="3"/>
        <v>355.96075085999837</v>
      </c>
      <c r="O43" s="401">
        <f t="shared" si="4"/>
        <v>4.3838266589282061E-2</v>
      </c>
      <c r="P43" s="52"/>
      <c r="Q43" s="413">
        <f>IFERROR(VLOOKUP($C43,'Proposed Rates'!$B:$J,Q$11,FALSE),0)</f>
        <v>4.7000000000000002E-3</v>
      </c>
      <c r="R43" s="573">
        <f t="shared" ref="R43:R44" si="54">$F$9+R$37</f>
        <v>1803366.9107999997</v>
      </c>
      <c r="S43" s="399">
        <f t="shared" ref="S43:S50" si="55">R43*Q43</f>
        <v>8475.8244807599986</v>
      </c>
      <c r="T43" s="132"/>
      <c r="U43" s="400">
        <f t="shared" si="6"/>
        <v>0</v>
      </c>
      <c r="V43" s="401">
        <f t="shared" si="7"/>
        <v>0</v>
      </c>
      <c r="W43" s="52"/>
      <c r="X43" s="413">
        <f>IFERROR(VLOOKUP($C43,'Proposed Rates'!$B:$J,X$11,FALSE),0)</f>
        <v>4.7000000000000002E-3</v>
      </c>
      <c r="Y43" s="573">
        <f t="shared" ref="Y43:Y44" si="56">$F$9+Y$37</f>
        <v>1803366.9107999997</v>
      </c>
      <c r="Z43" s="399">
        <f t="shared" ref="Z43:Z50" si="57">Y43*X43</f>
        <v>8475.8244807599986</v>
      </c>
      <c r="AA43" s="132"/>
      <c r="AB43" s="400">
        <f t="shared" si="9"/>
        <v>0</v>
      </c>
      <c r="AC43" s="401">
        <f t="shared" si="10"/>
        <v>0</v>
      </c>
      <c r="AD43" s="52"/>
      <c r="AE43" s="413">
        <f>IFERROR(VLOOKUP($C43,'Proposed Rates'!$B:$J,AE$11,FALSE),0)</f>
        <v>4.7000000000000002E-3</v>
      </c>
      <c r="AF43" s="573">
        <f t="shared" ref="AF43:AF44" si="58">$F$9+AF$37</f>
        <v>1803366.9107999997</v>
      </c>
      <c r="AG43" s="399">
        <f t="shared" ref="AG43:AG50" si="59">AF43*AE43</f>
        <v>8475.8244807599986</v>
      </c>
      <c r="AH43" s="132"/>
      <c r="AI43" s="400">
        <f t="shared" si="12"/>
        <v>0</v>
      </c>
      <c r="AJ43" s="401">
        <f t="shared" si="13"/>
        <v>0</v>
      </c>
      <c r="AK43" s="52"/>
      <c r="AL43" s="413">
        <f>IFERROR(VLOOKUP($C43,'Proposed Rates'!$B:$J,AL$11,FALSE),0)</f>
        <v>4.7000000000000002E-3</v>
      </c>
      <c r="AM43" s="573">
        <f t="shared" ref="AM43:AM44" si="60">$F$9+AM$37</f>
        <v>1803366.9107999997</v>
      </c>
      <c r="AN43" s="399">
        <f t="shared" ref="AN43:AN50" si="61">AM43*AL43</f>
        <v>8475.8244807599986</v>
      </c>
      <c r="AO43" s="132"/>
      <c r="AP43" s="400">
        <f t="shared" si="15"/>
        <v>0</v>
      </c>
      <c r="AQ43" s="401">
        <f t="shared" si="16"/>
        <v>0</v>
      </c>
      <c r="AR43" s="402"/>
    </row>
    <row r="44" spans="1:44" ht="12" customHeight="1">
      <c r="A44" s="52"/>
      <c r="B44" s="321" t="s">
        <v>263</v>
      </c>
      <c r="C44" s="578" t="str">
        <f t="shared" si="49"/>
        <v>Street Light.Rural and Remote Rate Protection (RRRP)</v>
      </c>
      <c r="D44" s="395" t="s">
        <v>312</v>
      </c>
      <c r="E44" s="321"/>
      <c r="F44" s="413">
        <f>IFERROR(VLOOKUP($C44,'Proposed Rates'!$B:$J,F$11,FALSE),0)</f>
        <v>1.5E-3</v>
      </c>
      <c r="G44" s="573">
        <f t="shared" si="50"/>
        <v>1804414.1622000001</v>
      </c>
      <c r="H44" s="399">
        <f t="shared" si="51"/>
        <v>2706.6212433000001</v>
      </c>
      <c r="I44" s="132"/>
      <c r="J44" s="413">
        <f>IFERROR(VLOOKUP($C44,'Proposed Rates'!$B:$J,J$11,FALSE),0)</f>
        <v>5.9999999999999995E-4</v>
      </c>
      <c r="K44" s="573">
        <f t="shared" si="52"/>
        <v>1803366.9107999997</v>
      </c>
      <c r="L44" s="399">
        <f t="shared" si="53"/>
        <v>1082.0201464799998</v>
      </c>
      <c r="M44" s="132"/>
      <c r="N44" s="400">
        <f t="shared" si="3"/>
        <v>-1624.6010968200003</v>
      </c>
      <c r="O44" s="401">
        <f t="shared" si="4"/>
        <v>-0.600232153221126</v>
      </c>
      <c r="P44" s="52"/>
      <c r="Q44" s="413">
        <f>IFERROR(VLOOKUP($C44,'Proposed Rates'!$B:$J,Q$11,FALSE),0)</f>
        <v>5.9999999999999995E-4</v>
      </c>
      <c r="R44" s="573">
        <f t="shared" si="54"/>
        <v>1803366.9107999997</v>
      </c>
      <c r="S44" s="399">
        <f t="shared" si="55"/>
        <v>1082.0201464799998</v>
      </c>
      <c r="T44" s="132"/>
      <c r="U44" s="400">
        <f t="shared" si="6"/>
        <v>0</v>
      </c>
      <c r="V44" s="401">
        <f t="shared" si="7"/>
        <v>0</v>
      </c>
      <c r="W44" s="52"/>
      <c r="X44" s="413">
        <f>IFERROR(VLOOKUP($C44,'Proposed Rates'!$B:$J,X$11,FALSE),0)</f>
        <v>5.9999999999999995E-4</v>
      </c>
      <c r="Y44" s="573">
        <f t="shared" si="56"/>
        <v>1803366.9107999997</v>
      </c>
      <c r="Z44" s="399">
        <f t="shared" si="57"/>
        <v>1082.0201464799998</v>
      </c>
      <c r="AA44" s="132"/>
      <c r="AB44" s="400">
        <f t="shared" si="9"/>
        <v>0</v>
      </c>
      <c r="AC44" s="401">
        <f t="shared" si="10"/>
        <v>0</v>
      </c>
      <c r="AD44" s="52"/>
      <c r="AE44" s="413">
        <f>IFERROR(VLOOKUP($C44,'Proposed Rates'!$B:$J,AE$11,FALSE),0)</f>
        <v>5.9999999999999995E-4</v>
      </c>
      <c r="AF44" s="573">
        <f t="shared" si="58"/>
        <v>1803366.9107999997</v>
      </c>
      <c r="AG44" s="399">
        <f t="shared" si="59"/>
        <v>1082.0201464799998</v>
      </c>
      <c r="AH44" s="132"/>
      <c r="AI44" s="400">
        <f t="shared" si="12"/>
        <v>0</v>
      </c>
      <c r="AJ44" s="401">
        <f t="shared" si="13"/>
        <v>0</v>
      </c>
      <c r="AK44" s="52"/>
      <c r="AL44" s="413">
        <f>IFERROR(VLOOKUP($C44,'Proposed Rates'!$B:$J,AL$11,FALSE),0)</f>
        <v>5.9999999999999995E-4</v>
      </c>
      <c r="AM44" s="573">
        <f t="shared" si="60"/>
        <v>1803366.9107999997</v>
      </c>
      <c r="AN44" s="399">
        <f t="shared" si="61"/>
        <v>1082.0201464799998</v>
      </c>
      <c r="AO44" s="132"/>
      <c r="AP44" s="400">
        <f t="shared" si="15"/>
        <v>0</v>
      </c>
      <c r="AQ44" s="401">
        <f t="shared" si="16"/>
        <v>0</v>
      </c>
      <c r="AR44" s="402"/>
    </row>
    <row r="45" spans="1:44" ht="12" customHeight="1">
      <c r="A45" s="52"/>
      <c r="B45" s="321" t="s">
        <v>264</v>
      </c>
      <c r="C45" s="578" t="str">
        <f t="shared" si="49"/>
        <v>Street Light.Standard Supply Service Charge</v>
      </c>
      <c r="D45" s="395" t="s">
        <v>310</v>
      </c>
      <c r="E45" s="321"/>
      <c r="F45" s="396">
        <f>IFERROR(VLOOKUP($C45,'Proposed Rates'!$B:$J,F$11,FALSE),0)</f>
        <v>0.25</v>
      </c>
      <c r="G45" s="414">
        <f>IF($D45="Monthly",1,IF($D45="per KW",$F$10,IF($D45="per kWh",$F$9,0)))</f>
        <v>1</v>
      </c>
      <c r="H45" s="399">
        <f t="shared" si="51"/>
        <v>0.25</v>
      </c>
      <c r="I45" s="132"/>
      <c r="J45" s="396">
        <f>IFERROR(VLOOKUP($C45,'Proposed Rates'!$B:$J,J$11,FALSE),0)</f>
        <v>0.25</v>
      </c>
      <c r="K45" s="414">
        <f>IF($D45="Monthly",1,IF($D45="per KW",$F$10,IF($D45="per kWh",$F$9,0)))</f>
        <v>1</v>
      </c>
      <c r="L45" s="399">
        <f t="shared" si="53"/>
        <v>0.25</v>
      </c>
      <c r="M45" s="132"/>
      <c r="N45" s="400">
        <f t="shared" si="3"/>
        <v>0</v>
      </c>
      <c r="O45" s="401">
        <f t="shared" si="4"/>
        <v>0</v>
      </c>
      <c r="P45" s="52"/>
      <c r="Q45" s="396">
        <f>IFERROR(VLOOKUP($C45,'Proposed Rates'!$B:$J,Q$11,FALSE),0)</f>
        <v>0.25</v>
      </c>
      <c r="R45" s="414">
        <f>IF($D45="Monthly",1,IF($D45="per KW",$F$10,IF($D45="per kWh",$F$9,0)))</f>
        <v>1</v>
      </c>
      <c r="S45" s="399">
        <f t="shared" si="55"/>
        <v>0.25</v>
      </c>
      <c r="T45" s="132"/>
      <c r="U45" s="400">
        <f t="shared" si="6"/>
        <v>0</v>
      </c>
      <c r="V45" s="401">
        <f t="shared" si="7"/>
        <v>0</v>
      </c>
      <c r="W45" s="52"/>
      <c r="X45" s="396">
        <f>IFERROR(VLOOKUP($C45,'Proposed Rates'!$B:$J,X$11,FALSE),0)</f>
        <v>0.25</v>
      </c>
      <c r="Y45" s="414">
        <f>IF($D45="Monthly",1,IF($D45="per KW",$F$10,IF($D45="per kWh",$F$9,0)))</f>
        <v>1</v>
      </c>
      <c r="Z45" s="399">
        <f t="shared" si="57"/>
        <v>0.25</v>
      </c>
      <c r="AA45" s="132"/>
      <c r="AB45" s="400">
        <f t="shared" si="9"/>
        <v>0</v>
      </c>
      <c r="AC45" s="401">
        <f t="shared" si="10"/>
        <v>0</v>
      </c>
      <c r="AD45" s="52"/>
      <c r="AE45" s="396">
        <f>IFERROR(VLOOKUP($C45,'Proposed Rates'!$B:$J,AE$11,FALSE),0)</f>
        <v>0.25</v>
      </c>
      <c r="AF45" s="414">
        <f>IF($D45="Monthly",1,IF($D45="per KW",$F$10,IF($D45="per kWh",$F$9,0)))</f>
        <v>1</v>
      </c>
      <c r="AG45" s="399">
        <f t="shared" si="59"/>
        <v>0.25</v>
      </c>
      <c r="AH45" s="132"/>
      <c r="AI45" s="400">
        <f t="shared" si="12"/>
        <v>0</v>
      </c>
      <c r="AJ45" s="401">
        <f t="shared" si="13"/>
        <v>0</v>
      </c>
      <c r="AK45" s="52"/>
      <c r="AL45" s="396">
        <f>IFERROR(VLOOKUP($C45,'Proposed Rates'!$B:$J,AL$11,FALSE),0)</f>
        <v>0.25</v>
      </c>
      <c r="AM45" s="414">
        <f>IF($D45="Monthly",1,IF($D45="per KW",$F$10,IF($D45="per kWh",$F$9,0)))</f>
        <v>1</v>
      </c>
      <c r="AN45" s="399">
        <f t="shared" si="61"/>
        <v>0.25</v>
      </c>
      <c r="AO45" s="132"/>
      <c r="AP45" s="400">
        <f t="shared" si="15"/>
        <v>0</v>
      </c>
      <c r="AQ45" s="401">
        <f t="shared" si="16"/>
        <v>0</v>
      </c>
      <c r="AR45" s="402"/>
    </row>
    <row r="46" spans="1:44" ht="12" customHeight="1">
      <c r="A46" s="52"/>
      <c r="B46" s="321" t="s">
        <v>266</v>
      </c>
      <c r="C46" s="578" t="str">
        <f t="shared" ref="C46:C50" si="62">B46</f>
        <v>TOU - Off Peak</v>
      </c>
      <c r="D46" s="395" t="s">
        <v>312</v>
      </c>
      <c r="E46" s="321"/>
      <c r="F46" s="429">
        <f>VLOOKUP($B46,'Proposed Rates'!$D$252:$J$258,+F$11-2,FALSE)</f>
        <v>9.8000000000000004E-2</v>
      </c>
      <c r="G46" s="574">
        <f>'Proposed Rates'!$K$253*$F$9</f>
        <v>1117068.1599999999</v>
      </c>
      <c r="H46" s="399">
        <f t="shared" si="51"/>
        <v>109472.67968</v>
      </c>
      <c r="I46" s="132"/>
      <c r="J46" s="429">
        <f>VLOOKUP($B46,'Proposed Rates'!$D$252:$J$258,+J$11-2,FALSE)</f>
        <v>9.8000000000000004E-2</v>
      </c>
      <c r="K46" s="574">
        <f>'Proposed Rates'!$K$253*$F$9</f>
        <v>1117068.1599999999</v>
      </c>
      <c r="L46" s="399">
        <f t="shared" si="53"/>
        <v>109472.67968</v>
      </c>
      <c r="M46" s="132"/>
      <c r="N46" s="400">
        <f t="shared" si="3"/>
        <v>0</v>
      </c>
      <c r="O46" s="401">
        <f t="shared" si="4"/>
        <v>0</v>
      </c>
      <c r="P46" s="52"/>
      <c r="Q46" s="429">
        <f>VLOOKUP($B46,'Proposed Rates'!$D$252:$J$258,+Q$11-2,FALSE)</f>
        <v>9.8000000000000004E-2</v>
      </c>
      <c r="R46" s="574">
        <f>'Proposed Rates'!$K$253*$F$9</f>
        <v>1117068.1599999999</v>
      </c>
      <c r="S46" s="399">
        <f t="shared" si="55"/>
        <v>109472.67968</v>
      </c>
      <c r="T46" s="132"/>
      <c r="U46" s="400">
        <f t="shared" si="6"/>
        <v>0</v>
      </c>
      <c r="V46" s="401">
        <f t="shared" si="7"/>
        <v>0</v>
      </c>
      <c r="W46" s="52"/>
      <c r="X46" s="429">
        <f>VLOOKUP($B46,'Proposed Rates'!$D$252:$J$258,+X$11-2,FALSE)</f>
        <v>9.8000000000000004E-2</v>
      </c>
      <c r="Y46" s="574">
        <f>'Proposed Rates'!$K$253*$F$9</f>
        <v>1117068.1599999999</v>
      </c>
      <c r="Z46" s="399">
        <f t="shared" si="57"/>
        <v>109472.67968</v>
      </c>
      <c r="AA46" s="132"/>
      <c r="AB46" s="400">
        <f t="shared" si="9"/>
        <v>0</v>
      </c>
      <c r="AC46" s="401">
        <f t="shared" si="10"/>
        <v>0</v>
      </c>
      <c r="AD46" s="52"/>
      <c r="AE46" s="429">
        <f>VLOOKUP($B46,'Proposed Rates'!$D$252:$J$258,+AE$11-2,FALSE)</f>
        <v>9.8000000000000004E-2</v>
      </c>
      <c r="AF46" s="574">
        <f>'Proposed Rates'!$K$253*$F$9</f>
        <v>1117068.1599999999</v>
      </c>
      <c r="AG46" s="399">
        <f t="shared" si="59"/>
        <v>109472.67968</v>
      </c>
      <c r="AH46" s="132"/>
      <c r="AI46" s="400">
        <f t="shared" si="12"/>
        <v>0</v>
      </c>
      <c r="AJ46" s="401">
        <f t="shared" si="13"/>
        <v>0</v>
      </c>
      <c r="AK46" s="52"/>
      <c r="AL46" s="429">
        <f>VLOOKUP($B46,'Proposed Rates'!$D$252:$J$258,+AL$11-2,FALSE)</f>
        <v>9.8000000000000004E-2</v>
      </c>
      <c r="AM46" s="574">
        <f>'Proposed Rates'!$K$253*$F$9</f>
        <v>1117068.1599999999</v>
      </c>
      <c r="AN46" s="399">
        <f t="shared" si="61"/>
        <v>109472.67968</v>
      </c>
      <c r="AO46" s="132"/>
      <c r="AP46" s="400">
        <f t="shared" si="15"/>
        <v>0</v>
      </c>
      <c r="AQ46" s="401">
        <f t="shared" si="16"/>
        <v>0</v>
      </c>
      <c r="AR46" s="402"/>
    </row>
    <row r="47" spans="1:44" ht="12" customHeight="1">
      <c r="A47" s="52"/>
      <c r="B47" s="321" t="s">
        <v>267</v>
      </c>
      <c r="C47" s="578" t="str">
        <f t="shared" si="62"/>
        <v>TOU - Mid Peak</v>
      </c>
      <c r="D47" s="395" t="s">
        <v>312</v>
      </c>
      <c r="E47" s="321"/>
      <c r="F47" s="429">
        <f>VLOOKUP($B47,'Proposed Rates'!$D$252:$J$258,+F$11-2,FALSE)</f>
        <v>0.157</v>
      </c>
      <c r="G47" s="574">
        <f>'Proposed Rates'!$K$254*$F$9</f>
        <v>314175.42</v>
      </c>
      <c r="H47" s="399">
        <f t="shared" si="51"/>
        <v>49325.540939999999</v>
      </c>
      <c r="I47" s="132"/>
      <c r="J47" s="429">
        <f>VLOOKUP($B47,'Proposed Rates'!$D$252:$J$258,+J$11-2,FALSE)</f>
        <v>0.157</v>
      </c>
      <c r="K47" s="574">
        <f>'Proposed Rates'!$K$254*$F$9</f>
        <v>314175.42</v>
      </c>
      <c r="L47" s="399">
        <f t="shared" si="53"/>
        <v>49325.540939999999</v>
      </c>
      <c r="M47" s="132"/>
      <c r="N47" s="400">
        <f t="shared" si="3"/>
        <v>0</v>
      </c>
      <c r="O47" s="401">
        <f t="shared" si="4"/>
        <v>0</v>
      </c>
      <c r="P47" s="52"/>
      <c r="Q47" s="429">
        <f>VLOOKUP($B47,'Proposed Rates'!$D$252:$J$258,+Q$11-2,FALSE)</f>
        <v>0.157</v>
      </c>
      <c r="R47" s="574">
        <f>'Proposed Rates'!$K$254*$F$9</f>
        <v>314175.42</v>
      </c>
      <c r="S47" s="399">
        <f t="shared" si="55"/>
        <v>49325.540939999999</v>
      </c>
      <c r="T47" s="132"/>
      <c r="U47" s="400">
        <f t="shared" si="6"/>
        <v>0</v>
      </c>
      <c r="V47" s="401">
        <f t="shared" si="7"/>
        <v>0</v>
      </c>
      <c r="W47" s="52"/>
      <c r="X47" s="429">
        <f>VLOOKUP($B47,'Proposed Rates'!$D$252:$J$258,+X$11-2,FALSE)</f>
        <v>0.157</v>
      </c>
      <c r="Y47" s="574">
        <f>'Proposed Rates'!$K$254*$F$9</f>
        <v>314175.42</v>
      </c>
      <c r="Z47" s="399">
        <f t="shared" si="57"/>
        <v>49325.540939999999</v>
      </c>
      <c r="AA47" s="132"/>
      <c r="AB47" s="400">
        <f t="shared" si="9"/>
        <v>0</v>
      </c>
      <c r="AC47" s="401">
        <f t="shared" si="10"/>
        <v>0</v>
      </c>
      <c r="AD47" s="52"/>
      <c r="AE47" s="429">
        <f>VLOOKUP($B47,'Proposed Rates'!$D$252:$J$258,+AE$11-2,FALSE)</f>
        <v>0.157</v>
      </c>
      <c r="AF47" s="574">
        <f>'Proposed Rates'!$K$254*$F$9</f>
        <v>314175.42</v>
      </c>
      <c r="AG47" s="399">
        <f t="shared" si="59"/>
        <v>49325.540939999999</v>
      </c>
      <c r="AH47" s="132"/>
      <c r="AI47" s="400">
        <f t="shared" si="12"/>
        <v>0</v>
      </c>
      <c r="AJ47" s="401">
        <f t="shared" si="13"/>
        <v>0</v>
      </c>
      <c r="AK47" s="52"/>
      <c r="AL47" s="429">
        <f>VLOOKUP($B47,'Proposed Rates'!$D$252:$J$258,+AL$11-2,FALSE)</f>
        <v>0.157</v>
      </c>
      <c r="AM47" s="574">
        <f>'Proposed Rates'!$K$254*$F$9</f>
        <v>314175.42</v>
      </c>
      <c r="AN47" s="399">
        <f t="shared" si="61"/>
        <v>49325.540939999999</v>
      </c>
      <c r="AO47" s="132"/>
      <c r="AP47" s="400">
        <f t="shared" si="15"/>
        <v>0</v>
      </c>
      <c r="AQ47" s="401">
        <f t="shared" si="16"/>
        <v>0</v>
      </c>
      <c r="AR47" s="402"/>
    </row>
    <row r="48" spans="1:44" ht="12" customHeight="1">
      <c r="A48" s="52"/>
      <c r="B48" s="321" t="s">
        <v>268</v>
      </c>
      <c r="C48" s="578" t="str">
        <f t="shared" si="62"/>
        <v>TOU - On Peak</v>
      </c>
      <c r="D48" s="395" t="s">
        <v>312</v>
      </c>
      <c r="E48" s="321"/>
      <c r="F48" s="429">
        <f>VLOOKUP($B48,'Proposed Rates'!$D$252:$J$258,+F$11-2,FALSE)</f>
        <v>0.20300000000000001</v>
      </c>
      <c r="G48" s="574">
        <f>'Proposed Rates'!$K$255*$F$9</f>
        <v>314175.42</v>
      </c>
      <c r="H48" s="399">
        <f t="shared" si="51"/>
        <v>63777.610260000001</v>
      </c>
      <c r="I48" s="132"/>
      <c r="J48" s="429">
        <f>VLOOKUP($B48,'Proposed Rates'!$D$252:$J$258,+J$11-2,FALSE)</f>
        <v>0.20300000000000001</v>
      </c>
      <c r="K48" s="574">
        <f>'Proposed Rates'!$K$255*$F$9</f>
        <v>314175.42</v>
      </c>
      <c r="L48" s="399">
        <f t="shared" si="53"/>
        <v>63777.610260000001</v>
      </c>
      <c r="M48" s="132"/>
      <c r="N48" s="400">
        <f t="shared" si="3"/>
        <v>0</v>
      </c>
      <c r="O48" s="401">
        <f t="shared" si="4"/>
        <v>0</v>
      </c>
      <c r="P48" s="52"/>
      <c r="Q48" s="429">
        <f>VLOOKUP($B48,'Proposed Rates'!$D$252:$J$258,+Q$11-2,FALSE)</f>
        <v>0.20300000000000001</v>
      </c>
      <c r="R48" s="574">
        <f>'Proposed Rates'!$K$255*$F$9</f>
        <v>314175.42</v>
      </c>
      <c r="S48" s="399">
        <f t="shared" si="55"/>
        <v>63777.610260000001</v>
      </c>
      <c r="T48" s="132"/>
      <c r="U48" s="400">
        <f t="shared" si="6"/>
        <v>0</v>
      </c>
      <c r="V48" s="401">
        <f t="shared" si="7"/>
        <v>0</v>
      </c>
      <c r="W48" s="52"/>
      <c r="X48" s="429">
        <f>VLOOKUP($B48,'Proposed Rates'!$D$252:$J$258,+X$11-2,FALSE)</f>
        <v>0.20300000000000001</v>
      </c>
      <c r="Y48" s="574">
        <f>'Proposed Rates'!$K$255*$F$9</f>
        <v>314175.42</v>
      </c>
      <c r="Z48" s="399">
        <f t="shared" si="57"/>
        <v>63777.610260000001</v>
      </c>
      <c r="AA48" s="132"/>
      <c r="AB48" s="400">
        <f t="shared" si="9"/>
        <v>0</v>
      </c>
      <c r="AC48" s="401">
        <f t="shared" si="10"/>
        <v>0</v>
      </c>
      <c r="AD48" s="52"/>
      <c r="AE48" s="429">
        <f>VLOOKUP($B48,'Proposed Rates'!$D$252:$J$258,+AE$11-2,FALSE)</f>
        <v>0.20300000000000001</v>
      </c>
      <c r="AF48" s="574">
        <f>'Proposed Rates'!$K$255*$F$9</f>
        <v>314175.42</v>
      </c>
      <c r="AG48" s="399">
        <f t="shared" si="59"/>
        <v>63777.610260000001</v>
      </c>
      <c r="AH48" s="132"/>
      <c r="AI48" s="400">
        <f t="shared" si="12"/>
        <v>0</v>
      </c>
      <c r="AJ48" s="401">
        <f t="shared" si="13"/>
        <v>0</v>
      </c>
      <c r="AK48" s="52"/>
      <c r="AL48" s="429">
        <f>VLOOKUP($B48,'Proposed Rates'!$D$252:$J$258,+AL$11-2,FALSE)</f>
        <v>0.20300000000000001</v>
      </c>
      <c r="AM48" s="574">
        <f>'Proposed Rates'!$K$255*$F$9</f>
        <v>314175.42</v>
      </c>
      <c r="AN48" s="399">
        <f t="shared" si="61"/>
        <v>63777.610260000001</v>
      </c>
      <c r="AO48" s="132"/>
      <c r="AP48" s="400">
        <f t="shared" si="15"/>
        <v>0</v>
      </c>
      <c r="AQ48" s="401">
        <f t="shared" si="16"/>
        <v>0</v>
      </c>
      <c r="AR48" s="402"/>
    </row>
    <row r="49" spans="1:44" ht="12" customHeight="1">
      <c r="A49" s="52"/>
      <c r="B49" s="321" t="s">
        <v>269</v>
      </c>
      <c r="C49" s="578" t="str">
        <f t="shared" si="62"/>
        <v>Energy - RPP - Tier 1</v>
      </c>
      <c r="D49" s="395" t="s">
        <v>312</v>
      </c>
      <c r="E49" s="321"/>
      <c r="F49" s="429">
        <f>VLOOKUP($B49,'Proposed Rates'!$D$252:$J$258,+F$11-2,FALSE)</f>
        <v>0.12</v>
      </c>
      <c r="G49" s="574">
        <f>IF(AND($S$2=1, F12&gt;=600), 600, IF(AND($S$2=1, AND(F12&lt;600, F12&gt;=0)), F12, IF(AND($S$2=2, F12&gt;=1000), 1000, IF(AND($S$2=2, AND(F12&lt;1000, F12&gt;=0)), F12))))</f>
        <v>600</v>
      </c>
      <c r="H49" s="399">
        <f t="shared" si="51"/>
        <v>72</v>
      </c>
      <c r="I49" s="132"/>
      <c r="J49" s="429">
        <f>VLOOKUP($B49,'Proposed Rates'!$D$252:$J$258,+J$11-2,FALSE)</f>
        <v>0.12</v>
      </c>
      <c r="K49" s="574">
        <f>IF(AND($S$2=1, J12&gt;=600), 600, IF(AND($S$2=1, AND(J12&lt;600, J12&gt;=0)), J12, IF(AND($S$2=2, J12&gt;=1000), 1000, IF(AND($S$2=2, AND(J12&lt;1000, J12&gt;=0)), J12))))</f>
        <v>600</v>
      </c>
      <c r="L49" s="399">
        <f t="shared" si="53"/>
        <v>72</v>
      </c>
      <c r="M49" s="132"/>
      <c r="N49" s="400">
        <f t="shared" si="3"/>
        <v>0</v>
      </c>
      <c r="O49" s="401">
        <f t="shared" si="4"/>
        <v>0</v>
      </c>
      <c r="P49" s="52"/>
      <c r="Q49" s="429">
        <f>VLOOKUP($B49,'Proposed Rates'!$D$252:$J$258,+Q$11-2,FALSE)</f>
        <v>0.12</v>
      </c>
      <c r="R49" s="574">
        <f>IF(AND($S$2=1, Q12&gt;=600), 600, IF(AND($S$2=1, AND(Q12&lt;600, Q12&gt;=0)), Q12, IF(AND($S$2=2, Q12&gt;=1000), 1000, IF(AND($S$2=2, AND(Q12&lt;1000, Q12&gt;=0)), Q12))))</f>
        <v>600</v>
      </c>
      <c r="S49" s="399">
        <f t="shared" si="55"/>
        <v>72</v>
      </c>
      <c r="T49" s="132"/>
      <c r="U49" s="400">
        <f t="shared" si="6"/>
        <v>0</v>
      </c>
      <c r="V49" s="401">
        <f t="shared" si="7"/>
        <v>0</v>
      </c>
      <c r="W49" s="52"/>
      <c r="X49" s="429">
        <f>VLOOKUP($B49,'Proposed Rates'!$D$252:$J$258,+X$11-2,FALSE)</f>
        <v>0.12</v>
      </c>
      <c r="Y49" s="574">
        <f>IF(AND($S$2=1, X12&gt;=600), 600, IF(AND($S$2=1, AND(X12&lt;600, X12&gt;=0)), X12, IF(AND($S$2=2, X12&gt;=1000), 1000, IF(AND($S$2=2, AND(X12&lt;1000, X12&gt;=0)), X12))))</f>
        <v>600</v>
      </c>
      <c r="Z49" s="399">
        <f t="shared" si="57"/>
        <v>72</v>
      </c>
      <c r="AA49" s="132"/>
      <c r="AB49" s="400">
        <f t="shared" si="9"/>
        <v>0</v>
      </c>
      <c r="AC49" s="401">
        <f t="shared" si="10"/>
        <v>0</v>
      </c>
      <c r="AD49" s="52"/>
      <c r="AE49" s="429">
        <f>VLOOKUP($B49,'Proposed Rates'!$D$252:$J$258,+AE$11-2,FALSE)</f>
        <v>0.12</v>
      </c>
      <c r="AF49" s="574">
        <f>IF(AND($S$2=1, AE12&gt;=600), 600, IF(AND($S$2=1, AND(AE12&lt;600, AE12&gt;=0)), AE12, IF(AND($S$2=2, AE12&gt;=1000), 1000, IF(AND($S$2=2, AND(AE12&lt;1000, AE12&gt;=0)), AE12))))</f>
        <v>600</v>
      </c>
      <c r="AG49" s="399">
        <f t="shared" si="59"/>
        <v>72</v>
      </c>
      <c r="AH49" s="132"/>
      <c r="AI49" s="400">
        <f t="shared" si="12"/>
        <v>0</v>
      </c>
      <c r="AJ49" s="401">
        <f t="shared" si="13"/>
        <v>0</v>
      </c>
      <c r="AK49" s="52"/>
      <c r="AL49" s="429">
        <f>VLOOKUP($B49,'Proposed Rates'!$D$252:$J$258,+AL$11-2,FALSE)</f>
        <v>0.12</v>
      </c>
      <c r="AM49" s="574">
        <f>IF(AND($S$2=1, AL12&gt;=600), 600, IF(AND($S$2=1, AND(AL12&lt;600, AL12&gt;=0)), AL12, IF(AND($S$2=2, AL12&gt;=1000), 1000, IF(AND($S$2=2, AND(AL12&lt;1000, AL12&gt;=0)), AL12))))</f>
        <v>600</v>
      </c>
      <c r="AN49" s="399">
        <f t="shared" si="61"/>
        <v>72</v>
      </c>
      <c r="AO49" s="132"/>
      <c r="AP49" s="400">
        <f t="shared" si="15"/>
        <v>0</v>
      </c>
      <c r="AQ49" s="401">
        <f t="shared" si="16"/>
        <v>0</v>
      </c>
      <c r="AR49" s="402"/>
    </row>
    <row r="50" spans="1:44" ht="12" customHeight="1">
      <c r="A50" s="52"/>
      <c r="B50" s="321" t="s">
        <v>270</v>
      </c>
      <c r="C50" s="578" t="str">
        <f t="shared" si="62"/>
        <v>Energy - RPP - Tier 2</v>
      </c>
      <c r="D50" s="395" t="s">
        <v>312</v>
      </c>
      <c r="E50" s="321"/>
      <c r="F50" s="429">
        <f>VLOOKUP($B50,'Proposed Rates'!$D$252:$J$258,+F$11-2,FALSE)</f>
        <v>0.14199999999999999</v>
      </c>
      <c r="G50" s="574">
        <f>IF(AND($S$2=1, $F$9&gt;=600), $F$9-600, IF(AND($S$2=1, AND($F$9&lt;600, $F$9&gt;=0)), 0, IF(AND($S$2=2, $F$9&gt;=1000), $F$9-1000, IF(AND($S$2=2, AND($F$9&lt;1000, $F$9&gt;=0)), 0))))</f>
        <v>1744819</v>
      </c>
      <c r="H50" s="399">
        <f t="shared" si="51"/>
        <v>247764.29799999998</v>
      </c>
      <c r="I50" s="132"/>
      <c r="J50" s="429">
        <f>VLOOKUP($B50,'Proposed Rates'!$D$252:$J$258,+J$11-2,FALSE)</f>
        <v>0.14199999999999999</v>
      </c>
      <c r="K50" s="574">
        <f>IF(AND($S$2=1, $F$9&gt;=600), $F$9-600, IF(AND($S$2=1, AND($F$9&lt;600, $F$9&gt;=0)), 0, IF(AND($S$2=2, $F$9&gt;=1000), $F$9-1000, IF(AND($S$2=2, AND($F$9&lt;1000, $F$9&gt;=0)), 0))))</f>
        <v>1744819</v>
      </c>
      <c r="L50" s="399">
        <f t="shared" si="53"/>
        <v>247764.29799999998</v>
      </c>
      <c r="M50" s="132"/>
      <c r="N50" s="400">
        <f t="shared" si="3"/>
        <v>0</v>
      </c>
      <c r="O50" s="401">
        <f t="shared" si="4"/>
        <v>0</v>
      </c>
      <c r="P50" s="52"/>
      <c r="Q50" s="429">
        <f>VLOOKUP($B50,'Proposed Rates'!$D$252:$J$258,+Q$11-2,FALSE)</f>
        <v>0.14199999999999999</v>
      </c>
      <c r="R50" s="574">
        <f>IF(AND($S$2=1, $F$9&gt;=600), $F$9-600, IF(AND($S$2=1, AND($F$9&lt;600, $F$9&gt;=0)), 0, IF(AND($S$2=2, $F$9&gt;=1000), $F$9-1000, IF(AND($S$2=2, AND($F$9&lt;1000, $F$9&gt;=0)), 0))))</f>
        <v>1744819</v>
      </c>
      <c r="S50" s="399">
        <f t="shared" si="55"/>
        <v>247764.29799999998</v>
      </c>
      <c r="T50" s="132"/>
      <c r="U50" s="400">
        <f t="shared" si="6"/>
        <v>0</v>
      </c>
      <c r="V50" s="401">
        <f t="shared" si="7"/>
        <v>0</v>
      </c>
      <c r="W50" s="52"/>
      <c r="X50" s="429">
        <f>VLOOKUP($B50,'Proposed Rates'!$D$252:$J$258,+X$11-2,FALSE)</f>
        <v>0.14199999999999999</v>
      </c>
      <c r="Y50" s="574">
        <f>IF(AND($S$2=1, $F$9&gt;=600), $F$9-600, IF(AND($S$2=1, AND($F$9&lt;600, $F$9&gt;=0)), 0, IF(AND($S$2=2, $F$9&gt;=1000), $F$9-1000, IF(AND($S$2=2, AND($F$9&lt;1000, $F$9&gt;=0)), 0))))</f>
        <v>1744819</v>
      </c>
      <c r="Z50" s="399">
        <f t="shared" si="57"/>
        <v>247764.29799999998</v>
      </c>
      <c r="AA50" s="132"/>
      <c r="AB50" s="400">
        <f t="shared" si="9"/>
        <v>0</v>
      </c>
      <c r="AC50" s="401">
        <f t="shared" si="10"/>
        <v>0</v>
      </c>
      <c r="AD50" s="52"/>
      <c r="AE50" s="429">
        <f>VLOOKUP($B50,'Proposed Rates'!$D$252:$J$258,+AE$11-2,FALSE)</f>
        <v>0.14199999999999999</v>
      </c>
      <c r="AF50" s="574">
        <f>IF(AND($S$2=1, $F$9&gt;=600), $F$9-600, IF(AND($S$2=1, AND($F$9&lt;600, $F$9&gt;=0)), 0, IF(AND($S$2=2, $F$9&gt;=1000), $F$9-1000, IF(AND($S$2=2, AND($F$9&lt;1000, $F$9&gt;=0)), 0))))</f>
        <v>1744819</v>
      </c>
      <c r="AG50" s="399">
        <f t="shared" si="59"/>
        <v>247764.29799999998</v>
      </c>
      <c r="AH50" s="132"/>
      <c r="AI50" s="400">
        <f t="shared" si="12"/>
        <v>0</v>
      </c>
      <c r="AJ50" s="401">
        <f t="shared" si="13"/>
        <v>0</v>
      </c>
      <c r="AK50" s="52"/>
      <c r="AL50" s="429">
        <f>VLOOKUP($B50,'Proposed Rates'!$D$252:$J$258,+AL$11-2,FALSE)</f>
        <v>0.14199999999999999</v>
      </c>
      <c r="AM50" s="574">
        <f>IF(AND($S$2=1, $F$9&gt;=600), $F$9-600, IF(AND($S$2=1, AND($F$9&lt;600, $F$9&gt;=0)), 0, IF(AND($S$2=2, $F$9&gt;=1000), $F$9-1000, IF(AND($S$2=2, AND($F$9&lt;1000, $F$9&gt;=0)), 0))))</f>
        <v>1744819</v>
      </c>
      <c r="AN50" s="399">
        <f t="shared" si="61"/>
        <v>247764.29799999998</v>
      </c>
      <c r="AO50" s="132"/>
      <c r="AP50" s="400">
        <f t="shared" si="15"/>
        <v>0</v>
      </c>
      <c r="AQ50" s="401">
        <f t="shared" si="16"/>
        <v>0</v>
      </c>
      <c r="AR50" s="402"/>
    </row>
    <row r="51" spans="1:44" ht="12" customHeight="1">
      <c r="A51" s="52"/>
      <c r="B51" s="433"/>
      <c r="C51" s="583"/>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 customHeight="1">
      <c r="A52" s="52"/>
      <c r="B52" s="443" t="s">
        <v>319</v>
      </c>
      <c r="C52" s="580"/>
      <c r="D52" s="321"/>
      <c r="E52" s="321"/>
      <c r="F52" s="444"/>
      <c r="G52" s="488"/>
      <c r="H52" s="446">
        <f>SUM(H43:H48,H42)</f>
        <v>409769.45018174394</v>
      </c>
      <c r="I52" s="481"/>
      <c r="J52" s="445"/>
      <c r="K52" s="445"/>
      <c r="L52" s="446">
        <f>SUM(L43:L48,L42)</f>
        <v>403004.02225075604</v>
      </c>
      <c r="M52" s="448"/>
      <c r="N52" s="447">
        <f t="shared" ref="N52:N56" si="63">L52-H52</f>
        <v>-6765.4279309879057</v>
      </c>
      <c r="O52" s="449">
        <f t="shared" ref="O52:O56" si="64">IF((H52)=0,"",(N52/H52))</f>
        <v>-1.6510327765984639E-2</v>
      </c>
      <c r="P52" s="52"/>
      <c r="Q52" s="445"/>
      <c r="R52" s="445"/>
      <c r="S52" s="446">
        <f>SUM(S43:S48,S42)</f>
        <v>369894.06097435596</v>
      </c>
      <c r="T52" s="448"/>
      <c r="U52" s="447">
        <f t="shared" ref="U52:U56" si="65">S52-L52</f>
        <v>-33109.961276400078</v>
      </c>
      <c r="V52" s="449">
        <f t="shared" ref="V52:V56" si="66">IF((L52)=0,"",(U52/L52))</f>
        <v>-8.2157892845542091E-2</v>
      </c>
      <c r="W52" s="52"/>
      <c r="X52" s="445"/>
      <c r="Y52" s="445"/>
      <c r="Z52" s="446">
        <f>SUM(Z43:Z48,Z42)</f>
        <v>376510.53087715595</v>
      </c>
      <c r="AA52" s="448"/>
      <c r="AB52" s="447">
        <f t="shared" ref="AB52:AB56" si="67">Z52-S52</f>
        <v>6616.4699027999886</v>
      </c>
      <c r="AC52" s="449">
        <f t="shared" ref="AC52:AC56" si="68">IF((S52)=0,"",(AB52/S52))</f>
        <v>1.788747266006711E-2</v>
      </c>
      <c r="AD52" s="52"/>
      <c r="AE52" s="445"/>
      <c r="AF52" s="445"/>
      <c r="AG52" s="446">
        <f>SUM(AG43:AG48,AG42)</f>
        <v>376961.64054475597</v>
      </c>
      <c r="AH52" s="448"/>
      <c r="AI52" s="447">
        <f t="shared" ref="AI52:AI56" si="69">AG52-Z52</f>
        <v>451.10966760001611</v>
      </c>
      <c r="AJ52" s="449">
        <f t="shared" ref="AJ52:AJ56" si="70">IF((Z52)=0,"",(AI52/Z52))</f>
        <v>1.1981329354827518E-3</v>
      </c>
      <c r="AK52" s="52"/>
      <c r="AL52" s="445"/>
      <c r="AM52" s="445"/>
      <c r="AN52" s="446">
        <f>SUM(AN43:AN48,AN42)</f>
        <v>377950.28796745598</v>
      </c>
      <c r="AO52" s="448"/>
      <c r="AP52" s="447">
        <f t="shared" ref="AP52:AP56" si="71">AN52-AG52</f>
        <v>988.64742270001443</v>
      </c>
      <c r="AQ52" s="449">
        <f t="shared" ref="AQ52:AQ56" si="72">IF((AG52)=0,"",(AP52/AG52))</f>
        <v>2.6226738117737848E-3</v>
      </c>
      <c r="AR52" s="450"/>
    </row>
    <row r="53" spans="1:44" ht="12" customHeight="1">
      <c r="A53" s="52"/>
      <c r="B53" s="451" t="s">
        <v>320</v>
      </c>
      <c r="C53" s="580"/>
      <c r="D53" s="321"/>
      <c r="E53" s="321"/>
      <c r="F53" s="444">
        <v>0.13</v>
      </c>
      <c r="G53" s="132"/>
      <c r="H53" s="489">
        <f>H52*F53</f>
        <v>53270.028523626715</v>
      </c>
      <c r="I53" s="416"/>
      <c r="J53" s="452">
        <v>0.13</v>
      </c>
      <c r="K53" s="416"/>
      <c r="L53" s="399">
        <f>L52*J53</f>
        <v>52390.522892598288</v>
      </c>
      <c r="M53" s="132"/>
      <c r="N53" s="400">
        <f t="shared" si="63"/>
        <v>-879.50563102842716</v>
      </c>
      <c r="O53" s="401">
        <f t="shared" si="64"/>
        <v>-1.6510327765984625E-2</v>
      </c>
      <c r="P53" s="52"/>
      <c r="Q53" s="452">
        <v>0.13</v>
      </c>
      <c r="R53" s="416"/>
      <c r="S53" s="399">
        <f>S52*Q53</f>
        <v>48086.227926666274</v>
      </c>
      <c r="T53" s="132"/>
      <c r="U53" s="400">
        <f t="shared" si="65"/>
        <v>-4304.2949659320147</v>
      </c>
      <c r="V53" s="401">
        <f t="shared" si="66"/>
        <v>-8.2157892845542174E-2</v>
      </c>
      <c r="W53" s="52"/>
      <c r="X53" s="452">
        <v>0.13</v>
      </c>
      <c r="Y53" s="416"/>
      <c r="Z53" s="399">
        <f>Z52*X53</f>
        <v>48946.369014030279</v>
      </c>
      <c r="AA53" s="132"/>
      <c r="AB53" s="400">
        <f t="shared" si="67"/>
        <v>860.14108736400522</v>
      </c>
      <c r="AC53" s="401">
        <f t="shared" si="68"/>
        <v>1.7887472660067249E-2</v>
      </c>
      <c r="AD53" s="52"/>
      <c r="AE53" s="452">
        <v>0.13</v>
      </c>
      <c r="AF53" s="416"/>
      <c r="AG53" s="399">
        <f>AG52*AE53</f>
        <v>49005.013270818279</v>
      </c>
      <c r="AH53" s="132"/>
      <c r="AI53" s="400">
        <f t="shared" si="69"/>
        <v>58.644256788000348</v>
      </c>
      <c r="AJ53" s="401">
        <f t="shared" si="70"/>
        <v>1.198132935482716E-3</v>
      </c>
      <c r="AK53" s="52"/>
      <c r="AL53" s="452">
        <v>0.13</v>
      </c>
      <c r="AM53" s="416"/>
      <c r="AN53" s="399">
        <f>AN52*AL53</f>
        <v>49133.537435769278</v>
      </c>
      <c r="AO53" s="132"/>
      <c r="AP53" s="400">
        <f t="shared" si="71"/>
        <v>128.52416495099897</v>
      </c>
      <c r="AQ53" s="401">
        <f t="shared" si="72"/>
        <v>2.6226738117737253E-3</v>
      </c>
      <c r="AR53" s="402"/>
    </row>
    <row r="54" spans="1:44" ht="12" customHeight="1">
      <c r="A54" s="52"/>
      <c r="B54" s="453" t="s">
        <v>428</v>
      </c>
      <c r="C54" s="580"/>
      <c r="D54" s="321"/>
      <c r="E54" s="321"/>
      <c r="F54" s="454"/>
      <c r="G54" s="132"/>
      <c r="H54" s="489">
        <f>H52+H53</f>
        <v>463039.47870537068</v>
      </c>
      <c r="I54" s="416"/>
      <c r="J54" s="416"/>
      <c r="K54" s="416"/>
      <c r="L54" s="399">
        <f>L52+L53</f>
        <v>455394.54514335433</v>
      </c>
      <c r="M54" s="132"/>
      <c r="N54" s="400">
        <f t="shared" si="63"/>
        <v>-7644.9335620163474</v>
      </c>
      <c r="O54" s="401">
        <f t="shared" si="64"/>
        <v>-1.6510327765984666E-2</v>
      </c>
      <c r="P54" s="52"/>
      <c r="Q54" s="416"/>
      <c r="R54" s="416"/>
      <c r="S54" s="399">
        <f>S52+S53</f>
        <v>417980.28890102223</v>
      </c>
      <c r="T54" s="132"/>
      <c r="U54" s="400">
        <f t="shared" si="65"/>
        <v>-37414.256242332107</v>
      </c>
      <c r="V54" s="401">
        <f t="shared" si="66"/>
        <v>-8.2157892845542133E-2</v>
      </c>
      <c r="W54" s="52"/>
      <c r="X54" s="416"/>
      <c r="Y54" s="416"/>
      <c r="Z54" s="399">
        <f>Z52+Z53</f>
        <v>425456.89989118621</v>
      </c>
      <c r="AA54" s="132"/>
      <c r="AB54" s="400">
        <f t="shared" si="67"/>
        <v>7476.6109901639866</v>
      </c>
      <c r="AC54" s="401">
        <f t="shared" si="68"/>
        <v>1.788747266006711E-2</v>
      </c>
      <c r="AD54" s="52"/>
      <c r="AE54" s="416"/>
      <c r="AF54" s="416"/>
      <c r="AG54" s="399">
        <f>AG52+AG53</f>
        <v>425966.65381557425</v>
      </c>
      <c r="AH54" s="132"/>
      <c r="AI54" s="400">
        <f t="shared" si="69"/>
        <v>509.75392438803101</v>
      </c>
      <c r="AJ54" s="401">
        <f t="shared" si="70"/>
        <v>1.1981329354827819E-3</v>
      </c>
      <c r="AK54" s="52"/>
      <c r="AL54" s="416"/>
      <c r="AM54" s="416"/>
      <c r="AN54" s="399">
        <f>AN52+AN53</f>
        <v>427083.82540322526</v>
      </c>
      <c r="AO54" s="132"/>
      <c r="AP54" s="400">
        <f t="shared" si="71"/>
        <v>1117.1715876510134</v>
      </c>
      <c r="AQ54" s="401">
        <f t="shared" si="72"/>
        <v>2.6226738117737778E-3</v>
      </c>
      <c r="AR54" s="402"/>
    </row>
    <row r="55" spans="1:44" ht="12" customHeight="1">
      <c r="A55" s="52"/>
      <c r="B55" s="632" t="s">
        <v>277</v>
      </c>
      <c r="C55" s="623"/>
      <c r="D55" s="623"/>
      <c r="E55" s="321"/>
      <c r="F55" s="454"/>
      <c r="G55" s="132"/>
      <c r="H55" s="491">
        <f>F55*H52</f>
        <v>0</v>
      </c>
      <c r="I55" s="416"/>
      <c r="J55" s="416"/>
      <c r="K55" s="416"/>
      <c r="L55" s="511">
        <f>J55*L52</f>
        <v>0</v>
      </c>
      <c r="M55" s="132"/>
      <c r="N55" s="456">
        <f t="shared" si="63"/>
        <v>0</v>
      </c>
      <c r="O55" s="458" t="str">
        <f t="shared" si="64"/>
        <v/>
      </c>
      <c r="P55" s="52"/>
      <c r="Q55" s="416"/>
      <c r="R55" s="416"/>
      <c r="S55" s="511">
        <f>Q55*S52</f>
        <v>0</v>
      </c>
      <c r="T55" s="132"/>
      <c r="U55" s="456">
        <f t="shared" si="65"/>
        <v>0</v>
      </c>
      <c r="V55" s="458" t="str">
        <f t="shared" si="66"/>
        <v/>
      </c>
      <c r="W55" s="52"/>
      <c r="X55" s="416"/>
      <c r="Y55" s="416"/>
      <c r="Z55" s="511">
        <f>X55*Z52</f>
        <v>0</v>
      </c>
      <c r="AA55" s="132"/>
      <c r="AB55" s="456">
        <f t="shared" si="67"/>
        <v>0</v>
      </c>
      <c r="AC55" s="458" t="str">
        <f t="shared" si="68"/>
        <v/>
      </c>
      <c r="AD55" s="52"/>
      <c r="AE55" s="416"/>
      <c r="AF55" s="416"/>
      <c r="AG55" s="511">
        <f>AE55*AG52</f>
        <v>0</v>
      </c>
      <c r="AH55" s="132"/>
      <c r="AI55" s="456">
        <f t="shared" si="69"/>
        <v>0</v>
      </c>
      <c r="AJ55" s="458" t="str">
        <f t="shared" si="70"/>
        <v/>
      </c>
      <c r="AK55" s="52"/>
      <c r="AL55" s="416"/>
      <c r="AM55" s="416"/>
      <c r="AN55" s="511">
        <f>AL55*AN52</f>
        <v>0</v>
      </c>
      <c r="AO55" s="132"/>
      <c r="AP55" s="456">
        <f t="shared" si="71"/>
        <v>0</v>
      </c>
      <c r="AQ55" s="458" t="str">
        <f t="shared" si="72"/>
        <v/>
      </c>
      <c r="AR55" s="459"/>
    </row>
    <row r="56" spans="1:44" ht="12" customHeight="1">
      <c r="A56" s="52"/>
      <c r="B56" s="634" t="s">
        <v>322</v>
      </c>
      <c r="C56" s="615"/>
      <c r="D56" s="615"/>
      <c r="E56" s="460"/>
      <c r="F56" s="461"/>
      <c r="G56" s="492"/>
      <c r="H56" s="493">
        <f>H54-H55</f>
        <v>463039.47870537068</v>
      </c>
      <c r="I56" s="462"/>
      <c r="J56" s="462"/>
      <c r="K56" s="462"/>
      <c r="L56" s="463">
        <f>L54-L55</f>
        <v>455394.54514335433</v>
      </c>
      <c r="M56" s="464"/>
      <c r="N56" s="465">
        <f t="shared" si="63"/>
        <v>-7644.9335620163474</v>
      </c>
      <c r="O56" s="466">
        <f t="shared" si="64"/>
        <v>-1.6510327765984666E-2</v>
      </c>
      <c r="P56" s="52"/>
      <c r="Q56" s="462"/>
      <c r="R56" s="462"/>
      <c r="S56" s="463">
        <f>S54-S55</f>
        <v>417980.28890102223</v>
      </c>
      <c r="T56" s="464"/>
      <c r="U56" s="465">
        <f t="shared" si="65"/>
        <v>-37414.256242332107</v>
      </c>
      <c r="V56" s="466">
        <f t="shared" si="66"/>
        <v>-8.2157892845542133E-2</v>
      </c>
      <c r="W56" s="52"/>
      <c r="X56" s="462"/>
      <c r="Y56" s="462"/>
      <c r="Z56" s="463">
        <f>Z54-Z55</f>
        <v>425456.89989118621</v>
      </c>
      <c r="AA56" s="464"/>
      <c r="AB56" s="465">
        <f t="shared" si="67"/>
        <v>7476.6109901639866</v>
      </c>
      <c r="AC56" s="466">
        <f t="shared" si="68"/>
        <v>1.788747266006711E-2</v>
      </c>
      <c r="AD56" s="52"/>
      <c r="AE56" s="462"/>
      <c r="AF56" s="462"/>
      <c r="AG56" s="463">
        <f>AG54-AG55</f>
        <v>425966.65381557425</v>
      </c>
      <c r="AH56" s="464"/>
      <c r="AI56" s="465">
        <f t="shared" si="69"/>
        <v>509.75392438803101</v>
      </c>
      <c r="AJ56" s="466">
        <f t="shared" si="70"/>
        <v>1.1981329354827819E-3</v>
      </c>
      <c r="AK56" s="52"/>
      <c r="AL56" s="462"/>
      <c r="AM56" s="462"/>
      <c r="AN56" s="463">
        <f>AN54-AN55</f>
        <v>427083.82540322526</v>
      </c>
      <c r="AO56" s="464"/>
      <c r="AP56" s="465">
        <f t="shared" si="71"/>
        <v>1117.1715876510134</v>
      </c>
      <c r="AQ56" s="466">
        <f t="shared" si="72"/>
        <v>2.6226738117737778E-3</v>
      </c>
      <c r="AR56" s="467"/>
    </row>
    <row r="57" spans="1:44" ht="12" customHeight="1">
      <c r="A57" s="52"/>
      <c r="B57" s="433"/>
      <c r="C57" s="583"/>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 customHeight="1">
      <c r="A58" s="52"/>
      <c r="B58" s="443" t="s">
        <v>323</v>
      </c>
      <c r="C58" s="580"/>
      <c r="D58" s="321"/>
      <c r="E58" s="321"/>
      <c r="F58" s="444"/>
      <c r="G58" s="488"/>
      <c r="H58" s="446">
        <f>SUM(H49:H50,H42,H43:H45)</f>
        <v>435029.91730174393</v>
      </c>
      <c r="I58" s="481"/>
      <c r="J58" s="445"/>
      <c r="K58" s="445"/>
      <c r="L58" s="446">
        <f>SUM(L49:L50,L42,L43:L45)</f>
        <v>428264.48937075603</v>
      </c>
      <c r="M58" s="448"/>
      <c r="N58" s="447">
        <f t="shared" ref="N58:N62" si="73">L58-H58</f>
        <v>-6765.4279309879057</v>
      </c>
      <c r="O58" s="449">
        <f t="shared" ref="O58:O62" si="74">IF((H58)=0,"",(N58/H58))</f>
        <v>-1.5551638317084508E-2</v>
      </c>
      <c r="P58" s="52"/>
      <c r="Q58" s="445"/>
      <c r="R58" s="445"/>
      <c r="S58" s="446">
        <f>SUM(S49:S50,S42,S43:S45)</f>
        <v>395154.52809435601</v>
      </c>
      <c r="T58" s="448"/>
      <c r="U58" s="447">
        <f t="shared" ref="U58:U62" si="75">S58-L58</f>
        <v>-33109.961276400019</v>
      </c>
      <c r="V58" s="449">
        <f t="shared" ref="V58:V62" si="76">IF((L58)=0,"",(U58/L58))</f>
        <v>-7.7311946468053172E-2</v>
      </c>
      <c r="W58" s="52"/>
      <c r="X58" s="445"/>
      <c r="Y58" s="445"/>
      <c r="Z58" s="446">
        <f>SUM(Z49:Z50,Z42,Z43:Z45)</f>
        <v>401770.99799715594</v>
      </c>
      <c r="AA58" s="448"/>
      <c r="AB58" s="447">
        <f t="shared" ref="AB58:AB62" si="77">Z58-S58</f>
        <v>6616.4699027999304</v>
      </c>
      <c r="AC58" s="449">
        <f t="shared" ref="AC58:AC62" si="78">IF((S58)=0,"",(AB58/S58))</f>
        <v>1.6744006287130367E-2</v>
      </c>
      <c r="AD58" s="52"/>
      <c r="AE58" s="445"/>
      <c r="AF58" s="445"/>
      <c r="AG58" s="446">
        <f>SUM(AG49:AG50,AG42,AG43:AG45)</f>
        <v>402222.10766475595</v>
      </c>
      <c r="AH58" s="448"/>
      <c r="AI58" s="447">
        <f t="shared" ref="AI58:AI62" si="79">AG58-Z58</f>
        <v>451.10966760001611</v>
      </c>
      <c r="AJ58" s="449">
        <f t="shared" ref="AJ58:AJ62" si="80">IF((Z58)=0,"",(AI58/Z58))</f>
        <v>1.1228029644967292E-3</v>
      </c>
      <c r="AK58" s="52"/>
      <c r="AL58" s="445"/>
      <c r="AM58" s="445"/>
      <c r="AN58" s="446">
        <f>SUM(AN49:AN50,AN42,AN43:AN45)</f>
        <v>403210.75508745603</v>
      </c>
      <c r="AO58" s="448"/>
      <c r="AP58" s="447">
        <f t="shared" ref="AP58:AP62" si="81">AN58-AG58</f>
        <v>988.64742270007264</v>
      </c>
      <c r="AQ58" s="449">
        <f t="shared" ref="AQ58:AQ62" si="82">IF((AG58)=0,"",(AP58/AG58))</f>
        <v>2.4579639056640078E-3</v>
      </c>
      <c r="AR58" s="450"/>
    </row>
    <row r="59" spans="1:44" ht="12" customHeight="1">
      <c r="A59" s="52"/>
      <c r="B59" s="451" t="s">
        <v>320</v>
      </c>
      <c r="C59" s="580"/>
      <c r="D59" s="321"/>
      <c r="E59" s="321"/>
      <c r="F59" s="444">
        <v>0.13</v>
      </c>
      <c r="G59" s="488"/>
      <c r="H59" s="489">
        <f>H58*F59</f>
        <v>56553.889249226711</v>
      </c>
      <c r="I59" s="416"/>
      <c r="J59" s="444">
        <v>0.13</v>
      </c>
      <c r="K59" s="452"/>
      <c r="L59" s="399">
        <f>L58*J59</f>
        <v>55674.383618198284</v>
      </c>
      <c r="M59" s="132"/>
      <c r="N59" s="400">
        <f t="shared" si="73"/>
        <v>-879.50563102842716</v>
      </c>
      <c r="O59" s="401">
        <f t="shared" si="74"/>
        <v>-1.5551638317084497E-2</v>
      </c>
      <c r="P59" s="52"/>
      <c r="Q59" s="444">
        <v>0.13</v>
      </c>
      <c r="R59" s="452"/>
      <c r="S59" s="399">
        <f>S58*Q59</f>
        <v>51370.088652266284</v>
      </c>
      <c r="T59" s="132"/>
      <c r="U59" s="400">
        <f t="shared" si="75"/>
        <v>-4304.2949659320002</v>
      </c>
      <c r="V59" s="401">
        <f t="shared" si="76"/>
        <v>-7.731194646805313E-2</v>
      </c>
      <c r="W59" s="52"/>
      <c r="X59" s="444">
        <v>0.13</v>
      </c>
      <c r="Y59" s="452"/>
      <c r="Z59" s="399">
        <f>Z58*X59</f>
        <v>52230.229739630275</v>
      </c>
      <c r="AA59" s="132"/>
      <c r="AB59" s="400">
        <f t="shared" si="77"/>
        <v>860.14108736399066</v>
      </c>
      <c r="AC59" s="401">
        <f t="shared" si="78"/>
        <v>1.674400628713036E-2</v>
      </c>
      <c r="AD59" s="52"/>
      <c r="AE59" s="444">
        <v>0.13</v>
      </c>
      <c r="AF59" s="452"/>
      <c r="AG59" s="399">
        <f>AG58*AE59</f>
        <v>52288.873996418275</v>
      </c>
      <c r="AH59" s="132"/>
      <c r="AI59" s="400">
        <f t="shared" si="79"/>
        <v>58.644256788000348</v>
      </c>
      <c r="AJ59" s="401">
        <f t="shared" si="80"/>
        <v>1.1228029644966956E-3</v>
      </c>
      <c r="AK59" s="52"/>
      <c r="AL59" s="444">
        <v>0.13</v>
      </c>
      <c r="AM59" s="452"/>
      <c r="AN59" s="399">
        <f>AN58*AL59</f>
        <v>52417.398161369289</v>
      </c>
      <c r="AO59" s="132"/>
      <c r="AP59" s="400">
        <f t="shared" si="81"/>
        <v>128.52416495101352</v>
      </c>
      <c r="AQ59" s="401">
        <f t="shared" si="82"/>
        <v>2.4579639056640859E-3</v>
      </c>
      <c r="AR59" s="402"/>
    </row>
    <row r="60" spans="1:44" ht="12" customHeight="1">
      <c r="A60" s="52"/>
      <c r="B60" s="453" t="s">
        <v>429</v>
      </c>
      <c r="C60" s="580"/>
      <c r="D60" s="321"/>
      <c r="E60" s="321"/>
      <c r="F60" s="454"/>
      <c r="G60" s="132"/>
      <c r="H60" s="489">
        <f>H58+H59</f>
        <v>491583.80655097065</v>
      </c>
      <c r="I60" s="416"/>
      <c r="J60" s="416"/>
      <c r="K60" s="416"/>
      <c r="L60" s="399">
        <f>L58+L59</f>
        <v>483938.8729889543</v>
      </c>
      <c r="M60" s="132"/>
      <c r="N60" s="400">
        <f t="shared" si="73"/>
        <v>-7644.9335620163474</v>
      </c>
      <c r="O60" s="401">
        <f t="shared" si="74"/>
        <v>-1.5551638317084537E-2</v>
      </c>
      <c r="P60" s="52"/>
      <c r="Q60" s="416"/>
      <c r="R60" s="416"/>
      <c r="S60" s="399">
        <f>S58+S59</f>
        <v>446524.61674662231</v>
      </c>
      <c r="T60" s="132"/>
      <c r="U60" s="400">
        <f t="shared" si="75"/>
        <v>-37414.256242331991</v>
      </c>
      <c r="V60" s="401">
        <f t="shared" si="76"/>
        <v>-7.7311946468053117E-2</v>
      </c>
      <c r="W60" s="52"/>
      <c r="X60" s="416"/>
      <c r="Y60" s="416"/>
      <c r="Z60" s="399">
        <f>Z58+Z59</f>
        <v>454001.22773678624</v>
      </c>
      <c r="AA60" s="132"/>
      <c r="AB60" s="400">
        <f t="shared" si="77"/>
        <v>7476.6109901639284</v>
      </c>
      <c r="AC60" s="401">
        <f t="shared" si="78"/>
        <v>1.6744006287130381E-2</v>
      </c>
      <c r="AD60" s="52"/>
      <c r="AE60" s="416"/>
      <c r="AF60" s="416"/>
      <c r="AG60" s="399">
        <f>AG58+AG59</f>
        <v>454510.98166117421</v>
      </c>
      <c r="AH60" s="132"/>
      <c r="AI60" s="400">
        <f t="shared" si="79"/>
        <v>509.7539243879728</v>
      </c>
      <c r="AJ60" s="401">
        <f t="shared" si="80"/>
        <v>1.122802964496629E-3</v>
      </c>
      <c r="AK60" s="52"/>
      <c r="AL60" s="416"/>
      <c r="AM60" s="416"/>
      <c r="AN60" s="399">
        <f>AN58+AN59</f>
        <v>455628.15324882534</v>
      </c>
      <c r="AO60" s="132"/>
      <c r="AP60" s="400">
        <f t="shared" si="81"/>
        <v>1117.1715876511298</v>
      </c>
      <c r="AQ60" s="401">
        <f t="shared" si="82"/>
        <v>2.4579639056641132E-3</v>
      </c>
      <c r="AR60" s="402"/>
    </row>
    <row r="61" spans="1:44" ht="12" customHeight="1">
      <c r="A61" s="52"/>
      <c r="B61" s="632" t="s">
        <v>277</v>
      </c>
      <c r="C61" s="623"/>
      <c r="D61" s="623"/>
      <c r="E61" s="321"/>
      <c r="F61" s="454"/>
      <c r="G61" s="132"/>
      <c r="H61" s="491">
        <f>F61*H58</f>
        <v>0</v>
      </c>
      <c r="I61" s="416"/>
      <c r="J61" s="416"/>
      <c r="K61" s="416"/>
      <c r="L61" s="511">
        <f>J61*L58</f>
        <v>0</v>
      </c>
      <c r="M61" s="132"/>
      <c r="N61" s="456">
        <f t="shared" si="73"/>
        <v>0</v>
      </c>
      <c r="O61" s="458" t="str">
        <f t="shared" si="74"/>
        <v/>
      </c>
      <c r="P61" s="52"/>
      <c r="Q61" s="416"/>
      <c r="R61" s="416"/>
      <c r="S61" s="511">
        <f>Q61*S58</f>
        <v>0</v>
      </c>
      <c r="T61" s="132"/>
      <c r="U61" s="456">
        <f t="shared" si="75"/>
        <v>0</v>
      </c>
      <c r="V61" s="458" t="str">
        <f t="shared" si="76"/>
        <v/>
      </c>
      <c r="W61" s="52"/>
      <c r="X61" s="416"/>
      <c r="Y61" s="416"/>
      <c r="Z61" s="511">
        <f>X61*Z58</f>
        <v>0</v>
      </c>
      <c r="AA61" s="132"/>
      <c r="AB61" s="456">
        <f t="shared" si="77"/>
        <v>0</v>
      </c>
      <c r="AC61" s="458" t="str">
        <f t="shared" si="78"/>
        <v/>
      </c>
      <c r="AD61" s="52"/>
      <c r="AE61" s="416"/>
      <c r="AF61" s="416"/>
      <c r="AG61" s="511">
        <f>AE61*AG58</f>
        <v>0</v>
      </c>
      <c r="AH61" s="132"/>
      <c r="AI61" s="456">
        <f t="shared" si="79"/>
        <v>0</v>
      </c>
      <c r="AJ61" s="458" t="str">
        <f t="shared" si="80"/>
        <v/>
      </c>
      <c r="AK61" s="52"/>
      <c r="AL61" s="416"/>
      <c r="AM61" s="416"/>
      <c r="AN61" s="511">
        <f>AL61*AN58</f>
        <v>0</v>
      </c>
      <c r="AO61" s="132"/>
      <c r="AP61" s="456">
        <f t="shared" si="81"/>
        <v>0</v>
      </c>
      <c r="AQ61" s="458" t="str">
        <f t="shared" si="82"/>
        <v/>
      </c>
      <c r="AR61" s="459"/>
    </row>
    <row r="62" spans="1:44" ht="12" customHeight="1">
      <c r="A62" s="52"/>
      <c r="B62" s="634" t="s">
        <v>325</v>
      </c>
      <c r="C62" s="615"/>
      <c r="D62" s="615"/>
      <c r="E62" s="460"/>
      <c r="F62" s="468"/>
      <c r="G62" s="494"/>
      <c r="H62" s="495">
        <f>H60-H61</f>
        <v>491583.80655097065</v>
      </c>
      <c r="I62" s="469"/>
      <c r="J62" s="469"/>
      <c r="K62" s="469"/>
      <c r="L62" s="470">
        <f>L60-L61</f>
        <v>483938.8729889543</v>
      </c>
      <c r="M62" s="471"/>
      <c r="N62" s="472">
        <f t="shared" si="73"/>
        <v>-7644.9335620163474</v>
      </c>
      <c r="O62" s="473">
        <f t="shared" si="74"/>
        <v>-1.5551638317084537E-2</v>
      </c>
      <c r="P62" s="52"/>
      <c r="Q62" s="469"/>
      <c r="R62" s="469"/>
      <c r="S62" s="470">
        <f>S60-S61</f>
        <v>446524.61674662231</v>
      </c>
      <c r="T62" s="471"/>
      <c r="U62" s="472">
        <f t="shared" si="75"/>
        <v>-37414.256242331991</v>
      </c>
      <c r="V62" s="473">
        <f t="shared" si="76"/>
        <v>-7.7311946468053117E-2</v>
      </c>
      <c r="W62" s="52"/>
      <c r="X62" s="469"/>
      <c r="Y62" s="469"/>
      <c r="Z62" s="470">
        <f>Z60-Z61</f>
        <v>454001.22773678624</v>
      </c>
      <c r="AA62" s="471"/>
      <c r="AB62" s="472">
        <f t="shared" si="77"/>
        <v>7476.6109901639284</v>
      </c>
      <c r="AC62" s="473">
        <f t="shared" si="78"/>
        <v>1.6744006287130381E-2</v>
      </c>
      <c r="AD62" s="52"/>
      <c r="AE62" s="469"/>
      <c r="AF62" s="469"/>
      <c r="AG62" s="470">
        <f>AG60-AG61</f>
        <v>454510.98166117421</v>
      </c>
      <c r="AH62" s="471"/>
      <c r="AI62" s="472">
        <f t="shared" si="79"/>
        <v>509.7539243879728</v>
      </c>
      <c r="AJ62" s="473">
        <f t="shared" si="80"/>
        <v>1.122802964496629E-3</v>
      </c>
      <c r="AK62" s="52"/>
      <c r="AL62" s="469"/>
      <c r="AM62" s="469"/>
      <c r="AN62" s="470">
        <f>AN60-AN61</f>
        <v>455628.15324882534</v>
      </c>
      <c r="AO62" s="471"/>
      <c r="AP62" s="472">
        <f t="shared" si="81"/>
        <v>1117.1715876511298</v>
      </c>
      <c r="AQ62" s="473">
        <f t="shared" si="82"/>
        <v>2.4579639056641132E-3</v>
      </c>
      <c r="AR62" s="467"/>
    </row>
    <row r="63" spans="1:44" ht="12" customHeight="1">
      <c r="A63" s="52"/>
      <c r="B63" s="433"/>
      <c r="C63" s="583"/>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 customHeight="1">
      <c r="A64" s="52"/>
      <c r="B64" s="52"/>
      <c r="C64" s="576"/>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 customHeight="1">
      <c r="A65" s="52"/>
      <c r="B65" s="307" t="s">
        <v>326</v>
      </c>
      <c r="C65" s="576"/>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 customHeight="1">
      <c r="A66" s="52"/>
      <c r="B66" s="52"/>
      <c r="C66" s="576"/>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8" t="s">
        <v>430</v>
      </c>
      <c r="B67" s="52"/>
      <c r="C67" s="576"/>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76"/>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t="s">
        <v>328</v>
      </c>
      <c r="B69" s="52"/>
      <c r="C69" s="576"/>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t="s">
        <v>329</v>
      </c>
      <c r="B70" s="52"/>
      <c r="C70" s="576"/>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76"/>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t="s">
        <v>330</v>
      </c>
      <c r="B72" s="52"/>
      <c r="C72" s="576"/>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t="s">
        <v>331</v>
      </c>
      <c r="B73" s="52"/>
      <c r="C73" s="576"/>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76"/>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t="s">
        <v>332</v>
      </c>
      <c r="B75" s="52"/>
      <c r="C75" s="576"/>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t="s">
        <v>333</v>
      </c>
      <c r="B76" s="52"/>
      <c r="C76" s="576"/>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t="s">
        <v>334</v>
      </c>
      <c r="B77" s="52"/>
      <c r="C77" s="576"/>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t="s">
        <v>335</v>
      </c>
      <c r="B78" s="52"/>
      <c r="C78" s="576"/>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t="s">
        <v>336</v>
      </c>
      <c r="B79" s="52"/>
      <c r="C79" s="576"/>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76"/>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79"/>
      <c r="B81" s="52" t="s">
        <v>337</v>
      </c>
      <c r="C81" s="576"/>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76"/>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338</v>
      </c>
      <c r="C83" s="576"/>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76"/>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76"/>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76"/>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76"/>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76"/>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76"/>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76"/>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76"/>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76"/>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76"/>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76"/>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76"/>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76"/>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76"/>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76"/>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76"/>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76"/>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76"/>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76"/>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76"/>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76"/>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76"/>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76"/>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76"/>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76"/>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76"/>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76"/>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76"/>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76"/>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76"/>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76"/>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76"/>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76"/>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76"/>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76"/>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76"/>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76"/>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76"/>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76"/>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76"/>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76"/>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76"/>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76"/>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76"/>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76"/>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76"/>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76"/>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76"/>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76"/>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76"/>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76"/>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76"/>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76"/>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76"/>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76"/>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76"/>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76"/>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76"/>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76"/>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76"/>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76"/>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76"/>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76"/>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76"/>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76"/>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76"/>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76"/>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76"/>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76"/>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76"/>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76"/>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76"/>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76"/>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76"/>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76"/>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76"/>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76"/>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76"/>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76"/>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76"/>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76"/>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76"/>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76"/>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76"/>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76"/>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76"/>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76"/>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76"/>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76"/>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76"/>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76"/>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76"/>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76"/>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76"/>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76"/>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76"/>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76"/>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76"/>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76"/>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76"/>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76"/>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76"/>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76"/>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76"/>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76"/>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76"/>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76"/>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76"/>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76"/>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76"/>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76"/>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76"/>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76"/>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76"/>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76"/>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76"/>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76"/>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76"/>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76"/>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76"/>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76"/>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76"/>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76"/>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76"/>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76"/>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76"/>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76"/>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76"/>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76"/>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76"/>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76"/>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76"/>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76"/>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76"/>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76"/>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76"/>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76"/>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76"/>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76"/>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76"/>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76"/>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76"/>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76"/>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76"/>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76"/>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76"/>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76"/>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76"/>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76"/>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76"/>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76"/>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76"/>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76"/>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76"/>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76"/>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76"/>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76"/>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76"/>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76"/>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76"/>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76"/>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76"/>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76"/>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76"/>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76"/>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76"/>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76"/>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76"/>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76"/>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76"/>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76"/>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76"/>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76"/>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76"/>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76"/>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76"/>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76"/>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76"/>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76"/>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76"/>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76"/>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76"/>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76"/>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76"/>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76"/>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76"/>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76"/>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76"/>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76"/>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76"/>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76"/>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76"/>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76"/>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76"/>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76"/>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76"/>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76"/>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76"/>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76"/>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76"/>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700-000000000000}">
      <formula1>"TOU,non-TOU"</formula1>
    </dataValidation>
    <dataValidation type="list" allowBlank="1" showErrorMessage="1" sqref="E15:E28 E30:E38 E40:E41 E43:E51 E57 E63" xr:uid="{00000000-0002-0000-2700-000001000000}">
      <formula1>#REF!</formula1>
    </dataValidation>
    <dataValidation type="list" allowBlank="1" showInputMessage="1" showErrorMessage="1" prompt="Select Charge Unit - monthly, per kWh, per kW" sqref="D15:D28 D30:D38 D40:D41 D43:D51 D57 D63" xr:uid="{00000000-0002-0000-2700-000002000000}">
      <formula1>"Monthly,per kWh,per kW"</formula1>
    </dataValidation>
  </dataValidations>
  <pageMargins left="0.74803149606299213" right="0.74803149606299213" top="0.98425196850393704" bottom="0.98425196850393704"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2.28515625" customWidth="1"/>
    <col min="4" max="4" width="11.42578125" customWidth="1"/>
    <col min="5" max="5" width="1.42578125" customWidth="1"/>
    <col min="6" max="6" width="18.5703125" customWidth="1"/>
    <col min="7" max="7" width="8" customWidth="1"/>
    <col min="8" max="8" width="8.28515625" customWidth="1"/>
    <col min="9" max="9" width="0.7109375" customWidth="1"/>
    <col min="10" max="10" width="10.42578125" customWidth="1"/>
    <col min="11" max="11" width="8" customWidth="1"/>
    <col min="12" max="12" width="8.710937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7109375" customWidth="1"/>
    <col min="20" max="20" width="0.7109375" customWidth="1"/>
    <col min="21" max="21" width="9.42578125" customWidth="1"/>
    <col min="22" max="22" width="10" customWidth="1"/>
    <col min="23" max="23" width="0.42578125"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1.7109375" customWidth="1"/>
    <col min="38" max="38" width="10.42578125" customWidth="1"/>
    <col min="39" max="39" width="8" customWidth="1"/>
    <col min="40" max="40" width="8.7109375" customWidth="1"/>
    <col min="41" max="41" width="0.7109375" customWidth="1"/>
    <col min="42" max="42" width="9.42578125" customWidth="1"/>
    <col min="43" max="43" width="10" customWidth="1"/>
    <col min="44" max="44" width="1.28515625" customWidth="1"/>
    <col min="45" max="47" width="12.42578125" customWidth="1"/>
  </cols>
  <sheetData>
    <row r="1" spans="1:47" ht="12" customHeight="1">
      <c r="A1" s="52"/>
      <c r="B1" s="52"/>
      <c r="C1" s="52"/>
      <c r="D1" s="52"/>
      <c r="E1" s="52"/>
      <c r="F1" s="52"/>
      <c r="G1" s="52"/>
      <c r="H1" s="52"/>
      <c r="I1" s="52"/>
      <c r="J1" s="52"/>
      <c r="K1" s="52"/>
      <c r="Q1" s="52"/>
      <c r="R1" s="52"/>
      <c r="S1" s="636" t="s">
        <v>294</v>
      </c>
      <c r="T1" s="637"/>
      <c r="U1" s="637"/>
      <c r="V1" s="637"/>
      <c r="W1" s="637"/>
      <c r="X1" s="637"/>
      <c r="Y1" s="638"/>
      <c r="Z1" s="52"/>
      <c r="AA1" s="52"/>
      <c r="AB1" s="52"/>
      <c r="AC1" s="52"/>
      <c r="AD1" s="52"/>
      <c r="AE1" s="52"/>
      <c r="AF1" s="52"/>
      <c r="AG1" s="52"/>
      <c r="AH1" s="52"/>
      <c r="AI1" s="52"/>
      <c r="AJ1" s="52"/>
      <c r="AK1" s="52"/>
      <c r="AL1" s="52"/>
      <c r="AM1" s="52"/>
      <c r="AN1" s="52"/>
      <c r="AO1" s="52"/>
      <c r="AP1" s="52"/>
      <c r="AQ1" s="52"/>
      <c r="AR1" s="52"/>
    </row>
    <row r="2" spans="1:47" ht="12" customHeight="1">
      <c r="A2" s="52"/>
      <c r="B2" s="52"/>
      <c r="C2" s="378"/>
      <c r="D2" s="378"/>
      <c r="E2" s="378"/>
      <c r="F2" s="378" t="s">
        <v>295</v>
      </c>
      <c r="G2" s="378"/>
      <c r="H2" s="378"/>
      <c r="I2" s="378"/>
      <c r="J2" s="378"/>
      <c r="K2" s="378"/>
      <c r="L2" s="378"/>
      <c r="M2" s="378"/>
      <c r="N2" s="378"/>
      <c r="O2" s="378"/>
      <c r="Q2" s="52"/>
      <c r="R2" s="52"/>
      <c r="S2" s="379">
        <f>'Res (100)'!$S$2</f>
        <v>1</v>
      </c>
      <c r="T2" s="642" t="s">
        <v>296</v>
      </c>
      <c r="U2" s="637"/>
      <c r="V2" s="637"/>
      <c r="W2" s="637"/>
      <c r="X2" s="637"/>
      <c r="Y2" s="638"/>
      <c r="Z2" s="52"/>
      <c r="AA2" s="52"/>
      <c r="AB2" s="52"/>
      <c r="AC2" s="52"/>
      <c r="AD2" s="52"/>
      <c r="AE2" s="52"/>
      <c r="AF2" s="52"/>
      <c r="AG2" s="52"/>
      <c r="AH2" s="52"/>
      <c r="AI2" s="52"/>
      <c r="AJ2" s="52"/>
      <c r="AK2" s="52"/>
      <c r="AL2" s="52"/>
      <c r="AM2" s="52"/>
      <c r="AN2" s="52"/>
      <c r="AO2" s="52"/>
      <c r="AP2" s="52"/>
      <c r="AQ2" s="52"/>
      <c r="AR2" s="52"/>
    </row>
    <row r="3" spans="1:47" ht="12" customHeight="1">
      <c r="A3" s="52"/>
      <c r="B3" s="52"/>
      <c r="C3" s="378"/>
      <c r="D3" s="378"/>
      <c r="E3" s="378"/>
      <c r="F3" s="378" t="s">
        <v>297</v>
      </c>
      <c r="G3" s="378"/>
      <c r="H3" s="378"/>
      <c r="I3" s="378"/>
      <c r="J3" s="378"/>
      <c r="K3" s="378"/>
      <c r="L3" s="378"/>
      <c r="M3" s="378"/>
      <c r="N3" s="378"/>
      <c r="O3" s="378"/>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row>
    <row r="4" spans="1:47" ht="12" customHeight="1">
      <c r="A4" s="52"/>
      <c r="B4" s="52"/>
      <c r="C4" s="52"/>
      <c r="D4" s="52"/>
      <c r="E4" s="52"/>
      <c r="F4" s="52"/>
      <c r="G4" s="52"/>
      <c r="H4" s="52"/>
      <c r="I4" s="52"/>
      <c r="J4" s="52"/>
      <c r="K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row>
    <row r="5" spans="1:47" ht="12" customHeight="1">
      <c r="A5" s="52"/>
      <c r="B5" s="52"/>
      <c r="C5" s="52"/>
      <c r="D5" s="52"/>
      <c r="E5" s="52"/>
      <c r="F5" s="52"/>
      <c r="G5" s="52"/>
      <c r="H5" s="52"/>
      <c r="I5" s="52"/>
      <c r="J5" s="52"/>
      <c r="K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row>
    <row r="6" spans="1:47" ht="12" customHeight="1">
      <c r="A6" s="52"/>
      <c r="B6" s="320" t="s">
        <v>298</v>
      </c>
      <c r="C6" s="52"/>
      <c r="D6" s="504" t="s">
        <v>229</v>
      </c>
      <c r="E6" s="505"/>
      <c r="F6" s="505"/>
      <c r="G6" s="505"/>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3"/>
      <c r="AT6" s="3"/>
      <c r="AU6" s="3"/>
    </row>
    <row r="7" spans="1:47" ht="12" customHeight="1">
      <c r="A7" s="52"/>
      <c r="B7" s="382"/>
      <c r="C7" s="52"/>
      <c r="D7" s="383"/>
      <c r="E7" s="383"/>
      <c r="F7" s="383"/>
      <c r="G7" s="383"/>
      <c r="H7" s="383"/>
      <c r="I7" s="383"/>
      <c r="J7" s="383"/>
      <c r="K7" s="383"/>
      <c r="L7" s="383"/>
      <c r="M7" s="383"/>
      <c r="N7" s="383"/>
      <c r="O7" s="38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3"/>
      <c r="AT7" s="3"/>
      <c r="AU7" s="3"/>
    </row>
    <row r="8" spans="1:47" ht="12" customHeight="1">
      <c r="A8" s="52"/>
      <c r="B8" s="320" t="s">
        <v>299</v>
      </c>
      <c r="C8" s="52"/>
      <c r="D8" s="384" t="s">
        <v>300</v>
      </c>
      <c r="E8" s="383"/>
      <c r="F8" s="383"/>
      <c r="G8" s="383"/>
      <c r="H8" s="383"/>
      <c r="I8" s="383"/>
      <c r="J8" s="383"/>
      <c r="K8" s="383"/>
      <c r="L8" s="383"/>
      <c r="M8" s="383"/>
      <c r="N8" s="383"/>
      <c r="O8" s="383"/>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row>
    <row r="9" spans="1:47" ht="12" customHeight="1">
      <c r="A9" s="52"/>
      <c r="B9" s="382"/>
      <c r="C9" s="52"/>
      <c r="D9" s="307" t="s">
        <v>301</v>
      </c>
      <c r="E9" s="307"/>
      <c r="F9" s="385">
        <v>470</v>
      </c>
      <c r="G9" s="307" t="s">
        <v>302</v>
      </c>
      <c r="H9" s="383"/>
      <c r="I9" s="383"/>
      <c r="J9" s="383"/>
      <c r="K9" s="383"/>
      <c r="L9" s="383"/>
      <c r="M9" s="383"/>
      <c r="N9" s="383"/>
      <c r="O9" s="383"/>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spans="1:47" ht="12" customHeight="1">
      <c r="A10" s="52"/>
      <c r="B10" s="52"/>
      <c r="C10" s="52"/>
      <c r="D10" s="52"/>
      <c r="E10" s="52"/>
      <c r="F10" s="564">
        <v>0</v>
      </c>
      <c r="G10" s="307" t="s">
        <v>380</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row>
    <row r="11" spans="1:47" ht="12" customHeight="1">
      <c r="A11" s="550"/>
      <c r="B11" s="52"/>
      <c r="C11" s="52"/>
      <c r="F11" s="386">
        <v>4</v>
      </c>
      <c r="G11" s="386"/>
      <c r="H11" s="386" t="str">
        <f>F12</f>
        <v>2025A</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c r="AR11" s="386"/>
    </row>
    <row r="12" spans="1:47" ht="12" customHeight="1">
      <c r="A12" s="550"/>
      <c r="B12" s="52"/>
      <c r="C12" s="52"/>
      <c r="D12" s="307"/>
      <c r="E12" s="307"/>
      <c r="F12" s="633" t="s">
        <v>1</v>
      </c>
      <c r="G12" s="595"/>
      <c r="H12" s="596"/>
      <c r="I12" s="52"/>
      <c r="J12" s="633" t="s">
        <v>2</v>
      </c>
      <c r="K12" s="595"/>
      <c r="L12" s="596"/>
      <c r="M12" s="52"/>
      <c r="N12" s="627" t="str">
        <f>"Impact "&amp;F12&amp;" vs "&amp;J12</f>
        <v>Impact 2025A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52"/>
      <c r="AL12" s="633" t="s">
        <v>6</v>
      </c>
      <c r="AM12" s="595"/>
      <c r="AN12" s="596"/>
      <c r="AO12" s="52"/>
      <c r="AP12" s="627" t="str">
        <f>"Impact "&amp;AE12&amp;" vs "&amp;AL12</f>
        <v>Impact 2029F vs 2030F</v>
      </c>
      <c r="AQ12" s="596"/>
      <c r="AR12" s="310"/>
    </row>
    <row r="13" spans="1:47" ht="12" customHeight="1">
      <c r="A13" s="550"/>
      <c r="B13" s="52"/>
      <c r="C13" s="52"/>
      <c r="D13" s="635" t="s">
        <v>303</v>
      </c>
      <c r="E13" s="310"/>
      <c r="F13" s="388" t="s">
        <v>304</v>
      </c>
      <c r="G13" s="388"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52"/>
      <c r="AL13" s="388" t="s">
        <v>304</v>
      </c>
      <c r="AM13" s="389" t="s">
        <v>305</v>
      </c>
      <c r="AN13" s="390" t="s">
        <v>306</v>
      </c>
      <c r="AO13" s="52"/>
      <c r="AP13" s="628" t="s">
        <v>307</v>
      </c>
      <c r="AQ13" s="630" t="s">
        <v>308</v>
      </c>
      <c r="AR13" s="387"/>
    </row>
    <row r="14" spans="1:47" ht="12" customHeight="1">
      <c r="A14" s="550"/>
      <c r="B14" s="52"/>
      <c r="C14" s="52"/>
      <c r="D14" s="623"/>
      <c r="E14" s="310"/>
      <c r="F14" s="391" t="s">
        <v>309</v>
      </c>
      <c r="G14" s="48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52"/>
      <c r="AL14" s="391" t="s">
        <v>309</v>
      </c>
      <c r="AM14" s="392"/>
      <c r="AN14" s="393" t="s">
        <v>309</v>
      </c>
      <c r="AO14" s="52"/>
      <c r="AP14" s="629"/>
      <c r="AQ14" s="631"/>
      <c r="AR14" s="387"/>
    </row>
    <row r="15" spans="1:47" ht="12" customHeight="1">
      <c r="A15" s="550"/>
      <c r="B15" s="321" t="s">
        <v>221</v>
      </c>
      <c r="C15" s="394" t="str">
        <f t="shared" ref="C15:C28" si="0">D$6&amp;"."&amp;B15</f>
        <v>Unmetered Scattered Load.Monthly Service Charge</v>
      </c>
      <c r="D15" s="395" t="s">
        <v>310</v>
      </c>
      <c r="E15" s="321"/>
      <c r="F15" s="396">
        <f>IFERROR(VLOOKUP($C15,'Proposed Rates'!$B:$J,F$11,FALSE),0)</f>
        <v>7.09</v>
      </c>
      <c r="G15" s="414">
        <f t="shared" ref="G15:G28" si="1">IF($D15="Monthly",1,IF($D15="per KW",$F$10,IF($D15="per kWh",$F$9,0)))</f>
        <v>1</v>
      </c>
      <c r="H15" s="399">
        <f t="shared" ref="H15:H28" si="2">G15*F15</f>
        <v>7.09</v>
      </c>
      <c r="I15" s="132"/>
      <c r="J15" s="396">
        <f>IFERROR(VLOOKUP($C15,'Proposed Rates'!$B:$J,J$11,FALSE),0)</f>
        <v>8.34</v>
      </c>
      <c r="K15" s="414">
        <f t="shared" ref="K15:K28" si="3">IF($D15="Monthly",1,IF($D15="per KW",$F$10,IF($D15="per kWh",$F$9,0)))</f>
        <v>1</v>
      </c>
      <c r="L15" s="399">
        <f t="shared" ref="L15:L28" si="4">K15*J15</f>
        <v>8.34</v>
      </c>
      <c r="M15" s="132"/>
      <c r="N15" s="400">
        <f t="shared" ref="N15:N31" si="5">L15-H15</f>
        <v>1.25</v>
      </c>
      <c r="O15" s="401">
        <f t="shared" ref="O15:O31" si="6">IF((H15)=0,"",(N15/H15))</f>
        <v>0.1763046544428773</v>
      </c>
      <c r="P15" s="52"/>
      <c r="Q15" s="396">
        <f>IFERROR(VLOOKUP($C15,'Proposed Rates'!$B:$J,Q$11,FALSE),0)</f>
        <v>8.69</v>
      </c>
      <c r="R15" s="414">
        <f t="shared" ref="R15:R28" si="7">IF($D15="Monthly",1,IF($D15="per KW",$F$10,IF($D15="per kWh",$F$9,0)))</f>
        <v>1</v>
      </c>
      <c r="S15" s="399">
        <f t="shared" ref="S15:S28" si="8">R15*Q15</f>
        <v>8.69</v>
      </c>
      <c r="T15" s="132"/>
      <c r="U15" s="400">
        <f t="shared" ref="U15:U31" si="9">S15-L15</f>
        <v>0.34999999999999964</v>
      </c>
      <c r="V15" s="401">
        <f t="shared" ref="V15:V31" si="10">IF((L15)=0,"",(U15/L15))</f>
        <v>4.1966426858513151E-2</v>
      </c>
      <c r="W15" s="52"/>
      <c r="X15" s="396">
        <f>IFERROR(VLOOKUP($C15,'Proposed Rates'!$B:$J,X$11,FALSE),0)</f>
        <v>9.27</v>
      </c>
      <c r="Y15" s="414">
        <f t="shared" ref="Y15:Y28" si="11">IF($D15="Monthly",1,IF($D15="per KW",$F$10,IF($D15="per kWh",$F$9,0)))</f>
        <v>1</v>
      </c>
      <c r="Z15" s="399">
        <f t="shared" ref="Z15:Z28" si="12">Y15*X15</f>
        <v>9.27</v>
      </c>
      <c r="AA15" s="132"/>
      <c r="AB15" s="400">
        <f t="shared" ref="AB15:AB34" si="13">Z15-S15</f>
        <v>0.58000000000000007</v>
      </c>
      <c r="AC15" s="401">
        <f t="shared" ref="AC15:AC34" si="14">IF((S15)=0,"",(AB15/S15))</f>
        <v>6.6743383199079409E-2</v>
      </c>
      <c r="AD15" s="52"/>
      <c r="AE15" s="396">
        <f>IFERROR(VLOOKUP($C15,'Proposed Rates'!$B:$J,AE$11,FALSE),0)</f>
        <v>9.5500000000000007</v>
      </c>
      <c r="AF15" s="414">
        <f t="shared" ref="AF15:AF28" si="15">IF($D15="Monthly",1,IF($D15="per KW",$F$10,IF($D15="per kWh",$F$9,0)))</f>
        <v>1</v>
      </c>
      <c r="AG15" s="399">
        <f t="shared" ref="AG15:AG28" si="16">AF15*AE15</f>
        <v>9.5500000000000007</v>
      </c>
      <c r="AH15" s="132"/>
      <c r="AI15" s="400">
        <f t="shared" ref="AI15:AI50" si="17">AG15-Z15</f>
        <v>0.28000000000000114</v>
      </c>
      <c r="AJ15" s="401">
        <f t="shared" ref="AJ15:AJ50" si="18">IF((Z15)=0,"",(AI15/Z15))</f>
        <v>3.0204962243797321E-2</v>
      </c>
      <c r="AK15" s="52"/>
      <c r="AL15" s="396">
        <f>IFERROR(VLOOKUP($C15,'Proposed Rates'!$B:$J,AL$11,FALSE),0)</f>
        <v>9.68</v>
      </c>
      <c r="AM15" s="414">
        <f t="shared" ref="AM15:AM28" si="19">IF($D15="Monthly",1,IF($D15="per KW",$F$10,IF($D15="per kWh",$F$9,0)))</f>
        <v>1</v>
      </c>
      <c r="AN15" s="399">
        <f t="shared" ref="AN15:AN28" si="20">AM15*AL15</f>
        <v>9.68</v>
      </c>
      <c r="AO15" s="132"/>
      <c r="AP15" s="400">
        <f t="shared" ref="AP15:AP31" si="21">AN15-AG15</f>
        <v>0.12999999999999901</v>
      </c>
      <c r="AQ15" s="401">
        <f t="shared" ref="AQ15:AQ31" si="22">IF((AG15)=0,"",(AP15/AG15))</f>
        <v>1.3612565445026073E-2</v>
      </c>
      <c r="AR15" s="402"/>
    </row>
    <row r="16" spans="1:47" ht="12" customHeight="1">
      <c r="A16" s="550"/>
      <c r="B16" s="321" t="s">
        <v>311</v>
      </c>
      <c r="C16" s="394" t="str">
        <f t="shared" si="0"/>
        <v>Unmetered Scattered Load.Smart Meter Rate Adder</v>
      </c>
      <c r="D16" s="395" t="s">
        <v>310</v>
      </c>
      <c r="E16" s="321"/>
      <c r="F16" s="396">
        <f>IFERROR(VLOOKUP($C16,'Proposed Rates'!$B:$J,F$11,FALSE),0)</f>
        <v>0</v>
      </c>
      <c r="G16" s="414">
        <f t="shared" si="1"/>
        <v>1</v>
      </c>
      <c r="H16" s="399">
        <f t="shared" si="2"/>
        <v>0</v>
      </c>
      <c r="I16" s="132"/>
      <c r="J16" s="396">
        <f>IFERROR(VLOOKUP($C16,'Proposed Rates'!$B:$J,J$11,FALSE),0)</f>
        <v>0</v>
      </c>
      <c r="K16" s="414">
        <f t="shared" si="3"/>
        <v>1</v>
      </c>
      <c r="L16" s="399">
        <f t="shared" si="4"/>
        <v>0</v>
      </c>
      <c r="M16" s="132"/>
      <c r="N16" s="400">
        <f t="shared" si="5"/>
        <v>0</v>
      </c>
      <c r="O16" s="401" t="str">
        <f t="shared" si="6"/>
        <v/>
      </c>
      <c r="P16" s="52"/>
      <c r="Q16" s="396">
        <f>IFERROR(VLOOKUP($C16,'Proposed Rates'!$B:$J,Q$11,FALSE),0)</f>
        <v>0</v>
      </c>
      <c r="R16" s="414">
        <f t="shared" si="7"/>
        <v>1</v>
      </c>
      <c r="S16" s="399">
        <f t="shared" si="8"/>
        <v>0</v>
      </c>
      <c r="T16" s="132"/>
      <c r="U16" s="400">
        <f t="shared" si="9"/>
        <v>0</v>
      </c>
      <c r="V16" s="401" t="str">
        <f t="shared" si="10"/>
        <v/>
      </c>
      <c r="W16" s="52"/>
      <c r="X16" s="396">
        <f>IFERROR(VLOOKUP($C16,'Proposed Rates'!$B:$J,X$11,FALSE),0)</f>
        <v>0</v>
      </c>
      <c r="Y16" s="414">
        <f t="shared" si="11"/>
        <v>1</v>
      </c>
      <c r="Z16" s="399">
        <f t="shared" si="12"/>
        <v>0</v>
      </c>
      <c r="AA16" s="132"/>
      <c r="AB16" s="400">
        <f t="shared" si="13"/>
        <v>0</v>
      </c>
      <c r="AC16" s="401" t="str">
        <f t="shared" si="14"/>
        <v/>
      </c>
      <c r="AD16" s="52"/>
      <c r="AE16" s="396">
        <f>IFERROR(VLOOKUP($C16,'Proposed Rates'!$B:$J,AE$11,FALSE),0)</f>
        <v>0</v>
      </c>
      <c r="AF16" s="414">
        <f t="shared" si="15"/>
        <v>1</v>
      </c>
      <c r="AG16" s="399">
        <f t="shared" si="16"/>
        <v>0</v>
      </c>
      <c r="AH16" s="132"/>
      <c r="AI16" s="400">
        <f t="shared" si="17"/>
        <v>0</v>
      </c>
      <c r="AJ16" s="401" t="str">
        <f t="shared" si="18"/>
        <v/>
      </c>
      <c r="AK16" s="52"/>
      <c r="AL16" s="396">
        <f>IFERROR(VLOOKUP($C16,'Proposed Rates'!$B:$J,AL$11,FALSE),0)</f>
        <v>0</v>
      </c>
      <c r="AM16" s="414">
        <f t="shared" si="19"/>
        <v>1</v>
      </c>
      <c r="AN16" s="399">
        <f t="shared" si="20"/>
        <v>0</v>
      </c>
      <c r="AO16" s="132"/>
      <c r="AP16" s="400">
        <f t="shared" si="21"/>
        <v>0</v>
      </c>
      <c r="AQ16" s="401" t="str">
        <f t="shared" si="22"/>
        <v/>
      </c>
      <c r="AR16" s="402"/>
    </row>
    <row r="17" spans="1:44" ht="12" customHeight="1">
      <c r="A17" s="550"/>
      <c r="B17" s="403" t="str">
        <f>'Proposed Rates'!C115</f>
        <v>Rate Rider Calculation for PILs</v>
      </c>
      <c r="C17" s="394" t="str">
        <f t="shared" si="0"/>
        <v>Unmetered Scattered Load.Rate Rider Calculation for PILs</v>
      </c>
      <c r="D17" s="395" t="s">
        <v>312</v>
      </c>
      <c r="E17" s="321"/>
      <c r="F17" s="396">
        <f>IFERROR(VLOOKUP($C17,'Proposed Rates'!$B:$J,F$11,FALSE),0)</f>
        <v>0</v>
      </c>
      <c r="G17" s="414">
        <f t="shared" si="1"/>
        <v>470</v>
      </c>
      <c r="H17" s="399">
        <f t="shared" si="2"/>
        <v>0</v>
      </c>
      <c r="I17" s="132"/>
      <c r="J17" s="396">
        <f>IFERROR(VLOOKUP($C17,'Proposed Rates'!$B:$J,J$11,FALSE),0)</f>
        <v>0</v>
      </c>
      <c r="K17" s="414">
        <f t="shared" si="3"/>
        <v>470</v>
      </c>
      <c r="L17" s="399">
        <f t="shared" si="4"/>
        <v>0</v>
      </c>
      <c r="M17" s="132"/>
      <c r="N17" s="400">
        <f t="shared" si="5"/>
        <v>0</v>
      </c>
      <c r="O17" s="401" t="str">
        <f t="shared" si="6"/>
        <v/>
      </c>
      <c r="P17" s="52"/>
      <c r="Q17" s="396">
        <f>IFERROR(VLOOKUP($C17,'Proposed Rates'!$B:$J,Q$11,FALSE),0)</f>
        <v>0</v>
      </c>
      <c r="R17" s="414">
        <f t="shared" si="7"/>
        <v>470</v>
      </c>
      <c r="S17" s="399">
        <f t="shared" si="8"/>
        <v>0</v>
      </c>
      <c r="T17" s="132"/>
      <c r="U17" s="400">
        <f t="shared" si="9"/>
        <v>0</v>
      </c>
      <c r="V17" s="401" t="str">
        <f t="shared" si="10"/>
        <v/>
      </c>
      <c r="W17" s="52"/>
      <c r="X17" s="396">
        <f>IFERROR(VLOOKUP($C17,'Proposed Rates'!$B:$J,X$11,FALSE),0)</f>
        <v>0</v>
      </c>
      <c r="Y17" s="414">
        <f t="shared" si="11"/>
        <v>470</v>
      </c>
      <c r="Z17" s="399">
        <f t="shared" si="12"/>
        <v>0</v>
      </c>
      <c r="AA17" s="132"/>
      <c r="AB17" s="400">
        <f t="shared" si="13"/>
        <v>0</v>
      </c>
      <c r="AC17" s="401" t="str">
        <f t="shared" si="14"/>
        <v/>
      </c>
      <c r="AD17" s="52"/>
      <c r="AE17" s="396">
        <f>IFERROR(VLOOKUP($C17,'Proposed Rates'!$B:$J,AE$11,FALSE),0)</f>
        <v>0</v>
      </c>
      <c r="AF17" s="414">
        <f t="shared" si="15"/>
        <v>470</v>
      </c>
      <c r="AG17" s="399">
        <f t="shared" si="16"/>
        <v>0</v>
      </c>
      <c r="AH17" s="132"/>
      <c r="AI17" s="400">
        <f t="shared" si="17"/>
        <v>0</v>
      </c>
      <c r="AJ17" s="401" t="str">
        <f t="shared" si="18"/>
        <v/>
      </c>
      <c r="AK17" s="52"/>
      <c r="AL17" s="396">
        <f>IFERROR(VLOOKUP($C17,'Proposed Rates'!$B:$J,AL$11,FALSE),0)</f>
        <v>0</v>
      </c>
      <c r="AM17" s="414">
        <f t="shared" si="19"/>
        <v>470</v>
      </c>
      <c r="AN17" s="399">
        <f t="shared" si="20"/>
        <v>0</v>
      </c>
      <c r="AO17" s="132"/>
      <c r="AP17" s="400">
        <f t="shared" si="21"/>
        <v>0</v>
      </c>
      <c r="AQ17" s="401" t="str">
        <f t="shared" si="22"/>
        <v/>
      </c>
      <c r="AR17" s="402"/>
    </row>
    <row r="18" spans="1:44" ht="12" customHeight="1">
      <c r="A18" s="550"/>
      <c r="B18" s="403" t="str">
        <f>'Proposed Rates'!C128</f>
        <v>Rate Rider Calculation for Generic</v>
      </c>
      <c r="C18" s="394" t="str">
        <f t="shared" si="0"/>
        <v>Unmetered Scattered Load.Rate Rider Calculation for Generic</v>
      </c>
      <c r="D18" s="395" t="s">
        <v>312</v>
      </c>
      <c r="E18" s="321"/>
      <c r="F18" s="396">
        <f>IFERROR(VLOOKUP($C18,'Proposed Rates'!$B:$J,F$11,FALSE),0)</f>
        <v>0</v>
      </c>
      <c r="G18" s="414">
        <f t="shared" si="1"/>
        <v>470</v>
      </c>
      <c r="H18" s="399">
        <f t="shared" si="2"/>
        <v>0</v>
      </c>
      <c r="I18" s="132"/>
      <c r="J18" s="396">
        <f>IFERROR(VLOOKUP($C18,'Proposed Rates'!$B:$J,J$11,FALSE),0)</f>
        <v>0</v>
      </c>
      <c r="K18" s="414">
        <f t="shared" si="3"/>
        <v>470</v>
      </c>
      <c r="L18" s="399">
        <f t="shared" si="4"/>
        <v>0</v>
      </c>
      <c r="M18" s="132"/>
      <c r="N18" s="400">
        <f t="shared" si="5"/>
        <v>0</v>
      </c>
      <c r="O18" s="401" t="str">
        <f t="shared" si="6"/>
        <v/>
      </c>
      <c r="P18" s="52"/>
      <c r="Q18" s="396">
        <f>IFERROR(VLOOKUP($C18,'Proposed Rates'!$B:$J,Q$11,FALSE),0)</f>
        <v>0</v>
      </c>
      <c r="R18" s="414">
        <f t="shared" si="7"/>
        <v>470</v>
      </c>
      <c r="S18" s="399">
        <f t="shared" si="8"/>
        <v>0</v>
      </c>
      <c r="T18" s="132"/>
      <c r="U18" s="400">
        <f t="shared" si="9"/>
        <v>0</v>
      </c>
      <c r="V18" s="401" t="str">
        <f t="shared" si="10"/>
        <v/>
      </c>
      <c r="W18" s="52"/>
      <c r="X18" s="396">
        <f>IFERROR(VLOOKUP($C18,'Proposed Rates'!$B:$J,X$11,FALSE),0)</f>
        <v>0</v>
      </c>
      <c r="Y18" s="414">
        <f t="shared" si="11"/>
        <v>470</v>
      </c>
      <c r="Z18" s="399">
        <f t="shared" si="12"/>
        <v>0</v>
      </c>
      <c r="AA18" s="132"/>
      <c r="AB18" s="400">
        <f t="shared" si="13"/>
        <v>0</v>
      </c>
      <c r="AC18" s="401" t="str">
        <f t="shared" si="14"/>
        <v/>
      </c>
      <c r="AD18" s="52"/>
      <c r="AE18" s="396">
        <f>IFERROR(VLOOKUP($C18,'Proposed Rates'!$B:$J,AE$11,FALSE),0)</f>
        <v>0</v>
      </c>
      <c r="AF18" s="414">
        <f t="shared" si="15"/>
        <v>470</v>
      </c>
      <c r="AG18" s="399">
        <f t="shared" si="16"/>
        <v>0</v>
      </c>
      <c r="AH18" s="132"/>
      <c r="AI18" s="400">
        <f t="shared" si="17"/>
        <v>0</v>
      </c>
      <c r="AJ18" s="401" t="str">
        <f t="shared" si="18"/>
        <v/>
      </c>
      <c r="AK18" s="52"/>
      <c r="AL18" s="396">
        <f>IFERROR(VLOOKUP($C18,'Proposed Rates'!$B:$J,AL$11,FALSE),0)</f>
        <v>0</v>
      </c>
      <c r="AM18" s="414">
        <f t="shared" si="19"/>
        <v>470</v>
      </c>
      <c r="AN18" s="399">
        <f t="shared" si="20"/>
        <v>0</v>
      </c>
      <c r="AO18" s="132"/>
      <c r="AP18" s="400">
        <f t="shared" si="21"/>
        <v>0</v>
      </c>
      <c r="AQ18" s="401" t="str">
        <f t="shared" si="22"/>
        <v/>
      </c>
      <c r="AR18" s="402"/>
    </row>
    <row r="19" spans="1:44" ht="12" customHeight="1">
      <c r="A19" s="550"/>
      <c r="B19" s="321" t="s">
        <v>59</v>
      </c>
      <c r="C19" s="394" t="str">
        <f t="shared" si="0"/>
        <v>Unmetered Scattered Load.Distribution Volumetric Rate</v>
      </c>
      <c r="D19" s="395" t="s">
        <v>312</v>
      </c>
      <c r="E19" s="321"/>
      <c r="F19" s="413">
        <f>IFERROR(VLOOKUP($C19,'Proposed Rates'!$B:$J,F$11,FALSE),0)</f>
        <v>3.3799999999999997E-2</v>
      </c>
      <c r="G19" s="414">
        <f t="shared" si="1"/>
        <v>470</v>
      </c>
      <c r="H19" s="399">
        <f t="shared" si="2"/>
        <v>15.885999999999999</v>
      </c>
      <c r="I19" s="132"/>
      <c r="J19" s="413">
        <f>IFERROR(VLOOKUP($C19,'Proposed Rates'!$B:$J,J$11,FALSE),0)</f>
        <v>3.9800000000000002E-2</v>
      </c>
      <c r="K19" s="414">
        <f t="shared" si="3"/>
        <v>470</v>
      </c>
      <c r="L19" s="399">
        <f t="shared" si="4"/>
        <v>18.706</v>
      </c>
      <c r="M19" s="132"/>
      <c r="N19" s="400">
        <f t="shared" si="5"/>
        <v>2.8200000000000003</v>
      </c>
      <c r="O19" s="401">
        <f t="shared" si="6"/>
        <v>0.1775147928994083</v>
      </c>
      <c r="P19" s="52"/>
      <c r="Q19" s="413">
        <f>IFERROR(VLOOKUP($C19,'Proposed Rates'!$B:$J,Q$11,FALSE),0)</f>
        <v>4.1500000000000002E-2</v>
      </c>
      <c r="R19" s="414">
        <f t="shared" si="7"/>
        <v>470</v>
      </c>
      <c r="S19" s="399">
        <f t="shared" si="8"/>
        <v>19.505000000000003</v>
      </c>
      <c r="T19" s="132"/>
      <c r="U19" s="400">
        <f t="shared" si="9"/>
        <v>0.79900000000000304</v>
      </c>
      <c r="V19" s="401">
        <f t="shared" si="10"/>
        <v>4.2713567839196144E-2</v>
      </c>
      <c r="W19" s="52"/>
      <c r="X19" s="413">
        <f>IFERROR(VLOOKUP($C19,'Proposed Rates'!$B:$J,X$11,FALSE),0)</f>
        <v>4.4200000000000003E-2</v>
      </c>
      <c r="Y19" s="414">
        <f t="shared" si="11"/>
        <v>470</v>
      </c>
      <c r="Z19" s="399">
        <f t="shared" si="12"/>
        <v>20.774000000000001</v>
      </c>
      <c r="AA19" s="132"/>
      <c r="AB19" s="400">
        <f t="shared" si="13"/>
        <v>1.2689999999999984</v>
      </c>
      <c r="AC19" s="401">
        <f t="shared" si="14"/>
        <v>6.5060240963855334E-2</v>
      </c>
      <c r="AD19" s="52"/>
      <c r="AE19" s="413">
        <f>IFERROR(VLOOKUP($C19,'Proposed Rates'!$B:$J,AE$11,FALSE),0)</f>
        <v>4.5499999999999999E-2</v>
      </c>
      <c r="AF19" s="414">
        <f t="shared" si="15"/>
        <v>470</v>
      </c>
      <c r="AG19" s="399">
        <f t="shared" si="16"/>
        <v>21.384999999999998</v>
      </c>
      <c r="AH19" s="132"/>
      <c r="AI19" s="400">
        <f t="shared" si="17"/>
        <v>0.6109999999999971</v>
      </c>
      <c r="AJ19" s="401">
        <f t="shared" si="18"/>
        <v>2.9411764705882214E-2</v>
      </c>
      <c r="AK19" s="52"/>
      <c r="AL19" s="413">
        <f>IFERROR(VLOOKUP($C19,'Proposed Rates'!$B:$J,AL$11,FALSE),0)</f>
        <v>4.6199999999999998E-2</v>
      </c>
      <c r="AM19" s="414">
        <f t="shared" si="19"/>
        <v>470</v>
      </c>
      <c r="AN19" s="399">
        <f t="shared" si="20"/>
        <v>21.713999999999999</v>
      </c>
      <c r="AO19" s="132"/>
      <c r="AP19" s="400">
        <f t="shared" si="21"/>
        <v>0.32900000000000063</v>
      </c>
      <c r="AQ19" s="401">
        <f t="shared" si="22"/>
        <v>1.5384615384615415E-2</v>
      </c>
      <c r="AR19" s="402"/>
    </row>
    <row r="20" spans="1:44" ht="12" customHeight="1">
      <c r="A20" s="550"/>
      <c r="B20" s="321" t="s">
        <v>313</v>
      </c>
      <c r="C20" s="394" t="str">
        <f t="shared" si="0"/>
        <v>Unmetered Scattered Load.Smart Meter Disposition Rider</v>
      </c>
      <c r="D20" s="395" t="s">
        <v>312</v>
      </c>
      <c r="E20" s="321"/>
      <c r="F20" s="396">
        <f>IFERROR(VLOOKUP($C20,'Proposed Rates'!$B:$J,F$11,FALSE),0)</f>
        <v>0</v>
      </c>
      <c r="G20" s="414">
        <f t="shared" si="1"/>
        <v>470</v>
      </c>
      <c r="H20" s="399">
        <f t="shared" si="2"/>
        <v>0</v>
      </c>
      <c r="I20" s="132"/>
      <c r="J20" s="396">
        <f>IFERROR(VLOOKUP($C20,'Proposed Rates'!$B:$J,J$11,FALSE),0)</f>
        <v>0</v>
      </c>
      <c r="K20" s="414">
        <f t="shared" si="3"/>
        <v>470</v>
      </c>
      <c r="L20" s="399">
        <f t="shared" si="4"/>
        <v>0</v>
      </c>
      <c r="M20" s="132"/>
      <c r="N20" s="400">
        <f t="shared" si="5"/>
        <v>0</v>
      </c>
      <c r="O20" s="401" t="str">
        <f t="shared" si="6"/>
        <v/>
      </c>
      <c r="P20" s="52"/>
      <c r="Q20" s="396">
        <f>IFERROR(VLOOKUP($C20,'Proposed Rates'!$B:$J,Q$11,FALSE),0)</f>
        <v>0</v>
      </c>
      <c r="R20" s="414">
        <f t="shared" si="7"/>
        <v>470</v>
      </c>
      <c r="S20" s="399">
        <f t="shared" si="8"/>
        <v>0</v>
      </c>
      <c r="T20" s="132"/>
      <c r="U20" s="400">
        <f t="shared" si="9"/>
        <v>0</v>
      </c>
      <c r="V20" s="401" t="str">
        <f t="shared" si="10"/>
        <v/>
      </c>
      <c r="W20" s="52"/>
      <c r="X20" s="396">
        <f>IFERROR(VLOOKUP($C20,'Proposed Rates'!$B:$J,X$11,FALSE),0)</f>
        <v>0</v>
      </c>
      <c r="Y20" s="414">
        <f t="shared" si="11"/>
        <v>470</v>
      </c>
      <c r="Z20" s="399">
        <f t="shared" si="12"/>
        <v>0</v>
      </c>
      <c r="AA20" s="132"/>
      <c r="AB20" s="400">
        <f t="shared" si="13"/>
        <v>0</v>
      </c>
      <c r="AC20" s="401" t="str">
        <f t="shared" si="14"/>
        <v/>
      </c>
      <c r="AD20" s="52"/>
      <c r="AE20" s="396">
        <f>IFERROR(VLOOKUP($C20,'Proposed Rates'!$B:$J,AE$11,FALSE),0)</f>
        <v>0</v>
      </c>
      <c r="AF20" s="414">
        <f t="shared" si="15"/>
        <v>470</v>
      </c>
      <c r="AG20" s="399">
        <f t="shared" si="16"/>
        <v>0</v>
      </c>
      <c r="AH20" s="132"/>
      <c r="AI20" s="400">
        <f t="shared" si="17"/>
        <v>0</v>
      </c>
      <c r="AJ20" s="401" t="str">
        <f t="shared" si="18"/>
        <v/>
      </c>
      <c r="AK20" s="52"/>
      <c r="AL20" s="396">
        <f>IFERROR(VLOOKUP($C20,'Proposed Rates'!$B:$J,AL$11,FALSE),0)</f>
        <v>0</v>
      </c>
      <c r="AM20" s="414">
        <f t="shared" si="19"/>
        <v>470</v>
      </c>
      <c r="AN20" s="399">
        <f t="shared" si="20"/>
        <v>0</v>
      </c>
      <c r="AO20" s="132"/>
      <c r="AP20" s="400">
        <f t="shared" si="21"/>
        <v>0</v>
      </c>
      <c r="AQ20" s="401" t="str">
        <f t="shared" si="22"/>
        <v/>
      </c>
      <c r="AR20" s="402"/>
    </row>
    <row r="21" spans="1:44" ht="12" customHeight="1">
      <c r="A21" s="550"/>
      <c r="B21" s="321" t="s">
        <v>244</v>
      </c>
      <c r="C21" s="394" t="str">
        <f t="shared" si="0"/>
        <v>Unmetered Scattered Load.LRAM Rate Rider</v>
      </c>
      <c r="D21" s="395" t="s">
        <v>312</v>
      </c>
      <c r="E21" s="321"/>
      <c r="F21" s="413">
        <f>'Proposed Rates'!E84+'Proposed Rates'!E97</f>
        <v>0</v>
      </c>
      <c r="G21" s="414">
        <f t="shared" si="1"/>
        <v>470</v>
      </c>
      <c r="H21" s="399">
        <f t="shared" si="2"/>
        <v>0</v>
      </c>
      <c r="I21" s="132"/>
      <c r="J21" s="413">
        <f>'Proposed Rates'!F84+'Proposed Rates'!F97</f>
        <v>-5.0000000000000001E-4</v>
      </c>
      <c r="K21" s="414">
        <f t="shared" si="3"/>
        <v>470</v>
      </c>
      <c r="L21" s="399">
        <f t="shared" si="4"/>
        <v>-0.23500000000000001</v>
      </c>
      <c r="M21" s="132"/>
      <c r="N21" s="400">
        <f t="shared" si="5"/>
        <v>-0.23500000000000001</v>
      </c>
      <c r="O21" s="401" t="str">
        <f t="shared" si="6"/>
        <v/>
      </c>
      <c r="P21" s="52"/>
      <c r="Q21" s="413">
        <f>'Proposed Rates'!G84+'Proposed Rates'!G97</f>
        <v>0</v>
      </c>
      <c r="R21" s="414">
        <f t="shared" si="7"/>
        <v>470</v>
      </c>
      <c r="S21" s="399">
        <f t="shared" si="8"/>
        <v>0</v>
      </c>
      <c r="T21" s="132"/>
      <c r="U21" s="400">
        <f t="shared" si="9"/>
        <v>0.23500000000000001</v>
      </c>
      <c r="V21" s="401">
        <f t="shared" si="10"/>
        <v>-1</v>
      </c>
      <c r="W21" s="52"/>
      <c r="X21" s="396">
        <f>IFERROR(VLOOKUP($C21,'Proposed Rates'!$B:$J,X$11,FALSE),0)</f>
        <v>0</v>
      </c>
      <c r="Y21" s="414">
        <f t="shared" si="11"/>
        <v>470</v>
      </c>
      <c r="Z21" s="399">
        <f t="shared" si="12"/>
        <v>0</v>
      </c>
      <c r="AA21" s="132"/>
      <c r="AB21" s="400">
        <f t="shared" si="13"/>
        <v>0</v>
      </c>
      <c r="AC21" s="401" t="str">
        <f t="shared" si="14"/>
        <v/>
      </c>
      <c r="AD21" s="52"/>
      <c r="AE21" s="396">
        <f>IFERROR(VLOOKUP($C21,'Proposed Rates'!$B:$J,AE$11,FALSE),0)</f>
        <v>0</v>
      </c>
      <c r="AF21" s="414">
        <f t="shared" si="15"/>
        <v>470</v>
      </c>
      <c r="AG21" s="399">
        <f t="shared" si="16"/>
        <v>0</v>
      </c>
      <c r="AH21" s="132"/>
      <c r="AI21" s="400">
        <f t="shared" si="17"/>
        <v>0</v>
      </c>
      <c r="AJ21" s="401" t="str">
        <f t="shared" si="18"/>
        <v/>
      </c>
      <c r="AK21" s="52"/>
      <c r="AL21" s="396">
        <f>IFERROR(VLOOKUP($C21,'Proposed Rates'!$B:$J,AL$11,FALSE),0)</f>
        <v>0</v>
      </c>
      <c r="AM21" s="414">
        <f t="shared" si="19"/>
        <v>470</v>
      </c>
      <c r="AN21" s="399">
        <f t="shared" si="20"/>
        <v>0</v>
      </c>
      <c r="AO21" s="132"/>
      <c r="AP21" s="400">
        <f t="shared" si="21"/>
        <v>0</v>
      </c>
      <c r="AQ21" s="401" t="str">
        <f t="shared" si="22"/>
        <v/>
      </c>
      <c r="AR21" s="402"/>
    </row>
    <row r="22" spans="1:44" ht="12" customHeight="1">
      <c r="A22" s="550"/>
      <c r="B22" s="403" t="s">
        <v>240</v>
      </c>
      <c r="C22" s="394" t="str">
        <f t="shared" si="0"/>
        <v>Unmetered Scattered Load.Deferral/Variance Account Disposition Rate Rider Group 2</v>
      </c>
      <c r="D22" s="395" t="s">
        <v>312</v>
      </c>
      <c r="E22" s="321"/>
      <c r="F22" s="396">
        <f>IFERROR(VLOOKUP($C22,'Proposed Rates'!$B:$J,F$11,FALSE),0)</f>
        <v>0</v>
      </c>
      <c r="G22" s="414">
        <f t="shared" si="1"/>
        <v>470</v>
      </c>
      <c r="H22" s="399">
        <f t="shared" si="2"/>
        <v>0</v>
      </c>
      <c r="I22" s="132"/>
      <c r="J22" s="413">
        <f>IFERROR(VLOOKUP($C22,'Proposed Rates'!$B:$J,J$11,FALSE),0)</f>
        <v>-1.1999999999999999E-3</v>
      </c>
      <c r="K22" s="414">
        <f t="shared" si="3"/>
        <v>470</v>
      </c>
      <c r="L22" s="399">
        <f t="shared" si="4"/>
        <v>-0.56399999999999995</v>
      </c>
      <c r="M22" s="132"/>
      <c r="N22" s="400">
        <f t="shared" si="5"/>
        <v>-0.56399999999999995</v>
      </c>
      <c r="O22" s="401" t="str">
        <f t="shared" si="6"/>
        <v/>
      </c>
      <c r="P22" s="52"/>
      <c r="Q22" s="396">
        <f>IFERROR(VLOOKUP($C22,'Proposed Rates'!$B:$J,Q$11,FALSE),0)</f>
        <v>0</v>
      </c>
      <c r="R22" s="414">
        <f t="shared" si="7"/>
        <v>470</v>
      </c>
      <c r="S22" s="399">
        <f t="shared" si="8"/>
        <v>0</v>
      </c>
      <c r="T22" s="132"/>
      <c r="U22" s="400">
        <f t="shared" si="9"/>
        <v>0.56399999999999995</v>
      </c>
      <c r="V22" s="401">
        <f t="shared" si="10"/>
        <v>-1</v>
      </c>
      <c r="W22" s="52"/>
      <c r="X22" s="396">
        <f>IFERROR(VLOOKUP($C22,'Proposed Rates'!$B:$J,X$11,FALSE),0)</f>
        <v>0</v>
      </c>
      <c r="Y22" s="414">
        <f t="shared" si="11"/>
        <v>470</v>
      </c>
      <c r="Z22" s="399">
        <f t="shared" si="12"/>
        <v>0</v>
      </c>
      <c r="AA22" s="132"/>
      <c r="AB22" s="400">
        <f t="shared" si="13"/>
        <v>0</v>
      </c>
      <c r="AC22" s="401" t="str">
        <f t="shared" si="14"/>
        <v/>
      </c>
      <c r="AD22" s="52"/>
      <c r="AE22" s="396">
        <f>IFERROR(VLOOKUP($C22,'Proposed Rates'!$B:$J,AE$11,FALSE),0)</f>
        <v>0</v>
      </c>
      <c r="AF22" s="414">
        <f t="shared" si="15"/>
        <v>470</v>
      </c>
      <c r="AG22" s="399">
        <f t="shared" si="16"/>
        <v>0</v>
      </c>
      <c r="AH22" s="132"/>
      <c r="AI22" s="400">
        <f t="shared" si="17"/>
        <v>0</v>
      </c>
      <c r="AJ22" s="401" t="str">
        <f t="shared" si="18"/>
        <v/>
      </c>
      <c r="AK22" s="52"/>
      <c r="AL22" s="396">
        <f>IFERROR(VLOOKUP($C22,'Proposed Rates'!$B:$J,AL$11,FALSE),0)</f>
        <v>0</v>
      </c>
      <c r="AM22" s="414">
        <f t="shared" si="19"/>
        <v>470</v>
      </c>
      <c r="AN22" s="399">
        <f t="shared" si="20"/>
        <v>0</v>
      </c>
      <c r="AO22" s="132"/>
      <c r="AP22" s="400">
        <f t="shared" si="21"/>
        <v>0</v>
      </c>
      <c r="AQ22" s="401" t="str">
        <f t="shared" si="22"/>
        <v/>
      </c>
      <c r="AR22" s="402"/>
    </row>
    <row r="23" spans="1:44" ht="12" customHeight="1">
      <c r="A23" s="550"/>
      <c r="B23" s="403"/>
      <c r="C23" s="394" t="str">
        <f t="shared" si="0"/>
        <v>Unmetered Scattered Load.</v>
      </c>
      <c r="D23" s="395"/>
      <c r="E23" s="321"/>
      <c r="F23" s="396">
        <f>IFERROR(VLOOKUP($C23,'Proposed Rates'!$B:$J,F$11,FALSE),0)</f>
        <v>0</v>
      </c>
      <c r="G23" s="414">
        <f t="shared" si="1"/>
        <v>0</v>
      </c>
      <c r="H23" s="399">
        <f t="shared" si="2"/>
        <v>0</v>
      </c>
      <c r="I23" s="132"/>
      <c r="J23" s="396">
        <f>IFERROR(VLOOKUP($C23,'Proposed Rates'!$B:$J,J$11,FALSE),0)</f>
        <v>0</v>
      </c>
      <c r="K23" s="414">
        <f t="shared" si="3"/>
        <v>0</v>
      </c>
      <c r="L23" s="399">
        <f t="shared" si="4"/>
        <v>0</v>
      </c>
      <c r="M23" s="132"/>
      <c r="N23" s="400">
        <f t="shared" si="5"/>
        <v>0</v>
      </c>
      <c r="O23" s="401" t="str">
        <f t="shared" si="6"/>
        <v/>
      </c>
      <c r="P23" s="52"/>
      <c r="Q23" s="396">
        <f>IFERROR(VLOOKUP($C23,'Proposed Rates'!$B:$J,Q$11,FALSE),0)</f>
        <v>0</v>
      </c>
      <c r="R23" s="414">
        <f t="shared" si="7"/>
        <v>0</v>
      </c>
      <c r="S23" s="399">
        <f t="shared" si="8"/>
        <v>0</v>
      </c>
      <c r="T23" s="132"/>
      <c r="U23" s="400">
        <f t="shared" si="9"/>
        <v>0</v>
      </c>
      <c r="V23" s="401" t="str">
        <f t="shared" si="10"/>
        <v/>
      </c>
      <c r="W23" s="52"/>
      <c r="X23" s="396">
        <f>IFERROR(VLOOKUP($C23,'Proposed Rates'!$B:$J,X$11,FALSE),0)</f>
        <v>0</v>
      </c>
      <c r="Y23" s="414">
        <f t="shared" si="11"/>
        <v>0</v>
      </c>
      <c r="Z23" s="399">
        <f t="shared" si="12"/>
        <v>0</v>
      </c>
      <c r="AA23" s="132"/>
      <c r="AB23" s="400">
        <f t="shared" si="13"/>
        <v>0</v>
      </c>
      <c r="AC23" s="401" t="str">
        <f t="shared" si="14"/>
        <v/>
      </c>
      <c r="AD23" s="52"/>
      <c r="AE23" s="396">
        <f>IFERROR(VLOOKUP($C23,'Proposed Rates'!$B:$J,AE$11,FALSE),0)</f>
        <v>0</v>
      </c>
      <c r="AF23" s="414">
        <f t="shared" si="15"/>
        <v>0</v>
      </c>
      <c r="AG23" s="399">
        <f t="shared" si="16"/>
        <v>0</v>
      </c>
      <c r="AH23" s="132"/>
      <c r="AI23" s="400">
        <f t="shared" si="17"/>
        <v>0</v>
      </c>
      <c r="AJ23" s="401" t="str">
        <f t="shared" si="18"/>
        <v/>
      </c>
      <c r="AK23" s="52"/>
      <c r="AL23" s="396">
        <f>IFERROR(VLOOKUP($C23,'Proposed Rates'!$B:$J,AL$11,FALSE),0)</f>
        <v>0</v>
      </c>
      <c r="AM23" s="414">
        <f t="shared" si="19"/>
        <v>0</v>
      </c>
      <c r="AN23" s="399">
        <f t="shared" si="20"/>
        <v>0</v>
      </c>
      <c r="AO23" s="132"/>
      <c r="AP23" s="400">
        <f t="shared" si="21"/>
        <v>0</v>
      </c>
      <c r="AQ23" s="401" t="str">
        <f t="shared" si="22"/>
        <v/>
      </c>
      <c r="AR23" s="402"/>
    </row>
    <row r="24" spans="1:44" ht="12" customHeight="1">
      <c r="A24" s="550"/>
      <c r="B24" s="403"/>
      <c r="C24" s="394" t="str">
        <f t="shared" si="0"/>
        <v>Unmetered Scattered Load.</v>
      </c>
      <c r="D24" s="395"/>
      <c r="E24" s="321"/>
      <c r="F24" s="396">
        <f>IFERROR(VLOOKUP($C24,'Proposed Rates'!$B:$J,F$11,FALSE),0)</f>
        <v>0</v>
      </c>
      <c r="G24" s="414">
        <f t="shared" si="1"/>
        <v>0</v>
      </c>
      <c r="H24" s="399">
        <f t="shared" si="2"/>
        <v>0</v>
      </c>
      <c r="I24" s="132"/>
      <c r="J24" s="396">
        <f>IFERROR(VLOOKUP($C24,'Proposed Rates'!$B:$J,J$11,FALSE),0)</f>
        <v>0</v>
      </c>
      <c r="K24" s="414">
        <f t="shared" si="3"/>
        <v>0</v>
      </c>
      <c r="L24" s="399">
        <f t="shared" si="4"/>
        <v>0</v>
      </c>
      <c r="M24" s="132"/>
      <c r="N24" s="400">
        <f t="shared" si="5"/>
        <v>0</v>
      </c>
      <c r="O24" s="401" t="str">
        <f t="shared" si="6"/>
        <v/>
      </c>
      <c r="P24" s="52"/>
      <c r="Q24" s="396">
        <f>IFERROR(VLOOKUP($C24,'Proposed Rates'!$B:$J,Q$11,FALSE),0)</f>
        <v>0</v>
      </c>
      <c r="R24" s="414">
        <f t="shared" si="7"/>
        <v>0</v>
      </c>
      <c r="S24" s="399">
        <f t="shared" si="8"/>
        <v>0</v>
      </c>
      <c r="T24" s="132"/>
      <c r="U24" s="400">
        <f t="shared" si="9"/>
        <v>0</v>
      </c>
      <c r="V24" s="401" t="str">
        <f t="shared" si="10"/>
        <v/>
      </c>
      <c r="W24" s="52"/>
      <c r="X24" s="396">
        <f>IFERROR(VLOOKUP($C24,'Proposed Rates'!$B:$J,X$11,FALSE),0)</f>
        <v>0</v>
      </c>
      <c r="Y24" s="414">
        <f t="shared" si="11"/>
        <v>0</v>
      </c>
      <c r="Z24" s="399">
        <f t="shared" si="12"/>
        <v>0</v>
      </c>
      <c r="AA24" s="132"/>
      <c r="AB24" s="400">
        <f t="shared" si="13"/>
        <v>0</v>
      </c>
      <c r="AC24" s="401" t="str">
        <f t="shared" si="14"/>
        <v/>
      </c>
      <c r="AD24" s="52"/>
      <c r="AE24" s="396">
        <f>IFERROR(VLOOKUP($C24,'Proposed Rates'!$B:$J,AE$11,FALSE),0)</f>
        <v>0</v>
      </c>
      <c r="AF24" s="414">
        <f t="shared" si="15"/>
        <v>0</v>
      </c>
      <c r="AG24" s="399">
        <f t="shared" si="16"/>
        <v>0</v>
      </c>
      <c r="AH24" s="132"/>
      <c r="AI24" s="400">
        <f t="shared" si="17"/>
        <v>0</v>
      </c>
      <c r="AJ24" s="401" t="str">
        <f t="shared" si="18"/>
        <v/>
      </c>
      <c r="AK24" s="52"/>
      <c r="AL24" s="396">
        <f>IFERROR(VLOOKUP($C24,'Proposed Rates'!$B:$J,AL$11,FALSE),0)</f>
        <v>0</v>
      </c>
      <c r="AM24" s="414">
        <f t="shared" si="19"/>
        <v>0</v>
      </c>
      <c r="AN24" s="399">
        <f t="shared" si="20"/>
        <v>0</v>
      </c>
      <c r="AO24" s="132"/>
      <c r="AP24" s="400">
        <f t="shared" si="21"/>
        <v>0</v>
      </c>
      <c r="AQ24" s="401" t="str">
        <f t="shared" si="22"/>
        <v/>
      </c>
      <c r="AR24" s="402"/>
    </row>
    <row r="25" spans="1:44" ht="12" customHeight="1">
      <c r="A25" s="550"/>
      <c r="B25" s="403"/>
      <c r="C25" s="394" t="str">
        <f t="shared" si="0"/>
        <v>Unmetered Scattered Load.</v>
      </c>
      <c r="D25" s="395"/>
      <c r="E25" s="321"/>
      <c r="F25" s="396">
        <f>IFERROR(VLOOKUP($C25,'Proposed Rates'!$B:$J,F$11,FALSE),0)</f>
        <v>0</v>
      </c>
      <c r="G25" s="414">
        <f t="shared" si="1"/>
        <v>0</v>
      </c>
      <c r="H25" s="399">
        <f t="shared" si="2"/>
        <v>0</v>
      </c>
      <c r="I25" s="132"/>
      <c r="J25" s="396">
        <f>IFERROR(VLOOKUP($C25,'Proposed Rates'!$B:$J,J$11,FALSE),0)</f>
        <v>0</v>
      </c>
      <c r="K25" s="414">
        <f t="shared" si="3"/>
        <v>0</v>
      </c>
      <c r="L25" s="399">
        <f t="shared" si="4"/>
        <v>0</v>
      </c>
      <c r="M25" s="132"/>
      <c r="N25" s="400">
        <f t="shared" si="5"/>
        <v>0</v>
      </c>
      <c r="O25" s="401" t="str">
        <f t="shared" si="6"/>
        <v/>
      </c>
      <c r="P25" s="52"/>
      <c r="Q25" s="396">
        <f>IFERROR(VLOOKUP($C25,'Proposed Rates'!$B:$J,Q$11,FALSE),0)</f>
        <v>0</v>
      </c>
      <c r="R25" s="414">
        <f t="shared" si="7"/>
        <v>0</v>
      </c>
      <c r="S25" s="399">
        <f t="shared" si="8"/>
        <v>0</v>
      </c>
      <c r="T25" s="132"/>
      <c r="U25" s="400">
        <f t="shared" si="9"/>
        <v>0</v>
      </c>
      <c r="V25" s="401" t="str">
        <f t="shared" si="10"/>
        <v/>
      </c>
      <c r="W25" s="52"/>
      <c r="X25" s="396">
        <f>IFERROR(VLOOKUP($C25,'Proposed Rates'!$B:$J,X$11,FALSE),0)</f>
        <v>0</v>
      </c>
      <c r="Y25" s="414">
        <f t="shared" si="11"/>
        <v>0</v>
      </c>
      <c r="Z25" s="399">
        <f t="shared" si="12"/>
        <v>0</v>
      </c>
      <c r="AA25" s="132"/>
      <c r="AB25" s="400">
        <f t="shared" si="13"/>
        <v>0</v>
      </c>
      <c r="AC25" s="401" t="str">
        <f t="shared" si="14"/>
        <v/>
      </c>
      <c r="AD25" s="52"/>
      <c r="AE25" s="396">
        <f>IFERROR(VLOOKUP($C25,'Proposed Rates'!$B:$J,AE$11,FALSE),0)</f>
        <v>0</v>
      </c>
      <c r="AF25" s="414">
        <f t="shared" si="15"/>
        <v>0</v>
      </c>
      <c r="AG25" s="399">
        <f t="shared" si="16"/>
        <v>0</v>
      </c>
      <c r="AH25" s="132"/>
      <c r="AI25" s="400">
        <f t="shared" si="17"/>
        <v>0</v>
      </c>
      <c r="AJ25" s="401" t="str">
        <f t="shared" si="18"/>
        <v/>
      </c>
      <c r="AK25" s="52"/>
      <c r="AL25" s="396">
        <f>IFERROR(VLOOKUP($C25,'Proposed Rates'!$B:$J,AL$11,FALSE),0)</f>
        <v>0</v>
      </c>
      <c r="AM25" s="414">
        <f t="shared" si="19"/>
        <v>0</v>
      </c>
      <c r="AN25" s="399">
        <f t="shared" si="20"/>
        <v>0</v>
      </c>
      <c r="AO25" s="132"/>
      <c r="AP25" s="400">
        <f t="shared" si="21"/>
        <v>0</v>
      </c>
      <c r="AQ25" s="401" t="str">
        <f t="shared" si="22"/>
        <v/>
      </c>
      <c r="AR25" s="402"/>
    </row>
    <row r="26" spans="1:44" ht="12" customHeight="1">
      <c r="A26" s="550"/>
      <c r="B26" s="403"/>
      <c r="C26" s="394" t="str">
        <f t="shared" si="0"/>
        <v>Unmetered Scattered Load.</v>
      </c>
      <c r="D26" s="395"/>
      <c r="E26" s="321"/>
      <c r="F26" s="396">
        <f>IFERROR(VLOOKUP($C26,'Proposed Rates'!$B:$J,F$11,FALSE),0)</f>
        <v>0</v>
      </c>
      <c r="G26" s="414">
        <f t="shared" si="1"/>
        <v>0</v>
      </c>
      <c r="H26" s="399">
        <f t="shared" si="2"/>
        <v>0</v>
      </c>
      <c r="I26" s="132"/>
      <c r="J26" s="396">
        <f>IFERROR(VLOOKUP($C26,'Proposed Rates'!$B:$J,J$11,FALSE),0)</f>
        <v>0</v>
      </c>
      <c r="K26" s="414">
        <f t="shared" si="3"/>
        <v>0</v>
      </c>
      <c r="L26" s="399">
        <f t="shared" si="4"/>
        <v>0</v>
      </c>
      <c r="M26" s="132"/>
      <c r="N26" s="400">
        <f t="shared" si="5"/>
        <v>0</v>
      </c>
      <c r="O26" s="401" t="str">
        <f t="shared" si="6"/>
        <v/>
      </c>
      <c r="P26" s="52"/>
      <c r="Q26" s="396">
        <f>IFERROR(VLOOKUP($C26,'Proposed Rates'!$B:$J,Q$11,FALSE),0)</f>
        <v>0</v>
      </c>
      <c r="R26" s="414">
        <f t="shared" si="7"/>
        <v>0</v>
      </c>
      <c r="S26" s="399">
        <f t="shared" si="8"/>
        <v>0</v>
      </c>
      <c r="T26" s="132"/>
      <c r="U26" s="400">
        <f t="shared" si="9"/>
        <v>0</v>
      </c>
      <c r="V26" s="401" t="str">
        <f t="shared" si="10"/>
        <v/>
      </c>
      <c r="W26" s="52"/>
      <c r="X26" s="396">
        <f>IFERROR(VLOOKUP($C26,'Proposed Rates'!$B:$J,X$11,FALSE),0)</f>
        <v>0</v>
      </c>
      <c r="Y26" s="414">
        <f t="shared" si="11"/>
        <v>0</v>
      </c>
      <c r="Z26" s="399">
        <f t="shared" si="12"/>
        <v>0</v>
      </c>
      <c r="AA26" s="132"/>
      <c r="AB26" s="400">
        <f t="shared" si="13"/>
        <v>0</v>
      </c>
      <c r="AC26" s="401" t="str">
        <f t="shared" si="14"/>
        <v/>
      </c>
      <c r="AD26" s="52"/>
      <c r="AE26" s="396">
        <f>IFERROR(VLOOKUP($C26,'Proposed Rates'!$B:$J,AE$11,FALSE),0)</f>
        <v>0</v>
      </c>
      <c r="AF26" s="414">
        <f t="shared" si="15"/>
        <v>0</v>
      </c>
      <c r="AG26" s="399">
        <f t="shared" si="16"/>
        <v>0</v>
      </c>
      <c r="AH26" s="132"/>
      <c r="AI26" s="400">
        <f t="shared" si="17"/>
        <v>0</v>
      </c>
      <c r="AJ26" s="401" t="str">
        <f t="shared" si="18"/>
        <v/>
      </c>
      <c r="AK26" s="52"/>
      <c r="AL26" s="396">
        <f>IFERROR(VLOOKUP($C26,'Proposed Rates'!$B:$J,AL$11,FALSE),0)</f>
        <v>0</v>
      </c>
      <c r="AM26" s="414">
        <f t="shared" si="19"/>
        <v>0</v>
      </c>
      <c r="AN26" s="399">
        <f t="shared" si="20"/>
        <v>0</v>
      </c>
      <c r="AO26" s="132"/>
      <c r="AP26" s="400">
        <f t="shared" si="21"/>
        <v>0</v>
      </c>
      <c r="AQ26" s="401" t="str">
        <f t="shared" si="22"/>
        <v/>
      </c>
      <c r="AR26" s="402"/>
    </row>
    <row r="27" spans="1:44" ht="12" customHeight="1">
      <c r="A27" s="550"/>
      <c r="B27" s="403"/>
      <c r="C27" s="394" t="str">
        <f t="shared" si="0"/>
        <v>Unmetered Scattered Load.</v>
      </c>
      <c r="D27" s="395"/>
      <c r="E27" s="321"/>
      <c r="F27" s="396">
        <f>IFERROR(VLOOKUP($C27,'Proposed Rates'!$B:$J,F$11,FALSE),0)</f>
        <v>0</v>
      </c>
      <c r="G27" s="414">
        <f t="shared" si="1"/>
        <v>0</v>
      </c>
      <c r="H27" s="399">
        <f t="shared" si="2"/>
        <v>0</v>
      </c>
      <c r="I27" s="132"/>
      <c r="J27" s="396">
        <f>IFERROR(VLOOKUP($C27,'Proposed Rates'!$B:$J,J$11,FALSE),0)</f>
        <v>0</v>
      </c>
      <c r="K27" s="414">
        <f t="shared" si="3"/>
        <v>0</v>
      </c>
      <c r="L27" s="399">
        <f t="shared" si="4"/>
        <v>0</v>
      </c>
      <c r="M27" s="132"/>
      <c r="N27" s="400">
        <f t="shared" si="5"/>
        <v>0</v>
      </c>
      <c r="O27" s="401" t="str">
        <f t="shared" si="6"/>
        <v/>
      </c>
      <c r="P27" s="52"/>
      <c r="Q27" s="396">
        <f>IFERROR(VLOOKUP($C27,'Proposed Rates'!$B:$J,Q$11,FALSE),0)</f>
        <v>0</v>
      </c>
      <c r="R27" s="414">
        <f t="shared" si="7"/>
        <v>0</v>
      </c>
      <c r="S27" s="399">
        <f t="shared" si="8"/>
        <v>0</v>
      </c>
      <c r="T27" s="132"/>
      <c r="U27" s="400">
        <f t="shared" si="9"/>
        <v>0</v>
      </c>
      <c r="V27" s="401" t="str">
        <f t="shared" si="10"/>
        <v/>
      </c>
      <c r="W27" s="52"/>
      <c r="X27" s="396">
        <f>IFERROR(VLOOKUP($C27,'Proposed Rates'!$B:$J,X$11,FALSE),0)</f>
        <v>0</v>
      </c>
      <c r="Y27" s="414">
        <f t="shared" si="11"/>
        <v>0</v>
      </c>
      <c r="Z27" s="399">
        <f t="shared" si="12"/>
        <v>0</v>
      </c>
      <c r="AA27" s="132"/>
      <c r="AB27" s="400">
        <f t="shared" si="13"/>
        <v>0</v>
      </c>
      <c r="AC27" s="401" t="str">
        <f t="shared" si="14"/>
        <v/>
      </c>
      <c r="AD27" s="52"/>
      <c r="AE27" s="396">
        <f>IFERROR(VLOOKUP($C27,'Proposed Rates'!$B:$J,AE$11,FALSE),0)</f>
        <v>0</v>
      </c>
      <c r="AF27" s="414">
        <f t="shared" si="15"/>
        <v>0</v>
      </c>
      <c r="AG27" s="399">
        <f t="shared" si="16"/>
        <v>0</v>
      </c>
      <c r="AH27" s="132"/>
      <c r="AI27" s="400">
        <f t="shared" si="17"/>
        <v>0</v>
      </c>
      <c r="AJ27" s="401" t="str">
        <f t="shared" si="18"/>
        <v/>
      </c>
      <c r="AK27" s="52"/>
      <c r="AL27" s="396">
        <f>IFERROR(VLOOKUP($C27,'Proposed Rates'!$B:$J,AL$11,FALSE),0)</f>
        <v>0</v>
      </c>
      <c r="AM27" s="414">
        <f t="shared" si="19"/>
        <v>0</v>
      </c>
      <c r="AN27" s="399">
        <f t="shared" si="20"/>
        <v>0</v>
      </c>
      <c r="AO27" s="132"/>
      <c r="AP27" s="400">
        <f t="shared" si="21"/>
        <v>0</v>
      </c>
      <c r="AQ27" s="401" t="str">
        <f t="shared" si="22"/>
        <v/>
      </c>
      <c r="AR27" s="402"/>
    </row>
    <row r="28" spans="1:44" ht="12" customHeight="1">
      <c r="A28" s="550"/>
      <c r="B28" s="403"/>
      <c r="C28" s="394" t="str">
        <f t="shared" si="0"/>
        <v>Unmetered Scattered Load.</v>
      </c>
      <c r="D28" s="395"/>
      <c r="E28" s="321"/>
      <c r="F28" s="396">
        <f>IFERROR(VLOOKUP($C28,'Proposed Rates'!$B:$J,F$11,FALSE),0)</f>
        <v>0</v>
      </c>
      <c r="G28" s="414">
        <f t="shared" si="1"/>
        <v>0</v>
      </c>
      <c r="H28" s="399">
        <f t="shared" si="2"/>
        <v>0</v>
      </c>
      <c r="I28" s="132"/>
      <c r="J28" s="396">
        <f>IFERROR(VLOOKUP($C28,'Proposed Rates'!$B:$J,J$11,FALSE),0)</f>
        <v>0</v>
      </c>
      <c r="K28" s="414">
        <f t="shared" si="3"/>
        <v>0</v>
      </c>
      <c r="L28" s="399">
        <f t="shared" si="4"/>
        <v>0</v>
      </c>
      <c r="M28" s="132"/>
      <c r="N28" s="400">
        <f t="shared" si="5"/>
        <v>0</v>
      </c>
      <c r="O28" s="401" t="str">
        <f t="shared" si="6"/>
        <v/>
      </c>
      <c r="P28" s="52"/>
      <c r="Q28" s="396">
        <f>IFERROR(VLOOKUP($C28,'Proposed Rates'!$B:$J,Q$11,FALSE),0)</f>
        <v>0</v>
      </c>
      <c r="R28" s="414">
        <f t="shared" si="7"/>
        <v>0</v>
      </c>
      <c r="S28" s="399">
        <f t="shared" si="8"/>
        <v>0</v>
      </c>
      <c r="T28" s="132"/>
      <c r="U28" s="400">
        <f t="shared" si="9"/>
        <v>0</v>
      </c>
      <c r="V28" s="401" t="str">
        <f t="shared" si="10"/>
        <v/>
      </c>
      <c r="W28" s="52"/>
      <c r="X28" s="396">
        <f>IFERROR(VLOOKUP($C28,'Proposed Rates'!$B:$J,X$11,FALSE),0)</f>
        <v>0</v>
      </c>
      <c r="Y28" s="414">
        <f t="shared" si="11"/>
        <v>0</v>
      </c>
      <c r="Z28" s="399">
        <f t="shared" si="12"/>
        <v>0</v>
      </c>
      <c r="AA28" s="132"/>
      <c r="AB28" s="400">
        <f t="shared" si="13"/>
        <v>0</v>
      </c>
      <c r="AC28" s="401" t="str">
        <f t="shared" si="14"/>
        <v/>
      </c>
      <c r="AD28" s="52"/>
      <c r="AE28" s="396">
        <f>IFERROR(VLOOKUP($C28,'Proposed Rates'!$B:$J,AE$11,FALSE),0)</f>
        <v>0</v>
      </c>
      <c r="AF28" s="414">
        <f t="shared" si="15"/>
        <v>0</v>
      </c>
      <c r="AG28" s="399">
        <f t="shared" si="16"/>
        <v>0</v>
      </c>
      <c r="AH28" s="132"/>
      <c r="AI28" s="400">
        <f t="shared" si="17"/>
        <v>0</v>
      </c>
      <c r="AJ28" s="401" t="str">
        <f t="shared" si="18"/>
        <v/>
      </c>
      <c r="AK28" s="52"/>
      <c r="AL28" s="396">
        <f>IFERROR(VLOOKUP($C28,'Proposed Rates'!$B:$J,AL$11,FALSE),0)</f>
        <v>0</v>
      </c>
      <c r="AM28" s="414">
        <f t="shared" si="19"/>
        <v>0</v>
      </c>
      <c r="AN28" s="399">
        <f t="shared" si="20"/>
        <v>0</v>
      </c>
      <c r="AO28" s="132"/>
      <c r="AP28" s="400">
        <f t="shared" si="21"/>
        <v>0</v>
      </c>
      <c r="AQ28" s="401" t="str">
        <f t="shared" si="22"/>
        <v/>
      </c>
      <c r="AR28" s="402"/>
    </row>
    <row r="29" spans="1:44" ht="12" customHeight="1">
      <c r="A29" s="550"/>
      <c r="B29" s="404" t="s">
        <v>314</v>
      </c>
      <c r="C29" s="405"/>
      <c r="D29" s="405"/>
      <c r="E29" s="405"/>
      <c r="F29" s="406"/>
      <c r="G29" s="499"/>
      <c r="H29" s="408">
        <f>SUM(H15:H28)</f>
        <v>22.975999999999999</v>
      </c>
      <c r="I29" s="409"/>
      <c r="J29" s="406"/>
      <c r="K29" s="499"/>
      <c r="L29" s="408">
        <f>SUM(L15:L28)</f>
        <v>26.247</v>
      </c>
      <c r="M29" s="409"/>
      <c r="N29" s="410">
        <f t="shared" si="5"/>
        <v>3.2710000000000008</v>
      </c>
      <c r="O29" s="411">
        <f t="shared" si="6"/>
        <v>0.14236594707520894</v>
      </c>
      <c r="P29" s="307"/>
      <c r="Q29" s="406"/>
      <c r="R29" s="499"/>
      <c r="S29" s="408">
        <f>SUM(S15:S28)</f>
        <v>28.195</v>
      </c>
      <c r="T29" s="409"/>
      <c r="U29" s="410">
        <f t="shared" si="9"/>
        <v>1.9480000000000004</v>
      </c>
      <c r="V29" s="411">
        <f t="shared" si="10"/>
        <v>7.4218005867337233E-2</v>
      </c>
      <c r="W29" s="307"/>
      <c r="X29" s="406"/>
      <c r="Y29" s="499"/>
      <c r="Z29" s="408">
        <f>SUM(Z15:Z28)</f>
        <v>30.044</v>
      </c>
      <c r="AA29" s="409"/>
      <c r="AB29" s="410">
        <f t="shared" si="13"/>
        <v>1.8490000000000002</v>
      </c>
      <c r="AC29" s="411">
        <f t="shared" si="14"/>
        <v>6.5579003369391736E-2</v>
      </c>
      <c r="AD29" s="307"/>
      <c r="AE29" s="406"/>
      <c r="AF29" s="499"/>
      <c r="AG29" s="408">
        <f>SUM(AG15:AG28)</f>
        <v>30.934999999999999</v>
      </c>
      <c r="AH29" s="409"/>
      <c r="AI29" s="410">
        <f t="shared" si="17"/>
        <v>0.89099999999999824</v>
      </c>
      <c r="AJ29" s="411">
        <f t="shared" si="18"/>
        <v>2.9656503794434769E-2</v>
      </c>
      <c r="AK29" s="307"/>
      <c r="AL29" s="406"/>
      <c r="AM29" s="499"/>
      <c r="AN29" s="408">
        <f>SUM(AN15:AN28)</f>
        <v>31.393999999999998</v>
      </c>
      <c r="AO29" s="409"/>
      <c r="AP29" s="410">
        <f t="shared" si="21"/>
        <v>0.45899999999999963</v>
      </c>
      <c r="AQ29" s="411">
        <f t="shared" si="22"/>
        <v>1.4837562631323731E-2</v>
      </c>
      <c r="AR29" s="412"/>
    </row>
    <row r="30" spans="1:44" ht="12" customHeight="1">
      <c r="A30" s="550"/>
      <c r="B30" s="403" t="s">
        <v>237</v>
      </c>
      <c r="C30" s="394" t="str">
        <f t="shared" ref="C30:C38" si="23">D$6&amp;"."&amp;B30</f>
        <v>Unmetered Scattered Load.DVA Disposition Rate Rider Group 1 -2025</v>
      </c>
      <c r="D30" s="395" t="s">
        <v>312</v>
      </c>
      <c r="E30" s="321"/>
      <c r="F30" s="413">
        <f>IFERROR(VLOOKUP($C30,'Proposed Rates'!$B:$J,F$11,FALSE),0)</f>
        <v>1E-4</v>
      </c>
      <c r="G30" s="414">
        <f t="shared" ref="G30:G35" si="24">IF($D30="Monthly",1,IF($D30="per KW",$F$10,IF($D30="per kWh",$F$9,0)))</f>
        <v>470</v>
      </c>
      <c r="H30" s="399">
        <f t="shared" ref="H30:H38" si="25">G30*F30</f>
        <v>4.7E-2</v>
      </c>
      <c r="I30" s="132"/>
      <c r="J30" s="413">
        <f>IFERROR(VLOOKUP($C30,'Proposed Rates'!$B:$J,J$11,FALSE),0)</f>
        <v>-5.0000000000000001E-4</v>
      </c>
      <c r="K30" s="414">
        <f t="shared" ref="K30:K35" si="26">IF($D30="Monthly",1,IF($D30="per KW",$F$10,IF($D30="per kWh",$F$9,0)))</f>
        <v>470</v>
      </c>
      <c r="L30" s="399">
        <f t="shared" ref="L30:L38" si="27">K30*J30</f>
        <v>-0.23500000000000001</v>
      </c>
      <c r="M30" s="132"/>
      <c r="N30" s="400">
        <f t="shared" si="5"/>
        <v>-0.28200000000000003</v>
      </c>
      <c r="O30" s="401">
        <f t="shared" si="6"/>
        <v>-6.0000000000000009</v>
      </c>
      <c r="P30" s="52"/>
      <c r="Q30" s="413">
        <f>IFERROR(VLOOKUP($C30,'Proposed Rates'!$B:$J,Q$11,FALSE),0)</f>
        <v>0</v>
      </c>
      <c r="R30" s="414">
        <f t="shared" ref="R30:R35" si="28">IF($D30="Monthly",1,IF($D30="per KW",$F$10,IF($D30="per kWh",$F$9,0)))</f>
        <v>470</v>
      </c>
      <c r="S30" s="399">
        <f t="shared" ref="S30:S38" si="29">R30*Q30</f>
        <v>0</v>
      </c>
      <c r="T30" s="132"/>
      <c r="U30" s="400">
        <f t="shared" si="9"/>
        <v>0.23500000000000001</v>
      </c>
      <c r="V30" s="401">
        <f t="shared" si="10"/>
        <v>-1</v>
      </c>
      <c r="W30" s="52"/>
      <c r="X30" s="413">
        <f>IFERROR(VLOOKUP($C30,'Proposed Rates'!$B:$J,X$11,FALSE),0)</f>
        <v>0</v>
      </c>
      <c r="Y30" s="414">
        <f t="shared" ref="Y30:Y35" si="30">IF($D30="Monthly",1,IF($D30="per KW",$F$10,IF($D30="per kWh",$F$9,0)))</f>
        <v>470</v>
      </c>
      <c r="Z30" s="399">
        <f t="shared" ref="Z30:Z38" si="31">Y30*X30</f>
        <v>0</v>
      </c>
      <c r="AA30" s="132"/>
      <c r="AB30" s="400">
        <f t="shared" si="13"/>
        <v>0</v>
      </c>
      <c r="AC30" s="401" t="str">
        <f t="shared" si="14"/>
        <v/>
      </c>
      <c r="AD30" s="52"/>
      <c r="AE30" s="413">
        <f>IFERROR(VLOOKUP($C30,'Proposed Rates'!$B:$J,AE$11,FALSE),0)</f>
        <v>0</v>
      </c>
      <c r="AF30" s="414">
        <f t="shared" ref="AF30:AF35" si="32">IF($D30="Monthly",1,IF($D30="per KW",$F$10,IF($D30="per kWh",$F$9,0)))</f>
        <v>470</v>
      </c>
      <c r="AG30" s="399">
        <f t="shared" ref="AG30:AG38" si="33">AF30*AE30</f>
        <v>0</v>
      </c>
      <c r="AH30" s="132"/>
      <c r="AI30" s="400">
        <f t="shared" si="17"/>
        <v>0</v>
      </c>
      <c r="AJ30" s="401" t="str">
        <f t="shared" si="18"/>
        <v/>
      </c>
      <c r="AK30" s="52"/>
      <c r="AL30" s="413">
        <f>IFERROR(VLOOKUP($C30,'Proposed Rates'!$B:$J,AL$11,FALSE),0)</f>
        <v>0</v>
      </c>
      <c r="AM30" s="414">
        <f t="shared" ref="AM30:AM35" si="34">IF($D30="Monthly",1,IF($D30="per KW",$F$10,IF($D30="per kWh",$F$9,0)))</f>
        <v>470</v>
      </c>
      <c r="AN30" s="399">
        <f t="shared" ref="AN30:AN38" si="35">AM30*AL30</f>
        <v>0</v>
      </c>
      <c r="AO30" s="132"/>
      <c r="AP30" s="400">
        <f t="shared" si="21"/>
        <v>0</v>
      </c>
      <c r="AQ30" s="401" t="str">
        <f t="shared" si="22"/>
        <v/>
      </c>
      <c r="AR30" s="402"/>
    </row>
    <row r="31" spans="1:44" ht="12" customHeight="1">
      <c r="A31" s="550"/>
      <c r="B31" s="403" t="s">
        <v>239</v>
      </c>
      <c r="C31" s="394" t="str">
        <f t="shared" si="23"/>
        <v>Unmetered Scattered Load.DVA Disposition Rate Rider Group 1 - 2024</v>
      </c>
      <c r="D31" s="395" t="s">
        <v>312</v>
      </c>
      <c r="E31" s="321"/>
      <c r="F31" s="396">
        <f>IFERROR(VLOOKUP($C31,'Proposed Rates'!$B:$J,F$11,FALSE),0)</f>
        <v>0</v>
      </c>
      <c r="G31" s="414">
        <f t="shared" si="24"/>
        <v>470</v>
      </c>
      <c r="H31" s="399">
        <f t="shared" si="25"/>
        <v>0</v>
      </c>
      <c r="I31" s="132"/>
      <c r="J31" s="396">
        <f>IFERROR(VLOOKUP($C31,'Proposed Rates'!$B:$J,J$11,FALSE),0)</f>
        <v>0</v>
      </c>
      <c r="K31" s="414">
        <f t="shared" si="26"/>
        <v>470</v>
      </c>
      <c r="L31" s="399">
        <f t="shared" si="27"/>
        <v>0</v>
      </c>
      <c r="M31" s="132"/>
      <c r="N31" s="400">
        <f t="shared" si="5"/>
        <v>0</v>
      </c>
      <c r="O31" s="401" t="str">
        <f t="shared" si="6"/>
        <v/>
      </c>
      <c r="P31" s="52"/>
      <c r="Q31" s="396">
        <f>IFERROR(VLOOKUP($C31,'Proposed Rates'!$B:$J,Q$11,FALSE),0)</f>
        <v>0</v>
      </c>
      <c r="R31" s="414">
        <f t="shared" si="28"/>
        <v>470</v>
      </c>
      <c r="S31" s="399">
        <f t="shared" si="29"/>
        <v>0</v>
      </c>
      <c r="T31" s="132"/>
      <c r="U31" s="400">
        <f t="shared" si="9"/>
        <v>0</v>
      </c>
      <c r="V31" s="401" t="str">
        <f t="shared" si="10"/>
        <v/>
      </c>
      <c r="W31" s="52"/>
      <c r="X31" s="396">
        <f>IFERROR(VLOOKUP($C31,'Proposed Rates'!$B:$J,X$11,FALSE),0)</f>
        <v>0</v>
      </c>
      <c r="Y31" s="414">
        <f t="shared" si="30"/>
        <v>470</v>
      </c>
      <c r="Z31" s="399">
        <f t="shared" si="31"/>
        <v>0</v>
      </c>
      <c r="AA31" s="132"/>
      <c r="AB31" s="400">
        <f t="shared" si="13"/>
        <v>0</v>
      </c>
      <c r="AC31" s="401" t="str">
        <f t="shared" si="14"/>
        <v/>
      </c>
      <c r="AD31" s="52"/>
      <c r="AE31" s="396">
        <f>IFERROR(VLOOKUP($C31,'Proposed Rates'!$B:$J,AE$11,FALSE),0)</f>
        <v>0</v>
      </c>
      <c r="AF31" s="414">
        <f t="shared" si="32"/>
        <v>470</v>
      </c>
      <c r="AG31" s="399">
        <f t="shared" si="33"/>
        <v>0</v>
      </c>
      <c r="AH31" s="132"/>
      <c r="AI31" s="400">
        <f t="shared" si="17"/>
        <v>0</v>
      </c>
      <c r="AJ31" s="401" t="str">
        <f t="shared" si="18"/>
        <v/>
      </c>
      <c r="AK31" s="52"/>
      <c r="AL31" s="396">
        <f>IFERROR(VLOOKUP($C31,'Proposed Rates'!$B:$J,AL$11,FALSE),0)</f>
        <v>0</v>
      </c>
      <c r="AM31" s="414">
        <f t="shared" si="34"/>
        <v>470</v>
      </c>
      <c r="AN31" s="399">
        <f t="shared" si="35"/>
        <v>0</v>
      </c>
      <c r="AO31" s="132"/>
      <c r="AP31" s="400">
        <f t="shared" si="21"/>
        <v>0</v>
      </c>
      <c r="AQ31" s="401" t="str">
        <f t="shared" si="22"/>
        <v/>
      </c>
      <c r="AR31" s="402"/>
    </row>
    <row r="32" spans="1:44" ht="12" customHeight="1">
      <c r="A32" s="550"/>
      <c r="B32" s="403" t="s">
        <v>247</v>
      </c>
      <c r="C32" s="394" t="str">
        <f t="shared" si="23"/>
        <v>Unmetered Scattered Load.CBR Class B Rate Riders</v>
      </c>
      <c r="D32" s="395" t="s">
        <v>312</v>
      </c>
      <c r="E32" s="321"/>
      <c r="F32" s="413">
        <f>IFERROR(VLOOKUP($C32,'Proposed Rates'!$B:$J,F$11,FALSE),0)</f>
        <v>2.0000000000000001E-4</v>
      </c>
      <c r="G32" s="414">
        <f t="shared" si="24"/>
        <v>470</v>
      </c>
      <c r="H32" s="399">
        <f t="shared" si="25"/>
        <v>9.4E-2</v>
      </c>
      <c r="I32" s="484"/>
      <c r="J32" s="413">
        <f>IFERROR(VLOOKUP($C32,'Proposed Rates'!$B:$J,J$11,FALSE),0)</f>
        <v>4.0000000000000002E-4</v>
      </c>
      <c r="K32" s="414">
        <f t="shared" si="26"/>
        <v>470</v>
      </c>
      <c r="L32" s="399">
        <f t="shared" si="27"/>
        <v>0.188</v>
      </c>
      <c r="M32" s="416"/>
      <c r="N32" s="400"/>
      <c r="O32" s="401"/>
      <c r="P32" s="52"/>
      <c r="Q32" s="413">
        <f>IFERROR(VLOOKUP($C32,'Proposed Rates'!$B:$J,Q$11,FALSE),0)</f>
        <v>0</v>
      </c>
      <c r="R32" s="414">
        <f t="shared" si="28"/>
        <v>470</v>
      </c>
      <c r="S32" s="399">
        <f t="shared" si="29"/>
        <v>0</v>
      </c>
      <c r="T32" s="416"/>
      <c r="U32" s="400"/>
      <c r="V32" s="401"/>
      <c r="W32" s="52"/>
      <c r="X32" s="413">
        <f>IFERROR(VLOOKUP($C32,'Proposed Rates'!$B:$J,X$11,FALSE),0)</f>
        <v>0</v>
      </c>
      <c r="Y32" s="414">
        <f t="shared" si="30"/>
        <v>470</v>
      </c>
      <c r="Z32" s="399">
        <f t="shared" si="31"/>
        <v>0</v>
      </c>
      <c r="AA32" s="132"/>
      <c r="AB32" s="400">
        <f t="shared" si="13"/>
        <v>0</v>
      </c>
      <c r="AC32" s="401" t="str">
        <f t="shared" si="14"/>
        <v/>
      </c>
      <c r="AD32" s="52"/>
      <c r="AE32" s="413">
        <f>IFERROR(VLOOKUP($C32,'Proposed Rates'!$B:$J,AE$11,FALSE),0)</f>
        <v>0</v>
      </c>
      <c r="AF32" s="414">
        <f t="shared" si="32"/>
        <v>470</v>
      </c>
      <c r="AG32" s="399">
        <f t="shared" si="33"/>
        <v>0</v>
      </c>
      <c r="AH32" s="132"/>
      <c r="AI32" s="400">
        <f t="shared" si="17"/>
        <v>0</v>
      </c>
      <c r="AJ32" s="401" t="str">
        <f t="shared" si="18"/>
        <v/>
      </c>
      <c r="AK32" s="52"/>
      <c r="AL32" s="413">
        <f>IFERROR(VLOOKUP($C32,'Proposed Rates'!$B:$J,AL$11,FALSE),0)</f>
        <v>0</v>
      </c>
      <c r="AM32" s="414">
        <f t="shared" si="34"/>
        <v>470</v>
      </c>
      <c r="AN32" s="399">
        <f t="shared" si="35"/>
        <v>0</v>
      </c>
      <c r="AO32" s="416"/>
      <c r="AP32" s="400"/>
      <c r="AQ32" s="401"/>
      <c r="AR32" s="402"/>
    </row>
    <row r="33" spans="1:44" ht="12" customHeight="1">
      <c r="A33" s="550"/>
      <c r="B33" s="403" t="s">
        <v>252</v>
      </c>
      <c r="C33" s="394" t="str">
        <f t="shared" si="23"/>
        <v>Unmetered Scattered Load.GA Rate Riders</v>
      </c>
      <c r="D33" s="395" t="s">
        <v>312</v>
      </c>
      <c r="E33" s="321"/>
      <c r="F33" s="396">
        <f>IFERROR(VLOOKUP($C33,'Proposed Rates'!$B:$J,F$11,FALSE),0)</f>
        <v>0</v>
      </c>
      <c r="G33" s="414">
        <f t="shared" si="24"/>
        <v>470</v>
      </c>
      <c r="H33" s="399">
        <f t="shared" si="25"/>
        <v>0</v>
      </c>
      <c r="I33" s="484"/>
      <c r="J33" s="396">
        <f>IFERROR(VLOOKUP($C33,'Proposed Rates'!$B:$J,J$11,FALSE),0)</f>
        <v>0</v>
      </c>
      <c r="K33" s="414">
        <f t="shared" si="26"/>
        <v>470</v>
      </c>
      <c r="L33" s="399">
        <f t="shared" si="27"/>
        <v>0</v>
      </c>
      <c r="M33" s="416"/>
      <c r="N33" s="400">
        <f t="shared" ref="N33:N34" si="36">L33-H33</f>
        <v>0</v>
      </c>
      <c r="O33" s="401" t="str">
        <f t="shared" ref="O33:O34" si="37">IF((H33)=0,"",(N33/H33))</f>
        <v/>
      </c>
      <c r="P33" s="52"/>
      <c r="Q33" s="396">
        <f>IFERROR(VLOOKUP($C33,'Proposed Rates'!$B:$J,Q$11,FALSE),0)</f>
        <v>0</v>
      </c>
      <c r="R33" s="414">
        <f t="shared" si="28"/>
        <v>470</v>
      </c>
      <c r="S33" s="399">
        <f t="shared" si="29"/>
        <v>0</v>
      </c>
      <c r="T33" s="416"/>
      <c r="U33" s="400">
        <f t="shared" ref="U33:U34" si="38">S33-L33</f>
        <v>0</v>
      </c>
      <c r="V33" s="401" t="str">
        <f t="shared" ref="V33:V34" si="39">IF((L33)=0,"",(U33/L33))</f>
        <v/>
      </c>
      <c r="W33" s="52"/>
      <c r="X33" s="396">
        <f>IFERROR(VLOOKUP($C33,'Proposed Rates'!$B:$J,X$11,FALSE),0)</f>
        <v>0</v>
      </c>
      <c r="Y33" s="414">
        <f t="shared" si="30"/>
        <v>470</v>
      </c>
      <c r="Z33" s="399">
        <f t="shared" si="31"/>
        <v>0</v>
      </c>
      <c r="AA33" s="416"/>
      <c r="AB33" s="400">
        <f t="shared" si="13"/>
        <v>0</v>
      </c>
      <c r="AC33" s="401" t="str">
        <f t="shared" si="14"/>
        <v/>
      </c>
      <c r="AD33" s="52"/>
      <c r="AE33" s="396">
        <f>IFERROR(VLOOKUP($C33,'Proposed Rates'!$B:$J,AE$11,FALSE),0)</f>
        <v>0</v>
      </c>
      <c r="AF33" s="414">
        <f t="shared" si="32"/>
        <v>470</v>
      </c>
      <c r="AG33" s="399">
        <f t="shared" si="33"/>
        <v>0</v>
      </c>
      <c r="AH33" s="416"/>
      <c r="AI33" s="400">
        <f t="shared" si="17"/>
        <v>0</v>
      </c>
      <c r="AJ33" s="401" t="str">
        <f t="shared" si="18"/>
        <v/>
      </c>
      <c r="AK33" s="52"/>
      <c r="AL33" s="396">
        <f>IFERROR(VLOOKUP($C33,'Proposed Rates'!$B:$J,AL$11,FALSE),0)</f>
        <v>0</v>
      </c>
      <c r="AM33" s="414">
        <f t="shared" si="34"/>
        <v>470</v>
      </c>
      <c r="AN33" s="399">
        <f t="shared" si="35"/>
        <v>0</v>
      </c>
      <c r="AO33" s="416"/>
      <c r="AP33" s="400">
        <f t="shared" ref="AP33:AP34" si="40">AN33-AG33</f>
        <v>0</v>
      </c>
      <c r="AQ33" s="401" t="str">
        <f t="shared" ref="AQ33:AQ34" si="41">IF((AG33)=0,"",(AP33/AG33))</f>
        <v/>
      </c>
      <c r="AR33" s="402"/>
    </row>
    <row r="34" spans="1:44" ht="12" customHeight="1">
      <c r="A34" s="550"/>
      <c r="B34" s="403" t="s">
        <v>255</v>
      </c>
      <c r="C34" s="394" t="str">
        <f t="shared" si="23"/>
        <v>Unmetered Scattered Load.Total Deferral/Variance Account Rate RidersYr2</v>
      </c>
      <c r="D34" s="395" t="s">
        <v>312</v>
      </c>
      <c r="E34" s="321"/>
      <c r="F34" s="396">
        <f>IFERROR(VLOOKUP($C34,'Proposed Rates'!$B:$J,F$11,FALSE),0)</f>
        <v>0</v>
      </c>
      <c r="G34" s="414">
        <f t="shared" si="24"/>
        <v>470</v>
      </c>
      <c r="H34" s="399">
        <f t="shared" si="25"/>
        <v>0</v>
      </c>
      <c r="I34" s="484"/>
      <c r="J34" s="396">
        <f>IFERROR(VLOOKUP($C34,'Proposed Rates'!$B:$J,J$11,FALSE),0)</f>
        <v>0</v>
      </c>
      <c r="K34" s="414">
        <f t="shared" si="26"/>
        <v>470</v>
      </c>
      <c r="L34" s="399">
        <f t="shared" si="27"/>
        <v>0</v>
      </c>
      <c r="M34" s="416"/>
      <c r="N34" s="400">
        <f t="shared" si="36"/>
        <v>0</v>
      </c>
      <c r="O34" s="401" t="str">
        <f t="shared" si="37"/>
        <v/>
      </c>
      <c r="P34" s="52"/>
      <c r="Q34" s="396">
        <f>IFERROR(VLOOKUP($C34,'Proposed Rates'!$B:$J,Q$11,FALSE),0)</f>
        <v>0</v>
      </c>
      <c r="R34" s="414">
        <f t="shared" si="28"/>
        <v>470</v>
      </c>
      <c r="S34" s="399">
        <f t="shared" si="29"/>
        <v>0</v>
      </c>
      <c r="T34" s="416"/>
      <c r="U34" s="400">
        <f t="shared" si="38"/>
        <v>0</v>
      </c>
      <c r="V34" s="401" t="str">
        <f t="shared" si="39"/>
        <v/>
      </c>
      <c r="W34" s="52"/>
      <c r="X34" s="396">
        <f>IFERROR(VLOOKUP($C34,'Proposed Rates'!$B:$J,X$11,FALSE),0)</f>
        <v>0</v>
      </c>
      <c r="Y34" s="414">
        <f t="shared" si="30"/>
        <v>470</v>
      </c>
      <c r="Z34" s="399">
        <f t="shared" si="31"/>
        <v>0</v>
      </c>
      <c r="AA34" s="416"/>
      <c r="AB34" s="400">
        <f t="shared" si="13"/>
        <v>0</v>
      </c>
      <c r="AC34" s="401" t="str">
        <f t="shared" si="14"/>
        <v/>
      </c>
      <c r="AD34" s="52"/>
      <c r="AE34" s="396">
        <f>IFERROR(VLOOKUP($C34,'Proposed Rates'!$B:$J,AE$11,FALSE),0)</f>
        <v>0</v>
      </c>
      <c r="AF34" s="414">
        <f t="shared" si="32"/>
        <v>470</v>
      </c>
      <c r="AG34" s="399">
        <f t="shared" si="33"/>
        <v>0</v>
      </c>
      <c r="AH34" s="416"/>
      <c r="AI34" s="400">
        <f t="shared" si="17"/>
        <v>0</v>
      </c>
      <c r="AJ34" s="401" t="str">
        <f t="shared" si="18"/>
        <v/>
      </c>
      <c r="AK34" s="52"/>
      <c r="AL34" s="396">
        <f>IFERROR(VLOOKUP($C34,'Proposed Rates'!$B:$J,AL$11,FALSE),0)</f>
        <v>0</v>
      </c>
      <c r="AM34" s="414">
        <f t="shared" si="34"/>
        <v>470</v>
      </c>
      <c r="AN34" s="399">
        <f t="shared" si="35"/>
        <v>0</v>
      </c>
      <c r="AO34" s="416"/>
      <c r="AP34" s="400">
        <f t="shared" si="40"/>
        <v>0</v>
      </c>
      <c r="AQ34" s="401" t="str">
        <f t="shared" si="41"/>
        <v/>
      </c>
      <c r="AR34" s="402"/>
    </row>
    <row r="35" spans="1:44" ht="12" customHeight="1">
      <c r="A35" s="550"/>
      <c r="B35" s="403" t="s">
        <v>257</v>
      </c>
      <c r="C35" s="394" t="str">
        <f t="shared" si="23"/>
        <v>Unmetered Scattered Load.Total Deferral/Variance Account Rate Riders</v>
      </c>
      <c r="D35" s="395" t="s">
        <v>312</v>
      </c>
      <c r="E35" s="321"/>
      <c r="F35" s="396">
        <f>IFERROR(VLOOKUP($C35,'Proposed Rates'!$B:$J,F$11,FALSE),0)</f>
        <v>0</v>
      </c>
      <c r="G35" s="414">
        <f t="shared" si="24"/>
        <v>470</v>
      </c>
      <c r="H35" s="399">
        <f t="shared" si="25"/>
        <v>0</v>
      </c>
      <c r="I35" s="132"/>
      <c r="J35" s="396">
        <f>IFERROR(VLOOKUP($C35,'Proposed Rates'!$B:$J,J$11,FALSE),0)</f>
        <v>0</v>
      </c>
      <c r="K35" s="414">
        <f t="shared" si="26"/>
        <v>470</v>
      </c>
      <c r="L35" s="399">
        <f t="shared" si="27"/>
        <v>0</v>
      </c>
      <c r="M35" s="132"/>
      <c r="N35" s="400"/>
      <c r="O35" s="401"/>
      <c r="P35" s="52"/>
      <c r="Q35" s="396">
        <f>IFERROR(VLOOKUP($C35,'Proposed Rates'!$B:$J,Q$11,FALSE),0)</f>
        <v>0</v>
      </c>
      <c r="R35" s="414">
        <f t="shared" si="28"/>
        <v>470</v>
      </c>
      <c r="S35" s="399">
        <f t="shared" si="29"/>
        <v>0</v>
      </c>
      <c r="T35" s="132"/>
      <c r="U35" s="400"/>
      <c r="V35" s="401"/>
      <c r="W35" s="52"/>
      <c r="X35" s="396">
        <f>IFERROR(VLOOKUP($C35,'Proposed Rates'!$B:$J,X$11,FALSE),0)</f>
        <v>0</v>
      </c>
      <c r="Y35" s="414">
        <f t="shared" si="30"/>
        <v>470</v>
      </c>
      <c r="Z35" s="399">
        <f t="shared" si="31"/>
        <v>0</v>
      </c>
      <c r="AA35" s="132"/>
      <c r="AB35" s="400"/>
      <c r="AC35" s="401"/>
      <c r="AD35" s="52"/>
      <c r="AE35" s="396">
        <f>IFERROR(VLOOKUP($C35,'Proposed Rates'!$B:$J,AE$11,FALSE),0)</f>
        <v>0</v>
      </c>
      <c r="AF35" s="414">
        <f t="shared" si="32"/>
        <v>470</v>
      </c>
      <c r="AG35" s="399">
        <f t="shared" si="33"/>
        <v>0</v>
      </c>
      <c r="AH35" s="132"/>
      <c r="AI35" s="400">
        <f t="shared" si="17"/>
        <v>0</v>
      </c>
      <c r="AJ35" s="401" t="str">
        <f t="shared" si="18"/>
        <v/>
      </c>
      <c r="AK35" s="52"/>
      <c r="AL35" s="396">
        <f>IFERROR(VLOOKUP($C35,'Proposed Rates'!$B:$J,AL$11,FALSE),0)</f>
        <v>0</v>
      </c>
      <c r="AM35" s="414">
        <f t="shared" si="34"/>
        <v>470</v>
      </c>
      <c r="AN35" s="399">
        <f t="shared" si="35"/>
        <v>0</v>
      </c>
      <c r="AO35" s="132"/>
      <c r="AP35" s="400"/>
      <c r="AQ35" s="401"/>
      <c r="AR35" s="402"/>
    </row>
    <row r="36" spans="1:44" ht="12" customHeight="1">
      <c r="A36" s="550"/>
      <c r="B36" s="321" t="s">
        <v>273</v>
      </c>
      <c r="C36" s="394" t="str">
        <f t="shared" si="23"/>
        <v>Unmetered Scattered Load.Low Voltage Service Charge</v>
      </c>
      <c r="D36" s="395" t="s">
        <v>312</v>
      </c>
      <c r="E36" s="321"/>
      <c r="F36" s="417">
        <f>IFERROR(VLOOKUP($C36,'Proposed Rates'!$B:$J,F$11,FALSE),0)</f>
        <v>5.0000000000000002E-5</v>
      </c>
      <c r="G36" s="507">
        <f>$F$9+G$37</f>
        <v>485.88600000000002</v>
      </c>
      <c r="H36" s="399">
        <f t="shared" si="25"/>
        <v>2.4294300000000001E-2</v>
      </c>
      <c r="I36" s="132"/>
      <c r="J36" s="417">
        <f>IFERROR(VLOOKUP($C36,'Proposed Rates'!$B:$J,J$11,FALSE),0)</f>
        <v>4.0000000000000003E-5</v>
      </c>
      <c r="K36" s="507">
        <f>$F$9+K$37</f>
        <v>485.60399999999993</v>
      </c>
      <c r="L36" s="399">
        <f t="shared" si="27"/>
        <v>1.9424159999999999E-2</v>
      </c>
      <c r="M36" s="132"/>
      <c r="N36" s="400">
        <f t="shared" ref="N36:N50" si="42">L36-H36</f>
        <v>-4.870140000000002E-3</v>
      </c>
      <c r="O36" s="401">
        <f t="shared" ref="O36:O50" si="43">IF((H36)=0,"",(N36/H36))</f>
        <v>-0.20046430644225197</v>
      </c>
      <c r="P36" s="52"/>
      <c r="Q36" s="417">
        <f>IFERROR(VLOOKUP($C36,'Proposed Rates'!$B:$J,Q$11,FALSE),0)</f>
        <v>4.0000000000000003E-5</v>
      </c>
      <c r="R36" s="507">
        <f>$F$9+R$37</f>
        <v>485.60399999999993</v>
      </c>
      <c r="S36" s="399">
        <f t="shared" si="29"/>
        <v>1.9424159999999999E-2</v>
      </c>
      <c r="T36" s="132"/>
      <c r="U36" s="400">
        <f t="shared" ref="U36:U50" si="44">S36-L36</f>
        <v>0</v>
      </c>
      <c r="V36" s="401">
        <f t="shared" ref="V36:V50" si="45">IF((L36)=0,"",(U36/L36))</f>
        <v>0</v>
      </c>
      <c r="W36" s="52"/>
      <c r="X36" s="417">
        <f>IFERROR(VLOOKUP($C36,'Proposed Rates'!$B:$J,X$11,FALSE),0)</f>
        <v>4.0000000000000003E-5</v>
      </c>
      <c r="Y36" s="507">
        <f>$F$9+Y$37</f>
        <v>485.60399999999993</v>
      </c>
      <c r="Z36" s="399">
        <f t="shared" si="31"/>
        <v>1.9424159999999999E-2</v>
      </c>
      <c r="AA36" s="132"/>
      <c r="AB36" s="400">
        <f t="shared" ref="AB36:AB50" si="46">Z36-S36</f>
        <v>0</v>
      </c>
      <c r="AC36" s="401">
        <f t="shared" ref="AC36:AC50" si="47">IF((S36)=0,"",(AB36/S36))</f>
        <v>0</v>
      </c>
      <c r="AD36" s="52"/>
      <c r="AE36" s="417">
        <f>IFERROR(VLOOKUP($C36,'Proposed Rates'!$B:$J,AE$11,FALSE),0)</f>
        <v>4.0000000000000003E-5</v>
      </c>
      <c r="AF36" s="507">
        <f>$F$9+AF$37</f>
        <v>485.60399999999993</v>
      </c>
      <c r="AG36" s="399">
        <f t="shared" si="33"/>
        <v>1.9424159999999999E-2</v>
      </c>
      <c r="AH36" s="132"/>
      <c r="AI36" s="400">
        <f t="shared" si="17"/>
        <v>0</v>
      </c>
      <c r="AJ36" s="401">
        <f t="shared" si="18"/>
        <v>0</v>
      </c>
      <c r="AK36" s="52"/>
      <c r="AL36" s="417">
        <f>IFERROR(VLOOKUP($C36,'Proposed Rates'!$B:$J,AL$11,FALSE),0)</f>
        <v>4.0000000000000003E-5</v>
      </c>
      <c r="AM36" s="507">
        <f>$F$9+AM$37</f>
        <v>485.60399999999993</v>
      </c>
      <c r="AN36" s="399">
        <f t="shared" si="35"/>
        <v>1.9424159999999999E-2</v>
      </c>
      <c r="AO36" s="132"/>
      <c r="AP36" s="400">
        <f t="shared" ref="AP36:AP50" si="48">AN36-AG36</f>
        <v>0</v>
      </c>
      <c r="AQ36" s="401">
        <f t="shared" ref="AQ36:AQ50" si="49">IF((AG36)=0,"",(AP36/AG36))</f>
        <v>0</v>
      </c>
      <c r="AR36" s="402"/>
    </row>
    <row r="37" spans="1:44" ht="12" customHeight="1">
      <c r="A37" s="550"/>
      <c r="B37" s="321" t="s">
        <v>316</v>
      </c>
      <c r="C37" s="394" t="str">
        <f t="shared" si="23"/>
        <v>Unmetered Scattered Load.Line Losses on Cost of Power</v>
      </c>
      <c r="D37" s="395" t="s">
        <v>312</v>
      </c>
      <c r="E37" s="321"/>
      <c r="F37" s="419">
        <f>'Proposed Rates'!$K$253*F$46+'Proposed Rates'!$K$254*F$47+'Proposed Rates'!$K$255*F$48</f>
        <v>0.12752000000000002</v>
      </c>
      <c r="G37" s="506">
        <f>$F$9*(1+F$65)-$F$9</f>
        <v>15.886000000000024</v>
      </c>
      <c r="H37" s="399">
        <f t="shared" si="25"/>
        <v>2.0257827200000036</v>
      </c>
      <c r="I37" s="132"/>
      <c r="J37" s="419">
        <f>'Proposed Rates'!$K$253*J$46+'Proposed Rates'!$K$254*J$47+'Proposed Rates'!$K$255*J$48</f>
        <v>0.12752000000000002</v>
      </c>
      <c r="K37" s="506">
        <f>$F$9*(1+J$65)-$F$9</f>
        <v>15.603999999999928</v>
      </c>
      <c r="L37" s="399">
        <f t="shared" si="27"/>
        <v>1.9898220799999913</v>
      </c>
      <c r="M37" s="132"/>
      <c r="N37" s="400">
        <f t="shared" si="42"/>
        <v>-3.5960640000012312E-2</v>
      </c>
      <c r="O37" s="401">
        <f t="shared" si="43"/>
        <v>-1.7751479289946876E-2</v>
      </c>
      <c r="P37" s="52"/>
      <c r="Q37" s="419">
        <f>'Proposed Rates'!$K$253*Q$46+'Proposed Rates'!$K$254*Q$47+'Proposed Rates'!$K$255*Q$48</f>
        <v>0.12752000000000002</v>
      </c>
      <c r="R37" s="506">
        <f>$F$9*(1+Q$65)-$F$9</f>
        <v>15.603999999999928</v>
      </c>
      <c r="S37" s="399">
        <f t="shared" si="29"/>
        <v>1.9898220799999913</v>
      </c>
      <c r="T37" s="132"/>
      <c r="U37" s="400">
        <f t="shared" si="44"/>
        <v>0</v>
      </c>
      <c r="V37" s="401">
        <f t="shared" si="45"/>
        <v>0</v>
      </c>
      <c r="W37" s="52"/>
      <c r="X37" s="419">
        <f>'Proposed Rates'!$K$253*X$46+'Proposed Rates'!$K$254*X$47+'Proposed Rates'!$K$255*X$48</f>
        <v>0.12752000000000002</v>
      </c>
      <c r="Y37" s="506">
        <f>$F$9*(1+X$65)-$F$9</f>
        <v>15.603999999999928</v>
      </c>
      <c r="Z37" s="399">
        <f t="shared" si="31"/>
        <v>1.9898220799999913</v>
      </c>
      <c r="AA37" s="132"/>
      <c r="AB37" s="400">
        <f t="shared" si="46"/>
        <v>0</v>
      </c>
      <c r="AC37" s="401">
        <f t="shared" si="47"/>
        <v>0</v>
      </c>
      <c r="AD37" s="52"/>
      <c r="AE37" s="419">
        <f>'Proposed Rates'!$K$253*AE$46+'Proposed Rates'!$K$254*AE$47+'Proposed Rates'!$K$255*AE$48</f>
        <v>0.12752000000000002</v>
      </c>
      <c r="AF37" s="506">
        <f>$F$9*(1+AE$65)-$F$9</f>
        <v>15.603999999999928</v>
      </c>
      <c r="AG37" s="399">
        <f t="shared" si="33"/>
        <v>1.9898220799999913</v>
      </c>
      <c r="AH37" s="132"/>
      <c r="AI37" s="400">
        <f t="shared" si="17"/>
        <v>0</v>
      </c>
      <c r="AJ37" s="401">
        <f t="shared" si="18"/>
        <v>0</v>
      </c>
      <c r="AK37" s="52"/>
      <c r="AL37" s="419">
        <f>'Proposed Rates'!$K$253*AL$46+'Proposed Rates'!$K$254*AL$47+'Proposed Rates'!$K$255*AL$48</f>
        <v>0.12752000000000002</v>
      </c>
      <c r="AM37" s="506">
        <f>$F$9*(1+AL$65)-$F$9</f>
        <v>15.603999999999928</v>
      </c>
      <c r="AN37" s="399">
        <f t="shared" si="35"/>
        <v>1.9898220799999913</v>
      </c>
      <c r="AO37" s="132"/>
      <c r="AP37" s="400">
        <f t="shared" si="48"/>
        <v>0</v>
      </c>
      <c r="AQ37" s="401">
        <f t="shared" si="49"/>
        <v>0</v>
      </c>
      <c r="AR37" s="402"/>
    </row>
    <row r="38" spans="1:44" ht="12" customHeight="1">
      <c r="A38" s="550"/>
      <c r="B38" s="321" t="s">
        <v>275</v>
      </c>
      <c r="C38" s="394" t="str">
        <f t="shared" si="23"/>
        <v>Unmetered Scattered Load.Smart Meter Entity Charge</v>
      </c>
      <c r="D38" s="395" t="s">
        <v>310</v>
      </c>
      <c r="E38" s="321"/>
      <c r="F38" s="413">
        <f>IFERROR(VLOOKUP($C38,'Proposed Rates'!$B:$J,F$11,FALSE),0)</f>
        <v>0</v>
      </c>
      <c r="G38" s="414">
        <f>IF($D38="Monthly",1,IF($D38="per KW",$F$10,IF($D38="per kWh",$F$9,0)))</f>
        <v>1</v>
      </c>
      <c r="H38" s="399">
        <f t="shared" si="25"/>
        <v>0</v>
      </c>
      <c r="I38" s="132"/>
      <c r="J38" s="413">
        <f>IFERROR(VLOOKUP($C38,'Proposed Rates'!$B:$J,J$11,FALSE),0)</f>
        <v>0</v>
      </c>
      <c r="K38" s="414">
        <f>IF($D38="Monthly",1,IF($D38="per KW",$F$10,IF($D38="per kWh",$F$9,0)))</f>
        <v>1</v>
      </c>
      <c r="L38" s="399">
        <f t="shared" si="27"/>
        <v>0</v>
      </c>
      <c r="M38" s="132"/>
      <c r="N38" s="400">
        <f t="shared" si="42"/>
        <v>0</v>
      </c>
      <c r="O38" s="401" t="str">
        <f t="shared" si="43"/>
        <v/>
      </c>
      <c r="P38" s="52"/>
      <c r="Q38" s="413">
        <f>IFERROR(VLOOKUP($C38,'Proposed Rates'!$B:$J,Q$11,FALSE),0)</f>
        <v>0</v>
      </c>
      <c r="R38" s="414">
        <f>IF($D38="Monthly",1,IF($D38="per KW",$F$10,IF($D38="per kWh",$F$9,0)))</f>
        <v>1</v>
      </c>
      <c r="S38" s="399">
        <f t="shared" si="29"/>
        <v>0</v>
      </c>
      <c r="T38" s="132"/>
      <c r="U38" s="400">
        <f t="shared" si="44"/>
        <v>0</v>
      </c>
      <c r="V38" s="401" t="str">
        <f t="shared" si="45"/>
        <v/>
      </c>
      <c r="W38" s="52"/>
      <c r="X38" s="413">
        <f>IFERROR(VLOOKUP($C38,'Proposed Rates'!$B:$J,X$11,FALSE),0)</f>
        <v>0</v>
      </c>
      <c r="Y38" s="414">
        <f>IF($D38="Monthly",1,IF($D38="per KW",$F$10,IF($D38="per kWh",$F$9,0)))</f>
        <v>1</v>
      </c>
      <c r="Z38" s="399">
        <f t="shared" si="31"/>
        <v>0</v>
      </c>
      <c r="AA38" s="132"/>
      <c r="AB38" s="400">
        <f t="shared" si="46"/>
        <v>0</v>
      </c>
      <c r="AC38" s="401" t="str">
        <f t="shared" si="47"/>
        <v/>
      </c>
      <c r="AD38" s="52"/>
      <c r="AE38" s="413">
        <f>IFERROR(VLOOKUP($C38,'Proposed Rates'!$B:$J,AE$11,FALSE),0)</f>
        <v>0</v>
      </c>
      <c r="AF38" s="414">
        <f>IF($D38="Monthly",1,IF($D38="per KW",$F$10,IF($D38="per kWh",$F$9,0)))</f>
        <v>1</v>
      </c>
      <c r="AG38" s="399">
        <f t="shared" si="33"/>
        <v>0</v>
      </c>
      <c r="AH38" s="132"/>
      <c r="AI38" s="400">
        <f t="shared" si="17"/>
        <v>0</v>
      </c>
      <c r="AJ38" s="401" t="str">
        <f t="shared" si="18"/>
        <v/>
      </c>
      <c r="AK38" s="52"/>
      <c r="AL38" s="413">
        <f>IFERROR(VLOOKUP($C38,'Proposed Rates'!$B:$J,AL$11,FALSE),0)</f>
        <v>0</v>
      </c>
      <c r="AM38" s="414">
        <f>IF($D38="Monthly",1,IF($D38="per KW",$F$10,IF($D38="per kWh",$F$9,0)))</f>
        <v>1</v>
      </c>
      <c r="AN38" s="399">
        <f t="shared" si="35"/>
        <v>0</v>
      </c>
      <c r="AO38" s="132"/>
      <c r="AP38" s="400">
        <f t="shared" si="48"/>
        <v>0</v>
      </c>
      <c r="AQ38" s="401" t="str">
        <f t="shared" si="49"/>
        <v/>
      </c>
      <c r="AR38" s="402"/>
    </row>
    <row r="39" spans="1:44" ht="12" customHeight="1">
      <c r="A39" s="550"/>
      <c r="B39" s="404" t="s">
        <v>317</v>
      </c>
      <c r="C39" s="421"/>
      <c r="D39" s="421"/>
      <c r="E39" s="421"/>
      <c r="F39" s="422"/>
      <c r="G39" s="500"/>
      <c r="H39" s="408">
        <f>SUM(H30:H38)+H29</f>
        <v>25.167077020000001</v>
      </c>
      <c r="I39" s="424"/>
      <c r="J39" s="422"/>
      <c r="K39" s="500"/>
      <c r="L39" s="408">
        <f>SUM(L30:L38)+L29</f>
        <v>28.209246239999992</v>
      </c>
      <c r="M39" s="424"/>
      <c r="N39" s="410">
        <f t="shared" si="42"/>
        <v>3.042169219999991</v>
      </c>
      <c r="O39" s="411">
        <f t="shared" si="43"/>
        <v>0.12087892517603106</v>
      </c>
      <c r="P39" s="52"/>
      <c r="Q39" s="422"/>
      <c r="R39" s="500"/>
      <c r="S39" s="408">
        <f>SUM(S30:S38)+S29</f>
        <v>30.204246239999993</v>
      </c>
      <c r="T39" s="424"/>
      <c r="U39" s="410">
        <f t="shared" si="44"/>
        <v>1.995000000000001</v>
      </c>
      <c r="V39" s="411">
        <f t="shared" si="45"/>
        <v>7.0721492627872556E-2</v>
      </c>
      <c r="W39" s="52"/>
      <c r="X39" s="422"/>
      <c r="Y39" s="500"/>
      <c r="Z39" s="408">
        <f>SUM(Z30:Z38)+Z29</f>
        <v>32.053246239999993</v>
      </c>
      <c r="AA39" s="424"/>
      <c r="AB39" s="410">
        <f t="shared" si="46"/>
        <v>1.8490000000000002</v>
      </c>
      <c r="AC39" s="411">
        <f t="shared" si="47"/>
        <v>6.1216558271576342E-2</v>
      </c>
      <c r="AD39" s="52"/>
      <c r="AE39" s="422"/>
      <c r="AF39" s="500"/>
      <c r="AG39" s="408">
        <f>SUM(AG30:AG38)+AG29</f>
        <v>32.944246239999991</v>
      </c>
      <c r="AH39" s="424"/>
      <c r="AI39" s="410">
        <f t="shared" si="17"/>
        <v>0.89099999999999824</v>
      </c>
      <c r="AJ39" s="411">
        <f t="shared" si="18"/>
        <v>2.7797496494695085E-2</v>
      </c>
      <c r="AK39" s="52"/>
      <c r="AL39" s="422"/>
      <c r="AM39" s="500"/>
      <c r="AN39" s="408">
        <f>SUM(AN30:AN38)+AN29</f>
        <v>33.403246239999987</v>
      </c>
      <c r="AO39" s="424"/>
      <c r="AP39" s="410">
        <f t="shared" si="48"/>
        <v>0.45899999999999608</v>
      </c>
      <c r="AQ39" s="411">
        <f t="shared" si="49"/>
        <v>1.3932630197581846E-2</v>
      </c>
      <c r="AR39" s="412"/>
    </row>
    <row r="40" spans="1:44" ht="12" customHeight="1">
      <c r="A40" s="550"/>
      <c r="B40" s="132" t="s">
        <v>258</v>
      </c>
      <c r="C40" s="394" t="str">
        <f t="shared" ref="C40:C41" si="50">D$6&amp;"."&amp;B40</f>
        <v>Unmetered Scattered Load.RTSR - Network</v>
      </c>
      <c r="D40" s="425" t="s">
        <v>312</v>
      </c>
      <c r="E40" s="132"/>
      <c r="F40" s="413">
        <f>IFERROR(VLOOKUP($C40,'Proposed Rates'!$B:$J,F$11,FALSE),0)</f>
        <v>1.18E-2</v>
      </c>
      <c r="G40" s="507">
        <f t="shared" ref="G40:G41" si="51">$F$9+G$37</f>
        <v>485.88600000000002</v>
      </c>
      <c r="H40" s="399">
        <f t="shared" ref="H40:H41" si="52">G40*F40</f>
        <v>5.7334548000000005</v>
      </c>
      <c r="I40" s="132"/>
      <c r="J40" s="413">
        <f>IFERROR(VLOOKUP($C40,'Proposed Rates'!$B:$J,J$11,FALSE),0)</f>
        <v>7.4999999999999997E-3</v>
      </c>
      <c r="K40" s="507">
        <f t="shared" ref="K40:K41" si="53">$F$9+K$37</f>
        <v>485.60399999999993</v>
      </c>
      <c r="L40" s="399">
        <f t="shared" ref="L40:L41" si="54">K40*J40</f>
        <v>3.6420299999999992</v>
      </c>
      <c r="M40" s="132"/>
      <c r="N40" s="400">
        <f t="shared" si="42"/>
        <v>-2.0914248000000013</v>
      </c>
      <c r="O40" s="401">
        <f t="shared" si="43"/>
        <v>-0.36477566719458593</v>
      </c>
      <c r="P40" s="52"/>
      <c r="Q40" s="413">
        <f>IFERROR(VLOOKUP($C40,'Proposed Rates'!$B:$J,Q$11,FALSE),0)</f>
        <v>7.4999999999999997E-3</v>
      </c>
      <c r="R40" s="507">
        <f t="shared" ref="R40:R41" si="55">$F$9+R$37</f>
        <v>485.60399999999993</v>
      </c>
      <c r="S40" s="399">
        <f t="shared" ref="S40:S41" si="56">R40*Q40</f>
        <v>3.6420299999999992</v>
      </c>
      <c r="T40" s="132"/>
      <c r="U40" s="400">
        <f t="shared" si="44"/>
        <v>0</v>
      </c>
      <c r="V40" s="401">
        <f t="shared" si="45"/>
        <v>0</v>
      </c>
      <c r="W40" s="52"/>
      <c r="X40" s="413">
        <f>IFERROR(VLOOKUP($C40,'Proposed Rates'!$B:$J,X$11,FALSE),0)</f>
        <v>7.4999999999999997E-3</v>
      </c>
      <c r="Y40" s="507">
        <f t="shared" ref="Y40:Y41" si="57">$F$9+Y$37</f>
        <v>485.60399999999993</v>
      </c>
      <c r="Z40" s="399">
        <f t="shared" ref="Z40:Z41" si="58">Y40*X40</f>
        <v>3.6420299999999992</v>
      </c>
      <c r="AA40" s="132"/>
      <c r="AB40" s="400">
        <f t="shared" si="46"/>
        <v>0</v>
      </c>
      <c r="AC40" s="401">
        <f t="shared" si="47"/>
        <v>0</v>
      </c>
      <c r="AD40" s="52"/>
      <c r="AE40" s="413">
        <f>IFERROR(VLOOKUP($C40,'Proposed Rates'!$B:$J,AE$11,FALSE),0)</f>
        <v>7.4999999999999997E-3</v>
      </c>
      <c r="AF40" s="507">
        <f t="shared" ref="AF40:AF41" si="59">$F$9+AF$37</f>
        <v>485.60399999999993</v>
      </c>
      <c r="AG40" s="399">
        <f t="shared" ref="AG40:AG41" si="60">AF40*AE40</f>
        <v>3.6420299999999992</v>
      </c>
      <c r="AH40" s="132"/>
      <c r="AI40" s="400">
        <f t="shared" si="17"/>
        <v>0</v>
      </c>
      <c r="AJ40" s="401">
        <f t="shared" si="18"/>
        <v>0</v>
      </c>
      <c r="AK40" s="52"/>
      <c r="AL40" s="413">
        <f>IFERROR(VLOOKUP($C40,'Proposed Rates'!$B:$J,AL$11,FALSE),0)</f>
        <v>7.4999999999999997E-3</v>
      </c>
      <c r="AM40" s="507">
        <f t="shared" ref="AM40:AM41" si="61">$F$9+AM$37</f>
        <v>485.60399999999993</v>
      </c>
      <c r="AN40" s="399">
        <f t="shared" ref="AN40:AN41" si="62">AM40*AL40</f>
        <v>3.6420299999999992</v>
      </c>
      <c r="AO40" s="132"/>
      <c r="AP40" s="400">
        <f t="shared" si="48"/>
        <v>0</v>
      </c>
      <c r="AQ40" s="401">
        <f t="shared" si="49"/>
        <v>0</v>
      </c>
      <c r="AR40" s="402"/>
    </row>
    <row r="41" spans="1:44" ht="12" customHeight="1">
      <c r="A41" s="550"/>
      <c r="B41" s="132" t="s">
        <v>261</v>
      </c>
      <c r="C41" s="394" t="str">
        <f t="shared" si="50"/>
        <v>Unmetered Scattered Load.RTSR - Line and Transformation Connection</v>
      </c>
      <c r="D41" s="425" t="s">
        <v>312</v>
      </c>
      <c r="E41" s="132"/>
      <c r="F41" s="413">
        <f>IFERROR(VLOOKUP($C41,'Proposed Rates'!$B:$J,F$11,FALSE),0)</f>
        <v>7.0000000000000001E-3</v>
      </c>
      <c r="G41" s="507">
        <f t="shared" si="51"/>
        <v>485.88600000000002</v>
      </c>
      <c r="H41" s="399">
        <f t="shared" si="52"/>
        <v>3.4012020000000001</v>
      </c>
      <c r="I41" s="132"/>
      <c r="J41" s="413">
        <f>IFERROR(VLOOKUP($C41,'Proposed Rates'!$B:$J,J$11,FALSE),0)</f>
        <v>4.3E-3</v>
      </c>
      <c r="K41" s="507">
        <f t="shared" si="53"/>
        <v>485.60399999999993</v>
      </c>
      <c r="L41" s="399">
        <f t="shared" si="54"/>
        <v>2.0880971999999995</v>
      </c>
      <c r="M41" s="132"/>
      <c r="N41" s="400">
        <f t="shared" si="42"/>
        <v>-1.3131048000000005</v>
      </c>
      <c r="O41" s="401">
        <f t="shared" si="43"/>
        <v>-0.38607080673244354</v>
      </c>
      <c r="P41" s="52"/>
      <c r="Q41" s="413">
        <f>IFERROR(VLOOKUP($C41,'Proposed Rates'!$B:$J,Q$11,FALSE),0)</f>
        <v>4.3E-3</v>
      </c>
      <c r="R41" s="507">
        <f t="shared" si="55"/>
        <v>485.60399999999993</v>
      </c>
      <c r="S41" s="399">
        <f t="shared" si="56"/>
        <v>2.0880971999999995</v>
      </c>
      <c r="T41" s="132"/>
      <c r="U41" s="400">
        <f t="shared" si="44"/>
        <v>0</v>
      </c>
      <c r="V41" s="401">
        <f t="shared" si="45"/>
        <v>0</v>
      </c>
      <c r="W41" s="52"/>
      <c r="X41" s="413">
        <f>IFERROR(VLOOKUP($C41,'Proposed Rates'!$B:$J,X$11,FALSE),0)</f>
        <v>4.3E-3</v>
      </c>
      <c r="Y41" s="507">
        <f t="shared" si="57"/>
        <v>485.60399999999993</v>
      </c>
      <c r="Z41" s="399">
        <f t="shared" si="58"/>
        <v>2.0880971999999995</v>
      </c>
      <c r="AA41" s="132"/>
      <c r="AB41" s="400">
        <f t="shared" si="46"/>
        <v>0</v>
      </c>
      <c r="AC41" s="401">
        <f t="shared" si="47"/>
        <v>0</v>
      </c>
      <c r="AD41" s="52"/>
      <c r="AE41" s="413">
        <f>IFERROR(VLOOKUP($C41,'Proposed Rates'!$B:$J,AE$11,FALSE),0)</f>
        <v>4.3E-3</v>
      </c>
      <c r="AF41" s="507">
        <f t="shared" si="59"/>
        <v>485.60399999999993</v>
      </c>
      <c r="AG41" s="399">
        <f t="shared" si="60"/>
        <v>2.0880971999999995</v>
      </c>
      <c r="AH41" s="132"/>
      <c r="AI41" s="400">
        <f t="shared" si="17"/>
        <v>0</v>
      </c>
      <c r="AJ41" s="401">
        <f t="shared" si="18"/>
        <v>0</v>
      </c>
      <c r="AK41" s="52"/>
      <c r="AL41" s="413">
        <f>IFERROR(VLOOKUP($C41,'Proposed Rates'!$B:$J,AL$11,FALSE),0)</f>
        <v>4.3E-3</v>
      </c>
      <c r="AM41" s="507">
        <f t="shared" si="61"/>
        <v>485.60399999999993</v>
      </c>
      <c r="AN41" s="399">
        <f t="shared" si="62"/>
        <v>2.0880971999999995</v>
      </c>
      <c r="AO41" s="132"/>
      <c r="AP41" s="400">
        <f t="shared" si="48"/>
        <v>0</v>
      </c>
      <c r="AQ41" s="401">
        <f t="shared" si="49"/>
        <v>0</v>
      </c>
      <c r="AR41" s="402"/>
    </row>
    <row r="42" spans="1:44" ht="12" customHeight="1">
      <c r="A42" s="550"/>
      <c r="B42" s="404" t="s">
        <v>318</v>
      </c>
      <c r="C42" s="426"/>
      <c r="D42" s="426"/>
      <c r="E42" s="426"/>
      <c r="F42" s="427"/>
      <c r="G42" s="500"/>
      <c r="H42" s="408">
        <f>SUM(H39:H41)</f>
        <v>34.301733820000003</v>
      </c>
      <c r="I42" s="409"/>
      <c r="J42" s="427"/>
      <c r="K42" s="500"/>
      <c r="L42" s="408">
        <f>SUM(L39:L41)</f>
        <v>33.93937343999999</v>
      </c>
      <c r="M42" s="409"/>
      <c r="N42" s="410">
        <f t="shared" si="42"/>
        <v>-0.36236038000001258</v>
      </c>
      <c r="O42" s="411">
        <f t="shared" si="43"/>
        <v>-1.0563908573878979E-2</v>
      </c>
      <c r="P42" s="52"/>
      <c r="Q42" s="427"/>
      <c r="R42" s="500"/>
      <c r="S42" s="408">
        <f>SUM(S39:S41)</f>
        <v>35.934373439999995</v>
      </c>
      <c r="T42" s="409"/>
      <c r="U42" s="410">
        <f t="shared" si="44"/>
        <v>1.9950000000000045</v>
      </c>
      <c r="V42" s="411">
        <f t="shared" si="45"/>
        <v>5.8781285503896594E-2</v>
      </c>
      <c r="W42" s="52"/>
      <c r="X42" s="427"/>
      <c r="Y42" s="500"/>
      <c r="Z42" s="408">
        <f>SUM(Z39:Z41)</f>
        <v>37.783373439999991</v>
      </c>
      <c r="AA42" s="409"/>
      <c r="AB42" s="410">
        <f t="shared" si="46"/>
        <v>1.8489999999999966</v>
      </c>
      <c r="AC42" s="411">
        <f t="shared" si="47"/>
        <v>5.1454911356317135E-2</v>
      </c>
      <c r="AD42" s="52"/>
      <c r="AE42" s="427"/>
      <c r="AF42" s="500"/>
      <c r="AG42" s="408">
        <f>SUM(AG39:AG41)</f>
        <v>38.674373439999989</v>
      </c>
      <c r="AH42" s="409"/>
      <c r="AI42" s="410">
        <f t="shared" si="17"/>
        <v>0.89099999999999824</v>
      </c>
      <c r="AJ42" s="411">
        <f t="shared" si="18"/>
        <v>2.3581801170160375E-2</v>
      </c>
      <c r="AK42" s="52"/>
      <c r="AL42" s="427"/>
      <c r="AM42" s="500"/>
      <c r="AN42" s="408">
        <f>SUM(AN39:AN41)</f>
        <v>39.133373439999986</v>
      </c>
      <c r="AO42" s="409"/>
      <c r="AP42" s="410">
        <f t="shared" si="48"/>
        <v>0.45899999999999608</v>
      </c>
      <c r="AQ42" s="411">
        <f t="shared" si="49"/>
        <v>1.1868324142654712E-2</v>
      </c>
      <c r="AR42" s="412"/>
    </row>
    <row r="43" spans="1:44" ht="12" customHeight="1">
      <c r="A43" s="550"/>
      <c r="B43" s="321" t="s">
        <v>262</v>
      </c>
      <c r="C43" s="394" t="str">
        <f t="shared" ref="C43:C45" si="63">D$6&amp;"."&amp;B43</f>
        <v>Unmetered Scattered Load.Wholesale Market Service Charge (WMSC)</v>
      </c>
      <c r="D43" s="395" t="s">
        <v>312</v>
      </c>
      <c r="E43" s="321"/>
      <c r="F43" s="413">
        <f>IFERROR(VLOOKUP($C43,'Proposed Rates'!$B:$J,F$11,FALSE),0)</f>
        <v>4.4999999999999997E-3</v>
      </c>
      <c r="G43" s="507">
        <f t="shared" ref="G43:G44" si="64">$F$9+G$37</f>
        <v>485.88600000000002</v>
      </c>
      <c r="H43" s="399">
        <f t="shared" ref="H43:H50" si="65">G43*F43</f>
        <v>2.1864870000000001</v>
      </c>
      <c r="I43" s="132"/>
      <c r="J43" s="413">
        <f>IFERROR(VLOOKUP($C43,'Proposed Rates'!$B:$J,J$11,FALSE),0)</f>
        <v>4.7000000000000002E-3</v>
      </c>
      <c r="K43" s="507">
        <f t="shared" ref="K43:K44" si="66">$F$9+K$37</f>
        <v>485.60399999999993</v>
      </c>
      <c r="L43" s="399">
        <f t="shared" ref="L43:L50" si="67">K43*J43</f>
        <v>2.2823387999999998</v>
      </c>
      <c r="M43" s="132"/>
      <c r="N43" s="400">
        <f t="shared" si="42"/>
        <v>9.5851799999999709E-2</v>
      </c>
      <c r="O43" s="401">
        <f t="shared" si="43"/>
        <v>4.3838266589282124E-2</v>
      </c>
      <c r="P43" s="52"/>
      <c r="Q43" s="413">
        <f>IFERROR(VLOOKUP($C43,'Proposed Rates'!$B:$J,Q$11,FALSE),0)</f>
        <v>4.7000000000000002E-3</v>
      </c>
      <c r="R43" s="507">
        <f t="shared" ref="R43:R44" si="68">$F$9+R$37</f>
        <v>485.60399999999993</v>
      </c>
      <c r="S43" s="399">
        <f t="shared" ref="S43:S50" si="69">R43*Q43</f>
        <v>2.2823387999999998</v>
      </c>
      <c r="T43" s="132"/>
      <c r="U43" s="400">
        <f t="shared" si="44"/>
        <v>0</v>
      </c>
      <c r="V43" s="401">
        <f t="shared" si="45"/>
        <v>0</v>
      </c>
      <c r="W43" s="52"/>
      <c r="X43" s="413">
        <f>IFERROR(VLOOKUP($C43,'Proposed Rates'!$B:$J,X$11,FALSE),0)</f>
        <v>4.7000000000000002E-3</v>
      </c>
      <c r="Y43" s="507">
        <f t="shared" ref="Y43:Y44" si="70">$F$9+Y$37</f>
        <v>485.60399999999993</v>
      </c>
      <c r="Z43" s="399">
        <f t="shared" ref="Z43:Z50" si="71">Y43*X43</f>
        <v>2.2823387999999998</v>
      </c>
      <c r="AA43" s="132"/>
      <c r="AB43" s="400">
        <f t="shared" si="46"/>
        <v>0</v>
      </c>
      <c r="AC43" s="401">
        <f t="shared" si="47"/>
        <v>0</v>
      </c>
      <c r="AD43" s="52"/>
      <c r="AE43" s="413">
        <f>IFERROR(VLOOKUP($C43,'Proposed Rates'!$B:$J,AE$11,FALSE),0)</f>
        <v>4.7000000000000002E-3</v>
      </c>
      <c r="AF43" s="507">
        <f t="shared" ref="AF43:AF44" si="72">$F$9+AF$37</f>
        <v>485.60399999999993</v>
      </c>
      <c r="AG43" s="399">
        <f t="shared" ref="AG43:AG50" si="73">AF43*AE43</f>
        <v>2.2823387999999998</v>
      </c>
      <c r="AH43" s="132"/>
      <c r="AI43" s="400">
        <f t="shared" si="17"/>
        <v>0</v>
      </c>
      <c r="AJ43" s="401">
        <f t="shared" si="18"/>
        <v>0</v>
      </c>
      <c r="AK43" s="52"/>
      <c r="AL43" s="413">
        <f>IFERROR(VLOOKUP($C43,'Proposed Rates'!$B:$J,AL$11,FALSE),0)</f>
        <v>4.7000000000000002E-3</v>
      </c>
      <c r="AM43" s="507">
        <f t="shared" ref="AM43:AM44" si="74">$F$9+AM$37</f>
        <v>485.60399999999993</v>
      </c>
      <c r="AN43" s="399">
        <f t="shared" ref="AN43:AN50" si="75">AM43*AL43</f>
        <v>2.2823387999999998</v>
      </c>
      <c r="AO43" s="132"/>
      <c r="AP43" s="400">
        <f t="shared" si="48"/>
        <v>0</v>
      </c>
      <c r="AQ43" s="401">
        <f t="shared" si="49"/>
        <v>0</v>
      </c>
      <c r="AR43" s="402"/>
    </row>
    <row r="44" spans="1:44" ht="12" customHeight="1">
      <c r="A44" s="550"/>
      <c r="B44" s="321" t="s">
        <v>263</v>
      </c>
      <c r="C44" s="394" t="str">
        <f t="shared" si="63"/>
        <v>Unmetered Scattered Load.Rural and Remote Rate Protection (RRRP)</v>
      </c>
      <c r="D44" s="395" t="s">
        <v>312</v>
      </c>
      <c r="E44" s="321"/>
      <c r="F44" s="413">
        <f>IFERROR(VLOOKUP($C44,'Proposed Rates'!$B:$J,F$11,FALSE),0)</f>
        <v>1.5E-3</v>
      </c>
      <c r="G44" s="507">
        <f t="shared" si="64"/>
        <v>485.88600000000002</v>
      </c>
      <c r="H44" s="399">
        <f t="shared" si="65"/>
        <v>0.72882900000000006</v>
      </c>
      <c r="I44" s="132"/>
      <c r="J44" s="413">
        <f>IFERROR(VLOOKUP($C44,'Proposed Rates'!$B:$J,J$11,FALSE),0)</f>
        <v>5.9999999999999995E-4</v>
      </c>
      <c r="K44" s="507">
        <f t="shared" si="66"/>
        <v>485.60399999999993</v>
      </c>
      <c r="L44" s="399">
        <f t="shared" si="67"/>
        <v>0.29136239999999991</v>
      </c>
      <c r="M44" s="132"/>
      <c r="N44" s="400">
        <f t="shared" si="42"/>
        <v>-0.43746660000000015</v>
      </c>
      <c r="O44" s="401">
        <f t="shared" si="43"/>
        <v>-0.60023215322112611</v>
      </c>
      <c r="P44" s="52"/>
      <c r="Q44" s="413">
        <f>IFERROR(VLOOKUP($C44,'Proposed Rates'!$B:$J,Q$11,FALSE),0)</f>
        <v>5.9999999999999995E-4</v>
      </c>
      <c r="R44" s="507">
        <f t="shared" si="68"/>
        <v>485.60399999999993</v>
      </c>
      <c r="S44" s="399">
        <f t="shared" si="69"/>
        <v>0.29136239999999991</v>
      </c>
      <c r="T44" s="132"/>
      <c r="U44" s="400">
        <f t="shared" si="44"/>
        <v>0</v>
      </c>
      <c r="V44" s="401">
        <f t="shared" si="45"/>
        <v>0</v>
      </c>
      <c r="W44" s="52"/>
      <c r="X44" s="413">
        <f>IFERROR(VLOOKUP($C44,'Proposed Rates'!$B:$J,X$11,FALSE),0)</f>
        <v>5.9999999999999995E-4</v>
      </c>
      <c r="Y44" s="507">
        <f t="shared" si="70"/>
        <v>485.60399999999993</v>
      </c>
      <c r="Z44" s="399">
        <f t="shared" si="71"/>
        <v>0.29136239999999991</v>
      </c>
      <c r="AA44" s="132"/>
      <c r="AB44" s="400">
        <f t="shared" si="46"/>
        <v>0</v>
      </c>
      <c r="AC44" s="401">
        <f t="shared" si="47"/>
        <v>0</v>
      </c>
      <c r="AD44" s="52"/>
      <c r="AE44" s="413">
        <f>IFERROR(VLOOKUP($C44,'Proposed Rates'!$B:$J,AE$11,FALSE),0)</f>
        <v>5.9999999999999995E-4</v>
      </c>
      <c r="AF44" s="507">
        <f t="shared" si="72"/>
        <v>485.60399999999993</v>
      </c>
      <c r="AG44" s="399">
        <f t="shared" si="73"/>
        <v>0.29136239999999991</v>
      </c>
      <c r="AH44" s="132"/>
      <c r="AI44" s="400">
        <f t="shared" si="17"/>
        <v>0</v>
      </c>
      <c r="AJ44" s="401">
        <f t="shared" si="18"/>
        <v>0</v>
      </c>
      <c r="AK44" s="52"/>
      <c r="AL44" s="413">
        <f>IFERROR(VLOOKUP($C44,'Proposed Rates'!$B:$J,AL$11,FALSE),0)</f>
        <v>5.9999999999999995E-4</v>
      </c>
      <c r="AM44" s="507">
        <f t="shared" si="74"/>
        <v>485.60399999999993</v>
      </c>
      <c r="AN44" s="399">
        <f t="shared" si="75"/>
        <v>0.29136239999999991</v>
      </c>
      <c r="AO44" s="132"/>
      <c r="AP44" s="400">
        <f t="shared" si="48"/>
        <v>0</v>
      </c>
      <c r="AQ44" s="401">
        <f t="shared" si="49"/>
        <v>0</v>
      </c>
      <c r="AR44" s="402"/>
    </row>
    <row r="45" spans="1:44" ht="12" customHeight="1">
      <c r="A45" s="550"/>
      <c r="B45" s="321" t="s">
        <v>264</v>
      </c>
      <c r="C45" s="394" t="str">
        <f t="shared" si="63"/>
        <v>Unmetered Scattered Load.Standard Supply Service Charge</v>
      </c>
      <c r="D45" s="395" t="s">
        <v>310</v>
      </c>
      <c r="E45" s="321"/>
      <c r="F45" s="396">
        <f>IFERROR(VLOOKUP($C45,'Proposed Rates'!$B:$J,F$11,FALSE),0)</f>
        <v>0.25</v>
      </c>
      <c r="G45" s="416">
        <v>1</v>
      </c>
      <c r="H45" s="399">
        <f t="shared" si="65"/>
        <v>0.25</v>
      </c>
      <c r="I45" s="132"/>
      <c r="J45" s="396">
        <f>IFERROR(VLOOKUP($C45,'Proposed Rates'!$B:$J,J$11,FALSE),0)</f>
        <v>0.25</v>
      </c>
      <c r="K45" s="416">
        <v>1</v>
      </c>
      <c r="L45" s="399">
        <f t="shared" si="67"/>
        <v>0.25</v>
      </c>
      <c r="M45" s="132"/>
      <c r="N45" s="400">
        <f t="shared" si="42"/>
        <v>0</v>
      </c>
      <c r="O45" s="401">
        <f t="shared" si="43"/>
        <v>0</v>
      </c>
      <c r="P45" s="52"/>
      <c r="Q45" s="396">
        <f>IFERROR(VLOOKUP($C45,'Proposed Rates'!$B:$J,Q$11,FALSE),0)</f>
        <v>0.25</v>
      </c>
      <c r="R45" s="416">
        <v>1</v>
      </c>
      <c r="S45" s="399">
        <f t="shared" si="69"/>
        <v>0.25</v>
      </c>
      <c r="T45" s="132"/>
      <c r="U45" s="400">
        <f t="shared" si="44"/>
        <v>0</v>
      </c>
      <c r="V45" s="401">
        <f t="shared" si="45"/>
        <v>0</v>
      </c>
      <c r="W45" s="52"/>
      <c r="X45" s="396">
        <f>IFERROR(VLOOKUP($C45,'Proposed Rates'!$B:$J,X$11,FALSE),0)</f>
        <v>0.25</v>
      </c>
      <c r="Y45" s="416">
        <v>1</v>
      </c>
      <c r="Z45" s="399">
        <f t="shared" si="71"/>
        <v>0.25</v>
      </c>
      <c r="AA45" s="132"/>
      <c r="AB45" s="400">
        <f t="shared" si="46"/>
        <v>0</v>
      </c>
      <c r="AC45" s="401">
        <f t="shared" si="47"/>
        <v>0</v>
      </c>
      <c r="AD45" s="52"/>
      <c r="AE45" s="396">
        <f>IFERROR(VLOOKUP($C45,'Proposed Rates'!$B:$J,AE$11,FALSE),0)</f>
        <v>0.25</v>
      </c>
      <c r="AF45" s="416">
        <v>1</v>
      </c>
      <c r="AG45" s="399">
        <f t="shared" si="73"/>
        <v>0.25</v>
      </c>
      <c r="AH45" s="132"/>
      <c r="AI45" s="400">
        <f t="shared" si="17"/>
        <v>0</v>
      </c>
      <c r="AJ45" s="401">
        <f t="shared" si="18"/>
        <v>0</v>
      </c>
      <c r="AK45" s="52"/>
      <c r="AL45" s="396">
        <f>IFERROR(VLOOKUP($C45,'Proposed Rates'!$B:$J,AL$11,FALSE),0)</f>
        <v>0.25</v>
      </c>
      <c r="AM45" s="416">
        <v>1</v>
      </c>
      <c r="AN45" s="399">
        <f t="shared" si="75"/>
        <v>0.25</v>
      </c>
      <c r="AO45" s="132"/>
      <c r="AP45" s="400">
        <f t="shared" si="48"/>
        <v>0</v>
      </c>
      <c r="AQ45" s="401">
        <f t="shared" si="49"/>
        <v>0</v>
      </c>
      <c r="AR45" s="402"/>
    </row>
    <row r="46" spans="1:44" ht="12" customHeight="1">
      <c r="A46" s="550"/>
      <c r="B46" s="321" t="s">
        <v>266</v>
      </c>
      <c r="C46" s="394" t="str">
        <f t="shared" ref="C46:C50" si="76">B46</f>
        <v>TOU - Off Peak</v>
      </c>
      <c r="D46" s="395" t="s">
        <v>312</v>
      </c>
      <c r="E46" s="321"/>
      <c r="F46" s="584">
        <f>VLOOKUP($B46,'Proposed Rates'!$D$252:$J$258,+F$11-2,FALSE)</f>
        <v>9.8000000000000004E-2</v>
      </c>
      <c r="G46" s="507">
        <f>'Proposed Rates'!$K253*$F$9</f>
        <v>300.8</v>
      </c>
      <c r="H46" s="399">
        <f t="shared" si="65"/>
        <v>29.478400000000001</v>
      </c>
      <c r="I46" s="132"/>
      <c r="J46" s="584">
        <f>VLOOKUP($B46,'Proposed Rates'!$D$252:$J$258,+J$11-2,FALSE)</f>
        <v>9.8000000000000004E-2</v>
      </c>
      <c r="K46" s="507">
        <f>'Proposed Rates'!$K253*$F$9</f>
        <v>300.8</v>
      </c>
      <c r="L46" s="399">
        <f t="shared" si="67"/>
        <v>29.478400000000001</v>
      </c>
      <c r="M46" s="132"/>
      <c r="N46" s="400">
        <f t="shared" si="42"/>
        <v>0</v>
      </c>
      <c r="O46" s="401">
        <f t="shared" si="43"/>
        <v>0</v>
      </c>
      <c r="P46" s="52"/>
      <c r="Q46" s="584">
        <f>VLOOKUP($B46,'Proposed Rates'!$D$252:$J$258,+Q$11-2,FALSE)</f>
        <v>9.8000000000000004E-2</v>
      </c>
      <c r="R46" s="507">
        <f>'Proposed Rates'!$K253*$F$9</f>
        <v>300.8</v>
      </c>
      <c r="S46" s="399">
        <f t="shared" si="69"/>
        <v>29.478400000000001</v>
      </c>
      <c r="T46" s="132"/>
      <c r="U46" s="400">
        <f t="shared" si="44"/>
        <v>0</v>
      </c>
      <c r="V46" s="401">
        <f t="shared" si="45"/>
        <v>0</v>
      </c>
      <c r="W46" s="52"/>
      <c r="X46" s="584">
        <f>VLOOKUP($B46,'Proposed Rates'!$D$252:$J$258,+X$11-2,FALSE)</f>
        <v>9.8000000000000004E-2</v>
      </c>
      <c r="Y46" s="507">
        <f>'Proposed Rates'!$K253*$F$9</f>
        <v>300.8</v>
      </c>
      <c r="Z46" s="399">
        <f t="shared" si="71"/>
        <v>29.478400000000001</v>
      </c>
      <c r="AA46" s="132"/>
      <c r="AB46" s="400">
        <f t="shared" si="46"/>
        <v>0</v>
      </c>
      <c r="AC46" s="401">
        <f t="shared" si="47"/>
        <v>0</v>
      </c>
      <c r="AD46" s="52"/>
      <c r="AE46" s="584">
        <f>VLOOKUP($B46,'Proposed Rates'!$D$252:$J$258,+AE$11-2,FALSE)</f>
        <v>9.8000000000000004E-2</v>
      </c>
      <c r="AF46" s="507">
        <f>'Proposed Rates'!$K253*$F$9</f>
        <v>300.8</v>
      </c>
      <c r="AG46" s="399">
        <f t="shared" si="73"/>
        <v>29.478400000000001</v>
      </c>
      <c r="AH46" s="132"/>
      <c r="AI46" s="400">
        <f t="shared" si="17"/>
        <v>0</v>
      </c>
      <c r="AJ46" s="401">
        <f t="shared" si="18"/>
        <v>0</v>
      </c>
      <c r="AK46" s="52"/>
      <c r="AL46" s="584">
        <f>VLOOKUP($B46,'Proposed Rates'!$D$252:$J$258,+AL$11-2,FALSE)</f>
        <v>9.8000000000000004E-2</v>
      </c>
      <c r="AM46" s="507">
        <f>'Proposed Rates'!$K253*$F$9</f>
        <v>300.8</v>
      </c>
      <c r="AN46" s="399">
        <f t="shared" si="75"/>
        <v>29.478400000000001</v>
      </c>
      <c r="AO46" s="132"/>
      <c r="AP46" s="400">
        <f t="shared" si="48"/>
        <v>0</v>
      </c>
      <c r="AQ46" s="401">
        <f t="shared" si="49"/>
        <v>0</v>
      </c>
      <c r="AR46" s="402"/>
    </row>
    <row r="47" spans="1:44" ht="12" customHeight="1">
      <c r="A47" s="550"/>
      <c r="B47" s="321" t="s">
        <v>267</v>
      </c>
      <c r="C47" s="394" t="str">
        <f t="shared" si="76"/>
        <v>TOU - Mid Peak</v>
      </c>
      <c r="D47" s="395" t="s">
        <v>312</v>
      </c>
      <c r="E47" s="321"/>
      <c r="F47" s="584">
        <f>VLOOKUP($B47,'Proposed Rates'!$D$252:$J$258,+F$11-2,FALSE)</f>
        <v>0.157</v>
      </c>
      <c r="G47" s="507">
        <f>'Proposed Rates'!$K254*$F$9</f>
        <v>84.6</v>
      </c>
      <c r="H47" s="399">
        <f t="shared" si="65"/>
        <v>13.2822</v>
      </c>
      <c r="I47" s="132"/>
      <c r="J47" s="584">
        <f>VLOOKUP($B47,'Proposed Rates'!$D$252:$J$258,+J$11-2,FALSE)</f>
        <v>0.157</v>
      </c>
      <c r="K47" s="507">
        <f>'Proposed Rates'!$K254*$F$9</f>
        <v>84.6</v>
      </c>
      <c r="L47" s="399">
        <f t="shared" si="67"/>
        <v>13.2822</v>
      </c>
      <c r="M47" s="132"/>
      <c r="N47" s="400">
        <f t="shared" si="42"/>
        <v>0</v>
      </c>
      <c r="O47" s="401">
        <f t="shared" si="43"/>
        <v>0</v>
      </c>
      <c r="P47" s="52"/>
      <c r="Q47" s="584">
        <f>VLOOKUP($B47,'Proposed Rates'!$D$252:$J$258,+Q$11-2,FALSE)</f>
        <v>0.157</v>
      </c>
      <c r="R47" s="507">
        <f>'Proposed Rates'!$K254*$F$9</f>
        <v>84.6</v>
      </c>
      <c r="S47" s="399">
        <f t="shared" si="69"/>
        <v>13.2822</v>
      </c>
      <c r="T47" s="132"/>
      <c r="U47" s="400">
        <f t="shared" si="44"/>
        <v>0</v>
      </c>
      <c r="V47" s="401">
        <f t="shared" si="45"/>
        <v>0</v>
      </c>
      <c r="W47" s="52"/>
      <c r="X47" s="584">
        <f>VLOOKUP($B47,'Proposed Rates'!$D$252:$J$258,+X$11-2,FALSE)</f>
        <v>0.157</v>
      </c>
      <c r="Y47" s="507">
        <f>'Proposed Rates'!$K254*$F$9</f>
        <v>84.6</v>
      </c>
      <c r="Z47" s="399">
        <f t="shared" si="71"/>
        <v>13.2822</v>
      </c>
      <c r="AA47" s="132"/>
      <c r="AB47" s="400">
        <f t="shared" si="46"/>
        <v>0</v>
      </c>
      <c r="AC47" s="401">
        <f t="shared" si="47"/>
        <v>0</v>
      </c>
      <c r="AD47" s="52"/>
      <c r="AE47" s="584">
        <f>VLOOKUP($B47,'Proposed Rates'!$D$252:$J$258,+AE$11-2,FALSE)</f>
        <v>0.157</v>
      </c>
      <c r="AF47" s="507">
        <f>'Proposed Rates'!$K254*$F$9</f>
        <v>84.6</v>
      </c>
      <c r="AG47" s="399">
        <f t="shared" si="73"/>
        <v>13.2822</v>
      </c>
      <c r="AH47" s="132"/>
      <c r="AI47" s="400">
        <f t="shared" si="17"/>
        <v>0</v>
      </c>
      <c r="AJ47" s="401">
        <f t="shared" si="18"/>
        <v>0</v>
      </c>
      <c r="AK47" s="52"/>
      <c r="AL47" s="584">
        <f>VLOOKUP($B47,'Proposed Rates'!$D$252:$J$258,+AL$11-2,FALSE)</f>
        <v>0.157</v>
      </c>
      <c r="AM47" s="507">
        <f>'Proposed Rates'!$K254*$F$9</f>
        <v>84.6</v>
      </c>
      <c r="AN47" s="399">
        <f t="shared" si="75"/>
        <v>13.2822</v>
      </c>
      <c r="AO47" s="132"/>
      <c r="AP47" s="400">
        <f t="shared" si="48"/>
        <v>0</v>
      </c>
      <c r="AQ47" s="401">
        <f t="shared" si="49"/>
        <v>0</v>
      </c>
      <c r="AR47" s="402"/>
    </row>
    <row r="48" spans="1:44" ht="12" customHeight="1">
      <c r="A48" s="550"/>
      <c r="B48" s="52" t="s">
        <v>268</v>
      </c>
      <c r="C48" s="394" t="str">
        <f t="shared" si="76"/>
        <v>TOU - On Peak</v>
      </c>
      <c r="D48" s="395" t="s">
        <v>312</v>
      </c>
      <c r="E48" s="321"/>
      <c r="F48" s="584">
        <f>VLOOKUP($B48,'Proposed Rates'!$D$252:$J$258,+F$11-2,FALSE)</f>
        <v>0.20300000000000001</v>
      </c>
      <c r="G48" s="507">
        <f>'Proposed Rates'!$K255*$F$9</f>
        <v>84.6</v>
      </c>
      <c r="H48" s="399">
        <f t="shared" si="65"/>
        <v>17.1738</v>
      </c>
      <c r="I48" s="132"/>
      <c r="J48" s="584">
        <f>VLOOKUP($B48,'Proposed Rates'!$D$252:$J$258,+J$11-2,FALSE)</f>
        <v>0.20300000000000001</v>
      </c>
      <c r="K48" s="507">
        <f>'Proposed Rates'!$K255*$F$9</f>
        <v>84.6</v>
      </c>
      <c r="L48" s="399">
        <f t="shared" si="67"/>
        <v>17.1738</v>
      </c>
      <c r="M48" s="132"/>
      <c r="N48" s="400">
        <f t="shared" si="42"/>
        <v>0</v>
      </c>
      <c r="O48" s="401">
        <f t="shared" si="43"/>
        <v>0</v>
      </c>
      <c r="P48" s="52"/>
      <c r="Q48" s="584">
        <f>VLOOKUP($B48,'Proposed Rates'!$D$252:$J$258,+Q$11-2,FALSE)</f>
        <v>0.20300000000000001</v>
      </c>
      <c r="R48" s="507">
        <f>'Proposed Rates'!$K255*$F$9</f>
        <v>84.6</v>
      </c>
      <c r="S48" s="399">
        <f t="shared" si="69"/>
        <v>17.1738</v>
      </c>
      <c r="T48" s="132"/>
      <c r="U48" s="400">
        <f t="shared" si="44"/>
        <v>0</v>
      </c>
      <c r="V48" s="401">
        <f t="shared" si="45"/>
        <v>0</v>
      </c>
      <c r="W48" s="52"/>
      <c r="X48" s="584">
        <f>VLOOKUP($B48,'Proposed Rates'!$D$252:$J$258,+X$11-2,FALSE)</f>
        <v>0.20300000000000001</v>
      </c>
      <c r="Y48" s="507">
        <f>'Proposed Rates'!$K255*$F$9</f>
        <v>84.6</v>
      </c>
      <c r="Z48" s="399">
        <f t="shared" si="71"/>
        <v>17.1738</v>
      </c>
      <c r="AA48" s="132"/>
      <c r="AB48" s="400">
        <f t="shared" si="46"/>
        <v>0</v>
      </c>
      <c r="AC48" s="401">
        <f t="shared" si="47"/>
        <v>0</v>
      </c>
      <c r="AD48" s="52"/>
      <c r="AE48" s="584">
        <f>VLOOKUP($B48,'Proposed Rates'!$D$252:$J$258,+AE$11-2,FALSE)</f>
        <v>0.20300000000000001</v>
      </c>
      <c r="AF48" s="507">
        <f>'Proposed Rates'!$K255*$F$9</f>
        <v>84.6</v>
      </c>
      <c r="AG48" s="399">
        <f t="shared" si="73"/>
        <v>17.1738</v>
      </c>
      <c r="AH48" s="132"/>
      <c r="AI48" s="400">
        <f t="shared" si="17"/>
        <v>0</v>
      </c>
      <c r="AJ48" s="401">
        <f t="shared" si="18"/>
        <v>0</v>
      </c>
      <c r="AK48" s="52"/>
      <c r="AL48" s="584">
        <f>VLOOKUP($B48,'Proposed Rates'!$D$252:$J$258,+AL$11-2,FALSE)</f>
        <v>0.20300000000000001</v>
      </c>
      <c r="AM48" s="507">
        <f>'Proposed Rates'!$K255*$F$9</f>
        <v>84.6</v>
      </c>
      <c r="AN48" s="399">
        <f t="shared" si="75"/>
        <v>17.1738</v>
      </c>
      <c r="AO48" s="132"/>
      <c r="AP48" s="400">
        <f t="shared" si="48"/>
        <v>0</v>
      </c>
      <c r="AQ48" s="401">
        <f t="shared" si="49"/>
        <v>0</v>
      </c>
      <c r="AR48" s="402"/>
    </row>
    <row r="49" spans="1:44" ht="12" customHeight="1">
      <c r="A49" s="550"/>
      <c r="B49" s="321" t="s">
        <v>269</v>
      </c>
      <c r="C49" s="394" t="str">
        <f t="shared" si="76"/>
        <v>Energy - RPP - Tier 1</v>
      </c>
      <c r="D49" s="395" t="s">
        <v>312</v>
      </c>
      <c r="E49" s="321"/>
      <c r="F49" s="429">
        <f>VLOOKUP($B49,'Proposed Rates'!$D$252:$J$258,+F$11-2,FALSE)</f>
        <v>0.12</v>
      </c>
      <c r="G49" s="573">
        <f>IF(AND($S$2=1, $F$9&gt;=600), 600, IF(AND($S$2=1, AND($F$9&lt;600, $F$9&gt;=0)), $F$9, IF(AND($S$2=2, $F$9&gt;=1000), 1000, IF(AND($S$2=2, AND($F$9&lt;1000, $F$9&gt;=0)), $F$9))))</f>
        <v>470</v>
      </c>
      <c r="H49" s="399">
        <f t="shared" si="65"/>
        <v>56.4</v>
      </c>
      <c r="I49" s="132"/>
      <c r="J49" s="429">
        <f>VLOOKUP($B49,'Proposed Rates'!$D$252:$J$258,+J$11-2,FALSE)</f>
        <v>0.12</v>
      </c>
      <c r="K49" s="573">
        <f>IF(AND($S$2=1, $F$9&gt;=600), 600, IF(AND($S$2=1, AND($F$9&lt;600, $F$9&gt;=0)), $F$9, IF(AND($S$2=2, $F$9&gt;=1000), 1000, IF(AND($S$2=2, AND($F$9&lt;1000, $F$9&gt;=0)), $F$9))))</f>
        <v>470</v>
      </c>
      <c r="L49" s="399">
        <f t="shared" si="67"/>
        <v>56.4</v>
      </c>
      <c r="M49" s="132"/>
      <c r="N49" s="400">
        <f t="shared" si="42"/>
        <v>0</v>
      </c>
      <c r="O49" s="401">
        <f t="shared" si="43"/>
        <v>0</v>
      </c>
      <c r="P49" s="52"/>
      <c r="Q49" s="429">
        <f>VLOOKUP($B49,'Proposed Rates'!$D$252:$J$258,+Q$11-2,FALSE)</f>
        <v>0.12</v>
      </c>
      <c r="R49" s="573">
        <f>IF(AND($S$2=1, $F$9&gt;=600), 600, IF(AND($S$2=1, AND($F$9&lt;600, $F$9&gt;=0)), $F$9, IF(AND($S$2=2, $F$9&gt;=1000), 1000, IF(AND($S$2=2, AND($F$9&lt;1000, $F$9&gt;=0)), $F$9))))</f>
        <v>470</v>
      </c>
      <c r="S49" s="399">
        <f t="shared" si="69"/>
        <v>56.4</v>
      </c>
      <c r="T49" s="132"/>
      <c r="U49" s="400">
        <f t="shared" si="44"/>
        <v>0</v>
      </c>
      <c r="V49" s="401">
        <f t="shared" si="45"/>
        <v>0</v>
      </c>
      <c r="W49" s="52"/>
      <c r="X49" s="429">
        <f>VLOOKUP($B49,'Proposed Rates'!$D$252:$J$258,+X$11-2,FALSE)</f>
        <v>0.12</v>
      </c>
      <c r="Y49" s="573">
        <f>IF(AND($S$2=1, $F$9&gt;=600), 600, IF(AND($S$2=1, AND($F$9&lt;600, $F$9&gt;=0)), $F$9, IF(AND($S$2=2, $F$9&gt;=1000), 1000, IF(AND($S$2=2, AND($F$9&lt;1000, $F$9&gt;=0)), $F$9))))</f>
        <v>470</v>
      </c>
      <c r="Z49" s="399">
        <f t="shared" si="71"/>
        <v>56.4</v>
      </c>
      <c r="AA49" s="132"/>
      <c r="AB49" s="400">
        <f t="shared" si="46"/>
        <v>0</v>
      </c>
      <c r="AC49" s="401">
        <f t="shared" si="47"/>
        <v>0</v>
      </c>
      <c r="AD49" s="52"/>
      <c r="AE49" s="429">
        <f>VLOOKUP($B49,'Proposed Rates'!$D$252:$J$258,+AE$11-2,FALSE)</f>
        <v>0.12</v>
      </c>
      <c r="AF49" s="573">
        <f>IF(AND($S$2=1, $F$9&gt;=600), 600, IF(AND($S$2=1, AND($F$9&lt;600, $F$9&gt;=0)), $F$9, IF(AND($S$2=2, $F$9&gt;=1000), 1000, IF(AND($S$2=2, AND($F$9&lt;1000, $F$9&gt;=0)), $F$9))))</f>
        <v>470</v>
      </c>
      <c r="AG49" s="399">
        <f t="shared" si="73"/>
        <v>56.4</v>
      </c>
      <c r="AH49" s="132"/>
      <c r="AI49" s="400">
        <f t="shared" si="17"/>
        <v>0</v>
      </c>
      <c r="AJ49" s="401">
        <f t="shared" si="18"/>
        <v>0</v>
      </c>
      <c r="AK49" s="52"/>
      <c r="AL49" s="429">
        <f>VLOOKUP($B49,'Proposed Rates'!$D$252:$J$258,+AL$11-2,FALSE)</f>
        <v>0.12</v>
      </c>
      <c r="AM49" s="573">
        <f>IF(AND($S$2=1, $F$9&gt;=600), 600, IF(AND($S$2=1, AND($F$9&lt;600, $F$9&gt;=0)), $F$9, IF(AND($S$2=2, $F$9&gt;=1000), 1000, IF(AND($S$2=2, AND($F$9&lt;1000, $F$9&gt;=0)), $F$9))))</f>
        <v>470</v>
      </c>
      <c r="AN49" s="399">
        <f t="shared" si="75"/>
        <v>56.4</v>
      </c>
      <c r="AO49" s="132"/>
      <c r="AP49" s="400">
        <f t="shared" si="48"/>
        <v>0</v>
      </c>
      <c r="AQ49" s="401">
        <f t="shared" si="49"/>
        <v>0</v>
      </c>
      <c r="AR49" s="402"/>
    </row>
    <row r="50" spans="1:44" ht="12" customHeight="1">
      <c r="A50" s="550"/>
      <c r="B50" s="321" t="s">
        <v>270</v>
      </c>
      <c r="C50" s="394" t="str">
        <f t="shared" si="76"/>
        <v>Energy - RPP - Tier 2</v>
      </c>
      <c r="D50" s="395" t="s">
        <v>312</v>
      </c>
      <c r="E50" s="321"/>
      <c r="F50" s="429">
        <f>VLOOKUP($B50,'Proposed Rates'!$D$252:$J$258,+F$11-2,FALSE)</f>
        <v>0.14199999999999999</v>
      </c>
      <c r="G50" s="573">
        <f>IF(AND($S$2=1, F9&gt;=600), F9-600, IF(AND($S$2=1, AND(F9&lt;600, F9&gt;=0)), 0, IF(AND($S$2=2, F9&gt;=1000), F9-1000, IF(AND($S$2=2, AND(F9&lt;1000, F9&gt;=0)), 0))))</f>
        <v>0</v>
      </c>
      <c r="H50" s="399">
        <f t="shared" si="65"/>
        <v>0</v>
      </c>
      <c r="I50" s="132"/>
      <c r="J50" s="429">
        <f>VLOOKUP($B50,'Proposed Rates'!$D$252:$J$258,+J$11-2,FALSE)</f>
        <v>0.14199999999999999</v>
      </c>
      <c r="K50" s="573">
        <f>IF(AND($S$2=1, J9&gt;=600), J9-600, IF(AND($S$2=1, AND(J9&lt;600, J9&gt;=0)), 0, IF(AND($S$2=2, J9&gt;=1000), J9-1000, IF(AND($S$2=2, AND(J9&lt;1000, J9&gt;=0)), 0))))</f>
        <v>0</v>
      </c>
      <c r="L50" s="399">
        <f t="shared" si="67"/>
        <v>0</v>
      </c>
      <c r="M50" s="132"/>
      <c r="N50" s="400">
        <f t="shared" si="42"/>
        <v>0</v>
      </c>
      <c r="O50" s="401" t="str">
        <f t="shared" si="43"/>
        <v/>
      </c>
      <c r="P50" s="52"/>
      <c r="Q50" s="429">
        <f>VLOOKUP($B50,'Proposed Rates'!$D$252:$J$258,+Q$11-2,FALSE)</f>
        <v>0.14199999999999999</v>
      </c>
      <c r="R50" s="573">
        <f>IF(AND($S$2=1, Q9&gt;=600), Q9-600, IF(AND($S$2=1, AND(Q9&lt;600, Q9&gt;=0)), 0, IF(AND($S$2=2, Q9&gt;=1000), Q9-1000, IF(AND($S$2=2, AND(Q9&lt;1000, Q9&gt;=0)), 0))))</f>
        <v>0</v>
      </c>
      <c r="S50" s="399">
        <f t="shared" si="69"/>
        <v>0</v>
      </c>
      <c r="T50" s="132"/>
      <c r="U50" s="400">
        <f t="shared" si="44"/>
        <v>0</v>
      </c>
      <c r="V50" s="401" t="str">
        <f t="shared" si="45"/>
        <v/>
      </c>
      <c r="W50" s="52"/>
      <c r="X50" s="429">
        <f>VLOOKUP($B50,'Proposed Rates'!$D$252:$J$258,+X$11-2,FALSE)</f>
        <v>0.14199999999999999</v>
      </c>
      <c r="Y50" s="573">
        <f>IF(AND($S$2=1, X9&gt;=600), X9-600, IF(AND($S$2=1, AND(X9&lt;600, X9&gt;=0)), 0, IF(AND($S$2=2, X9&gt;=1000), X9-1000, IF(AND($S$2=2, AND(X9&lt;1000, X9&gt;=0)), 0))))</f>
        <v>0</v>
      </c>
      <c r="Z50" s="399">
        <f t="shared" si="71"/>
        <v>0</v>
      </c>
      <c r="AA50" s="132"/>
      <c r="AB50" s="400">
        <f t="shared" si="46"/>
        <v>0</v>
      </c>
      <c r="AC50" s="401" t="str">
        <f t="shared" si="47"/>
        <v/>
      </c>
      <c r="AD50" s="52"/>
      <c r="AE50" s="429">
        <f>VLOOKUP($B50,'Proposed Rates'!$D$252:$J$258,+AE$11-2,FALSE)</f>
        <v>0.14199999999999999</v>
      </c>
      <c r="AF50" s="573">
        <f>IF(AND($S$2=1, AE9&gt;=600), AE9-600, IF(AND($S$2=1, AND(AE9&lt;600, AE9&gt;=0)), 0, IF(AND($S$2=2, AE9&gt;=1000), AE9-1000, IF(AND($S$2=2, AND(AE9&lt;1000, AE9&gt;=0)), 0))))</f>
        <v>0</v>
      </c>
      <c r="AG50" s="399">
        <f t="shared" si="73"/>
        <v>0</v>
      </c>
      <c r="AH50" s="132"/>
      <c r="AI50" s="400">
        <f t="shared" si="17"/>
        <v>0</v>
      </c>
      <c r="AJ50" s="401" t="str">
        <f t="shared" si="18"/>
        <v/>
      </c>
      <c r="AK50" s="52"/>
      <c r="AL50" s="429">
        <f>VLOOKUP($B50,'Proposed Rates'!$D$252:$J$258,+AL$11-2,FALSE)</f>
        <v>0.14199999999999999</v>
      </c>
      <c r="AM50" s="573">
        <f>IF(AND($S$2=1, AL9&gt;=600), AL9-600, IF(AND($S$2=1, AND(AL9&lt;600, AL9&gt;=0)), 0, IF(AND($S$2=2, AL9&gt;=1000), AL9-1000, IF(AND($S$2=2, AND(AL9&lt;1000, AL9&gt;=0)), 0))))</f>
        <v>0</v>
      </c>
      <c r="AN50" s="399">
        <f t="shared" si="75"/>
        <v>0</v>
      </c>
      <c r="AO50" s="132"/>
      <c r="AP50" s="400">
        <f t="shared" si="48"/>
        <v>0</v>
      </c>
      <c r="AQ50" s="401" t="str">
        <f t="shared" si="49"/>
        <v/>
      </c>
      <c r="AR50" s="402"/>
    </row>
    <row r="51" spans="1:44" ht="12" customHeight="1">
      <c r="A51" s="550"/>
      <c r="B51" s="433"/>
      <c r="C51" s="434"/>
      <c r="D51" s="434"/>
      <c r="E51" s="434"/>
      <c r="F51" s="435"/>
      <c r="G51" s="475"/>
      <c r="H51" s="437"/>
      <c r="I51" s="439"/>
      <c r="J51" s="435"/>
      <c r="K51" s="436"/>
      <c r="L51" s="437"/>
      <c r="M51" s="439"/>
      <c r="N51" s="440"/>
      <c r="O51" s="441"/>
      <c r="P51" s="52"/>
      <c r="Q51" s="435"/>
      <c r="R51" s="436"/>
      <c r="S51" s="437"/>
      <c r="T51" s="439"/>
      <c r="U51" s="440"/>
      <c r="V51" s="441"/>
      <c r="W51" s="52"/>
      <c r="X51" s="435"/>
      <c r="Y51" s="436"/>
      <c r="Z51" s="437"/>
      <c r="AA51" s="439"/>
      <c r="AB51" s="440"/>
      <c r="AC51" s="441"/>
      <c r="AD51" s="52"/>
      <c r="AE51" s="435"/>
      <c r="AF51" s="436"/>
      <c r="AG51" s="437"/>
      <c r="AH51" s="439"/>
      <c r="AI51" s="440"/>
      <c r="AJ51" s="441"/>
      <c r="AK51" s="52"/>
      <c r="AL51" s="435"/>
      <c r="AM51" s="436"/>
      <c r="AN51" s="437"/>
      <c r="AO51" s="439"/>
      <c r="AP51" s="440"/>
      <c r="AQ51" s="441"/>
      <c r="AR51" s="442"/>
    </row>
    <row r="52" spans="1:44" ht="12" customHeight="1">
      <c r="A52" s="550"/>
      <c r="B52" s="443" t="s">
        <v>319</v>
      </c>
      <c r="C52" s="321"/>
      <c r="D52" s="321"/>
      <c r="E52" s="321"/>
      <c r="F52" s="444"/>
      <c r="G52" s="488"/>
      <c r="H52" s="446">
        <f>SUM(H43:H48,H42)</f>
        <v>97.401449820000011</v>
      </c>
      <c r="I52" s="481"/>
      <c r="J52" s="445"/>
      <c r="K52" s="445"/>
      <c r="L52" s="446">
        <f>SUM(L43:L48,L42)</f>
        <v>96.697474639999996</v>
      </c>
      <c r="M52" s="448"/>
      <c r="N52" s="447">
        <f t="shared" ref="N52:N56" si="77">L52-H52</f>
        <v>-0.70397518000001469</v>
      </c>
      <c r="O52" s="449">
        <f t="shared" ref="O52:O56" si="78">IF((H52)=0,"",(N52/H52))</f>
        <v>-7.227563668723372E-3</v>
      </c>
      <c r="P52" s="52"/>
      <c r="Q52" s="445"/>
      <c r="R52" s="445"/>
      <c r="S52" s="446">
        <f>SUM(S43:S48,S42)</f>
        <v>98.69247464</v>
      </c>
      <c r="T52" s="448"/>
      <c r="U52" s="447">
        <f t="shared" ref="U52:U56" si="79">S52-L52</f>
        <v>1.9950000000000045</v>
      </c>
      <c r="V52" s="449">
        <f t="shared" ref="V52:V56" si="80">IF((L52)=0,"",(U52/L52))</f>
        <v>2.0631355755952187E-2</v>
      </c>
      <c r="W52" s="52"/>
      <c r="X52" s="445"/>
      <c r="Y52" s="445"/>
      <c r="Z52" s="446">
        <f>SUM(Z43:Z48,Z42)</f>
        <v>100.54147463999999</v>
      </c>
      <c r="AA52" s="448"/>
      <c r="AB52" s="447">
        <f t="shared" ref="AB52:AB56" si="81">Z52-S52</f>
        <v>1.8489999999999895</v>
      </c>
      <c r="AC52" s="449">
        <f t="shared" ref="AC52:AC56" si="82">IF((S52)=0,"",(AB52/S52))</f>
        <v>1.873496441085885E-2</v>
      </c>
      <c r="AD52" s="52"/>
      <c r="AE52" s="445"/>
      <c r="AF52" s="445"/>
      <c r="AG52" s="446">
        <f>SUM(AG43:AG48,AG42)</f>
        <v>101.43247463999998</v>
      </c>
      <c r="AH52" s="448"/>
      <c r="AI52" s="447">
        <f t="shared" ref="AI52:AI56" si="83">AG52-Z52</f>
        <v>0.89099999999999113</v>
      </c>
      <c r="AJ52" s="449">
        <f t="shared" ref="AJ52:AJ56" si="84">IF((Z52)=0,"",(AI52/Z52))</f>
        <v>8.8620144392184061E-3</v>
      </c>
      <c r="AK52" s="52"/>
      <c r="AL52" s="445"/>
      <c r="AM52" s="445"/>
      <c r="AN52" s="446">
        <f>SUM(AN43:AN48,AN42)</f>
        <v>101.89147463999998</v>
      </c>
      <c r="AO52" s="448"/>
      <c r="AP52" s="447">
        <f t="shared" ref="AP52:AP56" si="85">AN52-AG52</f>
        <v>0.45900000000000318</v>
      </c>
      <c r="AQ52" s="449">
        <f t="shared" ref="AQ52:AQ56" si="86">IF((AG52)=0,"",(AP52/AG52))</f>
        <v>4.5251779731202198E-3</v>
      </c>
      <c r="AR52" s="450"/>
    </row>
    <row r="53" spans="1:44" ht="12" customHeight="1">
      <c r="A53" s="550"/>
      <c r="B53" s="451" t="s">
        <v>320</v>
      </c>
      <c r="C53" s="321"/>
      <c r="D53" s="321"/>
      <c r="E53" s="321"/>
      <c r="F53" s="444">
        <v>0.13</v>
      </c>
      <c r="G53" s="132"/>
      <c r="H53" s="489">
        <f>H52*F53</f>
        <v>12.662188476600003</v>
      </c>
      <c r="I53" s="416"/>
      <c r="J53" s="452">
        <v>0.13</v>
      </c>
      <c r="K53" s="416"/>
      <c r="L53" s="399">
        <f>L52*J53</f>
        <v>12.5706717032</v>
      </c>
      <c r="M53" s="132"/>
      <c r="N53" s="400">
        <f t="shared" si="77"/>
        <v>-9.1516773400002194E-2</v>
      </c>
      <c r="O53" s="401">
        <f t="shared" si="78"/>
        <v>-7.2275636687233937E-3</v>
      </c>
      <c r="P53" s="52"/>
      <c r="Q53" s="452">
        <v>0.13</v>
      </c>
      <c r="R53" s="416"/>
      <c r="S53" s="399">
        <f>S52*Q53</f>
        <v>12.8300217032</v>
      </c>
      <c r="T53" s="132"/>
      <c r="U53" s="400">
        <f t="shared" si="79"/>
        <v>0.25934999999999953</v>
      </c>
      <c r="V53" s="401">
        <f t="shared" si="80"/>
        <v>2.06313557559521E-2</v>
      </c>
      <c r="W53" s="52"/>
      <c r="X53" s="452">
        <v>0.13</v>
      </c>
      <c r="Y53" s="416"/>
      <c r="Z53" s="399">
        <f>Z52*X53</f>
        <v>13.070391703199999</v>
      </c>
      <c r="AA53" s="132"/>
      <c r="AB53" s="400">
        <f t="shared" si="81"/>
        <v>0.24036999999999864</v>
      </c>
      <c r="AC53" s="401">
        <f t="shared" si="82"/>
        <v>1.873496441085885E-2</v>
      </c>
      <c r="AD53" s="52"/>
      <c r="AE53" s="452">
        <v>0.13</v>
      </c>
      <c r="AF53" s="416"/>
      <c r="AG53" s="399">
        <f>AG52*AE53</f>
        <v>13.186221703199998</v>
      </c>
      <c r="AH53" s="132"/>
      <c r="AI53" s="400">
        <f t="shared" si="83"/>
        <v>0.11582999999999899</v>
      </c>
      <c r="AJ53" s="401">
        <f t="shared" si="84"/>
        <v>8.8620144392184165E-3</v>
      </c>
      <c r="AK53" s="52"/>
      <c r="AL53" s="452">
        <v>0.13</v>
      </c>
      <c r="AM53" s="416"/>
      <c r="AN53" s="399">
        <f>AN52*AL53</f>
        <v>13.245891703199998</v>
      </c>
      <c r="AO53" s="132"/>
      <c r="AP53" s="400">
        <f t="shared" si="85"/>
        <v>5.9670000000000556E-2</v>
      </c>
      <c r="AQ53" s="401">
        <f t="shared" si="86"/>
        <v>4.5251779731202302E-3</v>
      </c>
      <c r="AR53" s="402"/>
    </row>
    <row r="54" spans="1:44" ht="12" customHeight="1">
      <c r="A54" s="550"/>
      <c r="B54" s="453" t="s">
        <v>431</v>
      </c>
      <c r="C54" s="321"/>
      <c r="D54" s="321"/>
      <c r="E54" s="321"/>
      <c r="F54" s="454"/>
      <c r="G54" s="132"/>
      <c r="H54" s="489">
        <f>H52+H53</f>
        <v>110.06363829660002</v>
      </c>
      <c r="I54" s="416"/>
      <c r="J54" s="416"/>
      <c r="K54" s="416"/>
      <c r="L54" s="399">
        <f>L52+L53</f>
        <v>109.2681463432</v>
      </c>
      <c r="M54" s="132"/>
      <c r="N54" s="400">
        <f t="shared" si="77"/>
        <v>-0.79549195340001688</v>
      </c>
      <c r="O54" s="401">
        <f t="shared" si="78"/>
        <v>-7.2275636687233738E-3</v>
      </c>
      <c r="P54" s="52"/>
      <c r="Q54" s="416"/>
      <c r="R54" s="416"/>
      <c r="S54" s="399">
        <f>S52+S53</f>
        <v>111.5224963432</v>
      </c>
      <c r="T54" s="132"/>
      <c r="U54" s="400">
        <f t="shared" si="79"/>
        <v>2.2543500000000023</v>
      </c>
      <c r="V54" s="401">
        <f t="shared" si="80"/>
        <v>2.0631355755952159E-2</v>
      </c>
      <c r="W54" s="52"/>
      <c r="X54" s="416"/>
      <c r="Y54" s="416"/>
      <c r="Z54" s="399">
        <f>Z52+Z53</f>
        <v>113.61186634319999</v>
      </c>
      <c r="AA54" s="132"/>
      <c r="AB54" s="400">
        <f t="shared" si="81"/>
        <v>2.0893699999999882</v>
      </c>
      <c r="AC54" s="401">
        <f t="shared" si="82"/>
        <v>1.873496441085885E-2</v>
      </c>
      <c r="AD54" s="52"/>
      <c r="AE54" s="416"/>
      <c r="AF54" s="416"/>
      <c r="AG54" s="399">
        <f>AG52+AG53</f>
        <v>114.61869634319999</v>
      </c>
      <c r="AH54" s="132"/>
      <c r="AI54" s="400">
        <f t="shared" si="83"/>
        <v>1.0068299999999937</v>
      </c>
      <c r="AJ54" s="401">
        <f t="shared" si="84"/>
        <v>8.8620144392184391E-3</v>
      </c>
      <c r="AK54" s="52"/>
      <c r="AL54" s="416"/>
      <c r="AM54" s="416"/>
      <c r="AN54" s="399">
        <f>AN52+AN53</f>
        <v>115.13736634319999</v>
      </c>
      <c r="AO54" s="132"/>
      <c r="AP54" s="400">
        <f t="shared" si="85"/>
        <v>0.51867000000000019</v>
      </c>
      <c r="AQ54" s="401">
        <f t="shared" si="86"/>
        <v>4.5251779731201895E-3</v>
      </c>
      <c r="AR54" s="402"/>
    </row>
    <row r="55" spans="1:44" ht="12" customHeight="1">
      <c r="A55" s="550"/>
      <c r="B55" s="632" t="s">
        <v>277</v>
      </c>
      <c r="C55" s="623"/>
      <c r="D55" s="623"/>
      <c r="E55" s="321"/>
      <c r="F55" s="455">
        <f>'SN (.4)'!F55</f>
        <v>0.23499999999999999</v>
      </c>
      <c r="G55" s="132"/>
      <c r="H55" s="511">
        <f>F55*H52</f>
        <v>22.889340707700001</v>
      </c>
      <c r="I55" s="416"/>
      <c r="J55" s="457">
        <f>F55</f>
        <v>0.23499999999999999</v>
      </c>
      <c r="K55" s="416"/>
      <c r="L55" s="511">
        <f>J55*L52</f>
        <v>22.723906540399998</v>
      </c>
      <c r="M55" s="132"/>
      <c r="N55" s="456">
        <f t="shared" si="77"/>
        <v>-0.1654341673000026</v>
      </c>
      <c r="O55" s="458">
        <f t="shared" si="78"/>
        <v>-7.2275636687233356E-3</v>
      </c>
      <c r="P55" s="52"/>
      <c r="Q55" s="457">
        <f>J55</f>
        <v>0.23499999999999999</v>
      </c>
      <c r="R55" s="416"/>
      <c r="S55" s="511">
        <f>Q55*S52</f>
        <v>23.192731540400001</v>
      </c>
      <c r="T55" s="132"/>
      <c r="U55" s="456">
        <f t="shared" si="79"/>
        <v>0.46882500000000249</v>
      </c>
      <c r="V55" s="458">
        <f t="shared" si="80"/>
        <v>2.0631355755952249E-2</v>
      </c>
      <c r="W55" s="52"/>
      <c r="X55" s="457">
        <f>Q55</f>
        <v>0.23499999999999999</v>
      </c>
      <c r="Y55" s="416"/>
      <c r="Z55" s="511">
        <f>X55*Z52</f>
        <v>23.627246540399998</v>
      </c>
      <c r="AA55" s="132"/>
      <c r="AB55" s="456">
        <f t="shared" si="81"/>
        <v>0.43451499999999754</v>
      </c>
      <c r="AC55" s="458">
        <f t="shared" si="82"/>
        <v>1.873496441085885E-2</v>
      </c>
      <c r="AD55" s="52"/>
      <c r="AE55" s="457">
        <f>X55</f>
        <v>0.23499999999999999</v>
      </c>
      <c r="AF55" s="416"/>
      <c r="AG55" s="511">
        <f>AE55*AG52</f>
        <v>23.836631540399996</v>
      </c>
      <c r="AH55" s="132"/>
      <c r="AI55" s="456">
        <f t="shared" si="83"/>
        <v>0.20938499999999749</v>
      </c>
      <c r="AJ55" s="458">
        <f t="shared" si="84"/>
        <v>8.8620144392183887E-3</v>
      </c>
      <c r="AK55" s="52"/>
      <c r="AL55" s="457">
        <f>AE55</f>
        <v>0.23499999999999999</v>
      </c>
      <c r="AM55" s="416"/>
      <c r="AN55" s="511">
        <f>AL55*AN52</f>
        <v>23.944496540399996</v>
      </c>
      <c r="AO55" s="132"/>
      <c r="AP55" s="456">
        <f t="shared" si="85"/>
        <v>0.10786500000000032</v>
      </c>
      <c r="AQ55" s="458">
        <f t="shared" si="86"/>
        <v>4.5251779731202016E-3</v>
      </c>
      <c r="AR55" s="459"/>
    </row>
    <row r="56" spans="1:44" ht="12" customHeight="1">
      <c r="A56" s="550"/>
      <c r="B56" s="634" t="s">
        <v>322</v>
      </c>
      <c r="C56" s="615"/>
      <c r="D56" s="615"/>
      <c r="E56" s="460"/>
      <c r="F56" s="461"/>
      <c r="G56" s="492"/>
      <c r="H56" s="493">
        <f>H54-H55</f>
        <v>87.174297588900018</v>
      </c>
      <c r="I56" s="462"/>
      <c r="J56" s="462"/>
      <c r="K56" s="462"/>
      <c r="L56" s="463">
        <f>L54-L55</f>
        <v>86.544239802800007</v>
      </c>
      <c r="M56" s="464"/>
      <c r="N56" s="465">
        <f t="shared" si="77"/>
        <v>-0.63005778610001073</v>
      </c>
      <c r="O56" s="466">
        <f t="shared" si="78"/>
        <v>-7.2275636687233434E-3</v>
      </c>
      <c r="P56" s="52"/>
      <c r="Q56" s="462"/>
      <c r="R56" s="462"/>
      <c r="S56" s="463">
        <f>S54-S55</f>
        <v>88.3297648028</v>
      </c>
      <c r="T56" s="464"/>
      <c r="U56" s="465">
        <f t="shared" si="79"/>
        <v>1.7855249999999927</v>
      </c>
      <c r="V56" s="466">
        <f t="shared" si="80"/>
        <v>2.0631355755952051E-2</v>
      </c>
      <c r="W56" s="52"/>
      <c r="X56" s="462"/>
      <c r="Y56" s="462"/>
      <c r="Z56" s="463">
        <f>Z54-Z55</f>
        <v>89.984619802799998</v>
      </c>
      <c r="AA56" s="464"/>
      <c r="AB56" s="465">
        <f t="shared" si="81"/>
        <v>1.6548549999999977</v>
      </c>
      <c r="AC56" s="466">
        <f t="shared" si="82"/>
        <v>1.873496441085893E-2</v>
      </c>
      <c r="AD56" s="52"/>
      <c r="AE56" s="462"/>
      <c r="AF56" s="462"/>
      <c r="AG56" s="463">
        <f>AG54-AG55</f>
        <v>90.782064802799994</v>
      </c>
      <c r="AH56" s="464"/>
      <c r="AI56" s="465">
        <f t="shared" si="83"/>
        <v>0.79744499999999618</v>
      </c>
      <c r="AJ56" s="466">
        <f t="shared" si="84"/>
        <v>8.8620144392184512E-3</v>
      </c>
      <c r="AK56" s="52"/>
      <c r="AL56" s="462"/>
      <c r="AM56" s="462"/>
      <c r="AN56" s="463">
        <f>AN54-AN55</f>
        <v>91.19286980279999</v>
      </c>
      <c r="AO56" s="464"/>
      <c r="AP56" s="465">
        <f t="shared" si="85"/>
        <v>0.41080499999999631</v>
      </c>
      <c r="AQ56" s="466">
        <f t="shared" si="86"/>
        <v>4.525177973120147E-3</v>
      </c>
      <c r="AR56" s="467"/>
    </row>
    <row r="57" spans="1:44" ht="12" customHeight="1">
      <c r="A57" s="52"/>
      <c r="B57" s="433"/>
      <c r="C57" s="434"/>
      <c r="D57" s="434"/>
      <c r="E57" s="434"/>
      <c r="F57" s="435"/>
      <c r="G57" s="475"/>
      <c r="H57" s="437"/>
      <c r="I57" s="439"/>
      <c r="J57" s="435"/>
      <c r="K57" s="436"/>
      <c r="L57" s="437"/>
      <c r="M57" s="439"/>
      <c r="N57" s="440"/>
      <c r="O57" s="441"/>
      <c r="P57" s="52"/>
      <c r="Q57" s="435"/>
      <c r="R57" s="436"/>
      <c r="S57" s="437"/>
      <c r="T57" s="439"/>
      <c r="U57" s="440"/>
      <c r="V57" s="441"/>
      <c r="W57" s="52"/>
      <c r="X57" s="435"/>
      <c r="Y57" s="436"/>
      <c r="Z57" s="437"/>
      <c r="AA57" s="439"/>
      <c r="AB57" s="440"/>
      <c r="AC57" s="441"/>
      <c r="AD57" s="52"/>
      <c r="AE57" s="435"/>
      <c r="AF57" s="436"/>
      <c r="AG57" s="437"/>
      <c r="AH57" s="439"/>
      <c r="AI57" s="440"/>
      <c r="AJ57" s="441"/>
      <c r="AK57" s="52"/>
      <c r="AL57" s="435"/>
      <c r="AM57" s="436"/>
      <c r="AN57" s="437"/>
      <c r="AO57" s="439"/>
      <c r="AP57" s="440"/>
      <c r="AQ57" s="441"/>
      <c r="AR57" s="442"/>
    </row>
    <row r="58" spans="1:44" ht="12" customHeight="1">
      <c r="A58" s="52"/>
      <c r="B58" s="443" t="s">
        <v>323</v>
      </c>
      <c r="C58" s="321"/>
      <c r="D58" s="321"/>
      <c r="E58" s="321"/>
      <c r="F58" s="444"/>
      <c r="G58" s="488"/>
      <c r="H58" s="446">
        <f>SUM(H49:H50,H42,H43:H45)</f>
        <v>93.867049820000005</v>
      </c>
      <c r="I58" s="481"/>
      <c r="J58" s="445"/>
      <c r="K58" s="445"/>
      <c r="L58" s="446">
        <f>SUM(L49:L50,L42,L43:L45)</f>
        <v>93.163074639999991</v>
      </c>
      <c r="M58" s="448"/>
      <c r="N58" s="447">
        <f t="shared" ref="N58:N62" si="87">L58-H58</f>
        <v>-0.70397518000001469</v>
      </c>
      <c r="O58" s="449">
        <f t="shared" ref="O58:O62" si="88">IF((H58)=0,"",(N58/H58))</f>
        <v>-7.499704969421768E-3</v>
      </c>
      <c r="P58" s="52"/>
      <c r="Q58" s="445"/>
      <c r="R58" s="445"/>
      <c r="S58" s="446">
        <f>SUM(S49:S50,S42,S43:S45)</f>
        <v>95.158074639999995</v>
      </c>
      <c r="T58" s="448"/>
      <c r="U58" s="447">
        <f t="shared" ref="U58:U62" si="89">S58-L58</f>
        <v>1.9950000000000045</v>
      </c>
      <c r="V58" s="449">
        <f t="shared" ref="V58:V62" si="90">IF((L58)=0,"",(U58/L58))</f>
        <v>2.1414063540829534E-2</v>
      </c>
      <c r="W58" s="52"/>
      <c r="X58" s="445"/>
      <c r="Y58" s="445"/>
      <c r="Z58" s="446">
        <f>SUM(Z49:Z50,Z42,Z43:Z45)</f>
        <v>97.007074639999999</v>
      </c>
      <c r="AA58" s="448"/>
      <c r="AB58" s="447">
        <f t="shared" ref="AB58:AB62" si="91">Z58-S58</f>
        <v>1.8490000000000038</v>
      </c>
      <c r="AC58" s="449">
        <f t="shared" ref="AC58:AC62" si="92">IF((S58)=0,"",(AB58/S58))</f>
        <v>1.9430826096420103E-2</v>
      </c>
      <c r="AD58" s="52"/>
      <c r="AE58" s="445"/>
      <c r="AF58" s="445"/>
      <c r="AG58" s="446">
        <f>SUM(AG49:AG50,AG42,AG43:AG45)</f>
        <v>97.89807463999999</v>
      </c>
      <c r="AH58" s="448"/>
      <c r="AI58" s="447">
        <f t="shared" ref="AI58:AI62" si="93">AG58-Z58</f>
        <v>0.89099999999999113</v>
      </c>
      <c r="AJ58" s="449">
        <f t="shared" ref="AJ58:AJ62" si="94">IF((Z58)=0,"",(AI58/Z58))</f>
        <v>9.1848971150460326E-3</v>
      </c>
      <c r="AK58" s="52"/>
      <c r="AL58" s="445"/>
      <c r="AM58" s="445"/>
      <c r="AN58" s="446">
        <f>SUM(AN49:AN50,AN42,AN43:AN45)</f>
        <v>98.357074639999993</v>
      </c>
      <c r="AO58" s="448"/>
      <c r="AP58" s="447">
        <f t="shared" ref="AP58:AP62" si="95">AN58-AG58</f>
        <v>0.45900000000000318</v>
      </c>
      <c r="AQ58" s="449">
        <f t="shared" ref="AQ58:AQ62" si="96">IF((AG58)=0,"",(AP58/AG58))</f>
        <v>4.688549817633096E-3</v>
      </c>
      <c r="AR58" s="450"/>
    </row>
    <row r="59" spans="1:44" ht="12" customHeight="1">
      <c r="A59" s="52"/>
      <c r="B59" s="451" t="s">
        <v>320</v>
      </c>
      <c r="C59" s="321"/>
      <c r="D59" s="321"/>
      <c r="E59" s="321"/>
      <c r="F59" s="444">
        <v>0.13</v>
      </c>
      <c r="G59" s="488"/>
      <c r="H59" s="489">
        <f>H58*F59</f>
        <v>12.202716476600001</v>
      </c>
      <c r="I59" s="416"/>
      <c r="J59" s="444">
        <v>0.13</v>
      </c>
      <c r="K59" s="452"/>
      <c r="L59" s="399">
        <f>L58*J59</f>
        <v>12.111199703199999</v>
      </c>
      <c r="M59" s="132"/>
      <c r="N59" s="400">
        <f t="shared" si="87"/>
        <v>-9.1516773400002194E-2</v>
      </c>
      <c r="O59" s="401">
        <f t="shared" si="88"/>
        <v>-7.4997049694217905E-3</v>
      </c>
      <c r="P59" s="52"/>
      <c r="Q59" s="444">
        <v>0.13</v>
      </c>
      <c r="R59" s="452"/>
      <c r="S59" s="399">
        <f>S58*Q59</f>
        <v>12.3705497032</v>
      </c>
      <c r="T59" s="132"/>
      <c r="U59" s="400">
        <f t="shared" si="89"/>
        <v>0.2593500000000013</v>
      </c>
      <c r="V59" s="401">
        <f t="shared" si="90"/>
        <v>2.1414063540829593E-2</v>
      </c>
      <c r="W59" s="52"/>
      <c r="X59" s="444">
        <v>0.13</v>
      </c>
      <c r="Y59" s="452"/>
      <c r="Z59" s="399">
        <f>Z58*X59</f>
        <v>12.6109197032</v>
      </c>
      <c r="AA59" s="132"/>
      <c r="AB59" s="400">
        <f t="shared" si="91"/>
        <v>0.24037000000000042</v>
      </c>
      <c r="AC59" s="401">
        <f t="shared" si="92"/>
        <v>1.9430826096420096E-2</v>
      </c>
      <c r="AD59" s="52"/>
      <c r="AE59" s="444">
        <v>0.13</v>
      </c>
      <c r="AF59" s="452"/>
      <c r="AG59" s="399">
        <f>AG58*AE59</f>
        <v>12.726749703199999</v>
      </c>
      <c r="AH59" s="132"/>
      <c r="AI59" s="400">
        <f t="shared" si="93"/>
        <v>0.11582999999999899</v>
      </c>
      <c r="AJ59" s="401">
        <f t="shared" si="94"/>
        <v>9.184897115046043E-3</v>
      </c>
      <c r="AK59" s="52"/>
      <c r="AL59" s="444">
        <v>0.13</v>
      </c>
      <c r="AM59" s="452"/>
      <c r="AN59" s="399">
        <f>AN58*AL59</f>
        <v>12.7864197032</v>
      </c>
      <c r="AO59" s="132"/>
      <c r="AP59" s="400">
        <f t="shared" si="95"/>
        <v>5.9670000000000556E-2</v>
      </c>
      <c r="AQ59" s="401">
        <f t="shared" si="96"/>
        <v>4.6885498176331072E-3</v>
      </c>
      <c r="AR59" s="402"/>
    </row>
    <row r="60" spans="1:44" ht="12" customHeight="1">
      <c r="A60" s="52"/>
      <c r="B60" s="453" t="s">
        <v>432</v>
      </c>
      <c r="C60" s="321"/>
      <c r="D60" s="321"/>
      <c r="E60" s="321"/>
      <c r="F60" s="454"/>
      <c r="G60" s="132"/>
      <c r="H60" s="489">
        <f>H58+H59</f>
        <v>106.06976629660001</v>
      </c>
      <c r="I60" s="416"/>
      <c r="J60" s="416"/>
      <c r="K60" s="416"/>
      <c r="L60" s="399">
        <f>L58+L59</f>
        <v>105.27427434319999</v>
      </c>
      <c r="M60" s="132"/>
      <c r="N60" s="400">
        <f t="shared" si="87"/>
        <v>-0.79549195340001688</v>
      </c>
      <c r="O60" s="401">
        <f t="shared" si="88"/>
        <v>-7.4997049694217706E-3</v>
      </c>
      <c r="P60" s="52"/>
      <c r="Q60" s="416"/>
      <c r="R60" s="416"/>
      <c r="S60" s="399">
        <f>S58+S59</f>
        <v>107.52862434319999</v>
      </c>
      <c r="T60" s="132"/>
      <c r="U60" s="400">
        <f t="shared" si="89"/>
        <v>2.2543500000000023</v>
      </c>
      <c r="V60" s="401">
        <f t="shared" si="90"/>
        <v>2.141406354082951E-2</v>
      </c>
      <c r="W60" s="52"/>
      <c r="X60" s="416"/>
      <c r="Y60" s="416"/>
      <c r="Z60" s="399">
        <f>Z58+Z59</f>
        <v>109.6179943432</v>
      </c>
      <c r="AA60" s="132"/>
      <c r="AB60" s="400">
        <f t="shared" si="91"/>
        <v>2.0893700000000024</v>
      </c>
      <c r="AC60" s="401">
        <f t="shared" si="92"/>
        <v>1.9430826096420085E-2</v>
      </c>
      <c r="AD60" s="52"/>
      <c r="AE60" s="416"/>
      <c r="AF60" s="416"/>
      <c r="AG60" s="399">
        <f>AG58+AG59</f>
        <v>110.62482434319999</v>
      </c>
      <c r="AH60" s="132"/>
      <c r="AI60" s="400">
        <f t="shared" si="93"/>
        <v>1.0068299999999937</v>
      </c>
      <c r="AJ60" s="401">
        <f t="shared" si="94"/>
        <v>9.1848971150460673E-3</v>
      </c>
      <c r="AK60" s="52"/>
      <c r="AL60" s="416"/>
      <c r="AM60" s="416"/>
      <c r="AN60" s="399">
        <f>AN58+AN59</f>
        <v>111.14349434319999</v>
      </c>
      <c r="AO60" s="132"/>
      <c r="AP60" s="400">
        <f t="shared" si="95"/>
        <v>0.51867000000000019</v>
      </c>
      <c r="AQ60" s="401">
        <f t="shared" si="96"/>
        <v>4.6885498176330656E-3</v>
      </c>
      <c r="AR60" s="402"/>
    </row>
    <row r="61" spans="1:44" ht="12" customHeight="1">
      <c r="A61" s="52"/>
      <c r="B61" s="632" t="s">
        <v>277</v>
      </c>
      <c r="C61" s="623"/>
      <c r="D61" s="623"/>
      <c r="E61" s="321"/>
      <c r="F61" s="455">
        <f>F55</f>
        <v>0.23499999999999999</v>
      </c>
      <c r="G61" s="132"/>
      <c r="H61" s="491">
        <f>F61*H58</f>
        <v>22.058756707699999</v>
      </c>
      <c r="I61" s="416"/>
      <c r="J61" s="457">
        <f>F61</f>
        <v>0.23499999999999999</v>
      </c>
      <c r="K61" s="416"/>
      <c r="L61" s="511">
        <f>J61*L58</f>
        <v>21.893322540399996</v>
      </c>
      <c r="M61" s="132"/>
      <c r="N61" s="456">
        <f t="shared" si="87"/>
        <v>-0.1654341673000026</v>
      </c>
      <c r="O61" s="458">
        <f t="shared" si="88"/>
        <v>-7.4997049694217298E-3</v>
      </c>
      <c r="P61" s="52"/>
      <c r="Q61" s="457">
        <f>J61</f>
        <v>0.23499999999999999</v>
      </c>
      <c r="R61" s="416"/>
      <c r="S61" s="511">
        <f>Q61*S58</f>
        <v>22.362147540399999</v>
      </c>
      <c r="T61" s="132"/>
      <c r="U61" s="456">
        <f t="shared" si="89"/>
        <v>0.46882500000000249</v>
      </c>
      <c r="V61" s="458">
        <f t="shared" si="90"/>
        <v>2.1414063540829604E-2</v>
      </c>
      <c r="W61" s="52"/>
      <c r="X61" s="457">
        <f>Q61</f>
        <v>0.23499999999999999</v>
      </c>
      <c r="Y61" s="416"/>
      <c r="Z61" s="511">
        <f>X61*Z58</f>
        <v>22.7966625404</v>
      </c>
      <c r="AA61" s="132"/>
      <c r="AB61" s="456">
        <f t="shared" si="91"/>
        <v>0.43451500000000109</v>
      </c>
      <c r="AC61" s="458">
        <f t="shared" si="92"/>
        <v>1.943082609642011E-2</v>
      </c>
      <c r="AD61" s="52"/>
      <c r="AE61" s="457">
        <f>X61</f>
        <v>0.23499999999999999</v>
      </c>
      <c r="AF61" s="416"/>
      <c r="AG61" s="511">
        <f>AE61*AG58</f>
        <v>23.006047540399997</v>
      </c>
      <c r="AH61" s="132"/>
      <c r="AI61" s="456">
        <f t="shared" si="93"/>
        <v>0.20938499999999749</v>
      </c>
      <c r="AJ61" s="458">
        <f t="shared" si="94"/>
        <v>9.1848971150460135E-3</v>
      </c>
      <c r="AK61" s="52"/>
      <c r="AL61" s="457">
        <f>AE61</f>
        <v>0.23499999999999999</v>
      </c>
      <c r="AM61" s="416"/>
      <c r="AN61" s="511">
        <f>AL61*AN58</f>
        <v>23.113912540399998</v>
      </c>
      <c r="AO61" s="132"/>
      <c r="AP61" s="456">
        <f t="shared" si="95"/>
        <v>0.10786500000000032</v>
      </c>
      <c r="AQ61" s="458">
        <f t="shared" si="96"/>
        <v>4.6885498176330778E-3</v>
      </c>
      <c r="AR61" s="459"/>
    </row>
    <row r="62" spans="1:44" ht="12" customHeight="1">
      <c r="A62" s="52"/>
      <c r="B62" s="634" t="s">
        <v>325</v>
      </c>
      <c r="C62" s="615"/>
      <c r="D62" s="615"/>
      <c r="E62" s="460"/>
      <c r="F62" s="468"/>
      <c r="G62" s="494"/>
      <c r="H62" s="495">
        <f>H60-H61</f>
        <v>84.011009588900009</v>
      </c>
      <c r="I62" s="469"/>
      <c r="J62" s="469"/>
      <c r="K62" s="469"/>
      <c r="L62" s="470">
        <f>L60-L61</f>
        <v>83.380951802799999</v>
      </c>
      <c r="M62" s="471"/>
      <c r="N62" s="472">
        <f t="shared" si="87"/>
        <v>-0.63005778610001073</v>
      </c>
      <c r="O62" s="473">
        <f t="shared" si="88"/>
        <v>-7.4997049694217385E-3</v>
      </c>
      <c r="P62" s="52"/>
      <c r="Q62" s="469"/>
      <c r="R62" s="469"/>
      <c r="S62" s="470">
        <f>S60-S61</f>
        <v>85.166476802799991</v>
      </c>
      <c r="T62" s="471"/>
      <c r="U62" s="472">
        <f t="shared" si="89"/>
        <v>1.7855249999999927</v>
      </c>
      <c r="V62" s="473">
        <f t="shared" si="90"/>
        <v>2.1414063540829399E-2</v>
      </c>
      <c r="W62" s="52"/>
      <c r="X62" s="469"/>
      <c r="Y62" s="469"/>
      <c r="Z62" s="470">
        <f>Z60-Z61</f>
        <v>86.821331802799989</v>
      </c>
      <c r="AA62" s="471"/>
      <c r="AB62" s="472">
        <f t="shared" si="91"/>
        <v>1.6548549999999977</v>
      </c>
      <c r="AC62" s="473">
        <f t="shared" si="92"/>
        <v>1.9430826096420037E-2</v>
      </c>
      <c r="AD62" s="52"/>
      <c r="AE62" s="469"/>
      <c r="AF62" s="469"/>
      <c r="AG62" s="470">
        <f>AG60-AG61</f>
        <v>87.618776802799999</v>
      </c>
      <c r="AH62" s="471"/>
      <c r="AI62" s="472">
        <f t="shared" si="93"/>
        <v>0.7974450000000104</v>
      </c>
      <c r="AJ62" s="473">
        <f t="shared" si="94"/>
        <v>9.1848971150462443E-3</v>
      </c>
      <c r="AK62" s="52"/>
      <c r="AL62" s="469"/>
      <c r="AM62" s="469"/>
      <c r="AN62" s="470">
        <f>AN60-AN61</f>
        <v>88.029581802799996</v>
      </c>
      <c r="AO62" s="471"/>
      <c r="AP62" s="472">
        <f t="shared" si="95"/>
        <v>0.41080499999999631</v>
      </c>
      <c r="AQ62" s="473">
        <f t="shared" si="96"/>
        <v>4.6885498176330214E-3</v>
      </c>
      <c r="AR62" s="467"/>
    </row>
    <row r="63" spans="1:44" ht="12" customHeight="1">
      <c r="A63" s="52"/>
      <c r="B63" s="433"/>
      <c r="C63" s="434"/>
      <c r="D63" s="434"/>
      <c r="E63" s="434"/>
      <c r="F63" s="474"/>
      <c r="G63" s="439"/>
      <c r="H63" s="496"/>
      <c r="I63" s="475"/>
      <c r="J63" s="474"/>
      <c r="K63" s="475"/>
      <c r="L63" s="440"/>
      <c r="M63" s="439"/>
      <c r="N63" s="476"/>
      <c r="O63" s="441"/>
      <c r="P63" s="52"/>
      <c r="Q63" s="474"/>
      <c r="R63" s="475"/>
      <c r="S63" s="440"/>
      <c r="T63" s="439"/>
      <c r="U63" s="476"/>
      <c r="V63" s="441"/>
      <c r="W63" s="52"/>
      <c r="X63" s="474"/>
      <c r="Y63" s="475"/>
      <c r="Z63" s="440"/>
      <c r="AA63" s="439"/>
      <c r="AB63" s="476"/>
      <c r="AC63" s="441"/>
      <c r="AD63" s="52"/>
      <c r="AE63" s="474"/>
      <c r="AF63" s="475"/>
      <c r="AG63" s="440"/>
      <c r="AH63" s="439"/>
      <c r="AI63" s="476"/>
      <c r="AJ63" s="441"/>
      <c r="AK63" s="52"/>
      <c r="AL63" s="474"/>
      <c r="AM63" s="475"/>
      <c r="AN63" s="440"/>
      <c r="AO63" s="439"/>
      <c r="AP63" s="476"/>
      <c r="AQ63" s="441"/>
      <c r="AR63" s="442"/>
    </row>
    <row r="64" spans="1:44" ht="12" customHeight="1">
      <c r="A64" s="52"/>
      <c r="B64" s="52"/>
      <c r="C64" s="52"/>
      <c r="D64" s="52"/>
      <c r="E64" s="52"/>
      <c r="F64" s="52"/>
      <c r="G64" s="52"/>
      <c r="H64" s="52"/>
      <c r="I64" s="52"/>
      <c r="J64" s="52"/>
      <c r="K64" s="52"/>
      <c r="L64" s="190"/>
      <c r="M64" s="52"/>
      <c r="N64" s="52"/>
      <c r="O64" s="52"/>
      <c r="P64" s="52"/>
      <c r="Q64" s="52"/>
      <c r="R64" s="52"/>
      <c r="S64" s="190"/>
      <c r="T64" s="52"/>
      <c r="U64" s="52"/>
      <c r="V64" s="52"/>
      <c r="W64" s="52"/>
      <c r="X64" s="52"/>
      <c r="Y64" s="52"/>
      <c r="Z64" s="190"/>
      <c r="AA64" s="52"/>
      <c r="AB64" s="52"/>
      <c r="AC64" s="52"/>
      <c r="AD64" s="52"/>
      <c r="AE64" s="52"/>
      <c r="AF64" s="52"/>
      <c r="AG64" s="190"/>
      <c r="AH64" s="52"/>
      <c r="AI64" s="52"/>
      <c r="AJ64" s="52"/>
      <c r="AK64" s="52"/>
      <c r="AL64" s="52"/>
      <c r="AM64" s="52"/>
      <c r="AN64" s="190"/>
      <c r="AO64" s="52"/>
      <c r="AP64" s="52"/>
      <c r="AQ64" s="52"/>
      <c r="AR64" s="52"/>
    </row>
    <row r="65" spans="1:44" ht="12" customHeight="1">
      <c r="A65" s="52"/>
      <c r="B65" s="307" t="s">
        <v>326</v>
      </c>
      <c r="C65" s="52"/>
      <c r="D65" s="52"/>
      <c r="E65" s="52"/>
      <c r="F65" s="477">
        <f>'Proposed Rates'!$E$303</f>
        <v>3.3799999999999997E-2</v>
      </c>
      <c r="G65" s="52"/>
      <c r="H65" s="52"/>
      <c r="I65" s="52"/>
      <c r="J65" s="477">
        <f>'Proposed Rates'!$F$303</f>
        <v>3.32E-2</v>
      </c>
      <c r="K65" s="52"/>
      <c r="L65" s="52"/>
      <c r="M65" s="52"/>
      <c r="N65" s="52"/>
      <c r="O65" s="52"/>
      <c r="P65" s="52"/>
      <c r="Q65" s="477">
        <f>'Proposed Rates'!$G$303</f>
        <v>3.32E-2</v>
      </c>
      <c r="R65" s="52"/>
      <c r="S65" s="52"/>
      <c r="T65" s="52"/>
      <c r="U65" s="52"/>
      <c r="V65" s="52"/>
      <c r="W65" s="52"/>
      <c r="X65" s="477">
        <f>'Proposed Rates'!$H$303</f>
        <v>3.32E-2</v>
      </c>
      <c r="Y65" s="52"/>
      <c r="Z65" s="52"/>
      <c r="AA65" s="52"/>
      <c r="AB65" s="52"/>
      <c r="AC65" s="52"/>
      <c r="AD65" s="52"/>
      <c r="AE65" s="477">
        <f>'Proposed Rates'!$I$303</f>
        <v>3.32E-2</v>
      </c>
      <c r="AF65" s="52"/>
      <c r="AG65" s="52"/>
      <c r="AH65" s="52"/>
      <c r="AI65" s="52"/>
      <c r="AJ65" s="52"/>
      <c r="AK65" s="52"/>
      <c r="AL65" s="477">
        <f>'Proposed Rates'!$J$303</f>
        <v>3.32E-2</v>
      </c>
      <c r="AM65" s="52"/>
      <c r="AN65" s="52"/>
      <c r="AO65" s="52"/>
      <c r="AP65" s="52"/>
      <c r="AQ65" s="52"/>
      <c r="AR65" s="52"/>
    </row>
    <row r="66" spans="1:44"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row>
    <row r="67" spans="1:44" ht="12" customHeight="1">
      <c r="A67" s="478"/>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row>
    <row r="68" spans="1:44" ht="12"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row>
    <row r="69" spans="1:44"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row>
    <row r="70" spans="1:44" ht="12"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row>
    <row r="71" spans="1:44" ht="12"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row>
    <row r="72" spans="1:44"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row>
    <row r="73" spans="1:44" ht="12" customHeight="1">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row>
    <row r="74" spans="1:44" ht="12"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row>
    <row r="75" spans="1:44" ht="12" customHeight="1">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row>
    <row r="76" spans="1:44" ht="12"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row>
    <row r="77" spans="1:44" ht="12"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row>
    <row r="78" spans="1:44"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row>
    <row r="79" spans="1:44" ht="12"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row>
    <row r="80" spans="1:44"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row>
    <row r="81" spans="1:44" ht="12" customHeight="1">
      <c r="A81" s="479"/>
      <c r="B81" s="52" t="s">
        <v>337</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row>
    <row r="82" spans="1:44"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row>
    <row r="83" spans="1:44" ht="12" customHeight="1">
      <c r="A83" s="52"/>
      <c r="B83" s="52" t="s">
        <v>338</v>
      </c>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1:44"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1:44"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1:44"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1:44"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1:44"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row>
    <row r="89" spans="1:44"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row>
    <row r="90" spans="1:44"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row>
    <row r="91" spans="1:44"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row>
    <row r="92" spans="1:44"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row>
    <row r="93" spans="1:44"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row>
    <row r="94" spans="1:44"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row>
    <row r="95" spans="1:44"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row>
    <row r="96" spans="1:44"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row>
    <row r="97" spans="1:44"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row>
    <row r="98" spans="1:44"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row>
    <row r="99" spans="1:44"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row>
    <row r="100" spans="1:44"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row>
    <row r="101" spans="1:44"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row>
    <row r="102" spans="1:44"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row>
    <row r="103" spans="1:44"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row>
    <row r="104" spans="1:44"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row>
    <row r="105" spans="1:44"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row>
    <row r="106" spans="1:44"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row>
    <row r="107" spans="1:44"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row>
    <row r="108" spans="1:44"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row>
    <row r="109" spans="1:44"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row>
    <row r="110" spans="1:44"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row>
    <row r="111" spans="1:44"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row>
    <row r="112" spans="1:44"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row>
    <row r="113" spans="1:44"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row>
    <row r="114" spans="1:44"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row>
    <row r="115" spans="1:44"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row>
    <row r="116" spans="1:44"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row>
    <row r="117" spans="1:44"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row>
    <row r="118" spans="1:44"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row>
    <row r="119" spans="1:44"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row>
    <row r="120" spans="1:44"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row>
    <row r="121" spans="1:44"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row>
    <row r="122" spans="1:44"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row>
    <row r="123" spans="1:44"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row>
    <row r="124" spans="1:44"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row>
    <row r="125" spans="1:44"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row>
    <row r="126" spans="1:44"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row>
    <row r="127" spans="1:44"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row>
    <row r="128" spans="1:44"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row>
    <row r="129" spans="1:44"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row>
    <row r="130" spans="1:44"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row>
    <row r="131" spans="1:44"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row>
    <row r="132" spans="1:44"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row>
    <row r="133" spans="1:44"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row>
    <row r="134" spans="1:44"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row>
    <row r="135" spans="1:44"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row>
    <row r="136" spans="1:44"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row>
    <row r="137" spans="1:44"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row>
    <row r="138" spans="1:44"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row>
    <row r="139" spans="1:44"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row>
    <row r="140" spans="1:44"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row>
    <row r="141" spans="1:44"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row>
    <row r="142" spans="1:44"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row>
    <row r="143" spans="1:44"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row>
    <row r="144" spans="1:44"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row>
    <row r="145" spans="1:44"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row>
    <row r="146" spans="1:44"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row>
    <row r="147" spans="1:44"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row>
    <row r="148" spans="1:44"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row>
    <row r="149" spans="1:44"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row>
    <row r="150" spans="1:44"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row>
    <row r="151" spans="1:44"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row>
    <row r="152" spans="1:44"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row>
    <row r="153" spans="1:44"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row>
    <row r="154" spans="1:44"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row>
    <row r="155" spans="1:44"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row>
    <row r="156" spans="1:44"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row>
    <row r="157" spans="1:44"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row>
    <row r="158" spans="1:44"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row>
    <row r="159" spans="1:44"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row>
    <row r="160" spans="1:44"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row>
    <row r="161" spans="1:44"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row>
    <row r="162" spans="1:44"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row>
    <row r="163" spans="1:44"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row>
    <row r="164" spans="1:44"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row>
    <row r="165" spans="1:44"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row>
    <row r="166" spans="1:44"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row>
    <row r="167" spans="1:44"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row>
    <row r="168" spans="1:44"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row>
    <row r="169" spans="1:44"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row>
    <row r="170" spans="1:44"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row>
    <row r="171" spans="1:44"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row>
    <row r="172" spans="1:44"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row>
    <row r="173" spans="1:44"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row>
    <row r="174" spans="1:44"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row>
    <row r="176" spans="1:44"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row>
    <row r="177" spans="1:44"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row>
    <row r="178" spans="1:44"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row>
    <row r="179" spans="1:44"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row>
    <row r="180" spans="1:44"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row>
    <row r="181" spans="1:44"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row>
    <row r="182" spans="1:44"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row>
    <row r="183" spans="1:44"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row>
    <row r="184" spans="1:44"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row>
    <row r="185" spans="1:44"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row>
    <row r="186" spans="1:44"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row>
    <row r="187" spans="1:44"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row>
    <row r="188" spans="1:44"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row>
    <row r="189" spans="1:44"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row>
    <row r="190" spans="1:44"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row>
    <row r="191" spans="1:44"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row>
    <row r="192" spans="1:44"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2"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row>
    <row r="283" spans="1:43" ht="12"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800-000000000000}">
      <formula1>"TOU,non-TOU"</formula1>
    </dataValidation>
    <dataValidation type="list" allowBlank="1" showErrorMessage="1" sqref="E15:E28 E30:E38 E40:E41 E43:E51 E57 E63" xr:uid="{00000000-0002-0000-2800-000001000000}">
      <formula1>#REF!</formula1>
    </dataValidation>
    <dataValidation type="list" allowBlank="1" showInputMessage="1" showErrorMessage="1" prompt="Select Charge Unit - monthly, per kWh, per kW" sqref="D15:D28 D30:D38 D40:D41 D43:D51 D57 D63" xr:uid="{00000000-0002-0000-2800-000002000000}">
      <formula1>"Monthly,per kWh,per kW"</formula1>
    </dataValidation>
  </dataValidations>
  <pageMargins left="0.74803149606299213" right="0.74803149606299213" top="0.98425196850393704" bottom="0.98425196850393704"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4"/>
  <sheetViews>
    <sheetView topLeftCell="A452" workbookViewId="0">
      <selection activeCell="D468" sqref="D468"/>
    </sheetView>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600" t="s">
        <v>26</v>
      </c>
      <c r="B1" s="601"/>
      <c r="C1" s="601"/>
      <c r="D1" s="602"/>
      <c r="E1" s="53"/>
      <c r="F1" s="53"/>
      <c r="G1" s="53"/>
      <c r="H1" s="53"/>
      <c r="I1" s="53"/>
      <c r="J1" s="53"/>
      <c r="K1" s="53"/>
      <c r="L1" s="53"/>
      <c r="M1" s="53"/>
      <c r="N1" s="53"/>
      <c r="O1" s="53"/>
      <c r="P1" s="53"/>
      <c r="Q1" s="53"/>
      <c r="R1" s="53"/>
      <c r="S1" s="53"/>
      <c r="T1" s="53"/>
      <c r="U1" s="53"/>
      <c r="V1" s="53"/>
      <c r="W1" s="53"/>
      <c r="X1" s="53"/>
      <c r="Y1" s="53"/>
      <c r="Z1" s="53"/>
    </row>
    <row r="2" spans="1:26" ht="18" customHeight="1">
      <c r="A2" s="603" t="s">
        <v>27</v>
      </c>
      <c r="B2" s="601"/>
      <c r="C2" s="601"/>
      <c r="D2" s="602"/>
      <c r="E2" s="53"/>
      <c r="F2" s="53"/>
      <c r="G2" s="53"/>
      <c r="H2" s="53"/>
      <c r="I2" s="53"/>
      <c r="J2" s="53"/>
      <c r="K2" s="53"/>
      <c r="L2" s="53"/>
      <c r="M2" s="53"/>
      <c r="N2" s="53"/>
      <c r="O2" s="53"/>
      <c r="P2" s="53"/>
      <c r="Q2" s="53"/>
      <c r="R2" s="53"/>
      <c r="S2" s="53"/>
      <c r="T2" s="53"/>
      <c r="U2" s="53"/>
      <c r="V2" s="53"/>
      <c r="W2" s="53"/>
      <c r="X2" s="53"/>
      <c r="Y2" s="53"/>
      <c r="Z2" s="53"/>
    </row>
    <row r="3" spans="1:26" ht="15.75" customHeight="1">
      <c r="A3" s="604" t="s">
        <v>214</v>
      </c>
      <c r="B3" s="601"/>
      <c r="C3" s="601"/>
      <c r="D3" s="602"/>
      <c r="E3" s="53"/>
      <c r="F3" s="53"/>
      <c r="G3" s="53"/>
      <c r="H3" s="53"/>
      <c r="I3" s="53"/>
      <c r="J3" s="53"/>
      <c r="K3" s="53"/>
      <c r="L3" s="53"/>
      <c r="M3" s="53"/>
      <c r="N3" s="53"/>
      <c r="O3" s="53"/>
      <c r="P3" s="53"/>
      <c r="Q3" s="53"/>
      <c r="R3" s="53"/>
      <c r="S3" s="53"/>
      <c r="T3" s="53"/>
      <c r="U3" s="53"/>
      <c r="V3" s="53"/>
      <c r="W3" s="53"/>
      <c r="X3" s="53"/>
      <c r="Y3" s="53"/>
      <c r="Z3" s="53"/>
    </row>
    <row r="4" spans="1:26" ht="11.25" customHeight="1">
      <c r="A4" s="605" t="s">
        <v>29</v>
      </c>
      <c r="B4" s="601"/>
      <c r="C4" s="601"/>
      <c r="D4" s="602"/>
      <c r="E4" s="53"/>
      <c r="F4" s="53"/>
      <c r="G4" s="53"/>
      <c r="H4" s="53"/>
      <c r="I4" s="53"/>
      <c r="J4" s="53"/>
      <c r="K4" s="53"/>
      <c r="L4" s="53"/>
      <c r="M4" s="53"/>
      <c r="N4" s="53"/>
      <c r="O4" s="53"/>
      <c r="P4" s="53"/>
      <c r="Q4" s="53"/>
      <c r="R4" s="53"/>
      <c r="S4" s="53"/>
      <c r="T4" s="53"/>
      <c r="U4" s="53"/>
      <c r="V4" s="53"/>
      <c r="W4" s="53"/>
      <c r="X4" s="53"/>
      <c r="Y4" s="53"/>
      <c r="Z4" s="53"/>
    </row>
    <row r="5" spans="1:26" ht="11.25" customHeight="1">
      <c r="A5" s="605" t="s">
        <v>30</v>
      </c>
      <c r="B5" s="601"/>
      <c r="C5" s="601"/>
      <c r="D5" s="602"/>
      <c r="E5" s="53"/>
      <c r="F5" s="53"/>
      <c r="G5" s="53"/>
      <c r="H5" s="53"/>
      <c r="I5" s="53"/>
      <c r="J5" s="53"/>
      <c r="K5" s="53"/>
      <c r="L5" s="53"/>
      <c r="M5" s="53"/>
      <c r="N5" s="53"/>
      <c r="O5" s="53"/>
      <c r="P5" s="53"/>
      <c r="Q5" s="53"/>
      <c r="R5" s="53"/>
      <c r="S5" s="53"/>
      <c r="T5" s="53"/>
      <c r="U5" s="53"/>
      <c r="V5" s="53"/>
      <c r="W5" s="53"/>
      <c r="X5" s="53"/>
      <c r="Y5" s="53"/>
      <c r="Z5" s="53"/>
    </row>
    <row r="6" spans="1:26" ht="11.25" customHeight="1">
      <c r="A6" s="606" t="s">
        <v>31</v>
      </c>
      <c r="B6" s="601"/>
      <c r="C6" s="601"/>
      <c r="D6" s="602"/>
      <c r="E6" s="53"/>
      <c r="F6" s="53"/>
      <c r="G6" s="53"/>
      <c r="H6" s="53"/>
      <c r="I6" s="53"/>
      <c r="J6" s="53"/>
      <c r="K6" s="53"/>
      <c r="L6" s="53"/>
      <c r="M6" s="53"/>
      <c r="N6" s="53"/>
      <c r="O6" s="53"/>
      <c r="P6" s="53"/>
      <c r="Q6" s="53"/>
      <c r="R6" s="53"/>
      <c r="S6" s="53"/>
      <c r="T6" s="53"/>
      <c r="U6" s="53"/>
      <c r="V6" s="53"/>
      <c r="W6" s="53"/>
      <c r="X6" s="53"/>
      <c r="Y6" s="53"/>
      <c r="Z6" s="53"/>
    </row>
    <row r="7" spans="1:26" ht="18.75" customHeight="1">
      <c r="A7" s="607" t="s">
        <v>32</v>
      </c>
      <c r="B7" s="601"/>
      <c r="C7" s="601"/>
      <c r="D7" s="602"/>
      <c r="E7" s="53"/>
      <c r="F7" s="53"/>
      <c r="G7" s="53"/>
      <c r="H7" s="53"/>
      <c r="I7" s="53"/>
      <c r="J7" s="53"/>
      <c r="K7" s="53"/>
      <c r="L7" s="53"/>
      <c r="M7" s="53"/>
      <c r="N7" s="53"/>
      <c r="O7" s="53"/>
      <c r="P7" s="53"/>
      <c r="Q7" s="53"/>
      <c r="R7" s="53"/>
      <c r="S7" s="53"/>
      <c r="T7" s="53"/>
      <c r="U7" s="53"/>
      <c r="V7" s="53"/>
      <c r="W7" s="53"/>
      <c r="X7" s="53"/>
      <c r="Y7" s="53"/>
      <c r="Z7" s="53"/>
    </row>
    <row r="8" spans="1:26" ht="72" customHeight="1">
      <c r="A8" s="608" t="s">
        <v>33</v>
      </c>
      <c r="B8" s="601"/>
      <c r="C8" s="601"/>
      <c r="D8" s="602"/>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9" t="s">
        <v>34</v>
      </c>
      <c r="B10" s="601"/>
      <c r="C10" s="601"/>
      <c r="D10" s="602"/>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8" t="s">
        <v>35</v>
      </c>
      <c r="B12" s="601"/>
      <c r="C12" s="601"/>
      <c r="D12" s="602"/>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8" t="s">
        <v>36</v>
      </c>
      <c r="B14" s="601"/>
      <c r="C14" s="601"/>
      <c r="D14" s="602"/>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8" t="s">
        <v>37</v>
      </c>
      <c r="B16" s="601"/>
      <c r="C16" s="601"/>
      <c r="D16" s="602"/>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8" t="s">
        <v>38</v>
      </c>
      <c r="B18" s="601"/>
      <c r="C18" s="601"/>
      <c r="D18" s="602"/>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70" t="s">
        <v>39</v>
      </c>
      <c r="B20" s="63"/>
      <c r="C20" s="63"/>
      <c r="D20" s="63"/>
      <c r="E20" s="53"/>
      <c r="F20" s="53"/>
      <c r="G20" s="53"/>
      <c r="H20" s="53"/>
      <c r="I20" s="53"/>
      <c r="J20" s="53"/>
      <c r="K20" s="53"/>
      <c r="L20" s="53"/>
      <c r="M20" s="53"/>
      <c r="N20" s="53"/>
      <c r="O20" s="53"/>
      <c r="P20" s="53"/>
      <c r="Q20" s="53"/>
      <c r="R20" s="53"/>
      <c r="S20" s="53"/>
      <c r="T20" s="53"/>
      <c r="U20" s="53"/>
      <c r="V20" s="53"/>
      <c r="W20" s="53"/>
      <c r="X20" s="53"/>
      <c r="Y20" s="53"/>
      <c r="Z20" s="53"/>
    </row>
    <row r="21" spans="1:26" ht="6.75"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0.5" customHeight="1">
      <c r="A22" s="62" t="s">
        <v>40</v>
      </c>
      <c r="B22" s="63"/>
      <c r="C22" s="64" t="s">
        <v>41</v>
      </c>
      <c r="D22" s="284">
        <f>'Proposed Rates'!H8</f>
        <v>45.47</v>
      </c>
      <c r="E22" s="53"/>
      <c r="F22" s="53"/>
      <c r="G22" s="53"/>
      <c r="H22" s="53"/>
      <c r="I22" s="53"/>
      <c r="J22" s="53"/>
      <c r="K22" s="53"/>
      <c r="L22" s="53"/>
      <c r="M22" s="53"/>
      <c r="N22" s="53"/>
      <c r="O22" s="53"/>
      <c r="P22" s="53"/>
      <c r="Q22" s="53"/>
      <c r="R22" s="53"/>
      <c r="S22" s="53"/>
      <c r="T22" s="53"/>
      <c r="U22" s="53"/>
      <c r="V22" s="53"/>
      <c r="W22" s="53"/>
      <c r="X22" s="53"/>
      <c r="Y22" s="53"/>
      <c r="Z22" s="53"/>
    </row>
    <row r="23" spans="1:26" ht="11.25" hidden="1" customHeight="1">
      <c r="A23" s="62" t="s">
        <v>42</v>
      </c>
      <c r="B23" s="63"/>
      <c r="C23" s="64" t="s">
        <v>41</v>
      </c>
      <c r="D23" s="285">
        <f>'Proposed Rates'!H90</f>
        <v>0</v>
      </c>
      <c r="E23" s="53"/>
      <c r="F23" s="53"/>
      <c r="G23" s="53"/>
      <c r="H23" s="53"/>
      <c r="I23" s="53"/>
      <c r="J23" s="53"/>
      <c r="K23" s="53"/>
      <c r="L23" s="53"/>
      <c r="M23" s="53"/>
      <c r="N23" s="53"/>
      <c r="O23" s="53"/>
      <c r="P23" s="53"/>
      <c r="Q23" s="53"/>
      <c r="R23" s="53"/>
      <c r="S23" s="53"/>
      <c r="T23" s="53"/>
      <c r="U23" s="53"/>
      <c r="V23" s="53"/>
      <c r="W23" s="53"/>
      <c r="X23" s="53"/>
      <c r="Y23" s="53"/>
      <c r="Z23" s="53"/>
    </row>
    <row r="24" spans="1:26" ht="11.25" hidden="1" customHeight="1">
      <c r="A24" s="62" t="s">
        <v>43</v>
      </c>
      <c r="B24" s="63"/>
      <c r="C24" s="64" t="s">
        <v>41</v>
      </c>
      <c r="D24" s="285">
        <f>'Proposed Rates'!H64</f>
        <v>0</v>
      </c>
      <c r="E24" s="53"/>
      <c r="F24" s="53"/>
      <c r="G24" s="53"/>
      <c r="H24" s="53"/>
      <c r="I24" s="53"/>
      <c r="J24" s="53"/>
      <c r="K24" s="53"/>
      <c r="L24" s="53"/>
      <c r="M24" s="53"/>
      <c r="N24" s="53"/>
      <c r="O24" s="53"/>
      <c r="P24" s="53"/>
      <c r="Q24" s="53"/>
      <c r="R24" s="53"/>
      <c r="S24" s="53"/>
      <c r="T24" s="53"/>
      <c r="U24" s="53"/>
      <c r="V24" s="53"/>
      <c r="W24" s="53"/>
      <c r="X24" s="53"/>
      <c r="Y24" s="53"/>
      <c r="Z24" s="53"/>
    </row>
    <row r="25" spans="1:26" ht="11.25" customHeight="1">
      <c r="A25" s="62" t="s">
        <v>44</v>
      </c>
      <c r="B25" s="63"/>
      <c r="C25" s="64" t="s">
        <v>41</v>
      </c>
      <c r="D25" s="286">
        <f>'Proposed Rates'!H277</f>
        <v>0.43</v>
      </c>
      <c r="E25" s="53"/>
      <c r="F25" s="53"/>
      <c r="G25" s="53"/>
      <c r="H25" s="53"/>
      <c r="I25" s="53"/>
      <c r="J25" s="53"/>
      <c r="K25" s="53"/>
      <c r="L25" s="53"/>
      <c r="M25" s="53"/>
      <c r="N25" s="53"/>
      <c r="O25" s="53"/>
      <c r="P25" s="53"/>
      <c r="Q25" s="53"/>
      <c r="R25" s="53"/>
      <c r="S25" s="53"/>
      <c r="T25" s="53"/>
      <c r="U25" s="53"/>
      <c r="V25" s="53"/>
      <c r="W25" s="53"/>
      <c r="X25" s="53"/>
      <c r="Y25" s="53"/>
      <c r="Z25" s="53"/>
    </row>
    <row r="26" spans="1:26" ht="11.25" customHeight="1">
      <c r="A26" s="62" t="s">
        <v>45</v>
      </c>
      <c r="B26" s="63"/>
      <c r="C26" s="64" t="s">
        <v>46</v>
      </c>
      <c r="D26" s="287">
        <f>'Proposed Rates'!H264</f>
        <v>8.0000000000000007E-5</v>
      </c>
      <c r="E26" s="53"/>
      <c r="F26" s="53"/>
      <c r="G26" s="53"/>
      <c r="H26" s="53"/>
      <c r="I26" s="53"/>
      <c r="J26" s="53"/>
      <c r="K26" s="53"/>
      <c r="L26" s="53"/>
      <c r="M26" s="53"/>
      <c r="N26" s="53"/>
      <c r="O26" s="53"/>
      <c r="P26" s="53"/>
      <c r="Q26" s="53"/>
      <c r="R26" s="53"/>
      <c r="S26" s="53"/>
      <c r="T26" s="53"/>
      <c r="U26" s="53"/>
      <c r="V26" s="53"/>
      <c r="W26" s="53"/>
      <c r="X26" s="53"/>
      <c r="Y26" s="53"/>
      <c r="Z26" s="53"/>
    </row>
    <row r="27" spans="1:26" ht="11.25" hidden="1" customHeight="1">
      <c r="A27" s="62" t="s">
        <v>47</v>
      </c>
      <c r="B27" s="63"/>
      <c r="C27" s="64" t="s">
        <v>46</v>
      </c>
      <c r="D27" s="285">
        <f>'Proposed Rates'!H37</f>
        <v>0</v>
      </c>
      <c r="E27" s="53"/>
      <c r="F27" s="53"/>
      <c r="G27" s="53"/>
      <c r="H27" s="53"/>
      <c r="I27" s="53"/>
      <c r="J27" s="53"/>
      <c r="K27" s="53"/>
      <c r="L27" s="53"/>
      <c r="M27" s="53"/>
      <c r="N27" s="53"/>
      <c r="O27" s="53"/>
      <c r="P27" s="53"/>
      <c r="Q27" s="53"/>
      <c r="R27" s="53"/>
      <c r="S27" s="53"/>
      <c r="T27" s="53"/>
      <c r="U27" s="53"/>
      <c r="V27" s="53"/>
      <c r="W27" s="53"/>
      <c r="X27" s="53"/>
      <c r="Y27" s="53"/>
      <c r="Z27" s="53"/>
    </row>
    <row r="28" spans="1:26" ht="11.25" hidden="1" customHeight="1">
      <c r="A28" s="62" t="s">
        <v>48</v>
      </c>
      <c r="B28" s="63"/>
      <c r="C28" s="64" t="s">
        <v>46</v>
      </c>
      <c r="D28" s="285">
        <f>'Proposed Rates'!H142</f>
        <v>0</v>
      </c>
      <c r="E28" s="53"/>
      <c r="F28" s="53"/>
      <c r="G28" s="53"/>
      <c r="H28" s="53"/>
      <c r="I28" s="53"/>
      <c r="J28" s="53"/>
      <c r="K28" s="53"/>
      <c r="L28" s="53"/>
      <c r="M28" s="53"/>
      <c r="N28" s="53"/>
      <c r="O28" s="53"/>
      <c r="P28" s="53"/>
      <c r="Q28" s="53"/>
      <c r="R28" s="53"/>
      <c r="S28" s="53"/>
      <c r="T28" s="53"/>
      <c r="U28" s="53"/>
      <c r="V28" s="53"/>
      <c r="W28" s="53"/>
      <c r="X28" s="53"/>
      <c r="Y28" s="53"/>
      <c r="Z28" s="53"/>
    </row>
    <row r="29" spans="1:26" ht="11.25" customHeight="1">
      <c r="A29" s="62" t="s">
        <v>49</v>
      </c>
      <c r="B29" s="63"/>
      <c r="C29" s="64" t="s">
        <v>46</v>
      </c>
      <c r="D29" s="285">
        <f>'Proposed Rates'!H183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1.25" customHeight="1">
      <c r="A30" s="62" t="s">
        <v>50</v>
      </c>
      <c r="B30" s="63"/>
      <c r="C30" s="64" t="s">
        <v>46</v>
      </c>
      <c r="D30" s="285">
        <f>'Proposed Rates'!H198</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9.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1.25" customHeight="1">
      <c r="A34" s="62" t="s">
        <v>52</v>
      </c>
      <c r="B34" s="63"/>
      <c r="C34" s="64" t="s">
        <v>46</v>
      </c>
      <c r="D34" s="69">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1.25" customHeight="1">
      <c r="A35" s="62" t="s">
        <v>53</v>
      </c>
      <c r="B35" s="63"/>
      <c r="C35" s="64" t="s">
        <v>46</v>
      </c>
      <c r="D35" s="66">
        <f>'Proposed Rates'!H213-'2026'!D35</f>
        <v>5.9999999999999984E-4</v>
      </c>
      <c r="E35" s="53"/>
      <c r="F35" s="53"/>
      <c r="G35" s="53"/>
      <c r="H35" s="53"/>
      <c r="I35" s="53"/>
      <c r="J35" s="53"/>
      <c r="K35" s="53"/>
      <c r="L35" s="53"/>
      <c r="M35" s="53"/>
      <c r="N35" s="53"/>
      <c r="O35" s="53"/>
      <c r="P35" s="53"/>
      <c r="Q35" s="53"/>
      <c r="R35" s="53"/>
      <c r="S35" s="53"/>
      <c r="T35" s="53"/>
      <c r="U35" s="53"/>
      <c r="V35" s="53"/>
      <c r="W35" s="53"/>
      <c r="X35" s="53"/>
      <c r="Y35" s="53"/>
      <c r="Z35" s="53"/>
    </row>
    <row r="36" spans="1:26" ht="11.25" customHeight="1">
      <c r="A36" s="62" t="s">
        <v>54</v>
      </c>
      <c r="B36" s="63"/>
      <c r="C36" s="64" t="s">
        <v>46</v>
      </c>
      <c r="D36" s="66">
        <f>'Proposed Rates'!H226</f>
        <v>5.9999999999999995E-4</v>
      </c>
      <c r="E36" s="53"/>
      <c r="F36" s="53"/>
      <c r="G36" s="53"/>
      <c r="H36" s="53"/>
      <c r="I36" s="53"/>
      <c r="J36" s="53"/>
      <c r="K36" s="53"/>
      <c r="L36" s="53"/>
      <c r="M36" s="53"/>
      <c r="N36" s="53"/>
      <c r="O36" s="53"/>
      <c r="P36" s="53"/>
      <c r="Q36" s="53"/>
      <c r="R36" s="53"/>
      <c r="S36" s="53"/>
      <c r="T36" s="53"/>
      <c r="U36" s="53"/>
      <c r="V36" s="53"/>
      <c r="W36" s="53"/>
      <c r="X36" s="53"/>
      <c r="Y36" s="53"/>
      <c r="Z36" s="53"/>
    </row>
    <row r="37" spans="1:26" ht="11.25" customHeight="1">
      <c r="A37" s="62" t="s">
        <v>55</v>
      </c>
      <c r="B37" s="63"/>
      <c r="C37" s="64" t="s">
        <v>41</v>
      </c>
      <c r="D37" s="66">
        <f>'Proposed Rates'!H240</f>
        <v>0.25</v>
      </c>
      <c r="E37" s="53"/>
      <c r="F37" s="53"/>
      <c r="G37" s="53"/>
      <c r="H37" s="53"/>
      <c r="I37" s="53"/>
      <c r="J37" s="53"/>
      <c r="K37" s="53"/>
      <c r="L37" s="53"/>
      <c r="M37" s="53"/>
      <c r="N37" s="53"/>
      <c r="O37" s="53"/>
      <c r="P37" s="53"/>
      <c r="Q37" s="53"/>
      <c r="R37" s="53"/>
      <c r="S37" s="53"/>
      <c r="T37" s="53"/>
      <c r="U37" s="53"/>
      <c r="V37" s="53"/>
      <c r="W37" s="53"/>
      <c r="X37" s="53"/>
      <c r="Y37" s="53"/>
      <c r="Z37" s="53"/>
    </row>
    <row r="38" spans="1:26" ht="11.2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3.25" customHeight="1">
      <c r="A39" s="600" t="str">
        <f>$A$1</f>
        <v>Hydro Ottawa Limited</v>
      </c>
      <c r="B39" s="601"/>
      <c r="C39" s="601"/>
      <c r="D39" s="602"/>
      <c r="E39" s="53"/>
      <c r="F39" s="53"/>
      <c r="G39" s="53"/>
      <c r="H39" s="53"/>
      <c r="I39" s="53"/>
      <c r="J39" s="53"/>
      <c r="K39" s="53"/>
      <c r="L39" s="53"/>
      <c r="M39" s="53"/>
      <c r="N39" s="53"/>
      <c r="O39" s="53"/>
      <c r="P39" s="53"/>
      <c r="Q39" s="53"/>
      <c r="R39" s="53"/>
      <c r="S39" s="53"/>
      <c r="T39" s="53"/>
      <c r="U39" s="53"/>
      <c r="V39" s="53"/>
      <c r="W39" s="53"/>
      <c r="X39" s="53"/>
      <c r="Y39" s="53"/>
      <c r="Z39" s="53"/>
    </row>
    <row r="40" spans="1:26" ht="18" customHeight="1">
      <c r="A40" s="603" t="str">
        <f>$A$2</f>
        <v>PROPOSED - TARIFF OF RATES AND CHARGES</v>
      </c>
      <c r="B40" s="601"/>
      <c r="C40" s="601"/>
      <c r="D40" s="602"/>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604" t="str">
        <f>$A$3</f>
        <v>Effective and Implementation Date January 1, 2028</v>
      </c>
      <c r="B41" s="601"/>
      <c r="C41" s="601"/>
      <c r="D41" s="602"/>
      <c r="E41" s="53"/>
      <c r="F41" s="53"/>
      <c r="G41" s="53"/>
      <c r="H41" s="53"/>
      <c r="I41" s="53"/>
      <c r="J41" s="53"/>
      <c r="K41" s="53"/>
      <c r="L41" s="53"/>
      <c r="M41" s="53"/>
      <c r="N41" s="53"/>
      <c r="O41" s="53"/>
      <c r="P41" s="53"/>
      <c r="Q41" s="53"/>
      <c r="R41" s="53"/>
      <c r="S41" s="53"/>
      <c r="T41" s="53"/>
      <c r="U41" s="53"/>
      <c r="V41" s="53"/>
      <c r="W41" s="53"/>
      <c r="X41" s="53"/>
      <c r="Y41" s="53"/>
      <c r="Z41" s="53"/>
    </row>
    <row r="42" spans="1:26" ht="11.25" customHeight="1">
      <c r="A42" s="605" t="str">
        <f>$A$4</f>
        <v>This schedule supersedes and replaces all previously</v>
      </c>
      <c r="B42" s="601"/>
      <c r="C42" s="601"/>
      <c r="D42" s="602"/>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5" t="str">
        <f>$A$5</f>
        <v>approved schedules of Rates, Charges and Loss Factors</v>
      </c>
      <c r="B43" s="601"/>
      <c r="C43" s="601"/>
      <c r="D43" s="602"/>
      <c r="E43" s="53"/>
      <c r="F43" s="53"/>
      <c r="G43" s="53"/>
      <c r="H43" s="53"/>
      <c r="I43" s="53"/>
      <c r="J43" s="53"/>
      <c r="K43" s="53"/>
      <c r="L43" s="53"/>
      <c r="M43" s="53"/>
      <c r="N43" s="53"/>
      <c r="O43" s="53"/>
      <c r="P43" s="53"/>
      <c r="Q43" s="53"/>
      <c r="R43" s="53"/>
      <c r="S43" s="53"/>
      <c r="T43" s="53"/>
      <c r="U43" s="53"/>
      <c r="V43" s="53"/>
      <c r="W43" s="53"/>
      <c r="X43" s="53"/>
      <c r="Y43" s="53"/>
      <c r="Z43" s="71"/>
    </row>
    <row r="44" spans="1:26" ht="11.25" customHeight="1">
      <c r="A44" s="606" t="str">
        <f>$A$6</f>
        <v>EB-2024-0115</v>
      </c>
      <c r="B44" s="601"/>
      <c r="C44" s="601"/>
      <c r="D44" s="602"/>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7" t="s">
        <v>56</v>
      </c>
      <c r="B45" s="601"/>
      <c r="C45" s="601"/>
      <c r="D45" s="602"/>
      <c r="E45" s="71"/>
      <c r="F45" s="71"/>
      <c r="G45" s="71"/>
      <c r="H45" s="71"/>
      <c r="I45" s="71"/>
      <c r="J45" s="71"/>
      <c r="K45" s="71"/>
      <c r="L45" s="71"/>
      <c r="M45" s="71"/>
      <c r="N45" s="71"/>
      <c r="O45" s="71"/>
      <c r="P45" s="71"/>
      <c r="Q45" s="71"/>
      <c r="R45" s="71"/>
      <c r="S45" s="71"/>
      <c r="T45" s="71"/>
      <c r="U45" s="71"/>
      <c r="V45" s="71"/>
      <c r="W45" s="71"/>
      <c r="X45" s="71"/>
      <c r="Y45" s="71"/>
    </row>
    <row r="46" spans="1:26" ht="48" customHeight="1">
      <c r="A46" s="608" t="s">
        <v>57</v>
      </c>
      <c r="B46" s="601"/>
      <c r="C46" s="601"/>
      <c r="D46" s="602"/>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9" t="s">
        <v>34</v>
      </c>
      <c r="B48" s="601"/>
      <c r="C48" s="601"/>
      <c r="D48" s="602"/>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8" t="s">
        <v>35</v>
      </c>
      <c r="B50" s="601"/>
      <c r="C50" s="601"/>
      <c r="D50" s="602"/>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8" t="s">
        <v>36</v>
      </c>
      <c r="B52" s="601"/>
      <c r="C52" s="601"/>
      <c r="D52" s="602"/>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8" t="s">
        <v>37</v>
      </c>
      <c r="B54" s="601"/>
      <c r="C54" s="601"/>
      <c r="D54" s="602"/>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8" t="s">
        <v>58</v>
      </c>
      <c r="B56" s="601"/>
      <c r="C56" s="601"/>
      <c r="D56" s="602"/>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610" t="s">
        <v>39</v>
      </c>
      <c r="B58" s="601"/>
      <c r="C58" s="601"/>
      <c r="D58" s="602"/>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0.5" customHeight="1">
      <c r="A60" s="62" t="s">
        <v>40</v>
      </c>
      <c r="B60" s="63"/>
      <c r="C60" s="64" t="s">
        <v>41</v>
      </c>
      <c r="D60" s="284">
        <f>'Proposed Rates'!H9</f>
        <v>30.29</v>
      </c>
      <c r="E60" s="53"/>
      <c r="F60" s="53"/>
      <c r="G60" s="53"/>
      <c r="H60" s="53"/>
      <c r="I60" s="53"/>
      <c r="J60" s="53"/>
      <c r="K60" s="53"/>
      <c r="L60" s="53"/>
      <c r="M60" s="53"/>
      <c r="N60" s="53"/>
      <c r="O60" s="53"/>
      <c r="P60" s="53"/>
      <c r="Q60" s="53"/>
      <c r="R60" s="53"/>
      <c r="S60" s="53"/>
      <c r="T60" s="53"/>
      <c r="U60" s="53"/>
      <c r="V60" s="53"/>
      <c r="W60" s="53"/>
      <c r="X60" s="53"/>
      <c r="Y60" s="53"/>
      <c r="Z60" s="53"/>
    </row>
    <row r="61" spans="1:26" ht="10.5" customHeight="1">
      <c r="A61" s="62" t="s">
        <v>44</v>
      </c>
      <c r="B61" s="63"/>
      <c r="C61" s="64" t="s">
        <v>41</v>
      </c>
      <c r="D61" s="286">
        <f>'Proposed Rates'!H278</f>
        <v>0.43</v>
      </c>
      <c r="E61" s="53"/>
      <c r="F61" s="53"/>
      <c r="G61" s="53"/>
      <c r="H61" s="53"/>
      <c r="I61" s="53"/>
      <c r="J61" s="53"/>
      <c r="K61" s="53"/>
      <c r="L61" s="53"/>
      <c r="M61" s="53"/>
      <c r="N61" s="53"/>
      <c r="O61" s="53"/>
      <c r="P61" s="53"/>
      <c r="Q61" s="53"/>
      <c r="R61" s="53"/>
      <c r="S61" s="53"/>
      <c r="T61" s="53"/>
      <c r="U61" s="53"/>
      <c r="V61" s="53"/>
      <c r="W61" s="53"/>
      <c r="X61" s="53"/>
      <c r="Y61" s="53"/>
      <c r="Z61" s="53"/>
    </row>
    <row r="62" spans="1:26" ht="10.5" customHeight="1">
      <c r="A62" s="62" t="s">
        <v>59</v>
      </c>
      <c r="B62" s="63"/>
      <c r="C62" s="64" t="s">
        <v>46</v>
      </c>
      <c r="D62" s="285">
        <f>'Proposed Rates'!H22</f>
        <v>3.9300000000000002E-2</v>
      </c>
      <c r="E62" s="53"/>
      <c r="F62" s="53"/>
      <c r="G62" s="53"/>
      <c r="H62" s="53"/>
      <c r="I62" s="53"/>
      <c r="J62" s="53"/>
      <c r="K62" s="53"/>
      <c r="L62" s="53"/>
      <c r="M62" s="53"/>
      <c r="N62" s="53"/>
      <c r="O62" s="53"/>
      <c r="P62" s="53"/>
      <c r="Q62" s="53"/>
      <c r="R62" s="53"/>
      <c r="S62" s="53"/>
      <c r="T62" s="53"/>
      <c r="U62" s="53"/>
      <c r="V62" s="53"/>
      <c r="W62" s="53"/>
      <c r="X62" s="53"/>
      <c r="Y62" s="53"/>
      <c r="Z62" s="53"/>
    </row>
    <row r="63" spans="1:26" ht="10.5" customHeight="1">
      <c r="A63" s="62" t="s">
        <v>45</v>
      </c>
      <c r="B63" s="63"/>
      <c r="C63" s="64" t="s">
        <v>46</v>
      </c>
      <c r="D63" s="287">
        <f>'Proposed Rates'!H265</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0.5" hidden="1" customHeight="1">
      <c r="A64" s="62" t="s">
        <v>47</v>
      </c>
      <c r="B64" s="63"/>
      <c r="C64" s="64" t="s">
        <v>46</v>
      </c>
      <c r="D64" s="285">
        <f>'Proposed Rates'!H38</f>
        <v>0</v>
      </c>
      <c r="E64" s="53"/>
      <c r="F64" s="53"/>
      <c r="G64" s="53"/>
      <c r="H64" s="53"/>
      <c r="I64" s="53"/>
      <c r="J64" s="53"/>
      <c r="K64" s="53"/>
      <c r="L64" s="53"/>
      <c r="M64" s="53"/>
      <c r="N64" s="53"/>
      <c r="O64" s="53"/>
      <c r="P64" s="53"/>
      <c r="Q64" s="53"/>
      <c r="R64" s="53"/>
      <c r="S64" s="53"/>
      <c r="T64" s="53"/>
      <c r="U64" s="53"/>
      <c r="V64" s="53"/>
      <c r="W64" s="53"/>
      <c r="X64" s="53"/>
      <c r="Y64" s="53"/>
      <c r="Z64" s="53"/>
    </row>
    <row r="65" spans="1:26" ht="10.5" hidden="1" customHeight="1">
      <c r="A65" s="62" t="s">
        <v>43</v>
      </c>
      <c r="B65" s="63"/>
      <c r="C65" s="64" t="s">
        <v>46</v>
      </c>
      <c r="D65" s="285">
        <f>'Proposed Rates'!H65</f>
        <v>0</v>
      </c>
      <c r="E65" s="53"/>
      <c r="F65" s="53"/>
      <c r="G65" s="53"/>
      <c r="H65" s="53"/>
      <c r="I65" s="53"/>
      <c r="J65" s="53"/>
      <c r="K65" s="53"/>
      <c r="L65" s="53"/>
      <c r="M65" s="53"/>
      <c r="N65" s="53"/>
      <c r="O65" s="53"/>
      <c r="P65" s="53"/>
      <c r="Q65" s="53"/>
      <c r="R65" s="53"/>
      <c r="S65" s="53"/>
      <c r="T65" s="53"/>
      <c r="U65" s="53"/>
      <c r="V65" s="53"/>
      <c r="W65" s="53"/>
      <c r="X65" s="53"/>
      <c r="Y65" s="53"/>
      <c r="Z65" s="53"/>
    </row>
    <row r="66" spans="1:26" ht="10.5" hidden="1" customHeight="1">
      <c r="A66" s="62" t="s">
        <v>42</v>
      </c>
      <c r="B66" s="63"/>
      <c r="C66" s="64" t="s">
        <v>46</v>
      </c>
      <c r="D66" s="285">
        <f>'Proposed Rates'!H91</f>
        <v>0</v>
      </c>
      <c r="E66" s="53"/>
      <c r="F66" s="53"/>
      <c r="G66" s="53"/>
      <c r="H66" s="53"/>
      <c r="I66" s="53"/>
      <c r="J66" s="53"/>
      <c r="K66" s="53"/>
      <c r="L66" s="53"/>
      <c r="M66" s="53"/>
      <c r="N66" s="53"/>
      <c r="O66" s="53"/>
      <c r="P66" s="53"/>
      <c r="Q66" s="53"/>
      <c r="R66" s="53"/>
      <c r="S66" s="53"/>
      <c r="T66" s="53"/>
      <c r="U66" s="53"/>
      <c r="V66" s="53"/>
      <c r="W66" s="53"/>
      <c r="X66" s="53"/>
      <c r="Y66" s="53"/>
      <c r="Z66" s="53"/>
    </row>
    <row r="67" spans="1:26" ht="10.5" hidden="1" customHeight="1">
      <c r="A67" s="62" t="s">
        <v>48</v>
      </c>
      <c r="B67" s="63"/>
      <c r="C67" s="64" t="s">
        <v>46</v>
      </c>
      <c r="D67" s="285">
        <f>'Proposed Rates'!H143</f>
        <v>0</v>
      </c>
      <c r="E67" s="53"/>
      <c r="F67" s="53"/>
      <c r="G67" s="53"/>
      <c r="H67" s="53"/>
      <c r="I67" s="53"/>
      <c r="J67" s="53"/>
      <c r="K67" s="53"/>
      <c r="L67" s="53"/>
      <c r="M67" s="53"/>
      <c r="N67" s="53"/>
      <c r="O67" s="53"/>
      <c r="P67" s="53"/>
      <c r="Q67" s="53"/>
      <c r="R67" s="53"/>
      <c r="S67" s="53"/>
      <c r="T67" s="53"/>
      <c r="U67" s="53"/>
      <c r="V67" s="53"/>
      <c r="W67" s="53"/>
      <c r="X67" s="53"/>
      <c r="Y67" s="53"/>
      <c r="Z67" s="53"/>
    </row>
    <row r="68" spans="1:26" ht="10.5" customHeight="1">
      <c r="A68" s="62" t="s">
        <v>49</v>
      </c>
      <c r="B68" s="63"/>
      <c r="C68" s="64" t="s">
        <v>46</v>
      </c>
      <c r="D68" s="285">
        <f>'Proposed Rates'!H184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0.5" customHeight="1">
      <c r="A69" s="62" t="s">
        <v>50</v>
      </c>
      <c r="B69" s="64"/>
      <c r="C69" s="64" t="s">
        <v>46</v>
      </c>
      <c r="D69" s="285">
        <f>'Proposed Rates'!H199</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11.25" customHeight="1">
      <c r="A70" s="64"/>
      <c r="B70" s="63"/>
      <c r="C70" s="64"/>
      <c r="D70" s="288"/>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70" t="s">
        <v>51</v>
      </c>
      <c r="B71" s="64"/>
      <c r="C71" s="64"/>
      <c r="D71" s="288"/>
      <c r="E71" s="53"/>
      <c r="F71" s="53"/>
      <c r="G71" s="53"/>
      <c r="H71" s="53"/>
      <c r="I71" s="53"/>
      <c r="J71" s="53"/>
      <c r="K71" s="53"/>
      <c r="L71" s="53"/>
      <c r="M71" s="53"/>
      <c r="N71" s="53"/>
      <c r="O71" s="53"/>
      <c r="P71" s="53"/>
      <c r="Q71" s="53"/>
      <c r="R71" s="53"/>
      <c r="S71" s="53"/>
      <c r="T71" s="53"/>
      <c r="U71" s="53"/>
      <c r="V71" s="53"/>
      <c r="W71" s="53"/>
      <c r="X71" s="53"/>
      <c r="Y71" s="53"/>
      <c r="Z71" s="53"/>
    </row>
    <row r="72" spans="1:26" ht="7.5" customHeight="1">
      <c r="A72" s="59"/>
      <c r="B72" s="63"/>
      <c r="C72" s="64"/>
      <c r="D72" s="288"/>
      <c r="E72" s="53"/>
      <c r="F72" s="53"/>
      <c r="G72" s="53"/>
      <c r="H72" s="53"/>
      <c r="I72" s="53"/>
      <c r="J72" s="53"/>
      <c r="K72" s="53"/>
      <c r="L72" s="53"/>
      <c r="M72" s="53"/>
      <c r="N72" s="53"/>
      <c r="O72" s="53"/>
      <c r="P72" s="53"/>
      <c r="Q72" s="53"/>
      <c r="R72" s="53"/>
      <c r="S72" s="53"/>
      <c r="T72" s="53"/>
      <c r="U72" s="53"/>
      <c r="V72" s="53"/>
      <c r="W72" s="53"/>
      <c r="X72" s="53"/>
      <c r="Y72" s="53"/>
      <c r="Z72" s="53"/>
    </row>
    <row r="73" spans="1:26" ht="10.5" customHeight="1">
      <c r="A73" s="62" t="s">
        <v>52</v>
      </c>
      <c r="B73" s="63"/>
      <c r="C73" s="64" t="s">
        <v>46</v>
      </c>
      <c r="D73" s="288">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0.5" customHeight="1">
      <c r="A74" s="62" t="s">
        <v>53</v>
      </c>
      <c r="B74" s="63"/>
      <c r="C74" s="64" t="s">
        <v>46</v>
      </c>
      <c r="D74" s="285">
        <f>'Proposed Rates'!H214-'2026'!D75</f>
        <v>5.9999999999999984E-4</v>
      </c>
      <c r="E74" s="53"/>
      <c r="F74" s="53"/>
      <c r="G74" s="53"/>
      <c r="H74" s="53"/>
      <c r="I74" s="53"/>
      <c r="J74" s="53"/>
      <c r="K74" s="53"/>
      <c r="L74" s="53"/>
      <c r="M74" s="53"/>
      <c r="N74" s="53"/>
      <c r="O74" s="53"/>
      <c r="P74" s="53"/>
      <c r="Q74" s="53"/>
      <c r="R74" s="53"/>
      <c r="S74" s="53"/>
      <c r="T74" s="53"/>
      <c r="U74" s="53"/>
      <c r="V74" s="53"/>
      <c r="W74" s="53"/>
      <c r="X74" s="53"/>
      <c r="Y74" s="53"/>
      <c r="Z74" s="53"/>
    </row>
    <row r="75" spans="1:26" ht="10.5" customHeight="1">
      <c r="A75" s="62" t="s">
        <v>54</v>
      </c>
      <c r="B75" s="63"/>
      <c r="C75" s="64" t="s">
        <v>46</v>
      </c>
      <c r="D75" s="285">
        <f>'Proposed Rates'!H227</f>
        <v>5.9999999999999995E-4</v>
      </c>
      <c r="E75" s="53"/>
      <c r="F75" s="53"/>
      <c r="G75" s="53"/>
      <c r="H75" s="53"/>
      <c r="I75" s="53"/>
      <c r="J75" s="53"/>
      <c r="K75" s="53"/>
      <c r="L75" s="53"/>
      <c r="M75" s="53"/>
      <c r="N75" s="53"/>
      <c r="O75" s="53"/>
      <c r="P75" s="53"/>
      <c r="Q75" s="53"/>
      <c r="R75" s="53"/>
      <c r="S75" s="53"/>
      <c r="T75" s="53"/>
      <c r="U75" s="53"/>
      <c r="V75" s="53"/>
      <c r="W75" s="53"/>
      <c r="X75" s="53"/>
      <c r="Y75" s="53"/>
      <c r="Z75" s="53"/>
    </row>
    <row r="76" spans="1:26" ht="10.5" customHeight="1">
      <c r="A76" s="62" t="s">
        <v>55</v>
      </c>
      <c r="B76" s="63"/>
      <c r="C76" s="64" t="s">
        <v>41</v>
      </c>
      <c r="D76" s="285">
        <f>'Proposed Rates'!H241</f>
        <v>0.25</v>
      </c>
      <c r="E76" s="53"/>
      <c r="F76" s="53"/>
      <c r="G76" s="53"/>
      <c r="H76" s="53"/>
      <c r="I76" s="53"/>
      <c r="J76" s="53"/>
      <c r="K76" s="53"/>
      <c r="L76" s="53"/>
      <c r="M76" s="53"/>
      <c r="N76" s="53"/>
      <c r="O76" s="53"/>
      <c r="P76" s="53"/>
      <c r="Q76" s="53"/>
      <c r="R76" s="53"/>
      <c r="S76" s="53"/>
      <c r="T76" s="53"/>
      <c r="U76" s="53"/>
      <c r="V76" s="53"/>
      <c r="W76" s="53"/>
      <c r="X76" s="53"/>
      <c r="Y76" s="53"/>
      <c r="Z76" s="53"/>
    </row>
    <row r="77" spans="1:26" ht="5.25" customHeight="1">
      <c r="A77" s="64"/>
      <c r="B77" s="63"/>
      <c r="C77" s="64"/>
      <c r="D77" s="69"/>
      <c r="E77" s="53"/>
      <c r="F77" s="53"/>
      <c r="G77" s="53"/>
      <c r="H77" s="53"/>
      <c r="I77" s="53"/>
      <c r="J77" s="53"/>
      <c r="K77" s="53"/>
      <c r="L77" s="53"/>
      <c r="M77" s="53"/>
      <c r="N77" s="53"/>
      <c r="O77" s="53"/>
      <c r="P77" s="53"/>
      <c r="Q77" s="53"/>
      <c r="R77" s="53"/>
      <c r="S77" s="53"/>
      <c r="T77" s="53"/>
      <c r="U77" s="53"/>
      <c r="V77" s="53"/>
      <c r="W77" s="53"/>
      <c r="X77" s="53"/>
      <c r="Y77" s="53"/>
      <c r="Z77" s="53"/>
    </row>
    <row r="78" spans="1:26" ht="23.25" customHeight="1">
      <c r="A78" s="600" t="str">
        <f>$A$1</f>
        <v>Hydro Ottawa Limited</v>
      </c>
      <c r="B78" s="601"/>
      <c r="C78" s="601"/>
      <c r="D78" s="602"/>
      <c r="E78" s="53"/>
      <c r="F78" s="53"/>
      <c r="G78" s="53"/>
      <c r="H78" s="53"/>
      <c r="I78" s="53"/>
      <c r="J78" s="53"/>
      <c r="K78" s="53"/>
      <c r="L78" s="53"/>
      <c r="M78" s="53"/>
      <c r="N78" s="53"/>
      <c r="O78" s="53"/>
      <c r="P78" s="53"/>
      <c r="Q78" s="53"/>
      <c r="R78" s="53"/>
      <c r="S78" s="53"/>
      <c r="T78" s="53"/>
      <c r="U78" s="53"/>
      <c r="V78" s="53"/>
      <c r="W78" s="53"/>
      <c r="X78" s="53"/>
      <c r="Y78" s="53"/>
      <c r="Z78" s="53"/>
    </row>
    <row r="79" spans="1:26" ht="18" customHeight="1">
      <c r="A79" s="603" t="str">
        <f>$A$2</f>
        <v>PROPOSED - TARIFF OF RATES AND CHARGES</v>
      </c>
      <c r="B79" s="601"/>
      <c r="C79" s="601"/>
      <c r="D79" s="602"/>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c r="A80" s="604" t="str">
        <f>$A$3</f>
        <v>Effective and Implementation Date January 1, 2028</v>
      </c>
      <c r="B80" s="601"/>
      <c r="C80" s="601"/>
      <c r="D80" s="602"/>
      <c r="E80" s="53"/>
      <c r="F80" s="53"/>
      <c r="G80" s="53"/>
      <c r="H80" s="53"/>
      <c r="I80" s="53"/>
      <c r="J80" s="53"/>
      <c r="K80" s="53"/>
      <c r="L80" s="53"/>
      <c r="M80" s="53"/>
      <c r="N80" s="53"/>
      <c r="O80" s="53"/>
      <c r="P80" s="53"/>
      <c r="Q80" s="53"/>
      <c r="R80" s="53"/>
      <c r="S80" s="53"/>
      <c r="T80" s="53"/>
      <c r="U80" s="53"/>
      <c r="V80" s="53"/>
      <c r="W80" s="53"/>
      <c r="X80" s="53"/>
      <c r="Y80" s="53"/>
      <c r="Z80" s="53"/>
    </row>
    <row r="81" spans="1:26" ht="11.25" customHeight="1">
      <c r="A81" s="605" t="str">
        <f>$A$4</f>
        <v>This schedule supersedes and replaces all previously</v>
      </c>
      <c r="B81" s="601"/>
      <c r="C81" s="601"/>
      <c r="D81" s="602"/>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5" t="str">
        <f>$A$5</f>
        <v>approved schedules of Rates, Charges and Loss Factors</v>
      </c>
      <c r="B82" s="601"/>
      <c r="C82" s="601"/>
      <c r="D82" s="602"/>
      <c r="E82" s="53"/>
      <c r="F82" s="53"/>
      <c r="G82" s="53"/>
      <c r="H82" s="53"/>
      <c r="I82" s="53"/>
      <c r="J82" s="53"/>
      <c r="K82" s="53"/>
      <c r="L82" s="53"/>
      <c r="M82" s="53"/>
      <c r="N82" s="53"/>
      <c r="O82" s="53"/>
      <c r="P82" s="53"/>
      <c r="Q82" s="53"/>
      <c r="R82" s="53"/>
      <c r="S82" s="53"/>
      <c r="T82" s="53"/>
      <c r="U82" s="53"/>
      <c r="V82" s="53"/>
      <c r="W82" s="53"/>
      <c r="X82" s="53"/>
      <c r="Y82" s="53"/>
      <c r="Z82" s="53"/>
    </row>
    <row r="83" spans="1:26" ht="11.25" customHeight="1">
      <c r="A83" s="606" t="str">
        <f>$A$6</f>
        <v>EB-2024-0115</v>
      </c>
      <c r="B83" s="601"/>
      <c r="C83" s="601"/>
      <c r="D83" s="602"/>
      <c r="E83" s="53"/>
      <c r="F83" s="53"/>
      <c r="G83" s="53"/>
      <c r="H83" s="53"/>
      <c r="I83" s="53"/>
      <c r="J83" s="53"/>
      <c r="K83" s="53"/>
      <c r="L83" s="53"/>
      <c r="M83" s="53"/>
      <c r="N83" s="53"/>
      <c r="O83" s="53"/>
      <c r="P83" s="53"/>
      <c r="Q83" s="53"/>
      <c r="R83" s="53"/>
      <c r="S83" s="53"/>
      <c r="T83" s="53"/>
      <c r="U83" s="53"/>
      <c r="V83" s="53"/>
      <c r="W83" s="53"/>
      <c r="X83" s="53"/>
      <c r="Y83" s="53"/>
      <c r="Z83" s="53"/>
    </row>
    <row r="84" spans="1:26" ht="18.75" customHeight="1">
      <c r="A84" s="607" t="s">
        <v>61</v>
      </c>
      <c r="B84" s="601"/>
      <c r="C84" s="601"/>
      <c r="D84" s="602"/>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8" t="s">
        <v>62</v>
      </c>
      <c r="B85" s="601"/>
      <c r="C85" s="601"/>
      <c r="D85" s="602"/>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9" t="s">
        <v>34</v>
      </c>
      <c r="B87" s="601"/>
      <c r="C87" s="601"/>
      <c r="D87" s="602"/>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8" t="s">
        <v>35</v>
      </c>
      <c r="B89" s="601"/>
      <c r="C89" s="601"/>
      <c r="D89" s="602"/>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8" t="s">
        <v>36</v>
      </c>
      <c r="B91" s="601"/>
      <c r="C91" s="601"/>
      <c r="D91" s="602"/>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8" t="s">
        <v>37</v>
      </c>
      <c r="B93" s="601"/>
      <c r="C93" s="601"/>
      <c r="D93" s="602"/>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8" t="s">
        <v>63</v>
      </c>
      <c r="B95" s="601"/>
      <c r="C95" s="601"/>
      <c r="D95" s="602"/>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8" t="s">
        <v>64</v>
      </c>
      <c r="B96" s="601"/>
      <c r="C96" s="601"/>
      <c r="D96" s="602"/>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8" t="s">
        <v>38</v>
      </c>
      <c r="B97" s="601"/>
      <c r="C97" s="601"/>
      <c r="D97" s="602"/>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11" t="s">
        <v>65</v>
      </c>
      <c r="B98" s="601"/>
      <c r="C98" s="601"/>
      <c r="D98" s="602"/>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610" t="s">
        <v>39</v>
      </c>
      <c r="B100" s="601"/>
      <c r="C100" s="601"/>
      <c r="D100" s="602"/>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40</v>
      </c>
      <c r="B102" s="63"/>
      <c r="C102" s="64" t="s">
        <v>41</v>
      </c>
      <c r="D102" s="284">
        <f>'Proposed Rates'!H10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59</v>
      </c>
      <c r="B103" s="63"/>
      <c r="C103" s="64" t="s">
        <v>66</v>
      </c>
      <c r="D103" s="285">
        <f>'Proposed Rates'!H23</f>
        <v>9.0498999999999992</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2" customHeight="1">
      <c r="A104" s="62" t="s">
        <v>45</v>
      </c>
      <c r="B104" s="63"/>
      <c r="C104" s="64" t="s">
        <v>66</v>
      </c>
      <c r="D104" s="287">
        <f>'Proposed Rates'!H266</f>
        <v>2.4209999999999999E-2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2" hidden="1" customHeight="1">
      <c r="A105" s="62" t="s">
        <v>47</v>
      </c>
      <c r="B105" s="63"/>
      <c r="C105" s="64" t="s">
        <v>66</v>
      </c>
      <c r="D105" s="285">
        <f>'Proposed Rates'!H39</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2" hidden="1" customHeight="1">
      <c r="A106" s="62" t="s">
        <v>43</v>
      </c>
      <c r="B106" s="63"/>
      <c r="C106" s="64" t="s">
        <v>66</v>
      </c>
      <c r="D106" s="285">
        <f>'Proposed Rates'!H66</f>
        <v>0</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2" hidden="1" customHeight="1">
      <c r="A107" s="62" t="s">
        <v>42</v>
      </c>
      <c r="B107" s="63"/>
      <c r="C107" s="64" t="s">
        <v>66</v>
      </c>
      <c r="D107" s="285">
        <f>'Proposed Rates'!H92</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2" hidden="1" customHeight="1">
      <c r="A108" s="62" t="s">
        <v>48</v>
      </c>
      <c r="B108" s="63"/>
      <c r="C108" s="64" t="s">
        <v>46</v>
      </c>
      <c r="D108" s="285">
        <f>'Proposed Rates'!H145</f>
        <v>0</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hidden="1" customHeight="1">
      <c r="A109" s="62" t="s">
        <v>67</v>
      </c>
      <c r="B109" s="63"/>
      <c r="C109" s="64" t="s">
        <v>46</v>
      </c>
      <c r="D109" s="285">
        <f>'Proposed Rates'!H158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5">
        <f>'Proposed Rates'!H185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68</v>
      </c>
      <c r="B111" s="63"/>
      <c r="C111" s="64" t="s">
        <v>66</v>
      </c>
      <c r="D111" s="285">
        <f>'Proposed Rates'!H186</f>
        <v>0.77839999999999998</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2" customHeight="1">
      <c r="A112" s="62" t="s">
        <v>50</v>
      </c>
      <c r="B112" s="63"/>
      <c r="C112" s="64" t="s">
        <v>66</v>
      </c>
      <c r="D112" s="285">
        <f>'Proposed Rates'!H200</f>
        <v>2.5918000000000001</v>
      </c>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2" customHeight="1">
      <c r="A113" s="62" t="s">
        <v>69</v>
      </c>
      <c r="B113" s="63"/>
      <c r="C113" s="64" t="s">
        <v>66</v>
      </c>
      <c r="D113" s="285">
        <f>'Proposed Rates'!H201</f>
        <v>0.44059999999999999</v>
      </c>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1.25" customHeight="1">
      <c r="A114" s="64"/>
      <c r="B114" s="64"/>
      <c r="C114" s="64"/>
      <c r="D114" s="288"/>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1.25" customHeight="1">
      <c r="A115" s="70" t="s">
        <v>51</v>
      </c>
      <c r="B115" s="63"/>
      <c r="C115" s="64"/>
      <c r="D115" s="288"/>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1.25" customHeight="1">
      <c r="A116" s="59"/>
      <c r="B116" s="64"/>
      <c r="C116" s="64"/>
      <c r="D116" s="288"/>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52</v>
      </c>
      <c r="B117" s="63"/>
      <c r="C117" s="64" t="s">
        <v>46</v>
      </c>
      <c r="D117" s="288">
        <f>$D$34</f>
        <v>4.1000000000000003E-3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53</v>
      </c>
      <c r="B118" s="63"/>
      <c r="C118" s="64" t="s">
        <v>46</v>
      </c>
      <c r="D118" s="285">
        <f>'Proposed Rates'!H215-'2026'!D119</f>
        <v>5.9999999999999984E-4</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2" customHeight="1">
      <c r="A119" s="62" t="s">
        <v>54</v>
      </c>
      <c r="B119" s="63"/>
      <c r="C119" s="64" t="s">
        <v>46</v>
      </c>
      <c r="D119" s="285">
        <f>'Proposed Rates'!H228</f>
        <v>5.9999999999999995E-4</v>
      </c>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2" customHeight="1">
      <c r="A120" s="62" t="s">
        <v>55</v>
      </c>
      <c r="B120" s="63"/>
      <c r="C120" s="64" t="s">
        <v>41</v>
      </c>
      <c r="D120" s="285">
        <f>'Proposed Rates'!H242</f>
        <v>0.25</v>
      </c>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1.25" customHeight="1">
      <c r="A121" s="64"/>
      <c r="B121" s="63"/>
      <c r="C121" s="64"/>
      <c r="D121" s="69"/>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23.25" customHeight="1">
      <c r="A122" s="600" t="str">
        <f>$A$1</f>
        <v>Hydro Ottawa Limited</v>
      </c>
      <c r="B122" s="601"/>
      <c r="C122" s="601"/>
      <c r="D122" s="602"/>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8" customHeight="1">
      <c r="A123" s="603" t="str">
        <f>$A$2</f>
        <v>PROPOSED - TARIFF OF RATES AND CHARGES</v>
      </c>
      <c r="B123" s="601"/>
      <c r="C123" s="601"/>
      <c r="D123" s="602"/>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c r="A124" s="604" t="str">
        <f>$A$3</f>
        <v>Effective and Implementation Date January 1, 2028</v>
      </c>
      <c r="B124" s="601"/>
      <c r="C124" s="601"/>
      <c r="D124" s="602"/>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1.25" customHeight="1">
      <c r="A125" s="605" t="str">
        <f>$A$4</f>
        <v>This schedule supersedes and replaces all previously</v>
      </c>
      <c r="B125" s="601"/>
      <c r="C125" s="601"/>
      <c r="D125" s="602"/>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1.25" customHeight="1">
      <c r="A126" s="605" t="str">
        <f>$A$5</f>
        <v>approved schedules of Rates, Charges and Loss Factors</v>
      </c>
      <c r="B126" s="601"/>
      <c r="C126" s="601"/>
      <c r="D126" s="602"/>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1.25" customHeight="1">
      <c r="A127" s="606" t="str">
        <f>$A$6</f>
        <v>EB-2024-0115</v>
      </c>
      <c r="B127" s="601"/>
      <c r="C127" s="601"/>
      <c r="D127" s="602"/>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8.75" customHeight="1">
      <c r="A128" s="607" t="s">
        <v>70</v>
      </c>
      <c r="B128" s="601"/>
      <c r="C128" s="601"/>
      <c r="D128" s="602"/>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ht="48" customHeight="1">
      <c r="A129" s="608" t="s">
        <v>71</v>
      </c>
      <c r="B129" s="601"/>
      <c r="C129" s="601"/>
      <c r="D129" s="602"/>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4"/>
      <c r="B130" s="54"/>
      <c r="C130" s="54"/>
      <c r="D130" s="55"/>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1.25" customHeight="1">
      <c r="A131" s="609" t="s">
        <v>34</v>
      </c>
      <c r="B131" s="601"/>
      <c r="C131" s="601"/>
      <c r="D131" s="602"/>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6"/>
      <c r="B132" s="57"/>
      <c r="C132" s="57"/>
      <c r="D132" s="58"/>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36" customHeight="1">
      <c r="A133" s="608" t="s">
        <v>35</v>
      </c>
      <c r="B133" s="601"/>
      <c r="C133" s="601"/>
      <c r="D133" s="602"/>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8" t="s">
        <v>72</v>
      </c>
      <c r="B135" s="601"/>
      <c r="C135" s="601"/>
      <c r="D135" s="602"/>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48" customHeight="1">
      <c r="A137" s="608" t="s">
        <v>37</v>
      </c>
      <c r="B137" s="601"/>
      <c r="C137" s="601"/>
      <c r="D137" s="602"/>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6.75" customHeight="1">
      <c r="A138" s="54"/>
      <c r="B138" s="54"/>
      <c r="C138" s="54"/>
      <c r="D138" s="55"/>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96" customHeight="1">
      <c r="A139" s="608" t="s">
        <v>63</v>
      </c>
      <c r="B139" s="601"/>
      <c r="C139" s="601"/>
      <c r="D139" s="602"/>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96" customHeight="1">
      <c r="A140" s="608" t="s">
        <v>64</v>
      </c>
      <c r="B140" s="601"/>
      <c r="C140" s="601"/>
      <c r="D140" s="602"/>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36" customHeight="1">
      <c r="A141" s="608" t="s">
        <v>38</v>
      </c>
      <c r="B141" s="601"/>
      <c r="C141" s="601"/>
      <c r="D141" s="602"/>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24" customHeight="1">
      <c r="A142" s="611" t="s">
        <v>65</v>
      </c>
      <c r="B142" s="601"/>
      <c r="C142" s="601"/>
      <c r="D142" s="602"/>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74"/>
      <c r="B143" s="74"/>
      <c r="C143" s="74"/>
      <c r="D143" s="75"/>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 customHeight="1">
      <c r="A144" s="610" t="s">
        <v>39</v>
      </c>
      <c r="B144" s="601"/>
      <c r="C144" s="601"/>
      <c r="D144" s="602"/>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6.75" customHeight="1">
      <c r="A145" s="59"/>
      <c r="B145" s="60"/>
      <c r="C145" s="60"/>
      <c r="D145" s="61"/>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2" customHeight="1">
      <c r="A146" s="62" t="s">
        <v>40</v>
      </c>
      <c r="B146" s="63"/>
      <c r="C146" s="64" t="s">
        <v>41</v>
      </c>
      <c r="D146" s="284">
        <f>'Proposed Rates'!H11</f>
        <v>4126.75</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2" customHeight="1">
      <c r="A147" s="62" t="s">
        <v>59</v>
      </c>
      <c r="B147" s="63"/>
      <c r="C147" s="64" t="s">
        <v>66</v>
      </c>
      <c r="D147" s="285">
        <f>'Proposed Rates'!H24</f>
        <v>8.8402999999999992</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2" customHeight="1">
      <c r="A148" s="62" t="s">
        <v>45</v>
      </c>
      <c r="B148" s="63"/>
      <c r="C148" s="64" t="s">
        <v>66</v>
      </c>
      <c r="D148" s="287">
        <f>'Proposed Rates'!H267</f>
        <v>2.402E-2</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2" hidden="1" customHeight="1">
      <c r="A149" s="62" t="s">
        <v>47</v>
      </c>
      <c r="B149" s="63"/>
      <c r="C149" s="64" t="s">
        <v>66</v>
      </c>
      <c r="D149" s="285">
        <f>'Proposed Rates'!H40</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2" hidden="1" customHeight="1">
      <c r="A150" s="62" t="s">
        <v>43</v>
      </c>
      <c r="B150" s="63"/>
      <c r="C150" s="64" t="s">
        <v>66</v>
      </c>
      <c r="D150" s="285">
        <f>'Proposed Rates'!H67</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2" hidden="1" customHeight="1">
      <c r="A151" s="62" t="s">
        <v>42</v>
      </c>
      <c r="B151" s="63"/>
      <c r="C151" s="64" t="s">
        <v>66</v>
      </c>
      <c r="D151" s="285">
        <f>'Proposed Rates'!H93</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2" hidden="1" customHeight="1">
      <c r="A152" s="62" t="s">
        <v>48</v>
      </c>
      <c r="B152" s="63"/>
      <c r="C152" s="64" t="s">
        <v>46</v>
      </c>
      <c r="D152" s="285">
        <f>'Proposed Rates'!H145</f>
        <v>0</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2" hidden="1" customHeight="1">
      <c r="A153" s="62" t="s">
        <v>67</v>
      </c>
      <c r="B153" s="63"/>
      <c r="C153" s="64" t="s">
        <v>46</v>
      </c>
      <c r="D153" s="285">
        <f>'Proposed Rates'!H159</f>
        <v>0</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2" customHeight="1">
      <c r="A154" s="62" t="s">
        <v>49</v>
      </c>
      <c r="B154" s="63"/>
      <c r="C154" s="64" t="s">
        <v>66</v>
      </c>
      <c r="D154" s="285">
        <f>'Proposed Rates'!H187</f>
        <v>4.5423999999999998</v>
      </c>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2" customHeight="1">
      <c r="A155" s="62" t="s">
        <v>68</v>
      </c>
      <c r="B155" s="63"/>
      <c r="C155" s="64" t="s">
        <v>66</v>
      </c>
      <c r="D155" s="285">
        <f>'Proposed Rates'!H188</f>
        <v>0.7722</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2" customHeight="1">
      <c r="A156" s="62" t="s">
        <v>50</v>
      </c>
      <c r="B156" s="63"/>
      <c r="C156" s="64" t="s">
        <v>66</v>
      </c>
      <c r="D156" s="285">
        <f>'Proposed Rates'!H202</f>
        <v>2.5712000000000002</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2" customHeight="1">
      <c r="A157" s="62" t="s">
        <v>69</v>
      </c>
      <c r="B157" s="63"/>
      <c r="C157" s="64" t="s">
        <v>66</v>
      </c>
      <c r="D157" s="285">
        <f>'Proposed Rates'!H203</f>
        <v>0.43709999999999999</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3.75" customHeight="1">
      <c r="A158" s="64"/>
      <c r="B158" s="64"/>
      <c r="C158" s="64"/>
      <c r="D158" s="288"/>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1.25" customHeight="1">
      <c r="A159" s="70" t="s">
        <v>51</v>
      </c>
      <c r="B159" s="63"/>
      <c r="C159" s="64"/>
      <c r="D159" s="288"/>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3.75" customHeight="1">
      <c r="A160" s="59"/>
      <c r="B160" s="64"/>
      <c r="C160" s="64"/>
      <c r="D160" s="288"/>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2" customHeight="1">
      <c r="A161" s="62" t="s">
        <v>52</v>
      </c>
      <c r="B161" s="63"/>
      <c r="C161" s="64" t="s">
        <v>46</v>
      </c>
      <c r="D161" s="288">
        <f>$D$34</f>
        <v>4.1000000000000003E-3</v>
      </c>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2" customHeight="1">
      <c r="A162" s="62" t="s">
        <v>53</v>
      </c>
      <c r="B162" s="63"/>
      <c r="C162" s="64" t="s">
        <v>46</v>
      </c>
      <c r="D162" s="285">
        <f>'Proposed Rates'!H216-'2026'!D163</f>
        <v>5.9999999999999984E-4</v>
      </c>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2" customHeight="1">
      <c r="A163" s="62" t="s">
        <v>54</v>
      </c>
      <c r="B163" s="63"/>
      <c r="C163" s="64" t="s">
        <v>46</v>
      </c>
      <c r="D163" s="285">
        <f>'Proposed Rates'!H229</f>
        <v>5.9999999999999995E-4</v>
      </c>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2" customHeight="1">
      <c r="A164" s="62" t="s">
        <v>55</v>
      </c>
      <c r="B164" s="63"/>
      <c r="C164" s="64" t="s">
        <v>41</v>
      </c>
      <c r="D164" s="285">
        <f>'Proposed Rates'!H243</f>
        <v>0.25</v>
      </c>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9" customHeight="1">
      <c r="A165" s="64"/>
      <c r="B165" s="63"/>
      <c r="C165" s="64"/>
      <c r="D165" s="69"/>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23.25" customHeight="1">
      <c r="A166" s="600" t="str">
        <f>$A$1</f>
        <v>Hydro Ottawa Limited</v>
      </c>
      <c r="B166" s="601"/>
      <c r="C166" s="601"/>
      <c r="D166" s="602"/>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8" customHeight="1">
      <c r="A167" s="603" t="str">
        <f>$A$2</f>
        <v>PROPOSED - TARIFF OF RATES AND CHARGES</v>
      </c>
      <c r="B167" s="601"/>
      <c r="C167" s="601"/>
      <c r="D167" s="602"/>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c r="A168" s="604" t="str">
        <f>$A$3</f>
        <v>Effective and Implementation Date January 1, 2028</v>
      </c>
      <c r="B168" s="601"/>
      <c r="C168" s="601"/>
      <c r="D168" s="602"/>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1.25" customHeight="1">
      <c r="A169" s="605" t="str">
        <f>$A$4</f>
        <v>This schedule supersedes and replaces all previously</v>
      </c>
      <c r="B169" s="601"/>
      <c r="C169" s="601"/>
      <c r="D169" s="602"/>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1.25" customHeight="1">
      <c r="A170" s="605" t="str">
        <f>$A$5</f>
        <v>approved schedules of Rates, Charges and Loss Factors</v>
      </c>
      <c r="B170" s="601"/>
      <c r="C170" s="601"/>
      <c r="D170" s="602"/>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6" t="str">
        <f>$A$6</f>
        <v>EB-2024-0115</v>
      </c>
      <c r="B171" s="601"/>
      <c r="C171" s="601"/>
      <c r="D171" s="602"/>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8.75" customHeight="1">
      <c r="A172" s="607" t="s">
        <v>73</v>
      </c>
      <c r="B172" s="601"/>
      <c r="C172" s="601"/>
      <c r="D172" s="602"/>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ht="48" customHeight="1">
      <c r="A173" s="608" t="s">
        <v>74</v>
      </c>
      <c r="B173" s="601"/>
      <c r="C173" s="601"/>
      <c r="D173" s="602"/>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1.25" customHeight="1">
      <c r="A175" s="609" t="s">
        <v>34</v>
      </c>
      <c r="B175" s="601"/>
      <c r="C175" s="601"/>
      <c r="D175" s="602"/>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6"/>
      <c r="B176" s="57"/>
      <c r="C176" s="57"/>
      <c r="D176" s="58"/>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36" customHeight="1">
      <c r="A177" s="608" t="s">
        <v>35</v>
      </c>
      <c r="B177" s="601"/>
      <c r="C177" s="601"/>
      <c r="D177" s="602"/>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48" customHeight="1">
      <c r="A179" s="608" t="s">
        <v>75</v>
      </c>
      <c r="B179" s="601"/>
      <c r="C179" s="601"/>
      <c r="D179" s="602"/>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6.75" customHeight="1">
      <c r="A180" s="54"/>
      <c r="B180" s="54"/>
      <c r="C180" s="54"/>
      <c r="D180" s="55"/>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48" customHeight="1">
      <c r="A181" s="608" t="s">
        <v>37</v>
      </c>
      <c r="B181" s="601"/>
      <c r="C181" s="601"/>
      <c r="D181" s="602"/>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6.75" customHeight="1">
      <c r="A182" s="54"/>
      <c r="B182" s="54"/>
      <c r="C182" s="54"/>
      <c r="D182" s="55"/>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96" customHeight="1">
      <c r="A183" s="608" t="s">
        <v>63</v>
      </c>
      <c r="B183" s="601"/>
      <c r="C183" s="601"/>
      <c r="D183" s="602"/>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96" customHeight="1">
      <c r="A184" s="608" t="s">
        <v>64</v>
      </c>
      <c r="B184" s="601"/>
      <c r="C184" s="601"/>
      <c r="D184" s="602"/>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36" customHeight="1">
      <c r="A185" s="608" t="s">
        <v>38</v>
      </c>
      <c r="B185" s="601"/>
      <c r="C185" s="601"/>
      <c r="D185" s="602"/>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24" customHeight="1">
      <c r="A186" s="611" t="s">
        <v>65</v>
      </c>
      <c r="B186" s="601"/>
      <c r="C186" s="601"/>
      <c r="D186" s="602"/>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6.75" customHeight="1">
      <c r="A187" s="74"/>
      <c r="B187" s="74"/>
      <c r="C187" s="74"/>
      <c r="D187" s="75"/>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 customHeight="1">
      <c r="A188" s="610" t="s">
        <v>39</v>
      </c>
      <c r="B188" s="601"/>
      <c r="C188" s="601"/>
      <c r="D188" s="602"/>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6" customHeight="1">
      <c r="A189" s="59"/>
      <c r="B189" s="60"/>
      <c r="C189" s="60"/>
      <c r="D189" s="61"/>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2" customHeight="1">
      <c r="A190" s="62" t="s">
        <v>40</v>
      </c>
      <c r="B190" s="63"/>
      <c r="C190" s="64" t="s">
        <v>41</v>
      </c>
      <c r="D190" s="284">
        <f>'Proposed Rates'!H12</f>
        <v>14946.93</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2" customHeight="1">
      <c r="A191" s="62" t="s">
        <v>59</v>
      </c>
      <c r="B191" s="63"/>
      <c r="C191" s="64" t="s">
        <v>66</v>
      </c>
      <c r="D191" s="285">
        <f>'Proposed Rates'!H25</f>
        <v>9.6370000000000005</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2" customHeight="1">
      <c r="A192" s="62" t="s">
        <v>45</v>
      </c>
      <c r="B192" s="63"/>
      <c r="C192" s="64" t="s">
        <v>66</v>
      </c>
      <c r="D192" s="287">
        <f>'Proposed Rates'!H268</f>
        <v>2.8209999999999999E-2</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2" hidden="1" customHeight="1">
      <c r="A193" s="62" t="s">
        <v>47</v>
      </c>
      <c r="B193" s="63"/>
      <c r="C193" s="64" t="s">
        <v>66</v>
      </c>
      <c r="D193" s="285">
        <f>'Proposed Rates'!H41</f>
        <v>0</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2" hidden="1" customHeight="1">
      <c r="A194" s="62" t="s">
        <v>43</v>
      </c>
      <c r="B194" s="63"/>
      <c r="C194" s="64" t="s">
        <v>66</v>
      </c>
      <c r="D194" s="285">
        <f>'Proposed Rates'!H68</f>
        <v>0</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2" hidden="1" customHeight="1">
      <c r="A195" s="62" t="s">
        <v>42</v>
      </c>
      <c r="B195" s="63"/>
      <c r="C195" s="64" t="s">
        <v>66</v>
      </c>
      <c r="D195" s="285">
        <f>'Proposed Rates'!H94</f>
        <v>0</v>
      </c>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2" hidden="1" customHeight="1">
      <c r="A196" s="62" t="s">
        <v>48</v>
      </c>
      <c r="B196" s="63"/>
      <c r="C196" s="64" t="s">
        <v>46</v>
      </c>
      <c r="D196" s="285">
        <f>'Proposed Rates'!H146</f>
        <v>0</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2" customHeight="1">
      <c r="A197" s="62" t="s">
        <v>49</v>
      </c>
      <c r="B197" s="63"/>
      <c r="C197" s="64" t="s">
        <v>66</v>
      </c>
      <c r="D197" s="285">
        <f>'Proposed Rates'!H189</f>
        <v>5.3339999999999996</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2" customHeight="1">
      <c r="A198" s="62" t="s">
        <v>50</v>
      </c>
      <c r="B198" s="63"/>
      <c r="C198" s="64" t="s">
        <v>66</v>
      </c>
      <c r="D198" s="285">
        <f>'Proposed Rates'!H204</f>
        <v>3.0192999999999999</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4.5" customHeight="1">
      <c r="A199" s="64"/>
      <c r="B199" s="64"/>
      <c r="C199" s="64"/>
      <c r="D199" s="288"/>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1.25" customHeight="1">
      <c r="A200" s="70" t="s">
        <v>51</v>
      </c>
      <c r="B200" s="63"/>
      <c r="C200" s="64"/>
      <c r="D200" s="288"/>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5.25" customHeight="1">
      <c r="A201" s="59"/>
      <c r="B201" s="64"/>
      <c r="C201" s="64"/>
      <c r="D201" s="288"/>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2" customHeight="1">
      <c r="A202" s="62" t="s">
        <v>52</v>
      </c>
      <c r="B202" s="63"/>
      <c r="C202" s="64" t="s">
        <v>46</v>
      </c>
      <c r="D202" s="288">
        <f>$D$34</f>
        <v>4.1000000000000003E-3</v>
      </c>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2" customHeight="1">
      <c r="A203" s="62" t="s">
        <v>53</v>
      </c>
      <c r="B203" s="63"/>
      <c r="C203" s="64" t="s">
        <v>46</v>
      </c>
      <c r="D203" s="285">
        <f>'Proposed Rates'!G217-'2026'!H205</f>
        <v>4.7000000000000002E-3</v>
      </c>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2" customHeight="1">
      <c r="A204" s="62" t="s">
        <v>54</v>
      </c>
      <c r="B204" s="63"/>
      <c r="C204" s="64" t="s">
        <v>46</v>
      </c>
      <c r="D204" s="285">
        <f>'Proposed Rates'!H230</f>
        <v>5.9999999999999995E-4</v>
      </c>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2" customHeight="1">
      <c r="A205" s="62" t="s">
        <v>55</v>
      </c>
      <c r="B205" s="63"/>
      <c r="C205" s="64" t="s">
        <v>41</v>
      </c>
      <c r="D205" s="285">
        <f>'Proposed Rates'!H244</f>
        <v>0.25</v>
      </c>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3.5" customHeight="1">
      <c r="A206" s="85"/>
      <c r="B206" s="63"/>
      <c r="C206" s="64"/>
      <c r="D206" s="69"/>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23.25" customHeight="1">
      <c r="A207" s="600" t="str">
        <f>$A$1</f>
        <v>Hydro Ottawa Limited</v>
      </c>
      <c r="B207" s="601"/>
      <c r="C207" s="601"/>
      <c r="D207" s="602"/>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8" customHeight="1">
      <c r="A208" s="603" t="str">
        <f>$A$2</f>
        <v>PROPOSED - TARIFF OF RATES AND CHARGES</v>
      </c>
      <c r="B208" s="601"/>
      <c r="C208" s="601"/>
      <c r="D208" s="602"/>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customHeight="1">
      <c r="A209" s="604" t="str">
        <f>$A$3</f>
        <v>Effective and Implementation Date January 1, 2028</v>
      </c>
      <c r="B209" s="601"/>
      <c r="C209" s="601"/>
      <c r="D209" s="602"/>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1.25" customHeight="1">
      <c r="A210" s="605" t="str">
        <f>$A$4</f>
        <v>This schedule supersedes and replaces all previously</v>
      </c>
      <c r="B210" s="601"/>
      <c r="C210" s="601"/>
      <c r="D210" s="602"/>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1.25" customHeight="1">
      <c r="A211" s="605" t="str">
        <f>$A$5</f>
        <v>approved schedules of Rates, Charges and Loss Factors</v>
      </c>
      <c r="B211" s="601"/>
      <c r="C211" s="601"/>
      <c r="D211" s="602"/>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1.25" customHeight="1">
      <c r="A212" s="606" t="str">
        <f>$A$6</f>
        <v>EB-2024-0115</v>
      </c>
      <c r="B212" s="601"/>
      <c r="C212" s="601"/>
      <c r="D212" s="602"/>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8.75" customHeight="1">
      <c r="A213" s="607" t="s">
        <v>76</v>
      </c>
      <c r="B213" s="601"/>
      <c r="C213" s="601"/>
      <c r="D213" s="602"/>
      <c r="E213" s="71"/>
      <c r="F213" s="71"/>
      <c r="G213" s="71"/>
      <c r="H213" s="71"/>
      <c r="I213" s="71"/>
      <c r="J213" s="71"/>
      <c r="K213" s="71"/>
      <c r="L213" s="71"/>
      <c r="M213" s="71"/>
      <c r="N213" s="71"/>
      <c r="O213" s="71"/>
      <c r="P213" s="71"/>
      <c r="Q213" s="71"/>
      <c r="R213" s="71"/>
      <c r="S213" s="71"/>
      <c r="T213" s="71"/>
      <c r="U213" s="71"/>
      <c r="V213" s="71"/>
      <c r="W213" s="71"/>
      <c r="X213" s="71"/>
      <c r="Y213" s="71"/>
      <c r="Z213" s="71"/>
    </row>
    <row r="214" spans="1:26" ht="84" customHeight="1">
      <c r="A214" s="608" t="s">
        <v>77</v>
      </c>
      <c r="B214" s="601"/>
      <c r="C214" s="601"/>
      <c r="D214" s="602"/>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1.25" customHeight="1">
      <c r="A216" s="609" t="s">
        <v>34</v>
      </c>
      <c r="B216" s="601"/>
      <c r="C216" s="601"/>
      <c r="D216" s="602"/>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6"/>
      <c r="B217" s="57"/>
      <c r="C217" s="57"/>
      <c r="D217" s="58"/>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36" customHeight="1">
      <c r="A218" s="608" t="s">
        <v>35</v>
      </c>
      <c r="B218" s="601"/>
      <c r="C218" s="601"/>
      <c r="D218" s="602"/>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48" customHeight="1">
      <c r="A220" s="608" t="s">
        <v>36</v>
      </c>
      <c r="B220" s="601"/>
      <c r="C220" s="601"/>
      <c r="D220" s="602"/>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4"/>
      <c r="B221" s="54"/>
      <c r="C221" s="54"/>
      <c r="D221" s="55"/>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48" customHeight="1">
      <c r="A222" s="608" t="s">
        <v>37</v>
      </c>
      <c r="B222" s="601"/>
      <c r="C222" s="601"/>
      <c r="D222" s="602"/>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6.75" customHeight="1">
      <c r="A223" s="54"/>
      <c r="B223" s="54"/>
      <c r="C223" s="54"/>
      <c r="D223" s="55"/>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36" customHeight="1">
      <c r="A224" s="608" t="s">
        <v>38</v>
      </c>
      <c r="B224" s="601"/>
      <c r="C224" s="601"/>
      <c r="D224" s="602"/>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6.75" customHeight="1">
      <c r="A225" s="54"/>
      <c r="B225" s="54"/>
      <c r="C225" s="54"/>
      <c r="D225" s="55"/>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 customHeight="1">
      <c r="A226" s="70" t="s">
        <v>39</v>
      </c>
      <c r="B226" s="63"/>
      <c r="C226" s="63"/>
      <c r="D226" s="6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6.75" customHeight="1">
      <c r="A227" s="59"/>
      <c r="B227" s="60"/>
      <c r="C227" s="60"/>
      <c r="D227" s="61"/>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2" customHeight="1">
      <c r="A228" s="62" t="s">
        <v>78</v>
      </c>
      <c r="B228" s="63"/>
      <c r="C228" s="64" t="s">
        <v>41</v>
      </c>
      <c r="D228" s="284">
        <f>'Proposed Rates'!H15</f>
        <v>9.27</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2" customHeight="1">
      <c r="A229" s="62" t="s">
        <v>59</v>
      </c>
      <c r="B229" s="63"/>
      <c r="C229" s="64" t="s">
        <v>46</v>
      </c>
      <c r="D229" s="285">
        <f>'Proposed Rates'!H28</f>
        <v>4.4200000000000003E-2</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2" customHeight="1">
      <c r="A230" s="62" t="s">
        <v>45</v>
      </c>
      <c r="B230" s="63"/>
      <c r="C230" s="64" t="s">
        <v>46</v>
      </c>
      <c r="D230" s="287">
        <f>'Proposed Rates'!H271</f>
        <v>4.0000000000000003E-5</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2" hidden="1" customHeight="1">
      <c r="A231" s="62" t="s">
        <v>47</v>
      </c>
      <c r="B231" s="63"/>
      <c r="C231" s="64" t="s">
        <v>46</v>
      </c>
      <c r="D231" s="285">
        <f>'Proposed Rates'!H44</f>
        <v>0</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2" hidden="1" customHeight="1">
      <c r="A232" s="62" t="s">
        <v>43</v>
      </c>
      <c r="B232" s="63"/>
      <c r="C232" s="64" t="s">
        <v>46</v>
      </c>
      <c r="D232" s="285">
        <f>'Proposed Rates'!H71</f>
        <v>0</v>
      </c>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2" hidden="1" customHeight="1">
      <c r="A233" s="62" t="s">
        <v>42</v>
      </c>
      <c r="B233" s="63"/>
      <c r="C233" s="64" t="s">
        <v>46</v>
      </c>
      <c r="D233" s="285">
        <f>'Proposed Rates'!H97</f>
        <v>0</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2" customHeight="1">
      <c r="A234" s="62" t="s">
        <v>49</v>
      </c>
      <c r="B234" s="63"/>
      <c r="C234" s="64" t="s">
        <v>46</v>
      </c>
      <c r="D234" s="285">
        <f>'Proposed Rates'!H192</f>
        <v>7.4999999999999997E-3</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2" customHeight="1">
      <c r="A235" s="62" t="s">
        <v>50</v>
      </c>
      <c r="B235" s="63"/>
      <c r="C235" s="64" t="s">
        <v>46</v>
      </c>
      <c r="D235" s="285">
        <f>'Proposed Rates'!H207</f>
        <v>4.3E-3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3" customHeight="1">
      <c r="A236" s="64"/>
      <c r="B236" s="64"/>
      <c r="C236" s="64"/>
      <c r="D236" s="288"/>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1.25" customHeight="1">
      <c r="A237" s="70" t="s">
        <v>51</v>
      </c>
      <c r="B237" s="63"/>
      <c r="C237" s="64"/>
      <c r="D237" s="288"/>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3.75" customHeight="1">
      <c r="A238" s="59"/>
      <c r="B238" s="64"/>
      <c r="C238" s="64"/>
      <c r="D238" s="288"/>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2" customHeight="1">
      <c r="A239" s="62" t="s">
        <v>52</v>
      </c>
      <c r="B239" s="63"/>
      <c r="C239" s="64" t="s">
        <v>46</v>
      </c>
      <c r="D239" s="288">
        <f>$D$34</f>
        <v>4.1000000000000003E-3</v>
      </c>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2" customHeight="1">
      <c r="A240" s="62" t="s">
        <v>53</v>
      </c>
      <c r="B240" s="63"/>
      <c r="C240" s="64" t="s">
        <v>46</v>
      </c>
      <c r="D240" s="285">
        <f>'Proposed Rates'!H220-'2026'!D243</f>
        <v>5.9999999999999984E-4</v>
      </c>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2" customHeight="1">
      <c r="A241" s="62" t="s">
        <v>54</v>
      </c>
      <c r="B241" s="63"/>
      <c r="C241" s="64" t="s">
        <v>46</v>
      </c>
      <c r="D241" s="285">
        <f>'Proposed Rates'!H233</f>
        <v>5.9999999999999995E-4</v>
      </c>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2" customHeight="1">
      <c r="A242" s="62" t="s">
        <v>55</v>
      </c>
      <c r="B242" s="63"/>
      <c r="C242" s="64" t="s">
        <v>41</v>
      </c>
      <c r="D242" s="285">
        <f>'Proposed Rates'!H247</f>
        <v>0.25</v>
      </c>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1.25" customHeight="1">
      <c r="A243" s="62"/>
      <c r="B243" s="63"/>
      <c r="C243" s="64"/>
      <c r="D243" s="69"/>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23.25" customHeight="1">
      <c r="A244" s="600" t="str">
        <f>$A$1</f>
        <v>Hydro Ottawa Limited</v>
      </c>
      <c r="B244" s="601"/>
      <c r="C244" s="601"/>
      <c r="D244" s="602"/>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8" customHeight="1">
      <c r="A245" s="603" t="str">
        <f>$A$2</f>
        <v>PROPOSED - TARIFF OF RATES AND CHARGES</v>
      </c>
      <c r="B245" s="601"/>
      <c r="C245" s="601"/>
      <c r="D245" s="602"/>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75" customHeight="1">
      <c r="A246" s="604" t="str">
        <f>$A$3</f>
        <v>Effective and Implementation Date January 1, 2028</v>
      </c>
      <c r="B246" s="601"/>
      <c r="C246" s="601"/>
      <c r="D246" s="602"/>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1.25" customHeight="1">
      <c r="A247" s="605" t="str">
        <f>$A$4</f>
        <v>This schedule supersedes and replaces all previously</v>
      </c>
      <c r="B247" s="601"/>
      <c r="C247" s="601"/>
      <c r="D247" s="602"/>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1.25" customHeight="1">
      <c r="A248" s="605" t="str">
        <f>$A$5</f>
        <v>approved schedules of Rates, Charges and Loss Factors</v>
      </c>
      <c r="B248" s="601"/>
      <c r="C248" s="601"/>
      <c r="D248" s="602"/>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1.25" customHeight="1">
      <c r="A249" s="606" t="str">
        <f>$A$6</f>
        <v>EB-2024-0115</v>
      </c>
      <c r="B249" s="601"/>
      <c r="C249" s="601"/>
      <c r="D249" s="602"/>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8.75" customHeight="1">
      <c r="A250" s="607" t="s">
        <v>79</v>
      </c>
      <c r="B250" s="601"/>
      <c r="C250" s="601"/>
      <c r="D250" s="602"/>
      <c r="E250" s="71"/>
      <c r="F250" s="71"/>
      <c r="G250" s="71"/>
      <c r="H250" s="71"/>
      <c r="I250" s="71"/>
      <c r="J250" s="71"/>
      <c r="K250" s="71"/>
      <c r="L250" s="71"/>
      <c r="M250" s="71"/>
      <c r="N250" s="71"/>
      <c r="O250" s="71"/>
      <c r="P250" s="71"/>
      <c r="Q250" s="71"/>
      <c r="R250" s="71"/>
      <c r="S250" s="71"/>
      <c r="T250" s="71"/>
      <c r="U250" s="71"/>
      <c r="V250" s="71"/>
      <c r="W250" s="71"/>
      <c r="X250" s="71"/>
      <c r="Y250" s="71"/>
      <c r="Z250" s="71"/>
    </row>
    <row r="251" spans="1:26" ht="36" customHeight="1">
      <c r="A251" s="608" t="s">
        <v>80</v>
      </c>
      <c r="B251" s="601"/>
      <c r="C251" s="601"/>
      <c r="D251" s="602"/>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1.25" customHeight="1">
      <c r="A253" s="609" t="s">
        <v>34</v>
      </c>
      <c r="B253" s="601"/>
      <c r="C253" s="601"/>
      <c r="D253" s="602"/>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6"/>
      <c r="B254" s="57"/>
      <c r="C254" s="57"/>
      <c r="D254" s="58"/>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36" customHeight="1">
      <c r="A255" s="608" t="s">
        <v>35</v>
      </c>
      <c r="B255" s="601"/>
      <c r="C255" s="601"/>
      <c r="D255" s="602"/>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48" customHeight="1">
      <c r="A257" s="608" t="s">
        <v>36</v>
      </c>
      <c r="B257" s="601"/>
      <c r="C257" s="601"/>
      <c r="D257" s="602"/>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24" customHeight="1">
      <c r="A259" s="608" t="s">
        <v>81</v>
      </c>
      <c r="B259" s="601"/>
      <c r="C259" s="601"/>
      <c r="D259" s="602"/>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4"/>
      <c r="B260" s="54"/>
      <c r="C260" s="54"/>
      <c r="D260" s="55"/>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36" customHeight="1">
      <c r="A261" s="608" t="s">
        <v>82</v>
      </c>
      <c r="B261" s="601"/>
      <c r="C261" s="601"/>
      <c r="D261" s="602"/>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6.75" customHeight="1">
      <c r="A262" s="54"/>
      <c r="B262" s="54"/>
      <c r="C262" s="54"/>
      <c r="D262" s="55"/>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 customHeight="1">
      <c r="A263" s="610" t="s">
        <v>83</v>
      </c>
      <c r="B263" s="601"/>
      <c r="C263" s="601"/>
      <c r="D263" s="602"/>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6.75" customHeight="1">
      <c r="A264" s="59"/>
      <c r="B264" s="60"/>
      <c r="C264" s="60"/>
      <c r="D264" s="61"/>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1.25" customHeight="1">
      <c r="A265" s="290" t="s">
        <v>40</v>
      </c>
      <c r="B265" s="80"/>
      <c r="C265" s="291" t="s">
        <v>41</v>
      </c>
      <c r="D265" s="292">
        <f>'Proposed Rates'!H16</f>
        <v>186.89</v>
      </c>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1.25" customHeight="1">
      <c r="A266" s="290" t="s">
        <v>84</v>
      </c>
      <c r="B266" s="80"/>
      <c r="C266" s="291" t="s">
        <v>66</v>
      </c>
      <c r="D266" s="293">
        <f>'Proposed Rates'!H29</f>
        <v>4.5243000000000002</v>
      </c>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1.25" customHeight="1">
      <c r="A267" s="290" t="s">
        <v>85</v>
      </c>
      <c r="B267" s="80"/>
      <c r="C267" s="291" t="s">
        <v>66</v>
      </c>
      <c r="D267" s="293">
        <f>'Proposed Rates'!H30</f>
        <v>4.4180999999999999</v>
      </c>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1.25" customHeight="1">
      <c r="A268" s="290" t="s">
        <v>86</v>
      </c>
      <c r="B268" s="80"/>
      <c r="C268" s="291" t="s">
        <v>66</v>
      </c>
      <c r="D268" s="293">
        <f>'Proposed Rates'!H31</f>
        <v>4.8182</v>
      </c>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9.5" customHeight="1">
      <c r="A269" s="85"/>
      <c r="B269" s="63"/>
      <c r="C269" s="64"/>
      <c r="D269" s="288"/>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23.25" customHeight="1">
      <c r="A270" s="600" t="str">
        <f>$A$1</f>
        <v>Hydro Ottawa Limited</v>
      </c>
      <c r="B270" s="601"/>
      <c r="C270" s="601"/>
      <c r="D270" s="602"/>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8" customHeight="1">
      <c r="A271" s="603" t="str">
        <f>$A$2</f>
        <v>PROPOSED - TARIFF OF RATES AND CHARGES</v>
      </c>
      <c r="B271" s="601"/>
      <c r="C271" s="601"/>
      <c r="D271" s="602"/>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75" customHeight="1">
      <c r="A272" s="604" t="str">
        <f>$A$3</f>
        <v>Effective and Implementation Date January 1, 2028</v>
      </c>
      <c r="B272" s="601"/>
      <c r="C272" s="601"/>
      <c r="D272" s="602"/>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1.25" customHeight="1">
      <c r="A273" s="605" t="str">
        <f>$A$4</f>
        <v>This schedule supersedes and replaces all previously</v>
      </c>
      <c r="B273" s="601"/>
      <c r="C273" s="601"/>
      <c r="D273" s="602"/>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1.25" customHeight="1">
      <c r="A274" s="605" t="str">
        <f>$A$5</f>
        <v>approved schedules of Rates, Charges and Loss Factors</v>
      </c>
      <c r="B274" s="601"/>
      <c r="C274" s="601"/>
      <c r="D274" s="602"/>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1.25" customHeight="1">
      <c r="A275" s="606" t="str">
        <f>$A$6</f>
        <v>EB-2024-0115</v>
      </c>
      <c r="B275" s="601"/>
      <c r="C275" s="601"/>
      <c r="D275" s="602"/>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8.75" customHeight="1">
      <c r="A276" s="607" t="s">
        <v>87</v>
      </c>
      <c r="B276" s="601"/>
      <c r="C276" s="601"/>
      <c r="D276" s="602"/>
      <c r="E276" s="71"/>
      <c r="F276" s="71"/>
      <c r="G276" s="71"/>
      <c r="H276" s="71"/>
      <c r="I276" s="71"/>
      <c r="J276" s="71"/>
      <c r="K276" s="71"/>
      <c r="L276" s="71"/>
      <c r="M276" s="71"/>
      <c r="N276" s="71"/>
      <c r="O276" s="71"/>
      <c r="P276" s="71"/>
      <c r="Q276" s="71"/>
      <c r="R276" s="71"/>
      <c r="S276" s="71"/>
      <c r="T276" s="71"/>
      <c r="U276" s="71"/>
      <c r="V276" s="71"/>
      <c r="W276" s="71"/>
      <c r="X276" s="71"/>
      <c r="Y276" s="71"/>
      <c r="Z276" s="71"/>
    </row>
    <row r="277" spans="1:26" ht="36" customHeight="1">
      <c r="A277" s="608" t="s">
        <v>88</v>
      </c>
      <c r="B277" s="601"/>
      <c r="C277" s="601"/>
      <c r="D277" s="602"/>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1.25" customHeight="1">
      <c r="A279" s="609" t="s">
        <v>34</v>
      </c>
      <c r="B279" s="601"/>
      <c r="C279" s="601"/>
      <c r="D279" s="602"/>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6"/>
      <c r="B280" s="57"/>
      <c r="C280" s="57"/>
      <c r="D280" s="58"/>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36" customHeight="1">
      <c r="A281" s="608" t="s">
        <v>35</v>
      </c>
      <c r="B281" s="601"/>
      <c r="C281" s="601"/>
      <c r="D281" s="602"/>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48" customHeight="1">
      <c r="A283" s="608" t="s">
        <v>36</v>
      </c>
      <c r="B283" s="601"/>
      <c r="C283" s="601"/>
      <c r="D283" s="602"/>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48" customHeight="1">
      <c r="A285" s="608" t="s">
        <v>37</v>
      </c>
      <c r="B285" s="601"/>
      <c r="C285" s="601"/>
      <c r="D285" s="602"/>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4"/>
      <c r="B286" s="54"/>
      <c r="C286" s="54"/>
      <c r="D286" s="55"/>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36" customHeight="1">
      <c r="A287" s="608" t="s">
        <v>38</v>
      </c>
      <c r="B287" s="601"/>
      <c r="C287" s="601"/>
      <c r="D287" s="602"/>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6.75" customHeight="1">
      <c r="A288" s="54"/>
      <c r="B288" s="54"/>
      <c r="C288" s="54"/>
      <c r="D288" s="55"/>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 customHeight="1">
      <c r="A289" s="610" t="s">
        <v>39</v>
      </c>
      <c r="B289" s="601"/>
      <c r="C289" s="601"/>
      <c r="D289" s="602"/>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6.75" customHeight="1">
      <c r="A290" s="59"/>
      <c r="B290" s="60"/>
      <c r="C290" s="60"/>
      <c r="D290" s="61"/>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customHeight="1">
      <c r="A291" s="62" t="s">
        <v>78</v>
      </c>
      <c r="B291" s="63"/>
      <c r="C291" s="64" t="s">
        <v>41</v>
      </c>
      <c r="D291" s="284">
        <f>'Proposed Rates'!H14</f>
        <v>9.3000000000000007</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customHeight="1">
      <c r="A292" s="62" t="s">
        <v>59</v>
      </c>
      <c r="B292" s="63"/>
      <c r="C292" s="64" t="s">
        <v>66</v>
      </c>
      <c r="D292" s="285">
        <f>'Proposed Rates'!H27</f>
        <v>43.639699999999998</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0.5" customHeight="1">
      <c r="A293" s="62" t="s">
        <v>45</v>
      </c>
      <c r="B293" s="63"/>
      <c r="C293" s="64" t="s">
        <v>66</v>
      </c>
      <c r="D293" s="287">
        <f>'Proposed Rates'!H270</f>
        <v>4.5199999999999997E-3</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0.5" hidden="1" customHeight="1">
      <c r="A294" s="62" t="s">
        <v>47</v>
      </c>
      <c r="B294" s="63"/>
      <c r="C294" s="64" t="s">
        <v>66</v>
      </c>
      <c r="D294" s="285">
        <f>'Proposed Rates'!H43</f>
        <v>0</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0.5" hidden="1" customHeight="1">
      <c r="A295" s="62" t="s">
        <v>43</v>
      </c>
      <c r="B295" s="63"/>
      <c r="C295" s="64" t="s">
        <v>66</v>
      </c>
      <c r="D295" s="285">
        <f>'Proposed Rates'!H70</f>
        <v>0</v>
      </c>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0.5" hidden="1" customHeight="1">
      <c r="A296" s="62" t="s">
        <v>48</v>
      </c>
      <c r="B296" s="63"/>
      <c r="C296" s="64" t="s">
        <v>46</v>
      </c>
      <c r="D296" s="285">
        <f>'Proposed Rates'!H148</f>
        <v>0</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0.5" customHeight="1">
      <c r="A297" s="62" t="s">
        <v>49</v>
      </c>
      <c r="B297" s="63"/>
      <c r="C297" s="64" t="s">
        <v>66</v>
      </c>
      <c r="D297" s="285">
        <f>'Proposed Rates'!H191</f>
        <v>0.85450000000000004</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89" t="s">
        <v>50</v>
      </c>
      <c r="B298" s="63"/>
      <c r="C298" s="90" t="s">
        <v>66</v>
      </c>
      <c r="D298" s="294">
        <f>'Proposed Rates'!H206</f>
        <v>0.48370000000000002</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6" customHeight="1">
      <c r="A299" s="89"/>
      <c r="B299" s="63"/>
      <c r="C299" s="90"/>
      <c r="D299" s="295"/>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5.75" customHeight="1">
      <c r="A300" s="70" t="s">
        <v>51</v>
      </c>
      <c r="B300" s="63"/>
      <c r="C300" s="64"/>
      <c r="D300" s="288"/>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5.25" customHeight="1">
      <c r="A301" s="59"/>
      <c r="B301" s="64"/>
      <c r="C301" s="64"/>
      <c r="D301" s="288"/>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0.5" customHeight="1">
      <c r="A302" s="62" t="s">
        <v>52</v>
      </c>
      <c r="B302" s="63"/>
      <c r="C302" s="64" t="s">
        <v>46</v>
      </c>
      <c r="D302" s="288">
        <f>$D$34</f>
        <v>4.1000000000000003E-3</v>
      </c>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0.5" customHeight="1">
      <c r="A303" s="62" t="s">
        <v>53</v>
      </c>
      <c r="B303" s="63"/>
      <c r="C303" s="64" t="s">
        <v>46</v>
      </c>
      <c r="D303" s="285">
        <f>'Proposed Rates'!H219-'2026'!D307</f>
        <v>5.9999999999999984E-4</v>
      </c>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0.5" customHeight="1">
      <c r="A304" s="62" t="s">
        <v>54</v>
      </c>
      <c r="B304" s="63"/>
      <c r="C304" s="64" t="s">
        <v>46</v>
      </c>
      <c r="D304" s="285">
        <f>'Proposed Rates'!H232</f>
        <v>5.9999999999999995E-4</v>
      </c>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0.5" customHeight="1">
      <c r="A305" s="62" t="s">
        <v>55</v>
      </c>
      <c r="B305" s="63"/>
      <c r="C305" s="64" t="s">
        <v>41</v>
      </c>
      <c r="D305" s="285">
        <f>'Proposed Rates'!H246</f>
        <v>0.25</v>
      </c>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1.25" customHeight="1">
      <c r="A306" s="62"/>
      <c r="B306" s="63"/>
      <c r="C306" s="64"/>
      <c r="D306" s="69"/>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23.25" customHeight="1">
      <c r="A307" s="600" t="str">
        <f>$A$1</f>
        <v>Hydro Ottawa Limited</v>
      </c>
      <c r="B307" s="601"/>
      <c r="C307" s="601"/>
      <c r="D307" s="602"/>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8" customHeight="1">
      <c r="A308" s="603" t="str">
        <f>$A$2</f>
        <v>PROPOSED - TARIFF OF RATES AND CHARGES</v>
      </c>
      <c r="B308" s="601"/>
      <c r="C308" s="601"/>
      <c r="D308" s="602"/>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75" customHeight="1">
      <c r="A309" s="604" t="str">
        <f>$A$3</f>
        <v>Effective and Implementation Date January 1, 2028</v>
      </c>
      <c r="B309" s="601"/>
      <c r="C309" s="601"/>
      <c r="D309" s="602"/>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1.25" customHeight="1">
      <c r="A310" s="605" t="str">
        <f>$A$4</f>
        <v>This schedule supersedes and replaces all previously</v>
      </c>
      <c r="B310" s="601"/>
      <c r="C310" s="601"/>
      <c r="D310" s="602"/>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1.25" customHeight="1">
      <c r="A311" s="605" t="str">
        <f>$A$5</f>
        <v>approved schedules of Rates, Charges and Loss Factors</v>
      </c>
      <c r="B311" s="601"/>
      <c r="C311" s="601"/>
      <c r="D311" s="602"/>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1.25" customHeight="1">
      <c r="A312" s="606" t="str">
        <f>$A$6</f>
        <v>EB-2024-0115</v>
      </c>
      <c r="B312" s="601"/>
      <c r="C312" s="601"/>
      <c r="D312" s="602"/>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8.75" customHeight="1">
      <c r="A313" s="607" t="s">
        <v>89</v>
      </c>
      <c r="B313" s="601"/>
      <c r="C313" s="601"/>
      <c r="D313" s="602"/>
      <c r="E313" s="71"/>
      <c r="F313" s="71"/>
      <c r="G313" s="71"/>
      <c r="H313" s="71"/>
      <c r="I313" s="71"/>
      <c r="J313" s="71"/>
      <c r="K313" s="71"/>
      <c r="L313" s="71"/>
      <c r="M313" s="71"/>
      <c r="N313" s="71"/>
      <c r="O313" s="71"/>
      <c r="P313" s="71"/>
      <c r="Q313" s="71"/>
      <c r="R313" s="71"/>
      <c r="S313" s="71"/>
      <c r="T313" s="71"/>
      <c r="U313" s="71"/>
      <c r="V313" s="71"/>
      <c r="W313" s="71"/>
      <c r="X313" s="71"/>
      <c r="Y313" s="71"/>
      <c r="Z313" s="71"/>
    </row>
    <row r="314" spans="1:26" ht="60" customHeight="1">
      <c r="A314" s="608" t="s">
        <v>90</v>
      </c>
      <c r="B314" s="601"/>
      <c r="C314" s="601"/>
      <c r="D314" s="602"/>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1.25" customHeight="1">
      <c r="A316" s="609" t="s">
        <v>34</v>
      </c>
      <c r="B316" s="601"/>
      <c r="C316" s="601"/>
      <c r="D316" s="602"/>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6"/>
      <c r="B317" s="57"/>
      <c r="C317" s="57"/>
      <c r="D317" s="58"/>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36" customHeight="1">
      <c r="A318" s="608" t="s">
        <v>35</v>
      </c>
      <c r="B318" s="601"/>
      <c r="C318" s="601"/>
      <c r="D318" s="602"/>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48" customHeight="1">
      <c r="A320" s="608" t="s">
        <v>36</v>
      </c>
      <c r="B320" s="601"/>
      <c r="C320" s="601"/>
      <c r="D320" s="602"/>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48" customHeight="1">
      <c r="A322" s="608" t="s">
        <v>37</v>
      </c>
      <c r="B322" s="601"/>
      <c r="C322" s="601"/>
      <c r="D322" s="602"/>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75" customHeight="1">
      <c r="A323" s="54"/>
      <c r="B323" s="54"/>
      <c r="C323" s="54"/>
      <c r="D323" s="55"/>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36" customHeight="1">
      <c r="A324" s="608" t="s">
        <v>91</v>
      </c>
      <c r="B324" s="601"/>
      <c r="C324" s="601"/>
      <c r="D324" s="602"/>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6.75" customHeight="1">
      <c r="A325" s="54"/>
      <c r="B325" s="54"/>
      <c r="C325" s="54"/>
      <c r="D325" s="55"/>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 customHeight="1">
      <c r="A326" s="610" t="s">
        <v>39</v>
      </c>
      <c r="B326" s="601"/>
      <c r="C326" s="601"/>
      <c r="D326" s="602"/>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6" customHeight="1">
      <c r="A327" s="59"/>
      <c r="B327" s="60"/>
      <c r="C327" s="60"/>
      <c r="D327" s="61"/>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2" customHeight="1">
      <c r="A328" s="62" t="s">
        <v>78</v>
      </c>
      <c r="B328" s="63"/>
      <c r="C328" s="64" t="s">
        <v>41</v>
      </c>
      <c r="D328" s="284">
        <f>'Proposed Rates'!H13</f>
        <v>1.24</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2" customHeight="1">
      <c r="A329" s="62" t="s">
        <v>59</v>
      </c>
      <c r="B329" s="63"/>
      <c r="C329" s="64" t="s">
        <v>66</v>
      </c>
      <c r="D329" s="285">
        <f>'Proposed Rates'!H26</f>
        <v>8.5327999999999999</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2" customHeight="1">
      <c r="A330" s="62" t="s">
        <v>45</v>
      </c>
      <c r="B330" s="63"/>
      <c r="C330" s="64" t="s">
        <v>66</v>
      </c>
      <c r="D330" s="287">
        <f>'Proposed Rates'!H269</f>
        <v>1.141E-2</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2" hidden="1" customHeight="1">
      <c r="A331" s="62" t="s">
        <v>47</v>
      </c>
      <c r="B331" s="63"/>
      <c r="C331" s="64" t="s">
        <v>66</v>
      </c>
      <c r="D331" s="285">
        <f>'Proposed Rates'!H42</f>
        <v>0</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2" hidden="1" customHeight="1">
      <c r="A332" s="62" t="s">
        <v>43</v>
      </c>
      <c r="B332" s="63"/>
      <c r="C332" s="64" t="s">
        <v>66</v>
      </c>
      <c r="D332" s="285">
        <f>'Proposed Rates'!H69</f>
        <v>0</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2" hidden="1" customHeight="1">
      <c r="A333" s="62" t="s">
        <v>42</v>
      </c>
      <c r="B333" s="63"/>
      <c r="C333" s="64" t="s">
        <v>66</v>
      </c>
      <c r="D333" s="285">
        <f>'Proposed Rates'!H95</f>
        <v>0</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2" hidden="1" customHeight="1">
      <c r="A334" s="62" t="s">
        <v>48</v>
      </c>
      <c r="B334" s="63"/>
      <c r="C334" s="64" t="s">
        <v>46</v>
      </c>
      <c r="D334" s="285">
        <f>'Proposed Rates'!H147</f>
        <v>0</v>
      </c>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2" customHeight="1">
      <c r="A335" s="62" t="s">
        <v>49</v>
      </c>
      <c r="B335" s="63"/>
      <c r="C335" s="64" t="s">
        <v>66</v>
      </c>
      <c r="D335" s="285">
        <f>'Proposed Rates'!H190</f>
        <v>2.1576</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2" customHeight="1">
      <c r="A336" s="62" t="s">
        <v>50</v>
      </c>
      <c r="B336" s="63"/>
      <c r="C336" s="64" t="s">
        <v>66</v>
      </c>
      <c r="D336" s="285">
        <f>'Proposed Rates'!H205</f>
        <v>1.2213000000000001</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3" customHeight="1">
      <c r="A337" s="64"/>
      <c r="B337" s="64"/>
      <c r="C337" s="64"/>
      <c r="D337" s="288"/>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1.25" customHeight="1">
      <c r="A338" s="70" t="s">
        <v>51</v>
      </c>
      <c r="B338" s="63"/>
      <c r="C338" s="64"/>
      <c r="D338" s="288"/>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3.75" customHeight="1">
      <c r="A339" s="59"/>
      <c r="B339" s="64"/>
      <c r="C339" s="64"/>
      <c r="D339" s="288"/>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2" customHeight="1">
      <c r="A340" s="62" t="s">
        <v>52</v>
      </c>
      <c r="B340" s="63"/>
      <c r="C340" s="64" t="s">
        <v>46</v>
      </c>
      <c r="D340" s="288">
        <f>$D$34</f>
        <v>4.1000000000000003E-3</v>
      </c>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2" customHeight="1">
      <c r="A341" s="62" t="s">
        <v>53</v>
      </c>
      <c r="B341" s="63"/>
      <c r="C341" s="64" t="s">
        <v>46</v>
      </c>
      <c r="D341" s="285">
        <f>'Proposed Rates'!H218-'2026'!D347</f>
        <v>5.9999999999999984E-4</v>
      </c>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2" customHeight="1">
      <c r="A342" s="62" t="s">
        <v>54</v>
      </c>
      <c r="B342" s="63"/>
      <c r="C342" s="64" t="s">
        <v>46</v>
      </c>
      <c r="D342" s="285">
        <f>'Proposed Rates'!H231</f>
        <v>5.9999999999999995E-4</v>
      </c>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2" customHeight="1">
      <c r="A343" s="62" t="s">
        <v>55</v>
      </c>
      <c r="B343" s="63"/>
      <c r="C343" s="64" t="s">
        <v>41</v>
      </c>
      <c r="D343" s="285">
        <f>'Proposed Rates'!H245</f>
        <v>0.25</v>
      </c>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 customHeight="1">
      <c r="A344" s="64"/>
      <c r="B344" s="63"/>
      <c r="C344" s="64"/>
      <c r="D344" s="69"/>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23.25" customHeight="1">
      <c r="A345" s="600" t="str">
        <f>$A$1</f>
        <v>Hydro Ottawa Limited</v>
      </c>
      <c r="B345" s="601"/>
      <c r="C345" s="601"/>
      <c r="D345" s="602"/>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8" customHeight="1">
      <c r="A346" s="603" t="str">
        <f>$A$2</f>
        <v>PROPOSED - TARIFF OF RATES AND CHARGES</v>
      </c>
      <c r="B346" s="601"/>
      <c r="C346" s="601"/>
      <c r="D346" s="602"/>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75" customHeight="1">
      <c r="A347" s="604" t="str">
        <f>$A$3</f>
        <v>Effective and Implementation Date January 1, 2028</v>
      </c>
      <c r="B347" s="601"/>
      <c r="C347" s="601"/>
      <c r="D347" s="602"/>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1.25" customHeight="1">
      <c r="A348" s="605" t="str">
        <f>$A$4</f>
        <v>This schedule supersedes and replaces all previously</v>
      </c>
      <c r="B348" s="601"/>
      <c r="C348" s="601"/>
      <c r="D348" s="602"/>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1.25" customHeight="1">
      <c r="A349" s="605" t="str">
        <f>$A$5</f>
        <v>approved schedules of Rates, Charges and Loss Factors</v>
      </c>
      <c r="B349" s="601"/>
      <c r="C349" s="601"/>
      <c r="D349" s="602"/>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1.25" customHeight="1">
      <c r="A350" s="606" t="str">
        <f>$A$6</f>
        <v>EB-2024-0115</v>
      </c>
      <c r="B350" s="601"/>
      <c r="C350" s="601"/>
      <c r="D350" s="602"/>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8.75" customHeight="1">
      <c r="A351" s="607" t="s">
        <v>93</v>
      </c>
      <c r="B351" s="601"/>
      <c r="C351" s="601"/>
      <c r="D351" s="602"/>
      <c r="E351" s="71"/>
      <c r="F351" s="71"/>
      <c r="G351" s="71"/>
      <c r="H351" s="71"/>
      <c r="I351" s="71"/>
      <c r="J351" s="71"/>
      <c r="K351" s="71"/>
      <c r="L351" s="71"/>
      <c r="M351" s="71"/>
      <c r="N351" s="71"/>
      <c r="O351" s="71"/>
      <c r="P351" s="71"/>
      <c r="Q351" s="71"/>
      <c r="R351" s="71"/>
      <c r="S351" s="71"/>
      <c r="T351" s="71"/>
      <c r="U351" s="71"/>
      <c r="V351" s="71"/>
      <c r="W351" s="71"/>
      <c r="X351" s="71"/>
      <c r="Y351" s="71"/>
      <c r="Z351" s="71"/>
    </row>
    <row r="352" spans="1:26" ht="36" customHeight="1">
      <c r="A352" s="608" t="s">
        <v>94</v>
      </c>
      <c r="B352" s="601"/>
      <c r="C352" s="601"/>
      <c r="D352" s="602"/>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6.75" customHeight="1">
      <c r="A353" s="54"/>
      <c r="B353" s="54"/>
      <c r="C353" s="54"/>
      <c r="D353" s="55"/>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1.25" customHeight="1">
      <c r="A354" s="609" t="s">
        <v>34</v>
      </c>
      <c r="B354" s="601"/>
      <c r="C354" s="601"/>
      <c r="D354" s="602"/>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6.75" customHeight="1">
      <c r="A355" s="56"/>
      <c r="B355" s="57"/>
      <c r="C355" s="57"/>
      <c r="D355" s="58"/>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36" customHeight="1">
      <c r="A356" s="608" t="s">
        <v>35</v>
      </c>
      <c r="B356" s="601"/>
      <c r="C356" s="601"/>
      <c r="D356" s="602"/>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6.75" customHeight="1">
      <c r="A357" s="54"/>
      <c r="B357" s="54"/>
      <c r="C357" s="54"/>
      <c r="D357" s="55"/>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48" customHeight="1">
      <c r="A358" s="608" t="s">
        <v>36</v>
      </c>
      <c r="B358" s="601"/>
      <c r="C358" s="601"/>
      <c r="D358" s="602"/>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6.75" customHeight="1">
      <c r="A359" s="54"/>
      <c r="B359" s="54"/>
      <c r="C359" s="54"/>
      <c r="D359" s="55"/>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24" customHeight="1">
      <c r="A360" s="608" t="s">
        <v>95</v>
      </c>
      <c r="B360" s="601"/>
      <c r="C360" s="601"/>
      <c r="D360" s="602"/>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6.75" customHeight="1">
      <c r="A361" s="54"/>
      <c r="B361" s="54"/>
      <c r="C361" s="54"/>
      <c r="D361" s="55"/>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36" customHeight="1">
      <c r="A362" s="608" t="s">
        <v>91</v>
      </c>
      <c r="B362" s="601"/>
      <c r="C362" s="601"/>
      <c r="D362" s="602"/>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6.75" customHeight="1">
      <c r="A363" s="54"/>
      <c r="B363" s="54"/>
      <c r="C363" s="54"/>
      <c r="D363" s="55"/>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 customHeight="1">
      <c r="A364" s="610" t="s">
        <v>39</v>
      </c>
      <c r="B364" s="601"/>
      <c r="C364" s="601"/>
      <c r="D364" s="602"/>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6.75" customHeight="1">
      <c r="A365" s="59"/>
      <c r="B365" s="60"/>
      <c r="C365" s="60"/>
      <c r="D365" s="61"/>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1.25" customHeight="1">
      <c r="A366" s="612" t="s">
        <v>40</v>
      </c>
      <c r="B366" s="602"/>
      <c r="C366" s="64" t="s">
        <v>41</v>
      </c>
      <c r="D366" s="93">
        <f>'Proposed Rates'!H376</f>
        <v>0</v>
      </c>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5.25" customHeight="1">
      <c r="A367" s="85"/>
      <c r="B367" s="63"/>
      <c r="C367" s="64"/>
      <c r="D367" s="69"/>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23.25" customHeight="1">
      <c r="A368" s="600" t="str">
        <f>$A$1</f>
        <v>Hydro Ottawa Limited</v>
      </c>
      <c r="B368" s="601"/>
      <c r="C368" s="601"/>
      <c r="D368" s="602"/>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8" customHeight="1">
      <c r="A369" s="603" t="str">
        <f>$A$2</f>
        <v>PROPOSED - TARIFF OF RATES AND CHARGES</v>
      </c>
      <c r="B369" s="601"/>
      <c r="C369" s="601"/>
      <c r="D369" s="602"/>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75" customHeight="1">
      <c r="A370" s="604" t="str">
        <f>$A$3</f>
        <v>Effective and Implementation Date January 1, 2028</v>
      </c>
      <c r="B370" s="601"/>
      <c r="C370" s="601"/>
      <c r="D370" s="602"/>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1.25" customHeight="1">
      <c r="A371" s="605" t="str">
        <f>$A$4</f>
        <v>This schedule supersedes and replaces all previously</v>
      </c>
      <c r="B371" s="601"/>
      <c r="C371" s="601"/>
      <c r="D371" s="602"/>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1.25" customHeight="1">
      <c r="A372" s="605" t="str">
        <f>$A$5</f>
        <v>approved schedules of Rates, Charges and Loss Factors</v>
      </c>
      <c r="B372" s="601"/>
      <c r="C372" s="601"/>
      <c r="D372" s="602"/>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1.25" customHeight="1">
      <c r="A373" s="606" t="str">
        <f>$A$6</f>
        <v>EB-2024-0115</v>
      </c>
      <c r="B373" s="601"/>
      <c r="C373" s="601"/>
      <c r="D373" s="602"/>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8.75" customHeight="1">
      <c r="A374" s="607" t="s">
        <v>96</v>
      </c>
      <c r="B374" s="601"/>
      <c r="C374" s="601"/>
      <c r="D374" s="602"/>
      <c r="E374" s="71"/>
      <c r="F374" s="71"/>
      <c r="G374" s="71"/>
      <c r="H374" s="71"/>
      <c r="I374" s="71"/>
      <c r="J374" s="71"/>
      <c r="K374" s="71"/>
      <c r="L374" s="71"/>
      <c r="M374" s="71"/>
      <c r="N374" s="71"/>
      <c r="O374" s="71"/>
      <c r="P374" s="71"/>
      <c r="Q374" s="71"/>
      <c r="R374" s="71"/>
      <c r="S374" s="71"/>
      <c r="T374" s="71"/>
      <c r="U374" s="71"/>
      <c r="V374" s="71"/>
      <c r="W374" s="71"/>
      <c r="X374" s="71"/>
      <c r="Y374" s="71"/>
      <c r="Z374" s="71"/>
    </row>
    <row r="375" spans="1:26" ht="36" customHeight="1">
      <c r="A375" s="614" t="s">
        <v>97</v>
      </c>
      <c r="B375" s="615"/>
      <c r="C375" s="615"/>
      <c r="D375" s="615"/>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54"/>
      <c r="B376" s="54"/>
      <c r="C376" s="54"/>
      <c r="D376" s="55"/>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1.25" customHeight="1">
      <c r="A377" s="609" t="s">
        <v>34</v>
      </c>
      <c r="B377" s="601"/>
      <c r="C377" s="601"/>
      <c r="D377" s="602"/>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56"/>
      <c r="B378" s="57"/>
      <c r="C378" s="57"/>
      <c r="D378" s="58"/>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36" customHeight="1">
      <c r="A379" s="608" t="s">
        <v>35</v>
      </c>
      <c r="B379" s="601"/>
      <c r="C379" s="601"/>
      <c r="D379" s="602"/>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54"/>
      <c r="B380" s="54"/>
      <c r="C380" s="54"/>
      <c r="D380" s="55"/>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48" customHeight="1">
      <c r="A381" s="608" t="s">
        <v>36</v>
      </c>
      <c r="B381" s="601"/>
      <c r="C381" s="601"/>
      <c r="D381" s="602"/>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54"/>
      <c r="B382" s="54"/>
      <c r="C382" s="54"/>
      <c r="D382" s="55"/>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24" customHeight="1">
      <c r="A383" s="608" t="s">
        <v>95</v>
      </c>
      <c r="B383" s="601"/>
      <c r="C383" s="601"/>
      <c r="D383" s="602"/>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6.75" customHeight="1">
      <c r="A384" s="54"/>
      <c r="B384" s="54"/>
      <c r="C384" s="54"/>
      <c r="D384" s="55"/>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36" customHeight="1">
      <c r="A385" s="608" t="s">
        <v>91</v>
      </c>
      <c r="B385" s="601"/>
      <c r="C385" s="601"/>
      <c r="D385" s="602"/>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6.75" customHeight="1">
      <c r="A386" s="54"/>
      <c r="B386" s="54"/>
      <c r="C386" s="54"/>
      <c r="D386" s="55"/>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 customHeight="1">
      <c r="A387" s="610" t="s">
        <v>39</v>
      </c>
      <c r="B387" s="601"/>
      <c r="C387" s="601"/>
      <c r="D387" s="602"/>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6.75" customHeight="1">
      <c r="A388" s="59"/>
      <c r="B388" s="60"/>
      <c r="C388" s="60"/>
      <c r="D388" s="61"/>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1.25" customHeight="1">
      <c r="A389" s="612" t="s">
        <v>40</v>
      </c>
      <c r="B389" s="602"/>
      <c r="C389" s="64" t="s">
        <v>41</v>
      </c>
      <c r="D389" s="93">
        <f>'Proposed Rates'!H373</f>
        <v>12</v>
      </c>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6.5" customHeight="1">
      <c r="A390" s="85"/>
      <c r="B390" s="63"/>
      <c r="C390" s="64"/>
      <c r="D390" s="69"/>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23.25" customHeight="1">
      <c r="A391" s="600" t="str">
        <f>$A$1</f>
        <v>Hydro Ottawa Limited</v>
      </c>
      <c r="B391" s="601"/>
      <c r="C391" s="601"/>
      <c r="D391" s="602"/>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8" customHeight="1">
      <c r="A392" s="603" t="str">
        <f>$A$2</f>
        <v>PROPOSED - TARIFF OF RATES AND CHARGES</v>
      </c>
      <c r="B392" s="601"/>
      <c r="C392" s="601"/>
      <c r="D392" s="602"/>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75" customHeight="1">
      <c r="A393" s="604" t="str">
        <f>$A$3</f>
        <v>Effective and Implementation Date January 1, 2028</v>
      </c>
      <c r="B393" s="601"/>
      <c r="C393" s="601"/>
      <c r="D393" s="602"/>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1.25" customHeight="1">
      <c r="A394" s="605" t="str">
        <f>$A$4</f>
        <v>This schedule supersedes and replaces all previously</v>
      </c>
      <c r="B394" s="601"/>
      <c r="C394" s="601"/>
      <c r="D394" s="602"/>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1.25" customHeight="1">
      <c r="A395" s="605" t="str">
        <f>$A$5</f>
        <v>approved schedules of Rates, Charges and Loss Factors</v>
      </c>
      <c r="B395" s="601"/>
      <c r="C395" s="601"/>
      <c r="D395" s="602"/>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1.25" customHeight="1">
      <c r="A396" s="606" t="str">
        <f>$A$6</f>
        <v>EB-2024-0115</v>
      </c>
      <c r="B396" s="601"/>
      <c r="C396" s="601"/>
      <c r="D396" s="602"/>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8.75" customHeight="1">
      <c r="A397" s="607" t="s">
        <v>98</v>
      </c>
      <c r="B397" s="601"/>
      <c r="C397" s="601"/>
      <c r="D397" s="602"/>
      <c r="E397" s="71"/>
      <c r="F397" s="71"/>
      <c r="G397" s="71"/>
      <c r="H397" s="71"/>
      <c r="I397" s="71"/>
      <c r="J397" s="71"/>
      <c r="K397" s="71"/>
      <c r="L397" s="71"/>
      <c r="M397" s="71"/>
      <c r="N397" s="71"/>
      <c r="O397" s="71"/>
      <c r="P397" s="71"/>
      <c r="Q397" s="71"/>
      <c r="R397" s="71"/>
      <c r="S397" s="71"/>
      <c r="T397" s="71"/>
      <c r="U397" s="71"/>
      <c r="V397" s="71"/>
      <c r="W397" s="71"/>
      <c r="X397" s="71"/>
      <c r="Y397" s="71"/>
      <c r="Z397" s="71"/>
    </row>
    <row r="398" spans="1:26" ht="36" customHeight="1">
      <c r="A398" s="614" t="s">
        <v>99</v>
      </c>
      <c r="B398" s="615"/>
      <c r="C398" s="615"/>
      <c r="D398" s="615"/>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1.25" customHeight="1">
      <c r="A400" s="609" t="s">
        <v>34</v>
      </c>
      <c r="B400" s="601"/>
      <c r="C400" s="601"/>
      <c r="D400" s="602"/>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6"/>
      <c r="B401" s="57"/>
      <c r="C401" s="57"/>
      <c r="D401" s="58"/>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36" customHeight="1">
      <c r="A402" s="608" t="s">
        <v>35</v>
      </c>
      <c r="B402" s="601"/>
      <c r="C402" s="601"/>
      <c r="D402" s="602"/>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4"/>
      <c r="B403" s="54"/>
      <c r="C403" s="54"/>
      <c r="D403" s="55"/>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48" customHeight="1">
      <c r="A404" s="608" t="s">
        <v>36</v>
      </c>
      <c r="B404" s="601"/>
      <c r="C404" s="601"/>
      <c r="D404" s="602"/>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6.75" customHeight="1">
      <c r="A405" s="54"/>
      <c r="B405" s="54"/>
      <c r="C405" s="54"/>
      <c r="D405" s="55"/>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24" customHeight="1">
      <c r="A406" s="608" t="s">
        <v>95</v>
      </c>
      <c r="B406" s="601"/>
      <c r="C406" s="601"/>
      <c r="D406" s="602"/>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75" customHeight="1">
      <c r="A407" s="54"/>
      <c r="B407" s="54"/>
      <c r="C407" s="54"/>
      <c r="D407" s="55"/>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36" customHeight="1">
      <c r="A408" s="608" t="s">
        <v>91</v>
      </c>
      <c r="B408" s="601"/>
      <c r="C408" s="601"/>
      <c r="D408" s="602"/>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6.75" customHeight="1">
      <c r="A409" s="54"/>
      <c r="B409" s="54"/>
      <c r="C409" s="54"/>
      <c r="D409" s="55"/>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 customHeight="1">
      <c r="A410" s="610" t="s">
        <v>39</v>
      </c>
      <c r="B410" s="601"/>
      <c r="C410" s="601"/>
      <c r="D410" s="602"/>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6.75" customHeight="1">
      <c r="A411" s="59"/>
      <c r="B411" s="60"/>
      <c r="C411" s="60"/>
      <c r="D411" s="61"/>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1.25" customHeight="1">
      <c r="A412" s="612" t="s">
        <v>40</v>
      </c>
      <c r="B412" s="602"/>
      <c r="C412" s="64" t="s">
        <v>41</v>
      </c>
      <c r="D412" s="93">
        <f>'Proposed Rates'!H374</f>
        <v>91</v>
      </c>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7.5" customHeight="1">
      <c r="A413" s="85"/>
      <c r="B413" s="63"/>
      <c r="C413" s="64"/>
      <c r="D413" s="69"/>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23.25" customHeight="1">
      <c r="A414" s="600" t="str">
        <f>$A$1</f>
        <v>Hydro Ottawa Limited</v>
      </c>
      <c r="B414" s="601"/>
      <c r="C414" s="601"/>
      <c r="D414" s="602"/>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8" customHeight="1">
      <c r="A415" s="603" t="str">
        <f>$A$2</f>
        <v>PROPOSED - TARIFF OF RATES AND CHARGES</v>
      </c>
      <c r="B415" s="601"/>
      <c r="C415" s="601"/>
      <c r="D415" s="602"/>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75" customHeight="1">
      <c r="A416" s="604" t="str">
        <f>$A$3</f>
        <v>Effective and Implementation Date January 1, 2028</v>
      </c>
      <c r="B416" s="601"/>
      <c r="C416" s="601"/>
      <c r="D416" s="602"/>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1.25" customHeight="1">
      <c r="A417" s="605" t="str">
        <f>$A$4</f>
        <v>This schedule supersedes and replaces all previously</v>
      </c>
      <c r="B417" s="601"/>
      <c r="C417" s="601"/>
      <c r="D417" s="602"/>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1.25" customHeight="1">
      <c r="A418" s="605" t="str">
        <f>$A$5</f>
        <v>approved schedules of Rates, Charges and Loss Factors</v>
      </c>
      <c r="B418" s="601"/>
      <c r="C418" s="601"/>
      <c r="D418" s="602"/>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1.25" customHeight="1">
      <c r="A419" s="606" t="str">
        <f>$A$6</f>
        <v>EB-2024-0115</v>
      </c>
      <c r="B419" s="601"/>
      <c r="C419" s="601"/>
      <c r="D419" s="602"/>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8.75" customHeight="1">
      <c r="A420" s="607" t="s">
        <v>100</v>
      </c>
      <c r="B420" s="601"/>
      <c r="C420" s="601"/>
      <c r="D420" s="602"/>
      <c r="E420" s="71"/>
      <c r="F420" s="71"/>
      <c r="G420" s="71"/>
      <c r="H420" s="71"/>
      <c r="I420" s="71"/>
      <c r="J420" s="71"/>
      <c r="K420" s="71"/>
      <c r="L420" s="71"/>
      <c r="M420" s="71"/>
      <c r="N420" s="71"/>
      <c r="O420" s="71"/>
      <c r="P420" s="71"/>
      <c r="Q420" s="71"/>
      <c r="R420" s="71"/>
      <c r="S420" s="71"/>
      <c r="T420" s="71"/>
      <c r="U420" s="71"/>
      <c r="V420" s="71"/>
      <c r="W420" s="71"/>
      <c r="X420" s="71"/>
      <c r="Y420" s="71"/>
      <c r="Z420" s="71"/>
    </row>
    <row r="421" spans="1:26" ht="36" customHeight="1">
      <c r="A421" s="608" t="s">
        <v>101</v>
      </c>
      <c r="B421" s="601"/>
      <c r="C421" s="601"/>
      <c r="D421" s="602"/>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1.25" customHeight="1">
      <c r="A423" s="609" t="s">
        <v>34</v>
      </c>
      <c r="B423" s="601"/>
      <c r="C423" s="601"/>
      <c r="D423" s="602"/>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6"/>
      <c r="B424" s="57"/>
      <c r="C424" s="57"/>
      <c r="D424" s="58"/>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36" customHeight="1">
      <c r="A425" s="608" t="s">
        <v>35</v>
      </c>
      <c r="B425" s="601"/>
      <c r="C425" s="601"/>
      <c r="D425" s="602"/>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4"/>
      <c r="B426" s="54"/>
      <c r="C426" s="54"/>
      <c r="D426" s="55"/>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48" customHeight="1">
      <c r="A427" s="608" t="s">
        <v>36</v>
      </c>
      <c r="B427" s="601"/>
      <c r="C427" s="601"/>
      <c r="D427" s="602"/>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75" customHeight="1">
      <c r="A428" s="54"/>
      <c r="B428" s="54"/>
      <c r="C428" s="54"/>
      <c r="D428" s="55"/>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24" customHeight="1">
      <c r="A429" s="608" t="s">
        <v>95</v>
      </c>
      <c r="B429" s="601"/>
      <c r="C429" s="601"/>
      <c r="D429" s="602"/>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6.75" customHeight="1">
      <c r="A430" s="54"/>
      <c r="B430" s="54"/>
      <c r="C430" s="54"/>
      <c r="D430" s="55"/>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36" customHeight="1">
      <c r="A431" s="608" t="s">
        <v>91</v>
      </c>
      <c r="B431" s="601"/>
      <c r="C431" s="601"/>
      <c r="D431" s="602"/>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6.75" customHeight="1">
      <c r="A432" s="54"/>
      <c r="B432" s="54"/>
      <c r="C432" s="54"/>
      <c r="D432" s="55"/>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 customHeight="1">
      <c r="A433" s="610" t="s">
        <v>39</v>
      </c>
      <c r="B433" s="601"/>
      <c r="C433" s="601"/>
      <c r="D433" s="602"/>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6.75" customHeight="1">
      <c r="A434" s="59"/>
      <c r="B434" s="60"/>
      <c r="C434" s="60"/>
      <c r="D434" s="61"/>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1.25" customHeight="1">
      <c r="A435" s="612" t="s">
        <v>40</v>
      </c>
      <c r="B435" s="602"/>
      <c r="C435" s="64" t="s">
        <v>41</v>
      </c>
      <c r="D435" s="93">
        <f>'Proposed Rates'!H375</f>
        <v>277</v>
      </c>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6.75" customHeight="1">
      <c r="A436" s="99"/>
      <c r="B436" s="85"/>
      <c r="C436" s="64"/>
      <c r="D436" s="288"/>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8" customHeight="1">
      <c r="A437" s="100" t="s">
        <v>102</v>
      </c>
      <c r="B437" s="101"/>
      <c r="C437" s="101"/>
      <c r="D437" s="299"/>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1.25" customHeight="1">
      <c r="A438" s="612" t="s">
        <v>103</v>
      </c>
      <c r="B438" s="602"/>
      <c r="C438" s="102" t="s">
        <v>104</v>
      </c>
      <c r="D438" s="288">
        <v>-1</v>
      </c>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2" customHeight="1">
      <c r="A439" s="85"/>
      <c r="B439" s="63"/>
      <c r="C439" s="102"/>
      <c r="D439" s="69"/>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23.25" customHeight="1">
      <c r="A440" s="600" t="str">
        <f>$A$1</f>
        <v>Hydro Ottawa Limited</v>
      </c>
      <c r="B440" s="601"/>
      <c r="C440" s="601"/>
      <c r="D440" s="602"/>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8" customHeight="1">
      <c r="A441" s="603" t="str">
        <f>$A$2</f>
        <v>PROPOSED - TARIFF OF RATES AND CHARGES</v>
      </c>
      <c r="B441" s="601"/>
      <c r="C441" s="601"/>
      <c r="D441" s="602"/>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75" customHeight="1">
      <c r="A442" s="604" t="str">
        <f>$A$3</f>
        <v>Effective and Implementation Date January 1, 2028</v>
      </c>
      <c r="B442" s="601"/>
      <c r="C442" s="601"/>
      <c r="D442" s="60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1.25" customHeight="1">
      <c r="A443" s="605" t="str">
        <f>$A$4</f>
        <v>This schedule supersedes and replaces all previously</v>
      </c>
      <c r="B443" s="601"/>
      <c r="C443" s="601"/>
      <c r="D443" s="60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1.25" customHeight="1">
      <c r="A444" s="605" t="str">
        <f>$A$5</f>
        <v>approved schedules of Rates, Charges and Loss Factors</v>
      </c>
      <c r="B444" s="601"/>
      <c r="C444" s="601"/>
      <c r="D444" s="602"/>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1.25" customHeight="1">
      <c r="A445" s="606" t="str">
        <f>$A$6</f>
        <v>EB-2024-0115</v>
      </c>
      <c r="B445" s="601"/>
      <c r="C445" s="601"/>
      <c r="D445" s="602"/>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8" customHeight="1">
      <c r="A446" s="100" t="s">
        <v>105</v>
      </c>
      <c r="B446" s="101"/>
      <c r="C446" s="101"/>
      <c r="D446" s="72"/>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100"/>
      <c r="B447" s="101"/>
      <c r="C447" s="101"/>
      <c r="D447" s="72"/>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1.25" customHeight="1">
      <c r="A448" s="616" t="s">
        <v>34</v>
      </c>
      <c r="B448" s="601"/>
      <c r="C448" s="601"/>
      <c r="D448" s="602"/>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103"/>
      <c r="B449" s="54"/>
      <c r="C449" s="54"/>
      <c r="D449" s="55"/>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36" customHeight="1">
      <c r="A450" s="608" t="s">
        <v>35</v>
      </c>
      <c r="B450" s="601"/>
      <c r="C450" s="601"/>
      <c r="D450" s="602"/>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54"/>
      <c r="B451" s="54"/>
      <c r="C451" s="54"/>
      <c r="D451" s="55"/>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48" customHeight="1">
      <c r="A452" s="608" t="s">
        <v>106</v>
      </c>
      <c r="B452" s="601"/>
      <c r="C452" s="601"/>
      <c r="D452" s="60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6.75" customHeight="1">
      <c r="A453" s="54"/>
      <c r="B453" s="54"/>
      <c r="C453" s="54"/>
      <c r="D453" s="55"/>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36" customHeight="1">
      <c r="A454" s="608" t="s">
        <v>38</v>
      </c>
      <c r="B454" s="601"/>
      <c r="C454" s="601"/>
      <c r="D454" s="602"/>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6.75" customHeight="1">
      <c r="A455" s="54"/>
      <c r="B455" s="54"/>
      <c r="C455" s="54"/>
      <c r="D455" s="55"/>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 customHeight="1">
      <c r="A456" s="104" t="s">
        <v>107</v>
      </c>
      <c r="B456" s="101"/>
      <c r="C456" s="101"/>
      <c r="D456" s="72"/>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2" t="s">
        <v>108</v>
      </c>
      <c r="B457" s="63"/>
      <c r="C457" s="64" t="s">
        <v>41</v>
      </c>
      <c r="D457" s="300">
        <f>'Proposed Rates'!H323</f>
        <v>0</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64" t="s">
        <v>109</v>
      </c>
      <c r="B458" s="64"/>
      <c r="C458" s="64" t="s">
        <v>41</v>
      </c>
      <c r="D458" s="300">
        <f>'Proposed Rates'!H324</f>
        <v>30</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1.25" customHeight="1">
      <c r="A459" s="62" t="s">
        <v>110</v>
      </c>
      <c r="B459" s="63"/>
      <c r="C459" s="64" t="s">
        <v>41</v>
      </c>
      <c r="D459" s="300">
        <f>'Proposed Rates'!H325</f>
        <v>7</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1.25" customHeight="1">
      <c r="A460" s="62" t="s">
        <v>111</v>
      </c>
      <c r="B460" s="63"/>
      <c r="C460" s="64" t="s">
        <v>41</v>
      </c>
      <c r="D460" s="300">
        <f>'Proposed Rates'!H326</f>
        <v>147</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1.25" customHeight="1">
      <c r="A461" s="62" t="s">
        <v>112</v>
      </c>
      <c r="B461" s="63"/>
      <c r="C461" s="64" t="s">
        <v>41</v>
      </c>
      <c r="D461" s="300">
        <f>'Proposed Rates'!H327</f>
        <v>20</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1.25" customHeight="1">
      <c r="A462" s="62" t="s">
        <v>113</v>
      </c>
      <c r="B462" s="63"/>
      <c r="C462" s="64" t="s">
        <v>41</v>
      </c>
      <c r="D462" s="300">
        <f>'Proposed Rates'!H328</f>
        <v>25</v>
      </c>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1.25" customHeight="1">
      <c r="A463" s="62" t="s">
        <v>114</v>
      </c>
      <c r="B463" s="63"/>
      <c r="C463" s="64" t="s">
        <v>41</v>
      </c>
      <c r="D463" s="300">
        <f>'Proposed Rates'!H329</f>
        <v>10</v>
      </c>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1.25" customHeight="1">
      <c r="A464" s="62" t="s">
        <v>115</v>
      </c>
      <c r="B464" s="63"/>
      <c r="C464" s="64" t="s">
        <v>41</v>
      </c>
      <c r="D464" s="300">
        <f>'Proposed Rates'!H332</f>
        <v>382</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1.25" customHeight="1">
      <c r="A465" s="62" t="s">
        <v>116</v>
      </c>
      <c r="B465" s="63"/>
      <c r="C465" s="64" t="s">
        <v>41</v>
      </c>
      <c r="D465" s="300">
        <f>'Proposed Rates'!H333</f>
        <v>335</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6.75" customHeight="1">
      <c r="A466" s="64"/>
      <c r="B466" s="64"/>
      <c r="C466" s="64"/>
      <c r="D466" s="288"/>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 customHeight="1">
      <c r="A467" s="104" t="s">
        <v>117</v>
      </c>
      <c r="B467" s="101"/>
      <c r="C467" s="90"/>
      <c r="D467" s="295"/>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22.5" customHeight="1">
      <c r="A468" s="62" t="s">
        <v>118</v>
      </c>
      <c r="B468" s="63"/>
      <c r="C468" s="64" t="s">
        <v>104</v>
      </c>
      <c r="D468" s="591">
        <f>'Proposed Rates'!H336</f>
        <v>1.4999999999999999E-2</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1.25" customHeight="1">
      <c r="A469" s="62" t="s">
        <v>119</v>
      </c>
      <c r="B469" s="63"/>
      <c r="C469" s="64" t="s">
        <v>41</v>
      </c>
      <c r="D469" s="300">
        <f>'Proposed Rates'!H337</f>
        <v>72</v>
      </c>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1.25" customHeight="1">
      <c r="A470" s="62" t="s">
        <v>120</v>
      </c>
      <c r="B470" s="63"/>
      <c r="C470" s="64" t="s">
        <v>41</v>
      </c>
      <c r="D470" s="300">
        <f>'Proposed Rates'!H338</f>
        <v>98</v>
      </c>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1.25" customHeight="1">
      <c r="A471" s="62" t="s">
        <v>121</v>
      </c>
      <c r="B471" s="63"/>
      <c r="C471" s="64" t="s">
        <v>41</v>
      </c>
      <c r="D471" s="300">
        <f>'Proposed Rates'!H339</f>
        <v>331</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2" customHeight="1">
      <c r="A472" s="62" t="s">
        <v>122</v>
      </c>
      <c r="B472" s="63"/>
      <c r="C472" s="64" t="s">
        <v>41</v>
      </c>
      <c r="D472" s="300">
        <f>'Proposed Rates'!H340</f>
        <v>500</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9.75" customHeight="1">
      <c r="A473" s="64"/>
      <c r="B473" s="64"/>
      <c r="C473" s="64"/>
      <c r="D473" s="288"/>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 customHeight="1">
      <c r="A474" s="104" t="s">
        <v>123</v>
      </c>
      <c r="B474" s="101"/>
      <c r="C474" s="90"/>
      <c r="D474" s="288"/>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1.25" customHeight="1">
      <c r="A475" s="62" t="s">
        <v>124</v>
      </c>
      <c r="B475" s="63"/>
      <c r="C475" s="64" t="s">
        <v>41</v>
      </c>
      <c r="D475" s="300">
        <f>'Proposed Rates'!H343</f>
        <v>1125</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1.25" customHeight="1">
      <c r="A476" s="62" t="s">
        <v>125</v>
      </c>
      <c r="B476" s="63"/>
      <c r="C476" s="64" t="s">
        <v>41</v>
      </c>
      <c r="D476" s="300">
        <f>'Proposed Rates'!H344</f>
        <v>1483</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1.25" customHeight="1">
      <c r="A477" s="62" t="s">
        <v>126</v>
      </c>
      <c r="B477" s="63"/>
      <c r="C477" s="64" t="s">
        <v>41</v>
      </c>
      <c r="D477" s="300">
        <f>'Proposed Rates'!H345</f>
        <v>5223</v>
      </c>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22.5" customHeight="1">
      <c r="A478" s="62" t="s">
        <v>127</v>
      </c>
      <c r="B478" s="63"/>
      <c r="C478" s="64" t="s">
        <v>41</v>
      </c>
      <c r="D478" s="93">
        <f>'Proposed Rates'!H346</f>
        <v>40.590000000000003</v>
      </c>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1.25" customHeight="1">
      <c r="A479" s="62" t="s">
        <v>128</v>
      </c>
      <c r="B479" s="63"/>
      <c r="C479" s="64"/>
      <c r="D479" s="288" t="str">
        <f>'Proposed Rates'!H347</f>
        <v>Per Attached Table</v>
      </c>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1.25" customHeight="1">
      <c r="A480" s="62" t="s">
        <v>129</v>
      </c>
      <c r="B480" s="63"/>
      <c r="C480" s="64" t="s">
        <v>41</v>
      </c>
      <c r="D480" s="300">
        <f>'Proposed Rates'!H348</f>
        <v>172</v>
      </c>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7.5" customHeight="1">
      <c r="A481" s="612"/>
      <c r="B481" s="602"/>
      <c r="C481" s="64"/>
      <c r="D481" s="69"/>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23.25" customHeight="1">
      <c r="A482" s="600" t="str">
        <f>$A$1</f>
        <v>Hydro Ottawa Limited</v>
      </c>
      <c r="B482" s="601"/>
      <c r="C482" s="601"/>
      <c r="D482" s="602"/>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8" customHeight="1">
      <c r="A483" s="603" t="str">
        <f>$A$2</f>
        <v>PROPOSED - TARIFF OF RATES AND CHARGES</v>
      </c>
      <c r="B483" s="601"/>
      <c r="C483" s="601"/>
      <c r="D483" s="602"/>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75" customHeight="1">
      <c r="A484" s="604" t="str">
        <f>$A$3</f>
        <v>Effective and Implementation Date January 1, 2028</v>
      </c>
      <c r="B484" s="601"/>
      <c r="C484" s="601"/>
      <c r="D484" s="602"/>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1.25" customHeight="1">
      <c r="A485" s="605" t="str">
        <f>$A$4</f>
        <v>This schedule supersedes and replaces all previously</v>
      </c>
      <c r="B485" s="601"/>
      <c r="C485" s="601"/>
      <c r="D485" s="602"/>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1.25" customHeight="1">
      <c r="A486" s="605" t="str">
        <f>$A$5</f>
        <v>approved schedules of Rates, Charges and Loss Factors</v>
      </c>
      <c r="B486" s="601"/>
      <c r="C486" s="601"/>
      <c r="D486" s="602"/>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1.25" customHeight="1">
      <c r="A487" s="606" t="str">
        <f>$A$6</f>
        <v>EB-2024-0115</v>
      </c>
      <c r="B487" s="601"/>
      <c r="C487" s="601"/>
      <c r="D487" s="602"/>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6.75" customHeight="1">
      <c r="A488" s="100"/>
      <c r="B488" s="101"/>
      <c r="C488" s="101"/>
      <c r="D488" s="72"/>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36" customHeight="1">
      <c r="A489" s="608" t="s">
        <v>131</v>
      </c>
      <c r="B489" s="601"/>
      <c r="C489" s="601"/>
      <c r="D489" s="602"/>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6.75" customHeight="1">
      <c r="A490" s="54"/>
      <c r="B490" s="54"/>
      <c r="C490" s="54"/>
      <c r="D490" s="55"/>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48" customHeight="1">
      <c r="A491" s="608" t="s">
        <v>36</v>
      </c>
      <c r="B491" s="601"/>
      <c r="C491" s="601"/>
      <c r="D491" s="602"/>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6.75" customHeight="1">
      <c r="A492" s="54"/>
      <c r="B492" s="54"/>
      <c r="C492" s="54"/>
      <c r="D492" s="55"/>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24" customHeight="1">
      <c r="A493" s="608" t="s">
        <v>81</v>
      </c>
      <c r="B493" s="601"/>
      <c r="C493" s="601"/>
      <c r="D493" s="602"/>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6.75" customHeight="1">
      <c r="A494" s="54"/>
      <c r="B494" s="54"/>
      <c r="C494" s="54"/>
      <c r="D494" s="55"/>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36" customHeight="1">
      <c r="A495" s="608" t="s">
        <v>38</v>
      </c>
      <c r="B495" s="601"/>
      <c r="C495" s="601"/>
      <c r="D495" s="602"/>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6.75" customHeight="1">
      <c r="A496" s="54"/>
      <c r="B496" s="54"/>
      <c r="C496" s="54"/>
      <c r="D496" s="55"/>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24" customHeight="1">
      <c r="A497" s="608" t="s">
        <v>132</v>
      </c>
      <c r="B497" s="601"/>
      <c r="C497" s="601"/>
      <c r="D497" s="602"/>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6" customHeight="1">
      <c r="A498" s="54"/>
      <c r="B498" s="63"/>
      <c r="C498" s="63"/>
      <c r="D498" s="6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2" customHeight="1">
      <c r="A499" s="62" t="s">
        <v>133</v>
      </c>
      <c r="B499" s="63"/>
      <c r="C499" s="106" t="s">
        <v>41</v>
      </c>
      <c r="D499" s="301">
        <f>'Proposed Rates'!H351</f>
        <v>125.72</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2" customHeight="1">
      <c r="A500" s="62" t="s">
        <v>134</v>
      </c>
      <c r="B500" s="63"/>
      <c r="C500" s="106" t="s">
        <v>41</v>
      </c>
      <c r="D500" s="301">
        <f>'Proposed Rates'!H352</f>
        <v>50.29</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2" customHeight="1">
      <c r="A501" s="62" t="s">
        <v>135</v>
      </c>
      <c r="B501" s="63"/>
      <c r="C501" s="106" t="s">
        <v>136</v>
      </c>
      <c r="D501" s="301">
        <f>'Proposed Rates'!H353</f>
        <v>1.24</v>
      </c>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2" customHeight="1">
      <c r="A502" s="62" t="s">
        <v>137</v>
      </c>
      <c r="B502" s="63"/>
      <c r="C502" s="106" t="s">
        <v>136</v>
      </c>
      <c r="D502" s="301">
        <f>'Proposed Rates'!H354</f>
        <v>0.74</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2" customHeight="1">
      <c r="A503" s="62" t="s">
        <v>138</v>
      </c>
      <c r="B503" s="63"/>
      <c r="C503" s="106" t="s">
        <v>136</v>
      </c>
      <c r="D503" s="301">
        <f>'Proposed Rates'!H355</f>
        <v>-0.74</v>
      </c>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2" customHeight="1">
      <c r="A504" s="62" t="s">
        <v>139</v>
      </c>
      <c r="B504" s="63"/>
      <c r="C504" s="62"/>
      <c r="D504" s="301"/>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2" customHeight="1">
      <c r="A505" s="62" t="s">
        <v>140</v>
      </c>
      <c r="B505" s="63"/>
      <c r="C505" s="106" t="s">
        <v>41</v>
      </c>
      <c r="D505" s="301">
        <f>'Proposed Rates'!H357</f>
        <v>0.63</v>
      </c>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2" customHeight="1">
      <c r="A506" s="62" t="s">
        <v>141</v>
      </c>
      <c r="B506" s="63"/>
      <c r="C506" s="106" t="s">
        <v>41</v>
      </c>
      <c r="D506" s="301">
        <f>'Proposed Rates'!H358</f>
        <v>1.24</v>
      </c>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4.5" customHeight="1">
      <c r="A507" s="62"/>
      <c r="B507" s="63"/>
      <c r="C507" s="106"/>
      <c r="D507" s="301"/>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2" customHeight="1">
      <c r="A508" s="62" t="s">
        <v>142</v>
      </c>
      <c r="B508" s="63"/>
      <c r="C508" s="109"/>
      <c r="D508" s="301"/>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2" customHeight="1">
      <c r="A509" s="62" t="s">
        <v>143</v>
      </c>
      <c r="B509" s="63"/>
      <c r="C509" s="109"/>
      <c r="D509" s="301"/>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2" customHeight="1">
      <c r="A510" s="62" t="s">
        <v>144</v>
      </c>
      <c r="B510" s="63"/>
      <c r="C510" s="109"/>
      <c r="D510" s="301"/>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2" customHeight="1">
      <c r="A511" s="62" t="s">
        <v>145</v>
      </c>
      <c r="B511" s="63"/>
      <c r="C511" s="106" t="s">
        <v>41</v>
      </c>
      <c r="D511" s="301" t="str">
        <f>'Proposed Rates'!H362</f>
        <v>no charge</v>
      </c>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2" customHeight="1">
      <c r="A512" s="62" t="s">
        <v>146</v>
      </c>
      <c r="B512" s="63"/>
      <c r="C512" s="106" t="s">
        <v>41</v>
      </c>
      <c r="D512" s="301">
        <f>'Proposed Rates'!H363</f>
        <v>5.03</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4.5" customHeight="1">
      <c r="A513" s="62"/>
      <c r="B513" s="63"/>
      <c r="C513" s="106"/>
      <c r="D513" s="301"/>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2" customHeight="1">
      <c r="A514" s="62" t="s">
        <v>147</v>
      </c>
      <c r="B514" s="63"/>
      <c r="C514" s="109"/>
      <c r="D514" s="301"/>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2" customHeight="1">
      <c r="A515" s="62" t="s">
        <v>148</v>
      </c>
      <c r="B515" s="63"/>
      <c r="C515" s="106" t="s">
        <v>41</v>
      </c>
      <c r="D515" s="301">
        <f>'Proposed Rates'!H365</f>
        <v>2.5099999999999998</v>
      </c>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0.5" customHeight="1">
      <c r="A516" s="73"/>
      <c r="B516" s="73"/>
      <c r="C516" s="106"/>
      <c r="D516" s="92"/>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23.25" customHeight="1">
      <c r="A517" s="600" t="str">
        <f>$A$1</f>
        <v>Hydro Ottawa Limited</v>
      </c>
      <c r="B517" s="601"/>
      <c r="C517" s="601"/>
      <c r="D517" s="602"/>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8" customHeight="1">
      <c r="A518" s="603" t="str">
        <f>$A$2</f>
        <v>PROPOSED - TARIFF OF RATES AND CHARGES</v>
      </c>
      <c r="B518" s="601"/>
      <c r="C518" s="601"/>
      <c r="D518" s="602"/>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75" customHeight="1">
      <c r="A519" s="604" t="str">
        <f>$A$3</f>
        <v>Effective and Implementation Date January 1, 2028</v>
      </c>
      <c r="B519" s="601"/>
      <c r="C519" s="601"/>
      <c r="D519" s="602"/>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1.25" customHeight="1">
      <c r="A520" s="605" t="str">
        <f>$A$4</f>
        <v>This schedule supersedes and replaces all previously</v>
      </c>
      <c r="B520" s="601"/>
      <c r="C520" s="601"/>
      <c r="D520" s="602"/>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1.25" customHeight="1">
      <c r="A521" s="605" t="str">
        <f>$A$5</f>
        <v>approved schedules of Rates, Charges and Loss Factors</v>
      </c>
      <c r="B521" s="601"/>
      <c r="C521" s="601"/>
      <c r="D521" s="602"/>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1.25" customHeight="1">
      <c r="A522" s="606" t="str">
        <f>$A$6</f>
        <v>EB-2024-0115</v>
      </c>
      <c r="B522" s="601"/>
      <c r="C522" s="601"/>
      <c r="D522" s="602"/>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5" customHeight="1">
      <c r="A523" s="110" t="s">
        <v>149</v>
      </c>
      <c r="B523" s="110"/>
      <c r="C523" s="111"/>
      <c r="D523" s="112"/>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6.75" customHeight="1">
      <c r="A524" s="110"/>
      <c r="B524" s="110"/>
      <c r="C524" s="111"/>
      <c r="D524" s="112"/>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22.5" customHeight="1">
      <c r="A525" s="617" t="s">
        <v>150</v>
      </c>
      <c r="B525" s="601"/>
      <c r="C525" s="601"/>
      <c r="D525" s="602"/>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1.25" customHeight="1">
      <c r="A526" s="612" t="s">
        <v>151</v>
      </c>
      <c r="B526" s="601"/>
      <c r="C526" s="602"/>
      <c r="D526" s="288">
        <f>'Proposed Rates'!H316</f>
        <v>1.0331999999999999</v>
      </c>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1.25" customHeight="1">
      <c r="A527" s="612" t="s">
        <v>152</v>
      </c>
      <c r="B527" s="601"/>
      <c r="C527" s="602"/>
      <c r="D527" s="288">
        <f>'Proposed Rates'!H317</f>
        <v>1.0149999999999999</v>
      </c>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1.25" customHeight="1">
      <c r="A528" s="612" t="s">
        <v>153</v>
      </c>
      <c r="B528" s="601"/>
      <c r="C528" s="602"/>
      <c r="D528" s="288">
        <f>'Proposed Rates'!H318</f>
        <v>1.0230999999999999</v>
      </c>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1.25" customHeight="1">
      <c r="A529" s="612" t="s">
        <v>154</v>
      </c>
      <c r="B529" s="601"/>
      <c r="C529" s="602"/>
      <c r="D529" s="288">
        <f>'Proposed Rates'!H319</f>
        <v>1.0047999999999999</v>
      </c>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27.5" customHeight="1">
      <c r="A530" s="53"/>
      <c r="B530" s="53"/>
      <c r="C530" s="53"/>
      <c r="D530" s="11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1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1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1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1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1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1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1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1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1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1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1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1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1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1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1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1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1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1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1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1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1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1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1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1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1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1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1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1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1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1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1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1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1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1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1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1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1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1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1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1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1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1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1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1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1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1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1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1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1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1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1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1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1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1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1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1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1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1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1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1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1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1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1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1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1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1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1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1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1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1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1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1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1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1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1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1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1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1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1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1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1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1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1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1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1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1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1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1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1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1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1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1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1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1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1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1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1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1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1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1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1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1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1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1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1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1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1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1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1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1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1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1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1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1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1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1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1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1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1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1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1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1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27.5" customHeight="1">
      <c r="A653" s="53"/>
      <c r="B653" s="53"/>
      <c r="C653" s="53"/>
      <c r="D653" s="11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27.5" customHeight="1">
      <c r="A654" s="53"/>
      <c r="B654" s="53"/>
      <c r="C654" s="53"/>
      <c r="D654" s="11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27.5" customHeight="1">
      <c r="A655" s="53"/>
      <c r="B655" s="53"/>
      <c r="C655" s="53"/>
      <c r="D655" s="11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53"/>
      <c r="B656" s="53"/>
      <c r="C656" s="53"/>
      <c r="D656" s="11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1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1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1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1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1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1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1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1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1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1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1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1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1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1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1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1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1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1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1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1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1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1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1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1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1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1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1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1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1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1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1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1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1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1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1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1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1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1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1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1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1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1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1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1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1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1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1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1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1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1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1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1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1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1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1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1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1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1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1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1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1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1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1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1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1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1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1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1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1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1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c r="A727" s="53"/>
      <c r="B727" s="53"/>
      <c r="C727" s="53"/>
      <c r="D727" s="11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customHeight="1">
      <c r="A728" s="53"/>
      <c r="B728" s="53"/>
      <c r="C728" s="53"/>
      <c r="D728" s="11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customHeight="1">
      <c r="A729" s="53"/>
      <c r="B729" s="53"/>
      <c r="C729" s="53"/>
      <c r="D729" s="11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customHeight="1"/>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27">
    <mergeCell ref="A400:D400"/>
    <mergeCell ref="A402:D402"/>
    <mergeCell ref="A404:D404"/>
    <mergeCell ref="A406:D406"/>
    <mergeCell ref="A389:B389"/>
    <mergeCell ref="A391:D391"/>
    <mergeCell ref="A392:D392"/>
    <mergeCell ref="A393:D393"/>
    <mergeCell ref="A394:D394"/>
    <mergeCell ref="A395:D395"/>
    <mergeCell ref="A396:D396"/>
    <mergeCell ref="A397:D397"/>
    <mergeCell ref="A398:D398"/>
    <mergeCell ref="A373:D373"/>
    <mergeCell ref="A374:D374"/>
    <mergeCell ref="A375:D375"/>
    <mergeCell ref="A377:D377"/>
    <mergeCell ref="A379:D379"/>
    <mergeCell ref="A381:D381"/>
    <mergeCell ref="A383:D383"/>
    <mergeCell ref="A385:D385"/>
    <mergeCell ref="A387:D387"/>
    <mergeCell ref="A360:D360"/>
    <mergeCell ref="A362:D362"/>
    <mergeCell ref="A364:D364"/>
    <mergeCell ref="A366:B366"/>
    <mergeCell ref="A368:D368"/>
    <mergeCell ref="A369:D369"/>
    <mergeCell ref="A370:D370"/>
    <mergeCell ref="A371:D371"/>
    <mergeCell ref="A372:D372"/>
    <mergeCell ref="A347:D347"/>
    <mergeCell ref="A348:D348"/>
    <mergeCell ref="A349:D349"/>
    <mergeCell ref="A350:D350"/>
    <mergeCell ref="A351:D351"/>
    <mergeCell ref="A352:D352"/>
    <mergeCell ref="A354:D354"/>
    <mergeCell ref="A356:D356"/>
    <mergeCell ref="A358:D358"/>
    <mergeCell ref="A97:D97"/>
    <mergeCell ref="A177:D177"/>
    <mergeCell ref="A179:D179"/>
    <mergeCell ref="A181:D181"/>
    <mergeCell ref="A183:D183"/>
    <mergeCell ref="A184:D184"/>
    <mergeCell ref="A185:D185"/>
    <mergeCell ref="A186:D186"/>
    <mergeCell ref="A307:D307"/>
    <mergeCell ref="A175:D175"/>
    <mergeCell ref="A169:D169"/>
    <mergeCell ref="A170:D170"/>
    <mergeCell ref="A171:D171"/>
    <mergeCell ref="A172:D172"/>
    <mergeCell ref="A173:D173"/>
    <mergeCell ref="A126:D126"/>
    <mergeCell ref="A127:D127"/>
    <mergeCell ref="A128:D128"/>
    <mergeCell ref="A279:D279"/>
    <mergeCell ref="A281:D281"/>
    <mergeCell ref="A283:D283"/>
    <mergeCell ref="A285:D285"/>
    <mergeCell ref="A287:D287"/>
    <mergeCell ref="A289:D289"/>
    <mergeCell ref="A83:D83"/>
    <mergeCell ref="A84:D84"/>
    <mergeCell ref="A85:D85"/>
    <mergeCell ref="A87:D87"/>
    <mergeCell ref="A89:D89"/>
    <mergeCell ref="A91:D91"/>
    <mergeCell ref="A93:D93"/>
    <mergeCell ref="A95:D95"/>
    <mergeCell ref="A96:D96"/>
    <mergeCell ref="A52:D52"/>
    <mergeCell ref="A54:D54"/>
    <mergeCell ref="A56:D56"/>
    <mergeCell ref="A58:D58"/>
    <mergeCell ref="A78:D78"/>
    <mergeCell ref="A79:D79"/>
    <mergeCell ref="A80:D80"/>
    <mergeCell ref="A81:D81"/>
    <mergeCell ref="A82:D82"/>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144:D144"/>
    <mergeCell ref="A166:D166"/>
    <mergeCell ref="A167:D167"/>
    <mergeCell ref="A168:D168"/>
    <mergeCell ref="A129:D129"/>
    <mergeCell ref="A131:D131"/>
    <mergeCell ref="A133:D133"/>
    <mergeCell ref="A135:D135"/>
    <mergeCell ref="A137:D137"/>
    <mergeCell ref="A139:D139"/>
    <mergeCell ref="A140:D140"/>
    <mergeCell ref="A141:D141"/>
    <mergeCell ref="A142:D142"/>
    <mergeCell ref="A98:D98"/>
    <mergeCell ref="A100:D100"/>
    <mergeCell ref="A122:D122"/>
    <mergeCell ref="A123:D123"/>
    <mergeCell ref="A124:D124"/>
    <mergeCell ref="A125:D125"/>
    <mergeCell ref="A454:D454"/>
    <mergeCell ref="A481:B481"/>
    <mergeCell ref="A482:D482"/>
    <mergeCell ref="A308:D308"/>
    <mergeCell ref="A309:D309"/>
    <mergeCell ref="A310:D310"/>
    <mergeCell ref="A311:D311"/>
    <mergeCell ref="A312:D312"/>
    <mergeCell ref="A313:D313"/>
    <mergeCell ref="A314:D314"/>
    <mergeCell ref="A316:D316"/>
    <mergeCell ref="A318:D318"/>
    <mergeCell ref="A320:D320"/>
    <mergeCell ref="A322:D322"/>
    <mergeCell ref="A324:D324"/>
    <mergeCell ref="A326:D326"/>
    <mergeCell ref="A345:D345"/>
    <mergeCell ref="A346:D346"/>
    <mergeCell ref="A452:D452"/>
    <mergeCell ref="A438:B438"/>
    <mergeCell ref="A440:D440"/>
    <mergeCell ref="A441:D441"/>
    <mergeCell ref="A442:D442"/>
    <mergeCell ref="A443:D443"/>
    <mergeCell ref="A263:D263"/>
    <mergeCell ref="A270:D270"/>
    <mergeCell ref="A271:D271"/>
    <mergeCell ref="A272:D272"/>
    <mergeCell ref="A273:D273"/>
    <mergeCell ref="A274:D274"/>
    <mergeCell ref="A275:D275"/>
    <mergeCell ref="A276:D276"/>
    <mergeCell ref="A277:D277"/>
    <mergeCell ref="A248:D248"/>
    <mergeCell ref="A249:D249"/>
    <mergeCell ref="A250:D250"/>
    <mergeCell ref="A251:D251"/>
    <mergeCell ref="A253:D253"/>
    <mergeCell ref="A255:D255"/>
    <mergeCell ref="A257:D257"/>
    <mergeCell ref="A259:D259"/>
    <mergeCell ref="A261:D261"/>
    <mergeCell ref="A216:D216"/>
    <mergeCell ref="A218:D218"/>
    <mergeCell ref="A220:D220"/>
    <mergeCell ref="A222:D222"/>
    <mergeCell ref="A224:D224"/>
    <mergeCell ref="A244:D244"/>
    <mergeCell ref="A245:D245"/>
    <mergeCell ref="A246:D246"/>
    <mergeCell ref="A247:D247"/>
    <mergeCell ref="A188:D188"/>
    <mergeCell ref="A207:D207"/>
    <mergeCell ref="A208:D208"/>
    <mergeCell ref="A209:D209"/>
    <mergeCell ref="A210:D210"/>
    <mergeCell ref="A211:D211"/>
    <mergeCell ref="A212:D212"/>
    <mergeCell ref="A213:D213"/>
    <mergeCell ref="A214:D214"/>
    <mergeCell ref="A528:C528"/>
    <mergeCell ref="A529:C529"/>
    <mergeCell ref="A518:D518"/>
    <mergeCell ref="A519:D519"/>
    <mergeCell ref="A520:D520"/>
    <mergeCell ref="A521:D521"/>
    <mergeCell ref="A522:D522"/>
    <mergeCell ref="A525:D525"/>
    <mergeCell ref="A526:C526"/>
    <mergeCell ref="A487:D487"/>
    <mergeCell ref="A489:D489"/>
    <mergeCell ref="A491:D491"/>
    <mergeCell ref="A493:D493"/>
    <mergeCell ref="A495:D495"/>
    <mergeCell ref="A497:D497"/>
    <mergeCell ref="A517:D517"/>
    <mergeCell ref="A527:C527"/>
    <mergeCell ref="A483:D483"/>
    <mergeCell ref="A484:D484"/>
    <mergeCell ref="A485:D485"/>
    <mergeCell ref="A486:D486"/>
    <mergeCell ref="A444:D444"/>
    <mergeCell ref="A445:D445"/>
    <mergeCell ref="A448:D448"/>
    <mergeCell ref="A450:D450"/>
    <mergeCell ref="A420:D420"/>
    <mergeCell ref="A421:D421"/>
    <mergeCell ref="A423:D423"/>
    <mergeCell ref="A425:D425"/>
    <mergeCell ref="A427:D427"/>
    <mergeCell ref="A429:D429"/>
    <mergeCell ref="A431:D431"/>
    <mergeCell ref="A433:D433"/>
    <mergeCell ref="A435:B435"/>
    <mergeCell ref="A408:D408"/>
    <mergeCell ref="A410:D410"/>
    <mergeCell ref="A412:B412"/>
    <mergeCell ref="A414:D414"/>
    <mergeCell ref="A415:D415"/>
    <mergeCell ref="A416:D416"/>
    <mergeCell ref="A417:D417"/>
    <mergeCell ref="A418:D418"/>
    <mergeCell ref="A419:D419"/>
  </mergeCells>
  <pageMargins left="0.7" right="0.7" top="0.75" bottom="0.75" header="0" footer="0"/>
  <pageSetup scale="3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4"/>
  <sheetViews>
    <sheetView topLeftCell="A452" workbookViewId="0">
      <selection activeCell="D478" sqref="D478"/>
    </sheetView>
  </sheetViews>
  <sheetFormatPr defaultColWidth="12.5703125" defaultRowHeight="15" customHeight="1"/>
  <cols>
    <col min="1" max="1" width="70.42578125" customWidth="1"/>
    <col min="2" max="2" width="16.42578125" customWidth="1"/>
    <col min="3" max="3" width="10.42578125" customWidth="1"/>
    <col min="4" max="4" width="9.42578125" customWidth="1"/>
    <col min="5" max="24" width="9.140625" customWidth="1"/>
  </cols>
  <sheetData>
    <row r="1" spans="1:26" ht="23.25" customHeight="1">
      <c r="A1" s="600" t="s">
        <v>26</v>
      </c>
      <c r="B1" s="601"/>
      <c r="C1" s="601"/>
      <c r="D1" s="602"/>
      <c r="E1" s="53"/>
      <c r="F1" s="53"/>
      <c r="G1" s="53"/>
      <c r="H1" s="53"/>
      <c r="I1" s="53"/>
      <c r="J1" s="53"/>
      <c r="K1" s="53"/>
      <c r="L1" s="53"/>
      <c r="M1" s="53"/>
      <c r="N1" s="53"/>
      <c r="O1" s="53"/>
      <c r="P1" s="53"/>
      <c r="Q1" s="53"/>
      <c r="R1" s="53"/>
      <c r="S1" s="53"/>
      <c r="T1" s="53"/>
      <c r="U1" s="53"/>
      <c r="V1" s="53"/>
      <c r="W1" s="53"/>
      <c r="X1" s="53"/>
      <c r="Y1" s="53"/>
      <c r="Z1" s="53"/>
    </row>
    <row r="2" spans="1:26" ht="18" customHeight="1">
      <c r="A2" s="603" t="s">
        <v>27</v>
      </c>
      <c r="B2" s="601"/>
      <c r="C2" s="601"/>
      <c r="D2" s="602"/>
      <c r="E2" s="53"/>
      <c r="F2" s="53"/>
      <c r="G2" s="53"/>
      <c r="H2" s="53"/>
      <c r="I2" s="53"/>
      <c r="J2" s="53"/>
      <c r="K2" s="53"/>
      <c r="L2" s="53"/>
      <c r="M2" s="53"/>
      <c r="N2" s="53"/>
      <c r="O2" s="53"/>
      <c r="P2" s="53"/>
      <c r="Q2" s="53"/>
      <c r="R2" s="53"/>
      <c r="S2" s="53"/>
      <c r="T2" s="53"/>
      <c r="U2" s="53"/>
      <c r="V2" s="53"/>
      <c r="W2" s="53"/>
      <c r="X2" s="53"/>
      <c r="Y2" s="53"/>
      <c r="Z2" s="53"/>
    </row>
    <row r="3" spans="1:26" ht="15.75" customHeight="1">
      <c r="A3" s="604" t="s">
        <v>215</v>
      </c>
      <c r="B3" s="601"/>
      <c r="C3" s="601"/>
      <c r="D3" s="602"/>
      <c r="E3" s="53"/>
      <c r="F3" s="53"/>
      <c r="G3" s="53"/>
      <c r="H3" s="53"/>
      <c r="I3" s="53"/>
      <c r="J3" s="53"/>
      <c r="K3" s="53"/>
      <c r="L3" s="53"/>
      <c r="M3" s="53"/>
      <c r="N3" s="53"/>
      <c r="O3" s="53"/>
      <c r="P3" s="53"/>
      <c r="Q3" s="53"/>
      <c r="R3" s="53"/>
      <c r="S3" s="53"/>
      <c r="T3" s="53"/>
      <c r="U3" s="53"/>
      <c r="V3" s="53"/>
      <c r="W3" s="53"/>
      <c r="X3" s="53"/>
      <c r="Y3" s="53"/>
      <c r="Z3" s="53"/>
    </row>
    <row r="4" spans="1:26" ht="11.25" customHeight="1">
      <c r="A4" s="605" t="s">
        <v>29</v>
      </c>
      <c r="B4" s="601"/>
      <c r="C4" s="601"/>
      <c r="D4" s="602"/>
      <c r="E4" s="53"/>
      <c r="F4" s="53"/>
      <c r="G4" s="53"/>
      <c r="H4" s="53"/>
      <c r="I4" s="53"/>
      <c r="J4" s="53"/>
      <c r="K4" s="53"/>
      <c r="L4" s="53"/>
      <c r="M4" s="53"/>
      <c r="N4" s="53"/>
      <c r="O4" s="53"/>
      <c r="P4" s="53"/>
      <c r="Q4" s="53"/>
      <c r="R4" s="53"/>
      <c r="S4" s="53"/>
      <c r="T4" s="53"/>
      <c r="U4" s="53"/>
      <c r="V4" s="53"/>
      <c r="W4" s="53"/>
      <c r="X4" s="53"/>
      <c r="Y4" s="53"/>
      <c r="Z4" s="53"/>
    </row>
    <row r="5" spans="1:26" ht="11.25" customHeight="1">
      <c r="A5" s="605" t="s">
        <v>30</v>
      </c>
      <c r="B5" s="601"/>
      <c r="C5" s="601"/>
      <c r="D5" s="602"/>
      <c r="E5" s="53"/>
      <c r="F5" s="53"/>
      <c r="G5" s="53"/>
      <c r="H5" s="53"/>
      <c r="I5" s="53"/>
      <c r="J5" s="53"/>
      <c r="K5" s="53"/>
      <c r="L5" s="53"/>
      <c r="M5" s="53"/>
      <c r="N5" s="53"/>
      <c r="O5" s="53"/>
      <c r="P5" s="53"/>
      <c r="Q5" s="53"/>
      <c r="R5" s="53"/>
      <c r="S5" s="53"/>
      <c r="T5" s="53"/>
      <c r="U5" s="53"/>
      <c r="V5" s="53"/>
      <c r="W5" s="53"/>
      <c r="X5" s="53"/>
      <c r="Y5" s="53"/>
      <c r="Z5" s="53"/>
    </row>
    <row r="6" spans="1:26" ht="11.25" customHeight="1">
      <c r="A6" s="606" t="s">
        <v>31</v>
      </c>
      <c r="B6" s="601"/>
      <c r="C6" s="601"/>
      <c r="D6" s="602"/>
      <c r="E6" s="53"/>
      <c r="F6" s="53"/>
      <c r="G6" s="53"/>
      <c r="H6" s="53"/>
      <c r="I6" s="53"/>
      <c r="J6" s="53"/>
      <c r="K6" s="53"/>
      <c r="L6" s="53"/>
      <c r="M6" s="53"/>
      <c r="N6" s="53"/>
      <c r="O6" s="53"/>
      <c r="P6" s="53"/>
      <c r="Q6" s="53"/>
      <c r="R6" s="53"/>
      <c r="S6" s="53"/>
      <c r="T6" s="53"/>
      <c r="U6" s="53"/>
      <c r="V6" s="53"/>
      <c r="W6" s="53"/>
      <c r="X6" s="53"/>
      <c r="Y6" s="53"/>
      <c r="Z6" s="53"/>
    </row>
    <row r="7" spans="1:26" ht="18.75" customHeight="1">
      <c r="A7" s="607" t="s">
        <v>32</v>
      </c>
      <c r="B7" s="601"/>
      <c r="C7" s="601"/>
      <c r="D7" s="602"/>
      <c r="E7" s="53"/>
      <c r="F7" s="53"/>
      <c r="G7" s="53"/>
      <c r="H7" s="53"/>
      <c r="I7" s="53"/>
      <c r="J7" s="53"/>
      <c r="K7" s="53"/>
      <c r="L7" s="53"/>
      <c r="M7" s="53"/>
      <c r="N7" s="53"/>
      <c r="O7" s="53"/>
      <c r="P7" s="53"/>
      <c r="Q7" s="53"/>
      <c r="R7" s="53"/>
      <c r="S7" s="53"/>
      <c r="T7" s="53"/>
      <c r="U7" s="53"/>
      <c r="V7" s="53"/>
      <c r="W7" s="53"/>
      <c r="X7" s="53"/>
      <c r="Y7" s="53"/>
      <c r="Z7" s="53"/>
    </row>
    <row r="8" spans="1:26" ht="72" customHeight="1">
      <c r="A8" s="608" t="s">
        <v>33</v>
      </c>
      <c r="B8" s="601"/>
      <c r="C8" s="601"/>
      <c r="D8" s="602"/>
      <c r="E8" s="53"/>
      <c r="F8" s="302"/>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9" t="s">
        <v>34</v>
      </c>
      <c r="B10" s="601"/>
      <c r="C10" s="601"/>
      <c r="D10" s="602"/>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8" t="s">
        <v>35</v>
      </c>
      <c r="B12" s="601"/>
      <c r="C12" s="601"/>
      <c r="D12" s="602"/>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8" t="s">
        <v>36</v>
      </c>
      <c r="B14" s="601"/>
      <c r="C14" s="601"/>
      <c r="D14" s="602"/>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8" t="s">
        <v>37</v>
      </c>
      <c r="B16" s="601"/>
      <c r="C16" s="601"/>
      <c r="D16" s="602"/>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8" t="s">
        <v>38</v>
      </c>
      <c r="B18" s="601"/>
      <c r="C18" s="601"/>
      <c r="D18" s="602"/>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70" t="s">
        <v>39</v>
      </c>
      <c r="B20" s="63"/>
      <c r="C20" s="63"/>
      <c r="D20" s="63"/>
      <c r="E20" s="53"/>
      <c r="F20" s="53"/>
      <c r="G20" s="53"/>
      <c r="H20" s="53"/>
      <c r="I20" s="53"/>
      <c r="J20" s="53"/>
      <c r="K20" s="53"/>
      <c r="L20" s="53"/>
      <c r="M20" s="53"/>
      <c r="N20" s="53"/>
      <c r="O20" s="53"/>
      <c r="P20" s="53"/>
      <c r="Q20" s="53"/>
      <c r="R20" s="53"/>
      <c r="S20" s="53"/>
      <c r="T20" s="53"/>
      <c r="U20" s="53"/>
      <c r="V20" s="53"/>
      <c r="W20" s="53"/>
      <c r="X20" s="53"/>
      <c r="Y20" s="53"/>
      <c r="Z20" s="53"/>
    </row>
    <row r="21" spans="1:26" ht="6" customHeight="1">
      <c r="A21" s="59"/>
      <c r="B21" s="60"/>
      <c r="C21" s="60"/>
      <c r="D21" s="61"/>
      <c r="E21" s="53"/>
      <c r="F21" s="53"/>
      <c r="G21" s="53"/>
      <c r="H21" s="53"/>
      <c r="I21" s="53"/>
      <c r="J21" s="53"/>
      <c r="K21" s="53"/>
      <c r="L21" s="53"/>
      <c r="M21" s="53"/>
      <c r="N21" s="53"/>
      <c r="O21" s="53"/>
      <c r="P21" s="53"/>
      <c r="Q21" s="53"/>
      <c r="R21" s="53"/>
      <c r="S21" s="53"/>
      <c r="T21" s="53"/>
      <c r="U21" s="53"/>
      <c r="V21" s="53"/>
      <c r="W21" s="53"/>
      <c r="X21" s="53"/>
      <c r="Y21" s="53"/>
      <c r="Z21" s="53"/>
    </row>
    <row r="22" spans="1:26" ht="12" customHeight="1">
      <c r="A22" s="62" t="s">
        <v>40</v>
      </c>
      <c r="B22" s="63"/>
      <c r="C22" s="64" t="s">
        <v>41</v>
      </c>
      <c r="D22" s="284">
        <f>'Proposed Rates'!I8</f>
        <v>46.98</v>
      </c>
      <c r="E22" s="53"/>
      <c r="F22" s="53"/>
      <c r="G22" s="53"/>
      <c r="H22" s="53"/>
      <c r="I22" s="53"/>
      <c r="J22" s="53"/>
      <c r="K22" s="53"/>
      <c r="L22" s="53"/>
      <c r="M22" s="53"/>
      <c r="N22" s="53"/>
      <c r="O22" s="53"/>
      <c r="P22" s="53"/>
      <c r="Q22" s="53"/>
      <c r="R22" s="53"/>
      <c r="S22" s="53"/>
      <c r="T22" s="53"/>
      <c r="U22" s="53"/>
      <c r="V22" s="53"/>
      <c r="W22" s="53"/>
      <c r="X22" s="53"/>
      <c r="Y22" s="53"/>
      <c r="Z22" s="53"/>
    </row>
    <row r="23" spans="1:26" ht="12" hidden="1" customHeight="1">
      <c r="A23" s="62" t="s">
        <v>42</v>
      </c>
      <c r="B23" s="63"/>
      <c r="C23" s="64" t="s">
        <v>41</v>
      </c>
      <c r="D23" s="285">
        <f>'Proposed Rates'!I90</f>
        <v>0</v>
      </c>
      <c r="E23" s="53"/>
      <c r="F23" s="53"/>
      <c r="G23" s="53"/>
      <c r="H23" s="53"/>
      <c r="I23" s="53"/>
      <c r="J23" s="53"/>
      <c r="K23" s="53"/>
      <c r="L23" s="53"/>
      <c r="M23" s="53"/>
      <c r="N23" s="53"/>
      <c r="O23" s="53"/>
      <c r="P23" s="53"/>
      <c r="Q23" s="53"/>
      <c r="R23" s="53"/>
      <c r="S23" s="53"/>
      <c r="T23" s="53"/>
      <c r="U23" s="53"/>
      <c r="V23" s="53"/>
      <c r="W23" s="53"/>
      <c r="X23" s="53"/>
      <c r="Y23" s="53"/>
      <c r="Z23" s="53"/>
    </row>
    <row r="24" spans="1:26" ht="12" customHeight="1">
      <c r="A24" s="62" t="s">
        <v>43</v>
      </c>
      <c r="B24" s="63"/>
      <c r="C24" s="64" t="s">
        <v>41</v>
      </c>
      <c r="D24" s="286">
        <f>'Proposed Rates'!I64</f>
        <v>0</v>
      </c>
      <c r="E24" s="53"/>
      <c r="F24" s="53"/>
      <c r="G24" s="53"/>
      <c r="H24" s="53"/>
      <c r="I24" s="53"/>
      <c r="J24" s="53"/>
      <c r="K24" s="53"/>
      <c r="L24" s="53"/>
      <c r="M24" s="53"/>
      <c r="N24" s="53"/>
      <c r="O24" s="53"/>
      <c r="P24" s="53"/>
      <c r="Q24" s="53"/>
      <c r="R24" s="53"/>
      <c r="S24" s="53"/>
      <c r="T24" s="53"/>
      <c r="U24" s="53"/>
      <c r="V24" s="53"/>
      <c r="W24" s="53"/>
      <c r="X24" s="53"/>
      <c r="Y24" s="53"/>
      <c r="Z24" s="53"/>
    </row>
    <row r="25" spans="1:26" ht="12" customHeight="1">
      <c r="A25" s="62" t="s">
        <v>44</v>
      </c>
      <c r="B25" s="63"/>
      <c r="C25" s="64" t="s">
        <v>41</v>
      </c>
      <c r="D25" s="286">
        <f>'Proposed Rates'!I277</f>
        <v>0.44</v>
      </c>
      <c r="E25" s="53"/>
      <c r="F25" s="53"/>
      <c r="G25" s="53"/>
      <c r="H25" s="53"/>
      <c r="I25" s="53"/>
      <c r="J25" s="53"/>
      <c r="K25" s="53"/>
      <c r="L25" s="53"/>
      <c r="M25" s="53"/>
      <c r="N25" s="53"/>
      <c r="O25" s="53"/>
      <c r="P25" s="53"/>
      <c r="Q25" s="53"/>
      <c r="R25" s="53"/>
      <c r="S25" s="53"/>
      <c r="T25" s="53"/>
      <c r="U25" s="53"/>
      <c r="V25" s="53"/>
      <c r="W25" s="53"/>
      <c r="X25" s="53"/>
      <c r="Y25" s="53"/>
      <c r="Z25" s="53"/>
    </row>
    <row r="26" spans="1:26" ht="12" customHeight="1">
      <c r="A26" s="62" t="s">
        <v>45</v>
      </c>
      <c r="B26" s="63"/>
      <c r="C26" s="64" t="s">
        <v>46</v>
      </c>
      <c r="D26" s="287">
        <f>'Proposed Rates'!I264</f>
        <v>8.0000000000000007E-5</v>
      </c>
      <c r="E26" s="53"/>
      <c r="F26" s="53"/>
      <c r="G26" s="53"/>
      <c r="H26" s="53"/>
      <c r="I26" s="53"/>
      <c r="J26" s="53"/>
      <c r="K26" s="53"/>
      <c r="L26" s="53"/>
      <c r="M26" s="53"/>
      <c r="N26" s="53"/>
      <c r="O26" s="53"/>
      <c r="P26" s="53"/>
      <c r="Q26" s="53"/>
      <c r="R26" s="53"/>
      <c r="S26" s="53"/>
      <c r="T26" s="53"/>
      <c r="U26" s="53"/>
      <c r="V26" s="53"/>
      <c r="W26" s="53"/>
      <c r="X26" s="53"/>
      <c r="Y26" s="53"/>
      <c r="Z26" s="53"/>
    </row>
    <row r="27" spans="1:26" ht="12" hidden="1" customHeight="1">
      <c r="A27" s="62" t="s">
        <v>47</v>
      </c>
      <c r="B27" s="63"/>
      <c r="C27" s="64" t="s">
        <v>46</v>
      </c>
      <c r="D27" s="285">
        <f>'Proposed Rates'!I37</f>
        <v>0</v>
      </c>
      <c r="E27" s="53"/>
      <c r="F27" s="53"/>
      <c r="G27" s="53"/>
      <c r="H27" s="53"/>
      <c r="I27" s="53"/>
      <c r="J27" s="53"/>
      <c r="K27" s="53"/>
      <c r="L27" s="53"/>
      <c r="M27" s="53"/>
      <c r="N27" s="53"/>
      <c r="O27" s="53"/>
      <c r="P27" s="53"/>
      <c r="Q27" s="53"/>
      <c r="R27" s="53"/>
      <c r="S27" s="53"/>
      <c r="T27" s="53"/>
      <c r="U27" s="53"/>
      <c r="V27" s="53"/>
      <c r="W27" s="53"/>
      <c r="X27" s="53"/>
      <c r="Y27" s="53"/>
      <c r="Z27" s="53"/>
    </row>
    <row r="28" spans="1:26" ht="12" hidden="1" customHeight="1">
      <c r="A28" s="62" t="s">
        <v>48</v>
      </c>
      <c r="B28" s="63"/>
      <c r="C28" s="64" t="s">
        <v>46</v>
      </c>
      <c r="D28" s="285">
        <f>'Proposed Rates'!I142</f>
        <v>0</v>
      </c>
      <c r="E28" s="53"/>
      <c r="F28" s="53"/>
      <c r="G28" s="53"/>
      <c r="H28" s="53"/>
      <c r="I28" s="53"/>
      <c r="J28" s="53"/>
      <c r="K28" s="53"/>
      <c r="L28" s="53"/>
      <c r="M28" s="53"/>
      <c r="N28" s="53"/>
      <c r="O28" s="53"/>
      <c r="P28" s="53"/>
      <c r="Q28" s="53"/>
      <c r="R28" s="53"/>
      <c r="S28" s="53"/>
      <c r="T28" s="53"/>
      <c r="U28" s="53"/>
      <c r="V28" s="53"/>
      <c r="W28" s="53"/>
      <c r="X28" s="53"/>
      <c r="Y28" s="53"/>
      <c r="Z28" s="53"/>
    </row>
    <row r="29" spans="1:26" ht="12" customHeight="1">
      <c r="A29" s="62" t="s">
        <v>49</v>
      </c>
      <c r="B29" s="63"/>
      <c r="C29" s="64" t="s">
        <v>46</v>
      </c>
      <c r="D29" s="285">
        <f>'Proposed Rates'!I183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2" customHeight="1">
      <c r="A30" s="62" t="s">
        <v>50</v>
      </c>
      <c r="B30" s="63"/>
      <c r="C30" s="64" t="s">
        <v>46</v>
      </c>
      <c r="D30" s="285">
        <f>'Proposed Rates'!I198</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85"/>
      <c r="B31" s="85"/>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9"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82"/>
      <c r="B33" s="85"/>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2" customHeight="1">
      <c r="A34" s="62" t="s">
        <v>52</v>
      </c>
      <c r="B34" s="63"/>
      <c r="C34" s="64" t="s">
        <v>46</v>
      </c>
      <c r="D34" s="66">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2" customHeight="1">
      <c r="A35" s="62" t="s">
        <v>53</v>
      </c>
      <c r="B35" s="63"/>
      <c r="C35" s="64" t="s">
        <v>46</v>
      </c>
      <c r="D35" s="66">
        <f>'Proposed Rates'!I213-'2026'!D35</f>
        <v>5.9999999999999984E-4</v>
      </c>
      <c r="E35" s="53"/>
      <c r="F35" s="53"/>
      <c r="G35" s="53"/>
      <c r="H35" s="53"/>
      <c r="I35" s="53"/>
      <c r="J35" s="53"/>
      <c r="K35" s="53"/>
      <c r="L35" s="53"/>
      <c r="M35" s="53"/>
      <c r="N35" s="53"/>
      <c r="O35" s="53"/>
      <c r="P35" s="53"/>
      <c r="Q35" s="53"/>
      <c r="R35" s="53"/>
      <c r="S35" s="53"/>
      <c r="T35" s="53"/>
      <c r="U35" s="53"/>
      <c r="V35" s="53"/>
      <c r="W35" s="53"/>
      <c r="X35" s="53"/>
      <c r="Y35" s="53"/>
      <c r="Z35" s="53"/>
    </row>
    <row r="36" spans="1:26" ht="12" customHeight="1">
      <c r="A36" s="62" t="s">
        <v>54</v>
      </c>
      <c r="B36" s="63"/>
      <c r="C36" s="64" t="s">
        <v>46</v>
      </c>
      <c r="D36" s="66">
        <f>'Proposed Rates'!I226</f>
        <v>5.9999999999999995E-4</v>
      </c>
      <c r="E36" s="53"/>
      <c r="F36" s="53"/>
      <c r="G36" s="53"/>
      <c r="H36" s="53"/>
      <c r="I36" s="53"/>
      <c r="J36" s="53"/>
      <c r="K36" s="53"/>
      <c r="L36" s="53"/>
      <c r="M36" s="53"/>
      <c r="N36" s="53"/>
      <c r="O36" s="53"/>
      <c r="P36" s="53"/>
      <c r="Q36" s="53"/>
      <c r="R36" s="53"/>
      <c r="S36" s="53"/>
      <c r="T36" s="53"/>
      <c r="U36" s="53"/>
      <c r="V36" s="53"/>
      <c r="W36" s="53"/>
      <c r="X36" s="53"/>
      <c r="Y36" s="53"/>
      <c r="Z36" s="53"/>
    </row>
    <row r="37" spans="1:26" ht="12" customHeight="1">
      <c r="A37" s="62" t="s">
        <v>55</v>
      </c>
      <c r="B37" s="63"/>
      <c r="C37" s="64" t="s">
        <v>41</v>
      </c>
      <c r="D37" s="66">
        <f>'Proposed Rates'!I240</f>
        <v>0.25</v>
      </c>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1.75" customHeight="1">
      <c r="A39" s="600" t="str">
        <f>$A$1</f>
        <v>Hydro Ottawa Limited</v>
      </c>
      <c r="B39" s="601"/>
      <c r="C39" s="601"/>
      <c r="D39" s="602"/>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c r="A40" s="603" t="str">
        <f>$A$2</f>
        <v>PROPOSED - TARIFF OF RATES AND CHARGES</v>
      </c>
      <c r="B40" s="601"/>
      <c r="C40" s="601"/>
      <c r="D40" s="602"/>
      <c r="E40" s="53"/>
      <c r="F40" s="53"/>
      <c r="G40" s="53"/>
      <c r="H40" s="53"/>
      <c r="I40" s="53"/>
      <c r="J40" s="53"/>
      <c r="K40" s="53"/>
      <c r="L40" s="53"/>
      <c r="M40" s="53"/>
      <c r="N40" s="53"/>
      <c r="O40" s="53"/>
      <c r="P40" s="53"/>
      <c r="Q40" s="53"/>
      <c r="R40" s="53"/>
      <c r="S40" s="53"/>
      <c r="T40" s="53"/>
      <c r="U40" s="53"/>
      <c r="V40" s="53"/>
      <c r="W40" s="53"/>
      <c r="X40" s="53"/>
      <c r="Y40" s="53"/>
      <c r="Z40" s="53"/>
    </row>
    <row r="41" spans="1:26" ht="15" customHeight="1">
      <c r="A41" s="604" t="str">
        <f>$A$3</f>
        <v>Effective and Implementation Date January 1, 2029</v>
      </c>
      <c r="B41" s="601"/>
      <c r="C41" s="601"/>
      <c r="D41" s="602"/>
      <c r="E41" s="53"/>
      <c r="F41" s="53"/>
      <c r="G41" s="53"/>
      <c r="H41" s="53"/>
      <c r="I41" s="53"/>
      <c r="J41" s="53"/>
      <c r="K41" s="53"/>
      <c r="L41" s="53"/>
      <c r="M41" s="53"/>
      <c r="N41" s="53"/>
      <c r="O41" s="53"/>
      <c r="P41" s="53"/>
      <c r="Q41" s="53"/>
      <c r="R41" s="53"/>
      <c r="S41" s="53"/>
      <c r="T41" s="53"/>
      <c r="U41" s="53"/>
      <c r="V41" s="53"/>
      <c r="W41" s="53"/>
      <c r="X41" s="53"/>
      <c r="Y41" s="53"/>
      <c r="Z41" s="53"/>
    </row>
    <row r="42" spans="1:26" ht="15" customHeight="1">
      <c r="A42" s="605" t="str">
        <f>$A$4</f>
        <v>This schedule supersedes and replaces all previously</v>
      </c>
      <c r="B42" s="601"/>
      <c r="C42" s="601"/>
      <c r="D42" s="602"/>
      <c r="E42" s="53"/>
      <c r="F42" s="53"/>
      <c r="G42" s="53"/>
      <c r="H42" s="53"/>
      <c r="I42" s="53"/>
      <c r="J42" s="53"/>
      <c r="K42" s="53"/>
      <c r="L42" s="53"/>
      <c r="M42" s="53"/>
      <c r="N42" s="53"/>
      <c r="O42" s="53"/>
      <c r="P42" s="53"/>
      <c r="Q42" s="53"/>
      <c r="R42" s="53"/>
      <c r="S42" s="53"/>
      <c r="T42" s="53"/>
      <c r="U42" s="53"/>
      <c r="V42" s="53"/>
      <c r="W42" s="53"/>
      <c r="X42" s="53"/>
      <c r="Y42" s="53"/>
      <c r="Z42" s="53"/>
    </row>
    <row r="43" spans="1:26" ht="15" customHeight="1">
      <c r="A43" s="605" t="str">
        <f>$A$5</f>
        <v>approved schedules of Rates, Charges and Loss Factors</v>
      </c>
      <c r="B43" s="601"/>
      <c r="C43" s="601"/>
      <c r="D43" s="602"/>
      <c r="E43" s="53"/>
      <c r="F43" s="53"/>
      <c r="G43" s="53"/>
      <c r="H43" s="53"/>
      <c r="I43" s="53"/>
      <c r="J43" s="53"/>
      <c r="K43" s="53"/>
      <c r="L43" s="53"/>
      <c r="M43" s="53"/>
      <c r="N43" s="53"/>
      <c r="O43" s="53"/>
      <c r="P43" s="53"/>
      <c r="Q43" s="53"/>
      <c r="R43" s="53"/>
      <c r="S43" s="53"/>
      <c r="T43" s="53"/>
      <c r="U43" s="53"/>
      <c r="V43" s="53"/>
      <c r="W43" s="53"/>
      <c r="X43" s="53"/>
      <c r="Y43" s="53"/>
      <c r="Z43" s="53"/>
    </row>
    <row r="44" spans="1:26" ht="9" customHeight="1">
      <c r="A44" s="606" t="str">
        <f>$A$6</f>
        <v>EB-2024-0115</v>
      </c>
      <c r="B44" s="601"/>
      <c r="C44" s="601"/>
      <c r="D44" s="602"/>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7" t="s">
        <v>56</v>
      </c>
      <c r="B45" s="601"/>
      <c r="C45" s="601"/>
      <c r="D45" s="602"/>
      <c r="E45" s="71"/>
      <c r="F45" s="71"/>
      <c r="G45" s="71"/>
      <c r="H45" s="71"/>
      <c r="I45" s="71"/>
      <c r="J45" s="71"/>
      <c r="K45" s="71"/>
      <c r="L45" s="71"/>
      <c r="M45" s="71"/>
      <c r="N45" s="71"/>
      <c r="O45" s="71"/>
      <c r="P45" s="71"/>
      <c r="Q45" s="71"/>
      <c r="R45" s="71"/>
      <c r="S45" s="71"/>
      <c r="T45" s="71"/>
      <c r="U45" s="71"/>
      <c r="V45" s="71"/>
      <c r="W45" s="71"/>
      <c r="X45" s="71"/>
      <c r="Y45" s="71"/>
      <c r="Z45" s="71"/>
    </row>
    <row r="46" spans="1:26" ht="48" customHeight="1">
      <c r="A46" s="608" t="s">
        <v>57</v>
      </c>
      <c r="B46" s="601"/>
      <c r="C46" s="601"/>
      <c r="D46" s="602"/>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9" t="s">
        <v>34</v>
      </c>
      <c r="B48" s="601"/>
      <c r="C48" s="601"/>
      <c r="D48" s="602"/>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8" t="s">
        <v>35</v>
      </c>
      <c r="B50" s="601"/>
      <c r="C50" s="601"/>
      <c r="D50" s="602"/>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8" t="s">
        <v>36</v>
      </c>
      <c r="B52" s="601"/>
      <c r="C52" s="601"/>
      <c r="D52" s="602"/>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8" t="s">
        <v>37</v>
      </c>
      <c r="B54" s="601"/>
      <c r="C54" s="601"/>
      <c r="D54" s="602"/>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8" t="s">
        <v>58</v>
      </c>
      <c r="B56" s="601"/>
      <c r="C56" s="601"/>
      <c r="D56" s="602"/>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70" t="s">
        <v>39</v>
      </c>
      <c r="B58" s="63"/>
      <c r="C58" s="63"/>
      <c r="D58" s="63"/>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2" customHeight="1">
      <c r="A60" s="62" t="s">
        <v>40</v>
      </c>
      <c r="B60" s="63"/>
      <c r="C60" s="64" t="s">
        <v>41</v>
      </c>
      <c r="D60" s="284">
        <f>'Proposed Rates'!I9</f>
        <v>30.86</v>
      </c>
      <c r="E60" s="53"/>
      <c r="F60" s="53"/>
      <c r="G60" s="53"/>
      <c r="H60" s="53"/>
      <c r="I60" s="53"/>
      <c r="J60" s="53"/>
      <c r="K60" s="53"/>
      <c r="L60" s="53"/>
      <c r="M60" s="53"/>
      <c r="N60" s="53"/>
      <c r="O60" s="53"/>
      <c r="P60" s="53"/>
      <c r="Q60" s="53"/>
      <c r="R60" s="53"/>
      <c r="S60" s="53"/>
      <c r="T60" s="53"/>
      <c r="U60" s="53"/>
      <c r="V60" s="53"/>
      <c r="W60" s="53"/>
      <c r="X60" s="53"/>
      <c r="Y60" s="53"/>
      <c r="Z60" s="53"/>
    </row>
    <row r="61" spans="1:26" ht="12" customHeight="1">
      <c r="A61" s="62" t="s">
        <v>44</v>
      </c>
      <c r="B61" s="63"/>
      <c r="C61" s="64" t="s">
        <v>41</v>
      </c>
      <c r="D61" s="286">
        <f>'Proposed Rates'!I278</f>
        <v>0.44</v>
      </c>
      <c r="E61" s="53"/>
      <c r="F61" s="53"/>
      <c r="G61" s="53"/>
      <c r="H61" s="53"/>
      <c r="I61" s="53"/>
      <c r="J61" s="53"/>
      <c r="K61" s="53"/>
      <c r="L61" s="53"/>
      <c r="M61" s="53"/>
      <c r="N61" s="53"/>
      <c r="O61" s="53"/>
      <c r="P61" s="53"/>
      <c r="Q61" s="53"/>
      <c r="R61" s="53"/>
      <c r="S61" s="53"/>
      <c r="T61" s="53"/>
      <c r="U61" s="53"/>
      <c r="V61" s="53"/>
      <c r="W61" s="53"/>
      <c r="X61" s="53"/>
      <c r="Y61" s="53"/>
      <c r="Z61" s="53"/>
    </row>
    <row r="62" spans="1:26" ht="12" customHeight="1">
      <c r="A62" s="62" t="s">
        <v>59</v>
      </c>
      <c r="B62" s="63"/>
      <c r="C62" s="64" t="s">
        <v>46</v>
      </c>
      <c r="D62" s="285">
        <f>'Proposed Rates'!I22</f>
        <v>0.04</v>
      </c>
      <c r="E62" s="53"/>
      <c r="F62" s="53"/>
      <c r="G62" s="53"/>
      <c r="H62" s="53"/>
      <c r="I62" s="53"/>
      <c r="J62" s="53"/>
      <c r="K62" s="53"/>
      <c r="L62" s="53"/>
      <c r="M62" s="53"/>
      <c r="N62" s="53"/>
      <c r="O62" s="53"/>
      <c r="P62" s="53"/>
      <c r="Q62" s="53"/>
      <c r="R62" s="53"/>
      <c r="S62" s="53"/>
      <c r="T62" s="53"/>
      <c r="U62" s="53"/>
      <c r="V62" s="53"/>
      <c r="W62" s="53"/>
      <c r="X62" s="53"/>
      <c r="Y62" s="53"/>
      <c r="Z62" s="53"/>
    </row>
    <row r="63" spans="1:26" ht="12" customHeight="1">
      <c r="A63" s="62" t="s">
        <v>45</v>
      </c>
      <c r="B63" s="63"/>
      <c r="C63" s="64" t="s">
        <v>46</v>
      </c>
      <c r="D63" s="287">
        <f>'Proposed Rates'!I265</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2" hidden="1" customHeight="1">
      <c r="A64" s="62" t="s">
        <v>47</v>
      </c>
      <c r="B64" s="63"/>
      <c r="C64" s="64" t="s">
        <v>46</v>
      </c>
      <c r="D64" s="285">
        <f>'Proposed Rates'!I38</f>
        <v>0</v>
      </c>
      <c r="E64" s="53"/>
      <c r="F64" s="53"/>
      <c r="G64" s="53"/>
      <c r="H64" s="53"/>
      <c r="I64" s="53"/>
      <c r="J64" s="53"/>
      <c r="K64" s="53"/>
      <c r="L64" s="53"/>
      <c r="M64" s="53"/>
      <c r="N64" s="53"/>
      <c r="O64" s="53"/>
      <c r="P64" s="53"/>
      <c r="Q64" s="53"/>
      <c r="R64" s="53"/>
      <c r="S64" s="53"/>
      <c r="T64" s="53"/>
      <c r="U64" s="53"/>
      <c r="V64" s="53"/>
      <c r="W64" s="53"/>
      <c r="X64" s="53"/>
      <c r="Y64" s="53"/>
      <c r="Z64" s="53"/>
    </row>
    <row r="65" spans="1:26" ht="12" hidden="1" customHeight="1">
      <c r="A65" s="62" t="s">
        <v>43</v>
      </c>
      <c r="B65" s="63"/>
      <c r="C65" s="64" t="s">
        <v>46</v>
      </c>
      <c r="D65" s="285">
        <f>'Proposed Rates'!I65</f>
        <v>0</v>
      </c>
      <c r="E65" s="53"/>
      <c r="F65" s="53"/>
      <c r="G65" s="53"/>
      <c r="H65" s="53"/>
      <c r="I65" s="53"/>
      <c r="J65" s="53"/>
      <c r="K65" s="53"/>
      <c r="L65" s="53"/>
      <c r="M65" s="53"/>
      <c r="N65" s="53"/>
      <c r="O65" s="53"/>
      <c r="P65" s="53"/>
      <c r="Q65" s="53"/>
      <c r="R65" s="53"/>
      <c r="S65" s="53"/>
      <c r="T65" s="53"/>
      <c r="U65" s="53"/>
      <c r="V65" s="53"/>
      <c r="W65" s="53"/>
      <c r="X65" s="53"/>
      <c r="Y65" s="53"/>
      <c r="Z65" s="53"/>
    </row>
    <row r="66" spans="1:26" ht="12" hidden="1" customHeight="1">
      <c r="A66" s="62" t="s">
        <v>42</v>
      </c>
      <c r="B66" s="63"/>
      <c r="C66" s="64" t="s">
        <v>46</v>
      </c>
      <c r="D66" s="285">
        <f>'Proposed Rates'!I91</f>
        <v>0</v>
      </c>
      <c r="E66" s="53"/>
      <c r="F66" s="53"/>
      <c r="G66" s="53"/>
      <c r="H66" s="53"/>
      <c r="I66" s="53"/>
      <c r="J66" s="53"/>
      <c r="K66" s="53"/>
      <c r="L66" s="53"/>
      <c r="M66" s="53"/>
      <c r="N66" s="53"/>
      <c r="O66" s="53"/>
      <c r="P66" s="53"/>
      <c r="Q66" s="53"/>
      <c r="R66" s="53"/>
      <c r="S66" s="53"/>
      <c r="T66" s="53"/>
      <c r="U66" s="53"/>
      <c r="V66" s="53"/>
      <c r="W66" s="53"/>
      <c r="X66" s="53"/>
      <c r="Y66" s="53"/>
      <c r="Z66" s="53"/>
    </row>
    <row r="67" spans="1:26" ht="12" hidden="1" customHeight="1">
      <c r="A67" s="62" t="s">
        <v>48</v>
      </c>
      <c r="B67" s="63"/>
      <c r="C67" s="64" t="s">
        <v>46</v>
      </c>
      <c r="D67" s="285">
        <f>'Proposed Rates'!I143</f>
        <v>0</v>
      </c>
      <c r="E67" s="53"/>
      <c r="F67" s="53"/>
      <c r="G67" s="53"/>
      <c r="H67" s="53"/>
      <c r="I67" s="53"/>
      <c r="J67" s="53"/>
      <c r="K67" s="53"/>
      <c r="L67" s="53"/>
      <c r="M67" s="53"/>
      <c r="N67" s="53"/>
      <c r="O67" s="53"/>
      <c r="P67" s="53"/>
      <c r="Q67" s="53"/>
      <c r="R67" s="53"/>
      <c r="S67" s="53"/>
      <c r="T67" s="53"/>
      <c r="U67" s="53"/>
      <c r="V67" s="53"/>
      <c r="W67" s="53"/>
      <c r="X67" s="53"/>
      <c r="Y67" s="53"/>
      <c r="Z67" s="53"/>
    </row>
    <row r="68" spans="1:26" ht="12" customHeight="1">
      <c r="A68" s="62" t="s">
        <v>49</v>
      </c>
      <c r="B68" s="63"/>
      <c r="C68" s="64" t="s">
        <v>46</v>
      </c>
      <c r="D68" s="285">
        <f>'Proposed Rates'!I184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2" customHeight="1">
      <c r="A69" s="62" t="s">
        <v>50</v>
      </c>
      <c r="B69" s="62"/>
      <c r="C69" s="64" t="s">
        <v>46</v>
      </c>
      <c r="D69" s="285">
        <f>'Proposed Rates'!I199</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3.75" customHeight="1">
      <c r="A70" s="62"/>
      <c r="B70" s="63"/>
      <c r="C70" s="64"/>
      <c r="D70" s="288"/>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70" t="s">
        <v>51</v>
      </c>
      <c r="B71" s="62"/>
      <c r="C71" s="64"/>
      <c r="D71" s="288"/>
      <c r="E71" s="53"/>
      <c r="F71" s="53"/>
      <c r="G71" s="53"/>
      <c r="H71" s="53"/>
      <c r="I71" s="53"/>
      <c r="J71" s="53"/>
      <c r="K71" s="53"/>
      <c r="L71" s="53"/>
      <c r="M71" s="53"/>
      <c r="N71" s="53"/>
      <c r="O71" s="53"/>
      <c r="P71" s="53"/>
      <c r="Q71" s="53"/>
      <c r="R71" s="53"/>
      <c r="S71" s="53"/>
      <c r="T71" s="53"/>
      <c r="U71" s="53"/>
      <c r="V71" s="53"/>
      <c r="W71" s="53"/>
      <c r="X71" s="53"/>
      <c r="Y71" s="53"/>
      <c r="Z71" s="53"/>
    </row>
    <row r="72" spans="1:26" ht="3" customHeight="1">
      <c r="A72" s="70"/>
      <c r="B72" s="63"/>
      <c r="C72" s="64"/>
      <c r="D72" s="288"/>
      <c r="E72" s="53"/>
      <c r="F72" s="53"/>
      <c r="G72" s="53"/>
      <c r="H72" s="53"/>
      <c r="I72" s="53"/>
      <c r="J72" s="53"/>
      <c r="K72" s="53"/>
      <c r="L72" s="53"/>
      <c r="M72" s="53"/>
      <c r="N72" s="53"/>
      <c r="O72" s="53"/>
      <c r="P72" s="53"/>
      <c r="Q72" s="53"/>
      <c r="R72" s="53"/>
      <c r="S72" s="53"/>
      <c r="T72" s="53"/>
      <c r="U72" s="53"/>
      <c r="V72" s="53"/>
      <c r="W72" s="53"/>
      <c r="X72" s="53"/>
      <c r="Y72" s="53"/>
      <c r="Z72" s="53"/>
    </row>
    <row r="73" spans="1:26" ht="12" customHeight="1">
      <c r="A73" s="62" t="s">
        <v>52</v>
      </c>
      <c r="B73" s="63"/>
      <c r="C73" s="64" t="s">
        <v>46</v>
      </c>
      <c r="D73" s="285">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2" customHeight="1">
      <c r="A74" s="62" t="s">
        <v>53</v>
      </c>
      <c r="B74" s="63"/>
      <c r="C74" s="64" t="s">
        <v>46</v>
      </c>
      <c r="D74" s="285">
        <f>'Proposed Rates'!I214-'2026'!D75</f>
        <v>5.9999999999999984E-4</v>
      </c>
      <c r="E74" s="53"/>
      <c r="F74" s="53"/>
      <c r="G74" s="53"/>
      <c r="H74" s="53"/>
      <c r="I74" s="53"/>
      <c r="J74" s="53"/>
      <c r="K74" s="53"/>
      <c r="L74" s="53"/>
      <c r="M74" s="53"/>
      <c r="N74" s="53"/>
      <c r="O74" s="53"/>
      <c r="P74" s="53"/>
      <c r="Q74" s="53"/>
      <c r="R74" s="53"/>
      <c r="S74" s="53"/>
      <c r="T74" s="53"/>
      <c r="U74" s="53"/>
      <c r="V74" s="53"/>
      <c r="W74" s="53"/>
      <c r="X74" s="53"/>
      <c r="Y74" s="53"/>
      <c r="Z74" s="53"/>
    </row>
    <row r="75" spans="1:26" ht="12" customHeight="1">
      <c r="A75" s="62" t="s">
        <v>54</v>
      </c>
      <c r="B75" s="63"/>
      <c r="C75" s="64" t="s">
        <v>46</v>
      </c>
      <c r="D75" s="285">
        <f>'Proposed Rates'!I227</f>
        <v>5.9999999999999995E-4</v>
      </c>
      <c r="E75" s="53"/>
      <c r="F75" s="53"/>
      <c r="G75" s="53"/>
      <c r="H75" s="53"/>
      <c r="I75" s="53"/>
      <c r="J75" s="53"/>
      <c r="K75" s="53"/>
      <c r="L75" s="53"/>
      <c r="M75" s="53"/>
      <c r="N75" s="53"/>
      <c r="O75" s="53"/>
      <c r="P75" s="53"/>
      <c r="Q75" s="53"/>
      <c r="R75" s="53"/>
      <c r="S75" s="53"/>
      <c r="T75" s="53"/>
      <c r="U75" s="53"/>
      <c r="V75" s="53"/>
      <c r="W75" s="53"/>
      <c r="X75" s="53"/>
      <c r="Y75" s="53"/>
      <c r="Z75" s="53"/>
    </row>
    <row r="76" spans="1:26" ht="12" customHeight="1">
      <c r="A76" s="62" t="s">
        <v>55</v>
      </c>
      <c r="B76" s="63"/>
      <c r="C76" s="64" t="s">
        <v>41</v>
      </c>
      <c r="D76" s="285">
        <f>'Proposed Rates'!I241</f>
        <v>0.25</v>
      </c>
      <c r="E76" s="53"/>
      <c r="F76" s="53"/>
      <c r="G76" s="53"/>
      <c r="H76" s="53"/>
      <c r="I76" s="53"/>
      <c r="J76" s="53"/>
      <c r="K76" s="53"/>
      <c r="L76" s="53"/>
      <c r="M76" s="53"/>
      <c r="N76" s="53"/>
      <c r="O76" s="53"/>
      <c r="P76" s="53"/>
      <c r="Q76" s="53"/>
      <c r="R76" s="53"/>
      <c r="S76" s="53"/>
      <c r="T76" s="53"/>
      <c r="U76" s="53"/>
      <c r="V76" s="53"/>
      <c r="W76" s="53"/>
      <c r="X76" s="53"/>
      <c r="Y76" s="53"/>
      <c r="Z76" s="53"/>
    </row>
    <row r="77" spans="1:26" ht="11.25" customHeight="1">
      <c r="A77" s="85"/>
      <c r="B77" s="63"/>
      <c r="C77" s="64"/>
      <c r="D77" s="69"/>
      <c r="E77" s="53"/>
      <c r="F77" s="53"/>
      <c r="G77" s="53"/>
      <c r="H77" s="53"/>
      <c r="I77" s="53"/>
      <c r="J77" s="53"/>
      <c r="K77" s="53"/>
      <c r="L77" s="53"/>
      <c r="M77" s="53"/>
      <c r="N77" s="53"/>
      <c r="O77" s="53"/>
      <c r="P77" s="53"/>
      <c r="Q77" s="53"/>
      <c r="R77" s="53"/>
      <c r="S77" s="53"/>
      <c r="T77" s="53"/>
      <c r="U77" s="53"/>
      <c r="V77" s="53"/>
      <c r="W77" s="53"/>
      <c r="X77" s="53"/>
      <c r="Y77" s="53"/>
      <c r="Z77" s="53"/>
    </row>
    <row r="78" spans="1:26" ht="21.75" customHeight="1">
      <c r="A78" s="600" t="str">
        <f>$A$1</f>
        <v>Hydro Ottawa Limited</v>
      </c>
      <c r="B78" s="601"/>
      <c r="C78" s="601"/>
      <c r="D78" s="602"/>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603" t="str">
        <f>$A$2</f>
        <v>PROPOSED - TARIFF OF RATES AND CHARGES</v>
      </c>
      <c r="B79" s="601"/>
      <c r="C79" s="601"/>
      <c r="D79" s="602"/>
      <c r="E79" s="53"/>
      <c r="F79" s="53"/>
      <c r="G79" s="53"/>
      <c r="H79" s="53"/>
      <c r="I79" s="53"/>
      <c r="J79" s="53"/>
      <c r="K79" s="53"/>
      <c r="L79" s="53"/>
      <c r="M79" s="53"/>
      <c r="N79" s="53"/>
      <c r="O79" s="53"/>
      <c r="P79" s="53"/>
      <c r="Q79" s="53"/>
      <c r="R79" s="53"/>
      <c r="S79" s="53"/>
      <c r="T79" s="53"/>
      <c r="U79" s="53"/>
      <c r="V79" s="53"/>
      <c r="W79" s="53"/>
      <c r="X79" s="53"/>
      <c r="Y79" s="53"/>
      <c r="Z79" s="53"/>
    </row>
    <row r="80" spans="1:26" ht="15" customHeight="1">
      <c r="A80" s="604" t="str">
        <f>$A$3</f>
        <v>Effective and Implementation Date January 1, 2029</v>
      </c>
      <c r="B80" s="601"/>
      <c r="C80" s="601"/>
      <c r="D80" s="602"/>
      <c r="E80" s="53"/>
      <c r="F80" s="53"/>
      <c r="G80" s="53"/>
      <c r="H80" s="53"/>
      <c r="I80" s="53"/>
      <c r="J80" s="53"/>
      <c r="K80" s="53"/>
      <c r="L80" s="53"/>
      <c r="M80" s="53"/>
      <c r="N80" s="53"/>
      <c r="O80" s="53"/>
      <c r="P80" s="53"/>
      <c r="Q80" s="53"/>
      <c r="R80" s="53"/>
      <c r="S80" s="53"/>
      <c r="T80" s="53"/>
      <c r="U80" s="53"/>
      <c r="V80" s="53"/>
      <c r="W80" s="53"/>
      <c r="X80" s="53"/>
      <c r="Y80" s="53"/>
      <c r="Z80" s="53"/>
    </row>
    <row r="81" spans="1:26" ht="15" customHeight="1">
      <c r="A81" s="605" t="str">
        <f>$A$4</f>
        <v>This schedule supersedes and replaces all previously</v>
      </c>
      <c r="B81" s="601"/>
      <c r="C81" s="601"/>
      <c r="D81" s="602"/>
      <c r="E81" s="53"/>
      <c r="F81" s="53"/>
      <c r="G81" s="53"/>
      <c r="H81" s="53"/>
      <c r="I81" s="53"/>
      <c r="J81" s="53"/>
      <c r="K81" s="53"/>
      <c r="L81" s="53"/>
      <c r="M81" s="53"/>
      <c r="N81" s="53"/>
      <c r="O81" s="53"/>
      <c r="P81" s="53"/>
      <c r="Q81" s="53"/>
      <c r="R81" s="53"/>
      <c r="S81" s="53"/>
      <c r="T81" s="53"/>
      <c r="U81" s="53"/>
      <c r="V81" s="53"/>
      <c r="W81" s="53"/>
      <c r="X81" s="53"/>
      <c r="Y81" s="53"/>
      <c r="Z81" s="53"/>
    </row>
    <row r="82" spans="1:26" ht="15" customHeight="1">
      <c r="A82" s="605" t="str">
        <f>$A$5</f>
        <v>approved schedules of Rates, Charges and Loss Factors</v>
      </c>
      <c r="B82" s="601"/>
      <c r="C82" s="601"/>
      <c r="D82" s="602"/>
      <c r="E82" s="53"/>
      <c r="F82" s="53"/>
      <c r="G82" s="53"/>
      <c r="H82" s="53"/>
      <c r="I82" s="53"/>
      <c r="J82" s="53"/>
      <c r="K82" s="53"/>
      <c r="L82" s="53"/>
      <c r="M82" s="53"/>
      <c r="N82" s="53"/>
      <c r="O82" s="53"/>
      <c r="P82" s="53"/>
      <c r="Q82" s="53"/>
      <c r="R82" s="53"/>
      <c r="S82" s="53"/>
      <c r="T82" s="53"/>
      <c r="U82" s="53"/>
      <c r="V82" s="53"/>
      <c r="W82" s="53"/>
      <c r="X82" s="53"/>
      <c r="Y82" s="53"/>
      <c r="Z82" s="53"/>
    </row>
    <row r="83" spans="1:26" ht="9" customHeight="1">
      <c r="A83" s="606" t="str">
        <f>$A$6</f>
        <v>EB-2024-0115</v>
      </c>
      <c r="B83" s="601"/>
      <c r="C83" s="601"/>
      <c r="D83" s="602"/>
      <c r="E83" s="53"/>
      <c r="F83" s="53"/>
      <c r="G83" s="53"/>
      <c r="H83" s="53"/>
      <c r="I83" s="53"/>
      <c r="J83" s="53"/>
      <c r="K83" s="53"/>
      <c r="L83" s="53"/>
      <c r="M83" s="53"/>
      <c r="N83" s="53"/>
      <c r="O83" s="53"/>
      <c r="P83" s="53"/>
      <c r="Q83" s="53"/>
      <c r="R83" s="53"/>
      <c r="S83" s="53"/>
      <c r="T83" s="53"/>
      <c r="U83" s="53"/>
      <c r="V83" s="53"/>
      <c r="W83" s="53"/>
      <c r="X83" s="53"/>
      <c r="Y83" s="53"/>
      <c r="Z83" s="53"/>
    </row>
    <row r="84" spans="1:26" ht="18.75" customHeight="1">
      <c r="A84" s="607" t="s">
        <v>61</v>
      </c>
      <c r="B84" s="601"/>
      <c r="C84" s="601"/>
      <c r="D84" s="602"/>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8" t="s">
        <v>62</v>
      </c>
      <c r="B85" s="601"/>
      <c r="C85" s="601"/>
      <c r="D85" s="602"/>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9" t="s">
        <v>34</v>
      </c>
      <c r="B87" s="601"/>
      <c r="C87" s="601"/>
      <c r="D87" s="602"/>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8" t="s">
        <v>35</v>
      </c>
      <c r="B89" s="601"/>
      <c r="C89" s="601"/>
      <c r="D89" s="602"/>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8" t="s">
        <v>36</v>
      </c>
      <c r="B91" s="601"/>
      <c r="C91" s="601"/>
      <c r="D91" s="602"/>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8" t="s">
        <v>37</v>
      </c>
      <c r="B93" s="601"/>
      <c r="C93" s="601"/>
      <c r="D93" s="602"/>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8" t="s">
        <v>63</v>
      </c>
      <c r="B95" s="601"/>
      <c r="C95" s="601"/>
      <c r="D95" s="602"/>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8" t="s">
        <v>64</v>
      </c>
      <c r="B96" s="601"/>
      <c r="C96" s="601"/>
      <c r="D96" s="602"/>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8" t="s">
        <v>38</v>
      </c>
      <c r="B97" s="601"/>
      <c r="C97" s="601"/>
      <c r="D97" s="602"/>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11" t="s">
        <v>65</v>
      </c>
      <c r="B98" s="601"/>
      <c r="C98" s="601"/>
      <c r="D98" s="602"/>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610" t="s">
        <v>39</v>
      </c>
      <c r="B100" s="601"/>
      <c r="C100" s="601"/>
      <c r="D100" s="602"/>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40</v>
      </c>
      <c r="B102" s="63"/>
      <c r="C102" s="64" t="s">
        <v>41</v>
      </c>
      <c r="D102" s="284">
        <f>'Proposed Rates'!I10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59</v>
      </c>
      <c r="B103" s="63"/>
      <c r="C103" s="64" t="s">
        <v>66</v>
      </c>
      <c r="D103" s="285">
        <f>'Proposed Rates'!I23</f>
        <v>9.3849</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2" customHeight="1">
      <c r="A104" s="62" t="s">
        <v>45</v>
      </c>
      <c r="B104" s="63"/>
      <c r="C104" s="64" t="s">
        <v>66</v>
      </c>
      <c r="D104" s="287">
        <f>'Proposed Rates'!I266</f>
        <v>2.46E-2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2" hidden="1" customHeight="1">
      <c r="A105" s="62" t="s">
        <v>47</v>
      </c>
      <c r="B105" s="63"/>
      <c r="C105" s="64" t="s">
        <v>66</v>
      </c>
      <c r="D105" s="285">
        <f>'Proposed Rates'!I39</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2" hidden="1" customHeight="1">
      <c r="A106" s="62" t="s">
        <v>43</v>
      </c>
      <c r="B106" s="63"/>
      <c r="C106" s="64" t="s">
        <v>66</v>
      </c>
      <c r="D106" s="285">
        <f>'Proposed Rates'!I66</f>
        <v>0</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2" hidden="1" customHeight="1">
      <c r="A107" s="62" t="s">
        <v>42</v>
      </c>
      <c r="B107" s="63"/>
      <c r="C107" s="64" t="s">
        <v>66</v>
      </c>
      <c r="D107" s="285">
        <f>'Proposed Rates'!I92</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2" hidden="1" customHeight="1">
      <c r="A108" s="62" t="s">
        <v>48</v>
      </c>
      <c r="B108" s="63"/>
      <c r="C108" s="64" t="s">
        <v>46</v>
      </c>
      <c r="D108" s="285">
        <f>'Proposed Rates'!I145</f>
        <v>0</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hidden="1" customHeight="1">
      <c r="A109" s="62" t="s">
        <v>67</v>
      </c>
      <c r="B109" s="63"/>
      <c r="C109" s="64" t="s">
        <v>46</v>
      </c>
      <c r="D109" s="285">
        <f>'Proposed Rates'!I158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5">
        <f>'Proposed Rates'!I185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68</v>
      </c>
      <c r="B111" s="63"/>
      <c r="C111" s="64" t="s">
        <v>66</v>
      </c>
      <c r="D111" s="285">
        <f>'Proposed Rates'!I186</f>
        <v>0.77839999999999998</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2" customHeight="1">
      <c r="A112" s="62" t="s">
        <v>50</v>
      </c>
      <c r="B112" s="63"/>
      <c r="C112" s="64" t="s">
        <v>66</v>
      </c>
      <c r="D112" s="285">
        <f>'Proposed Rates'!I200</f>
        <v>2.5918000000000001</v>
      </c>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2" customHeight="1">
      <c r="A113" s="62" t="s">
        <v>69</v>
      </c>
      <c r="B113" s="63"/>
      <c r="C113" s="64" t="s">
        <v>66</v>
      </c>
      <c r="D113" s="285">
        <f>'Proposed Rates'!I201</f>
        <v>0.44059999999999999</v>
      </c>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3" customHeight="1">
      <c r="A114" s="64"/>
      <c r="B114" s="64"/>
      <c r="C114" s="64"/>
      <c r="D114" s="288"/>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1.25" customHeight="1">
      <c r="A115" s="70" t="s">
        <v>51</v>
      </c>
      <c r="B115" s="63"/>
      <c r="C115" s="64"/>
      <c r="D115" s="288"/>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3" customHeight="1">
      <c r="A116" s="59"/>
      <c r="B116" s="64"/>
      <c r="C116" s="64"/>
      <c r="D116" s="288"/>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52</v>
      </c>
      <c r="B117" s="63"/>
      <c r="C117" s="64" t="s">
        <v>46</v>
      </c>
      <c r="D117" s="285">
        <f>$D$34</f>
        <v>4.1000000000000003E-3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53</v>
      </c>
      <c r="B118" s="63"/>
      <c r="C118" s="64" t="s">
        <v>46</v>
      </c>
      <c r="D118" s="285">
        <f>'Proposed Rates'!I215-'2026'!D119</f>
        <v>5.9999999999999984E-4</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2" customHeight="1">
      <c r="A119" s="62" t="s">
        <v>54</v>
      </c>
      <c r="B119" s="63"/>
      <c r="C119" s="64" t="s">
        <v>46</v>
      </c>
      <c r="D119" s="285">
        <f>'Proposed Rates'!I228</f>
        <v>5.9999999999999995E-4</v>
      </c>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2" customHeight="1">
      <c r="A120" s="62" t="s">
        <v>55</v>
      </c>
      <c r="B120" s="63"/>
      <c r="C120" s="64" t="s">
        <v>41</v>
      </c>
      <c r="D120" s="285">
        <f>'Proposed Rates'!I242</f>
        <v>0.25</v>
      </c>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 customHeight="1">
      <c r="A121" s="85"/>
      <c r="B121" s="63"/>
      <c r="C121" s="64"/>
      <c r="D121" s="69"/>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9.5" customHeight="1">
      <c r="A122" s="600" t="str">
        <f>$A$1</f>
        <v>Hydro Ottawa Limited</v>
      </c>
      <c r="B122" s="601"/>
      <c r="C122" s="601"/>
      <c r="D122" s="602"/>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c r="A123" s="603" t="str">
        <f>$A$2</f>
        <v>PROPOSED - TARIFF OF RATES AND CHARGES</v>
      </c>
      <c r="B123" s="601"/>
      <c r="C123" s="601"/>
      <c r="D123" s="602"/>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c r="A124" s="604" t="str">
        <f>$A$3</f>
        <v>Effective and Implementation Date January 1, 2029</v>
      </c>
      <c r="B124" s="601"/>
      <c r="C124" s="601"/>
      <c r="D124" s="602"/>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customHeight="1">
      <c r="A125" s="605" t="str">
        <f>$A$4</f>
        <v>This schedule supersedes and replaces all previously</v>
      </c>
      <c r="B125" s="601"/>
      <c r="C125" s="601"/>
      <c r="D125" s="602"/>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customHeight="1">
      <c r="A126" s="605" t="str">
        <f>$A$5</f>
        <v>approved schedules of Rates, Charges and Loss Factors</v>
      </c>
      <c r="B126" s="601"/>
      <c r="C126" s="601"/>
      <c r="D126" s="602"/>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75" customHeight="1">
      <c r="A127" s="606" t="str">
        <f>$A$6</f>
        <v>EB-2024-0115</v>
      </c>
      <c r="B127" s="601"/>
      <c r="C127" s="601"/>
      <c r="D127" s="602"/>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8.75" customHeight="1">
      <c r="A128" s="607" t="s">
        <v>70</v>
      </c>
      <c r="B128" s="601"/>
      <c r="C128" s="601"/>
      <c r="D128" s="602"/>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ht="48" customHeight="1">
      <c r="A129" s="608" t="s">
        <v>71</v>
      </c>
      <c r="B129" s="601"/>
      <c r="C129" s="601"/>
      <c r="D129" s="602"/>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4"/>
      <c r="B130" s="54"/>
      <c r="C130" s="54"/>
      <c r="D130" s="55"/>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1.25" customHeight="1">
      <c r="A131" s="609" t="s">
        <v>34</v>
      </c>
      <c r="B131" s="601"/>
      <c r="C131" s="601"/>
      <c r="D131" s="602"/>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6"/>
      <c r="B132" s="57"/>
      <c r="C132" s="57"/>
      <c r="D132" s="58"/>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36" customHeight="1">
      <c r="A133" s="608" t="s">
        <v>35</v>
      </c>
      <c r="B133" s="601"/>
      <c r="C133" s="601"/>
      <c r="D133" s="602"/>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8" t="s">
        <v>72</v>
      </c>
      <c r="B135" s="601"/>
      <c r="C135" s="601"/>
      <c r="D135" s="602"/>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48" customHeight="1">
      <c r="A137" s="608" t="s">
        <v>37</v>
      </c>
      <c r="B137" s="601"/>
      <c r="C137" s="601"/>
      <c r="D137" s="602"/>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6.75" customHeight="1">
      <c r="A138" s="54"/>
      <c r="B138" s="54"/>
      <c r="C138" s="54"/>
      <c r="D138" s="55"/>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96" customHeight="1">
      <c r="A139" s="608" t="s">
        <v>63</v>
      </c>
      <c r="B139" s="601"/>
      <c r="C139" s="601"/>
      <c r="D139" s="602"/>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96" customHeight="1">
      <c r="A140" s="608" t="s">
        <v>64</v>
      </c>
      <c r="B140" s="601"/>
      <c r="C140" s="601"/>
      <c r="D140" s="602"/>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36" customHeight="1">
      <c r="A141" s="608" t="s">
        <v>38</v>
      </c>
      <c r="B141" s="601"/>
      <c r="C141" s="601"/>
      <c r="D141" s="602"/>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24" customHeight="1">
      <c r="A142" s="611" t="s">
        <v>65</v>
      </c>
      <c r="B142" s="601"/>
      <c r="C142" s="601"/>
      <c r="D142" s="602"/>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74"/>
      <c r="B143" s="74"/>
      <c r="C143" s="74"/>
      <c r="D143" s="75"/>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 customHeight="1">
      <c r="A144" s="610" t="s">
        <v>39</v>
      </c>
      <c r="B144" s="601"/>
      <c r="C144" s="601"/>
      <c r="D144" s="602"/>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6.75" customHeight="1">
      <c r="A145" s="59"/>
      <c r="B145" s="60"/>
      <c r="C145" s="60"/>
      <c r="D145" s="61"/>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2" customHeight="1">
      <c r="A146" s="62" t="s">
        <v>40</v>
      </c>
      <c r="B146" s="63"/>
      <c r="C146" s="64" t="s">
        <v>41</v>
      </c>
      <c r="D146" s="284">
        <f>'Proposed Rates'!I11</f>
        <v>4126.75</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2" customHeight="1">
      <c r="A147" s="62" t="s">
        <v>59</v>
      </c>
      <c r="B147" s="63"/>
      <c r="C147" s="64" t="s">
        <v>66</v>
      </c>
      <c r="D147" s="285">
        <f>'Proposed Rates'!I24</f>
        <v>9.2126999999999999</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2" customHeight="1">
      <c r="A148" s="62" t="s">
        <v>45</v>
      </c>
      <c r="B148" s="63"/>
      <c r="C148" s="64" t="s">
        <v>66</v>
      </c>
      <c r="D148" s="287">
        <f>'Proposed Rates'!I267</f>
        <v>2.4410000000000001E-2</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2" hidden="1" customHeight="1">
      <c r="A149" s="62" t="s">
        <v>47</v>
      </c>
      <c r="B149" s="63"/>
      <c r="C149" s="64" t="s">
        <v>66</v>
      </c>
      <c r="D149" s="285">
        <f>'Proposed Rates'!I40</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2" hidden="1" customHeight="1">
      <c r="A150" s="62" t="s">
        <v>43</v>
      </c>
      <c r="B150" s="63"/>
      <c r="C150" s="64" t="s">
        <v>66</v>
      </c>
      <c r="D150" s="285">
        <f>'Proposed Rates'!I67</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2" hidden="1" customHeight="1">
      <c r="A151" s="62" t="s">
        <v>42</v>
      </c>
      <c r="B151" s="63"/>
      <c r="C151" s="64" t="s">
        <v>66</v>
      </c>
      <c r="D151" s="285">
        <f>'Proposed Rates'!I93</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2" hidden="1" customHeight="1">
      <c r="A152" s="62" t="s">
        <v>48</v>
      </c>
      <c r="B152" s="63"/>
      <c r="C152" s="64" t="s">
        <v>46</v>
      </c>
      <c r="D152" s="285">
        <f>'Proposed Rates'!I145</f>
        <v>0</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2" hidden="1" customHeight="1">
      <c r="A153" s="62" t="s">
        <v>67</v>
      </c>
      <c r="B153" s="63"/>
      <c r="C153" s="64" t="s">
        <v>46</v>
      </c>
      <c r="D153" s="285">
        <f>'Proposed Rates'!I159</f>
        <v>0</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2" customHeight="1">
      <c r="A154" s="62" t="s">
        <v>49</v>
      </c>
      <c r="B154" s="63"/>
      <c r="C154" s="64" t="s">
        <v>66</v>
      </c>
      <c r="D154" s="285">
        <f>'Proposed Rates'!I187</f>
        <v>4.5423999999999998</v>
      </c>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2" customHeight="1">
      <c r="A155" s="62" t="s">
        <v>68</v>
      </c>
      <c r="B155" s="63"/>
      <c r="C155" s="64" t="s">
        <v>66</v>
      </c>
      <c r="D155" s="285">
        <f>'Proposed Rates'!I188</f>
        <v>0.7722</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2" customHeight="1">
      <c r="A156" s="62" t="s">
        <v>50</v>
      </c>
      <c r="B156" s="63"/>
      <c r="C156" s="64" t="s">
        <v>66</v>
      </c>
      <c r="D156" s="285">
        <f>'Proposed Rates'!I202</f>
        <v>2.5712000000000002</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2" customHeight="1">
      <c r="A157" s="62" t="s">
        <v>69</v>
      </c>
      <c r="B157" s="63"/>
      <c r="C157" s="64" t="s">
        <v>66</v>
      </c>
      <c r="D157" s="285">
        <f>'Proposed Rates'!I203</f>
        <v>0.43709999999999999</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3" customHeight="1">
      <c r="A158" s="64"/>
      <c r="B158" s="64"/>
      <c r="C158" s="64"/>
      <c r="D158" s="288"/>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1.25" customHeight="1">
      <c r="A159" s="70" t="s">
        <v>51</v>
      </c>
      <c r="B159" s="63"/>
      <c r="C159" s="64"/>
      <c r="D159" s="288"/>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6" customHeight="1">
      <c r="A160" s="59"/>
      <c r="B160" s="64"/>
      <c r="C160" s="64"/>
      <c r="D160" s="288"/>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2" customHeight="1">
      <c r="A161" s="62" t="s">
        <v>52</v>
      </c>
      <c r="B161" s="63"/>
      <c r="C161" s="64" t="s">
        <v>46</v>
      </c>
      <c r="D161" s="285">
        <f>$D$34</f>
        <v>4.1000000000000003E-3</v>
      </c>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2" customHeight="1">
      <c r="A162" s="62" t="s">
        <v>53</v>
      </c>
      <c r="B162" s="63"/>
      <c r="C162" s="64" t="s">
        <v>46</v>
      </c>
      <c r="D162" s="285">
        <f>'Proposed Rates'!I216-'2026'!D163</f>
        <v>5.9999999999999984E-4</v>
      </c>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2" customHeight="1">
      <c r="A163" s="62" t="s">
        <v>54</v>
      </c>
      <c r="B163" s="63"/>
      <c r="C163" s="64" t="s">
        <v>46</v>
      </c>
      <c r="D163" s="285">
        <f>'Proposed Rates'!I229</f>
        <v>5.9999999999999995E-4</v>
      </c>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2" customHeight="1">
      <c r="A164" s="62" t="s">
        <v>55</v>
      </c>
      <c r="B164" s="63"/>
      <c r="C164" s="64" t="s">
        <v>41</v>
      </c>
      <c r="D164" s="285">
        <f>'Proposed Rates'!I243</f>
        <v>0.25</v>
      </c>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6" customHeight="1">
      <c r="A165" s="85"/>
      <c r="B165" s="63"/>
      <c r="C165" s="64"/>
      <c r="D165" s="69"/>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21.75" customHeight="1">
      <c r="A166" s="600" t="str">
        <f>$A$1</f>
        <v>Hydro Ottawa Limited</v>
      </c>
      <c r="B166" s="601"/>
      <c r="C166" s="601"/>
      <c r="D166" s="602"/>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customHeight="1">
      <c r="A167" s="603" t="str">
        <f>$A$2</f>
        <v>PROPOSED - TARIFF OF RATES AND CHARGES</v>
      </c>
      <c r="B167" s="601"/>
      <c r="C167" s="601"/>
      <c r="D167" s="602"/>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 customHeight="1">
      <c r="A168" s="604" t="str">
        <f>$A$3</f>
        <v>Effective and Implementation Date January 1, 2029</v>
      </c>
      <c r="B168" s="601"/>
      <c r="C168" s="601"/>
      <c r="D168" s="602"/>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 customHeight="1">
      <c r="A169" s="605" t="str">
        <f>$A$4</f>
        <v>This schedule supersedes and replaces all previously</v>
      </c>
      <c r="B169" s="601"/>
      <c r="C169" s="601"/>
      <c r="D169" s="602"/>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 customHeight="1">
      <c r="A170" s="605" t="str">
        <f>$A$5</f>
        <v>approved schedules of Rates, Charges and Loss Factors</v>
      </c>
      <c r="B170" s="601"/>
      <c r="C170" s="601"/>
      <c r="D170" s="602"/>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9.75" customHeight="1">
      <c r="A171" s="606" t="str">
        <f>$A$6</f>
        <v>EB-2024-0115</v>
      </c>
      <c r="B171" s="601"/>
      <c r="C171" s="601"/>
      <c r="D171" s="602"/>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8.75" customHeight="1">
      <c r="A172" s="607" t="s">
        <v>73</v>
      </c>
      <c r="B172" s="601"/>
      <c r="C172" s="601"/>
      <c r="D172" s="602"/>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ht="48" customHeight="1">
      <c r="A173" s="608" t="s">
        <v>74</v>
      </c>
      <c r="B173" s="601"/>
      <c r="C173" s="601"/>
      <c r="D173" s="602"/>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1.25" customHeight="1">
      <c r="A175" s="609" t="s">
        <v>34</v>
      </c>
      <c r="B175" s="601"/>
      <c r="C175" s="601"/>
      <c r="D175" s="602"/>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6"/>
      <c r="B176" s="57"/>
      <c r="C176" s="57"/>
      <c r="D176" s="58"/>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36" customHeight="1">
      <c r="A177" s="608" t="s">
        <v>35</v>
      </c>
      <c r="B177" s="601"/>
      <c r="C177" s="601"/>
      <c r="D177" s="602"/>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48" customHeight="1">
      <c r="A179" s="608" t="s">
        <v>75</v>
      </c>
      <c r="B179" s="601"/>
      <c r="C179" s="601"/>
      <c r="D179" s="602"/>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6.75" customHeight="1">
      <c r="A180" s="54"/>
      <c r="B180" s="54"/>
      <c r="C180" s="54"/>
      <c r="D180" s="55"/>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48" customHeight="1">
      <c r="A181" s="608" t="s">
        <v>37</v>
      </c>
      <c r="B181" s="601"/>
      <c r="C181" s="601"/>
      <c r="D181" s="602"/>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6.75" customHeight="1">
      <c r="A182" s="54"/>
      <c r="B182" s="54"/>
      <c r="C182" s="54"/>
      <c r="D182" s="55"/>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96" customHeight="1">
      <c r="A183" s="608" t="s">
        <v>63</v>
      </c>
      <c r="B183" s="601"/>
      <c r="C183" s="601"/>
      <c r="D183" s="602"/>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96" customHeight="1">
      <c r="A184" s="608" t="s">
        <v>64</v>
      </c>
      <c r="B184" s="601"/>
      <c r="C184" s="601"/>
      <c r="D184" s="602"/>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36" customHeight="1">
      <c r="A185" s="608" t="s">
        <v>38</v>
      </c>
      <c r="B185" s="601"/>
      <c r="C185" s="601"/>
      <c r="D185" s="602"/>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24" customHeight="1">
      <c r="A186" s="611" t="s">
        <v>65</v>
      </c>
      <c r="B186" s="601"/>
      <c r="C186" s="601"/>
      <c r="D186" s="602"/>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6.75" customHeight="1">
      <c r="A187" s="74"/>
      <c r="B187" s="74"/>
      <c r="C187" s="74"/>
      <c r="D187" s="75"/>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 customHeight="1">
      <c r="A188" s="610" t="s">
        <v>39</v>
      </c>
      <c r="B188" s="601"/>
      <c r="C188" s="601"/>
      <c r="D188" s="602"/>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6.75" customHeight="1">
      <c r="A189" s="59"/>
      <c r="B189" s="60"/>
      <c r="C189" s="60"/>
      <c r="D189" s="61"/>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1.25" customHeight="1">
      <c r="A190" s="62" t="s">
        <v>40</v>
      </c>
      <c r="B190" s="63"/>
      <c r="C190" s="64" t="s">
        <v>41</v>
      </c>
      <c r="D190" s="284">
        <f>'Proposed Rates'!I12</f>
        <v>14946.93</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1.25" customHeight="1">
      <c r="A191" s="62" t="s">
        <v>59</v>
      </c>
      <c r="B191" s="63"/>
      <c r="C191" s="64" t="s">
        <v>66</v>
      </c>
      <c r="D191" s="285">
        <f>'Proposed Rates'!I25</f>
        <v>10.463800000000001</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1.25" customHeight="1">
      <c r="A192" s="62" t="s">
        <v>45</v>
      </c>
      <c r="B192" s="63"/>
      <c r="C192" s="64" t="s">
        <v>66</v>
      </c>
      <c r="D192" s="287">
        <f>'Proposed Rates'!I268</f>
        <v>2.8660000000000001E-2</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1.25" hidden="1" customHeight="1">
      <c r="A193" s="62" t="s">
        <v>47</v>
      </c>
      <c r="B193" s="63"/>
      <c r="C193" s="64" t="s">
        <v>66</v>
      </c>
      <c r="D193" s="285">
        <f>'Proposed Rates'!I41</f>
        <v>0</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1.25" hidden="1" customHeight="1">
      <c r="A194" s="62" t="s">
        <v>43</v>
      </c>
      <c r="B194" s="63"/>
      <c r="C194" s="64" t="s">
        <v>66</v>
      </c>
      <c r="D194" s="285">
        <f>'Proposed Rates'!I68</f>
        <v>0</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1.25" hidden="1" customHeight="1">
      <c r="A195" s="62" t="s">
        <v>42</v>
      </c>
      <c r="B195" s="63"/>
      <c r="C195" s="64" t="s">
        <v>66</v>
      </c>
      <c r="D195" s="285">
        <f>'Proposed Rates'!I94</f>
        <v>0</v>
      </c>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1.25" hidden="1" customHeight="1">
      <c r="A196" s="62" t="s">
        <v>48</v>
      </c>
      <c r="B196" s="63"/>
      <c r="C196" s="64" t="s">
        <v>46</v>
      </c>
      <c r="D196" s="285">
        <f>'Proposed Rates'!I146</f>
        <v>0</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1.25" customHeight="1">
      <c r="A197" s="62" t="s">
        <v>49</v>
      </c>
      <c r="B197" s="63"/>
      <c r="C197" s="64" t="s">
        <v>66</v>
      </c>
      <c r="D197" s="285">
        <f>'Proposed Rates'!I189</f>
        <v>5.3339999999999996</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1.25" customHeight="1">
      <c r="A198" s="62" t="s">
        <v>50</v>
      </c>
      <c r="B198" s="63"/>
      <c r="C198" s="64" t="s">
        <v>66</v>
      </c>
      <c r="D198" s="285">
        <f>'Proposed Rates'!I204</f>
        <v>3.0192999999999999</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3.75" customHeight="1">
      <c r="A199" s="64"/>
      <c r="B199" s="64"/>
      <c r="C199" s="64"/>
      <c r="D199" s="288"/>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1.25" customHeight="1">
      <c r="A200" s="70" t="s">
        <v>51</v>
      </c>
      <c r="B200" s="63"/>
      <c r="C200" s="64"/>
      <c r="D200" s="288"/>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3.75" customHeight="1">
      <c r="A201" s="59"/>
      <c r="B201" s="64"/>
      <c r="C201" s="64"/>
      <c r="D201" s="288"/>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1.25" customHeight="1">
      <c r="A202" s="62" t="s">
        <v>52</v>
      </c>
      <c r="B202" s="63"/>
      <c r="C202" s="64" t="s">
        <v>46</v>
      </c>
      <c r="D202" s="285">
        <f>$D$34</f>
        <v>4.1000000000000003E-3</v>
      </c>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1.25" customHeight="1">
      <c r="A203" s="62" t="s">
        <v>53</v>
      </c>
      <c r="B203" s="63"/>
      <c r="C203" s="64" t="s">
        <v>46</v>
      </c>
      <c r="D203" s="285">
        <f>'Proposed Rates'!I217-'2026'!H205</f>
        <v>4.7000000000000002E-3</v>
      </c>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1.25" customHeight="1">
      <c r="A204" s="62" t="s">
        <v>54</v>
      </c>
      <c r="B204" s="63"/>
      <c r="C204" s="64" t="s">
        <v>46</v>
      </c>
      <c r="D204" s="285">
        <f>'Proposed Rates'!I230</f>
        <v>5.9999999999999995E-4</v>
      </c>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1.25" customHeight="1">
      <c r="A205" s="62" t="s">
        <v>55</v>
      </c>
      <c r="B205" s="63"/>
      <c r="C205" s="64" t="s">
        <v>41</v>
      </c>
      <c r="D205" s="285">
        <f>'Proposed Rates'!I244</f>
        <v>0.25</v>
      </c>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0.5" customHeight="1">
      <c r="A206" s="85"/>
      <c r="B206" s="63"/>
      <c r="C206" s="64"/>
      <c r="D206" s="69"/>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21.75" customHeight="1">
      <c r="A207" s="600" t="str">
        <f>$A$1</f>
        <v>Hydro Ottawa Limited</v>
      </c>
      <c r="B207" s="601"/>
      <c r="C207" s="601"/>
      <c r="D207" s="602"/>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customHeight="1">
      <c r="A208" s="603" t="str">
        <f>$A$2</f>
        <v>PROPOSED - TARIFF OF RATES AND CHARGES</v>
      </c>
      <c r="B208" s="601"/>
      <c r="C208" s="601"/>
      <c r="D208" s="602"/>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 customHeight="1">
      <c r="A209" s="604" t="str">
        <f>$A$3</f>
        <v>Effective and Implementation Date January 1, 2029</v>
      </c>
      <c r="B209" s="601"/>
      <c r="C209" s="601"/>
      <c r="D209" s="602"/>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 customHeight="1">
      <c r="A210" s="605" t="str">
        <f>$A$4</f>
        <v>This schedule supersedes and replaces all previously</v>
      </c>
      <c r="B210" s="601"/>
      <c r="C210" s="601"/>
      <c r="D210" s="602"/>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 customHeight="1">
      <c r="A211" s="605" t="str">
        <f>$A$5</f>
        <v>approved schedules of Rates, Charges and Loss Factors</v>
      </c>
      <c r="B211" s="601"/>
      <c r="C211" s="601"/>
      <c r="D211" s="602"/>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9.75" customHeight="1">
      <c r="A212" s="606" t="str">
        <f>$A$6</f>
        <v>EB-2024-0115</v>
      </c>
      <c r="B212" s="601"/>
      <c r="C212" s="601"/>
      <c r="D212" s="602"/>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8.75" customHeight="1">
      <c r="A213" s="607" t="s">
        <v>76</v>
      </c>
      <c r="B213" s="601"/>
      <c r="C213" s="601"/>
      <c r="D213" s="602"/>
      <c r="E213" s="71"/>
      <c r="F213" s="71"/>
      <c r="G213" s="71"/>
      <c r="H213" s="71"/>
      <c r="I213" s="71"/>
      <c r="J213" s="71"/>
      <c r="K213" s="71"/>
      <c r="L213" s="71"/>
      <c r="M213" s="71"/>
      <c r="N213" s="71"/>
      <c r="O213" s="71"/>
      <c r="P213" s="71"/>
      <c r="Q213" s="71"/>
      <c r="R213" s="71"/>
      <c r="S213" s="71"/>
      <c r="T213" s="71"/>
      <c r="U213" s="71"/>
      <c r="V213" s="71"/>
      <c r="W213" s="71"/>
      <c r="X213" s="71"/>
      <c r="Y213" s="71"/>
      <c r="Z213" s="71"/>
    </row>
    <row r="214" spans="1:26" ht="72" customHeight="1">
      <c r="A214" s="608" t="s">
        <v>77</v>
      </c>
      <c r="B214" s="601"/>
      <c r="C214" s="601"/>
      <c r="D214" s="602"/>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1.25" customHeight="1">
      <c r="A216" s="609" t="s">
        <v>34</v>
      </c>
      <c r="B216" s="601"/>
      <c r="C216" s="601"/>
      <c r="D216" s="602"/>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6"/>
      <c r="B217" s="57"/>
      <c r="C217" s="57"/>
      <c r="D217" s="58"/>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36" customHeight="1">
      <c r="A218" s="608" t="s">
        <v>35</v>
      </c>
      <c r="B218" s="601"/>
      <c r="C218" s="601"/>
      <c r="D218" s="602"/>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48" customHeight="1">
      <c r="A220" s="608" t="s">
        <v>36</v>
      </c>
      <c r="B220" s="601"/>
      <c r="C220" s="601"/>
      <c r="D220" s="602"/>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4"/>
      <c r="B221" s="54"/>
      <c r="C221" s="54"/>
      <c r="D221" s="55"/>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48" customHeight="1">
      <c r="A222" s="608" t="s">
        <v>37</v>
      </c>
      <c r="B222" s="601"/>
      <c r="C222" s="601"/>
      <c r="D222" s="602"/>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6.75" customHeight="1">
      <c r="A223" s="54"/>
      <c r="B223" s="54"/>
      <c r="C223" s="54"/>
      <c r="D223" s="55"/>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36" customHeight="1">
      <c r="A224" s="608" t="s">
        <v>38</v>
      </c>
      <c r="B224" s="601"/>
      <c r="C224" s="601"/>
      <c r="D224" s="602"/>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6.75" customHeight="1">
      <c r="A225" s="54"/>
      <c r="B225" s="54"/>
      <c r="C225" s="54"/>
      <c r="D225" s="55"/>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 customHeight="1">
      <c r="A226" s="70" t="s">
        <v>39</v>
      </c>
      <c r="B226" s="63"/>
      <c r="C226" s="63"/>
      <c r="D226" s="6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6.75" customHeight="1">
      <c r="A227" s="59"/>
      <c r="B227" s="60"/>
      <c r="C227" s="60"/>
      <c r="D227" s="61"/>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1.25" customHeight="1">
      <c r="A228" s="62" t="s">
        <v>78</v>
      </c>
      <c r="B228" s="63"/>
      <c r="C228" s="64" t="s">
        <v>41</v>
      </c>
      <c r="D228" s="284">
        <f>'Proposed Rates'!I15</f>
        <v>9.5500000000000007</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1.25" customHeight="1">
      <c r="A229" s="62" t="s">
        <v>59</v>
      </c>
      <c r="B229" s="63"/>
      <c r="C229" s="64" t="s">
        <v>46</v>
      </c>
      <c r="D229" s="285">
        <f>'Proposed Rates'!I28</f>
        <v>4.5499999999999999E-2</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1.25" customHeight="1">
      <c r="A230" s="62" t="s">
        <v>45</v>
      </c>
      <c r="B230" s="63"/>
      <c r="C230" s="64" t="s">
        <v>46</v>
      </c>
      <c r="D230" s="287">
        <f>'Proposed Rates'!I271</f>
        <v>4.0000000000000003E-5</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1.25" hidden="1" customHeight="1">
      <c r="A231" s="62" t="s">
        <v>47</v>
      </c>
      <c r="B231" s="63"/>
      <c r="C231" s="64" t="s">
        <v>46</v>
      </c>
      <c r="D231" s="285">
        <f>'Proposed Rates'!I44</f>
        <v>0</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1.25" hidden="1" customHeight="1">
      <c r="A232" s="62" t="s">
        <v>43</v>
      </c>
      <c r="B232" s="63"/>
      <c r="C232" s="64" t="s">
        <v>46</v>
      </c>
      <c r="D232" s="285">
        <f>'Proposed Rates'!I71</f>
        <v>0</v>
      </c>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1.25" hidden="1" customHeight="1">
      <c r="A233" s="62" t="s">
        <v>42</v>
      </c>
      <c r="B233" s="63"/>
      <c r="C233" s="64" t="s">
        <v>46</v>
      </c>
      <c r="D233" s="285">
        <f>'Proposed Rates'!I97</f>
        <v>0</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1.25" customHeight="1">
      <c r="A234" s="62" t="s">
        <v>49</v>
      </c>
      <c r="B234" s="63"/>
      <c r="C234" s="64" t="s">
        <v>46</v>
      </c>
      <c r="D234" s="285">
        <f>'Proposed Rates'!I192</f>
        <v>7.4999999999999997E-3</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1.25" customHeight="1">
      <c r="A235" s="62" t="s">
        <v>50</v>
      </c>
      <c r="B235" s="63"/>
      <c r="C235" s="64" t="s">
        <v>46</v>
      </c>
      <c r="D235" s="285">
        <f>'Proposed Rates'!I207</f>
        <v>4.3E-3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3" customHeight="1">
      <c r="A236" s="64"/>
      <c r="B236" s="64"/>
      <c r="C236" s="64"/>
      <c r="D236" s="288"/>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1.25" customHeight="1">
      <c r="A237" s="70" t="s">
        <v>51</v>
      </c>
      <c r="B237" s="63"/>
      <c r="C237" s="64"/>
      <c r="D237" s="288"/>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3.75" customHeight="1">
      <c r="A238" s="59"/>
      <c r="B238" s="64"/>
      <c r="C238" s="64"/>
      <c r="D238" s="288"/>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1.25" customHeight="1">
      <c r="A239" s="62" t="s">
        <v>52</v>
      </c>
      <c r="B239" s="63"/>
      <c r="C239" s="64" t="s">
        <v>46</v>
      </c>
      <c r="D239" s="285">
        <f>$D$34</f>
        <v>4.1000000000000003E-3</v>
      </c>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1.25" customHeight="1">
      <c r="A240" s="62" t="s">
        <v>53</v>
      </c>
      <c r="B240" s="63"/>
      <c r="C240" s="64" t="s">
        <v>46</v>
      </c>
      <c r="D240" s="285">
        <f>'Proposed Rates'!I220-'2026'!D243</f>
        <v>5.9999999999999984E-4</v>
      </c>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1.25" customHeight="1">
      <c r="A241" s="62" t="s">
        <v>54</v>
      </c>
      <c r="B241" s="63"/>
      <c r="C241" s="64" t="s">
        <v>46</v>
      </c>
      <c r="D241" s="285">
        <f>'Proposed Rates'!I233</f>
        <v>5.9999999999999995E-4</v>
      </c>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1.25" customHeight="1">
      <c r="A242" s="62" t="s">
        <v>55</v>
      </c>
      <c r="B242" s="63"/>
      <c r="C242" s="64" t="s">
        <v>41</v>
      </c>
      <c r="D242" s="285">
        <f>'Proposed Rates'!I247</f>
        <v>0.25</v>
      </c>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4.25" customHeight="1">
      <c r="A243" s="85"/>
      <c r="B243" s="63"/>
      <c r="C243" s="64"/>
      <c r="D243" s="69"/>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21.75" customHeight="1">
      <c r="A244" s="600" t="str">
        <f>$A$1</f>
        <v>Hydro Ottawa Limited</v>
      </c>
      <c r="B244" s="601"/>
      <c r="C244" s="601"/>
      <c r="D244" s="602"/>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5.75" customHeight="1">
      <c r="A245" s="603" t="str">
        <f>$A$2</f>
        <v>PROPOSED - TARIFF OF RATES AND CHARGES</v>
      </c>
      <c r="B245" s="601"/>
      <c r="C245" s="601"/>
      <c r="D245" s="602"/>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 customHeight="1">
      <c r="A246" s="604" t="str">
        <f>$A$3</f>
        <v>Effective and Implementation Date January 1, 2029</v>
      </c>
      <c r="B246" s="601"/>
      <c r="C246" s="601"/>
      <c r="D246" s="602"/>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5" customHeight="1">
      <c r="A247" s="605" t="str">
        <f>$A$4</f>
        <v>This schedule supersedes and replaces all previously</v>
      </c>
      <c r="B247" s="601"/>
      <c r="C247" s="601"/>
      <c r="D247" s="602"/>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5" customHeight="1">
      <c r="A248" s="605" t="str">
        <f>$A$5</f>
        <v>approved schedules of Rates, Charges and Loss Factors</v>
      </c>
      <c r="B248" s="601"/>
      <c r="C248" s="601"/>
      <c r="D248" s="602"/>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9.75" customHeight="1">
      <c r="A249" s="606" t="str">
        <f>$A$6</f>
        <v>EB-2024-0115</v>
      </c>
      <c r="B249" s="601"/>
      <c r="C249" s="601"/>
      <c r="D249" s="602"/>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8.75" customHeight="1">
      <c r="A250" s="607" t="s">
        <v>79</v>
      </c>
      <c r="B250" s="601"/>
      <c r="C250" s="601"/>
      <c r="D250" s="602"/>
      <c r="E250" s="71"/>
      <c r="F250" s="71"/>
      <c r="G250" s="71"/>
      <c r="H250" s="71"/>
      <c r="I250" s="71"/>
      <c r="J250" s="71"/>
      <c r="K250" s="71"/>
      <c r="L250" s="71"/>
      <c r="M250" s="71"/>
      <c r="N250" s="71"/>
      <c r="O250" s="71"/>
      <c r="P250" s="71"/>
      <c r="Q250" s="71"/>
      <c r="R250" s="71"/>
      <c r="S250" s="71"/>
      <c r="T250" s="71"/>
      <c r="U250" s="71"/>
      <c r="V250" s="71"/>
      <c r="W250" s="71"/>
      <c r="X250" s="71"/>
      <c r="Y250" s="71"/>
      <c r="Z250" s="71"/>
    </row>
    <row r="251" spans="1:26" ht="36" customHeight="1">
      <c r="A251" s="608" t="s">
        <v>80</v>
      </c>
      <c r="B251" s="601"/>
      <c r="C251" s="601"/>
      <c r="D251" s="602"/>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1.25" customHeight="1">
      <c r="A253" s="609" t="s">
        <v>34</v>
      </c>
      <c r="B253" s="601"/>
      <c r="C253" s="601"/>
      <c r="D253" s="602"/>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6"/>
      <c r="B254" s="57"/>
      <c r="C254" s="57"/>
      <c r="D254" s="58"/>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36" customHeight="1">
      <c r="A255" s="608" t="s">
        <v>35</v>
      </c>
      <c r="B255" s="601"/>
      <c r="C255" s="601"/>
      <c r="D255" s="602"/>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48" customHeight="1">
      <c r="A257" s="608" t="s">
        <v>36</v>
      </c>
      <c r="B257" s="601"/>
      <c r="C257" s="601"/>
      <c r="D257" s="602"/>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24" customHeight="1">
      <c r="A259" s="608" t="s">
        <v>81</v>
      </c>
      <c r="B259" s="601"/>
      <c r="C259" s="601"/>
      <c r="D259" s="602"/>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4"/>
      <c r="B260" s="54"/>
      <c r="C260" s="54"/>
      <c r="D260" s="55"/>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36" customHeight="1">
      <c r="A261" s="608" t="s">
        <v>82</v>
      </c>
      <c r="B261" s="601"/>
      <c r="C261" s="601"/>
      <c r="D261" s="602"/>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6.75" customHeight="1">
      <c r="A262" s="54"/>
      <c r="B262" s="54"/>
      <c r="C262" s="54"/>
      <c r="D262" s="55"/>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 customHeight="1">
      <c r="A263" s="610" t="s">
        <v>83</v>
      </c>
      <c r="B263" s="601"/>
      <c r="C263" s="601"/>
      <c r="D263" s="602"/>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6.75" customHeight="1">
      <c r="A264" s="59"/>
      <c r="B264" s="60"/>
      <c r="C264" s="60"/>
      <c r="D264" s="61"/>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1.25" customHeight="1">
      <c r="A265" s="612" t="s">
        <v>40</v>
      </c>
      <c r="B265" s="602"/>
      <c r="C265" s="64" t="s">
        <v>41</v>
      </c>
      <c r="D265" s="284">
        <f>'Proposed Rates'!I17</f>
        <v>186.89</v>
      </c>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1.25" customHeight="1">
      <c r="A266" s="612" t="s">
        <v>84</v>
      </c>
      <c r="B266" s="602"/>
      <c r="C266" s="64" t="s">
        <v>66</v>
      </c>
      <c r="D266" s="285">
        <f>'Proposed Rates'!I29</f>
        <v>4.6917999999999997</v>
      </c>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1.25" customHeight="1">
      <c r="A267" s="612" t="s">
        <v>85</v>
      </c>
      <c r="B267" s="602"/>
      <c r="C267" s="64" t="s">
        <v>66</v>
      </c>
      <c r="D267" s="285">
        <f>'Proposed Rates'!I30</f>
        <v>4.6041999999999996</v>
      </c>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1.25" customHeight="1">
      <c r="A268" s="612" t="s">
        <v>86</v>
      </c>
      <c r="B268" s="602"/>
      <c r="C268" s="64" t="s">
        <v>66</v>
      </c>
      <c r="D268" s="285">
        <f>'Proposed Rates'!I31</f>
        <v>5.2316000000000003</v>
      </c>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2.75" customHeight="1">
      <c r="A269" s="85"/>
      <c r="B269" s="63"/>
      <c r="C269" s="64"/>
      <c r="D269" s="288"/>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24.75" customHeight="1">
      <c r="A270" s="600" t="str">
        <f>$A$1</f>
        <v>Hydro Ottawa Limited</v>
      </c>
      <c r="B270" s="601"/>
      <c r="C270" s="601"/>
      <c r="D270" s="602"/>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5.75" customHeight="1">
      <c r="A271" s="603" t="str">
        <f>$A$2</f>
        <v>PROPOSED - TARIFF OF RATES AND CHARGES</v>
      </c>
      <c r="B271" s="601"/>
      <c r="C271" s="601"/>
      <c r="D271" s="602"/>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 customHeight="1">
      <c r="A272" s="604" t="str">
        <f>$A$3</f>
        <v>Effective and Implementation Date January 1, 2029</v>
      </c>
      <c r="B272" s="601"/>
      <c r="C272" s="601"/>
      <c r="D272" s="602"/>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5" customHeight="1">
      <c r="A273" s="605" t="str">
        <f>$A$4</f>
        <v>This schedule supersedes and replaces all previously</v>
      </c>
      <c r="B273" s="601"/>
      <c r="C273" s="601"/>
      <c r="D273" s="602"/>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5" customHeight="1">
      <c r="A274" s="605" t="str">
        <f>$A$5</f>
        <v>approved schedules of Rates, Charges and Loss Factors</v>
      </c>
      <c r="B274" s="601"/>
      <c r="C274" s="601"/>
      <c r="D274" s="602"/>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9.75" customHeight="1">
      <c r="A275" s="606" t="str">
        <f>$A$6</f>
        <v>EB-2024-0115</v>
      </c>
      <c r="B275" s="601"/>
      <c r="C275" s="601"/>
      <c r="D275" s="602"/>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8.75" customHeight="1">
      <c r="A276" s="607" t="s">
        <v>87</v>
      </c>
      <c r="B276" s="601"/>
      <c r="C276" s="601"/>
      <c r="D276" s="602"/>
      <c r="E276" s="71"/>
      <c r="F276" s="71"/>
      <c r="G276" s="71"/>
      <c r="H276" s="71"/>
      <c r="I276" s="71"/>
      <c r="J276" s="71"/>
      <c r="K276" s="71"/>
      <c r="L276" s="71"/>
      <c r="M276" s="71"/>
      <c r="N276" s="71"/>
      <c r="O276" s="71"/>
      <c r="P276" s="71"/>
      <c r="Q276" s="71"/>
      <c r="R276" s="71"/>
      <c r="S276" s="71"/>
      <c r="T276" s="71"/>
      <c r="U276" s="71"/>
      <c r="V276" s="71"/>
      <c r="W276" s="71"/>
      <c r="X276" s="71"/>
      <c r="Y276" s="71"/>
      <c r="Z276" s="71"/>
    </row>
    <row r="277" spans="1:26" ht="36" customHeight="1">
      <c r="A277" s="608" t="s">
        <v>88</v>
      </c>
      <c r="B277" s="601"/>
      <c r="C277" s="601"/>
      <c r="D277" s="602"/>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1.25" customHeight="1">
      <c r="A279" s="609" t="s">
        <v>34</v>
      </c>
      <c r="B279" s="601"/>
      <c r="C279" s="601"/>
      <c r="D279" s="602"/>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6"/>
      <c r="B280" s="57"/>
      <c r="C280" s="57"/>
      <c r="D280" s="58"/>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36" customHeight="1">
      <c r="A281" s="608" t="s">
        <v>35</v>
      </c>
      <c r="B281" s="601"/>
      <c r="C281" s="601"/>
      <c r="D281" s="602"/>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48" customHeight="1">
      <c r="A283" s="608" t="s">
        <v>36</v>
      </c>
      <c r="B283" s="601"/>
      <c r="C283" s="601"/>
      <c r="D283" s="602"/>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48" customHeight="1">
      <c r="A285" s="608" t="s">
        <v>37</v>
      </c>
      <c r="B285" s="601"/>
      <c r="C285" s="601"/>
      <c r="D285" s="602"/>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4"/>
      <c r="B286" s="54"/>
      <c r="C286" s="54"/>
      <c r="D286" s="55"/>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36" customHeight="1">
      <c r="A287" s="608" t="s">
        <v>38</v>
      </c>
      <c r="B287" s="601"/>
      <c r="C287" s="601"/>
      <c r="D287" s="602"/>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6.75" customHeight="1">
      <c r="A288" s="54"/>
      <c r="B288" s="54"/>
      <c r="C288" s="54"/>
      <c r="D288" s="55"/>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 customHeight="1">
      <c r="A289" s="610" t="s">
        <v>39</v>
      </c>
      <c r="B289" s="601"/>
      <c r="C289" s="601"/>
      <c r="D289" s="602"/>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6.75" customHeight="1">
      <c r="A290" s="59"/>
      <c r="B290" s="60"/>
      <c r="C290" s="60"/>
      <c r="D290" s="61"/>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customHeight="1">
      <c r="A291" s="62" t="s">
        <v>78</v>
      </c>
      <c r="B291" s="63"/>
      <c r="C291" s="64" t="s">
        <v>41</v>
      </c>
      <c r="D291" s="284">
        <f>'Proposed Rates'!I14</f>
        <v>9.61</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customHeight="1">
      <c r="A292" s="62" t="s">
        <v>59</v>
      </c>
      <c r="B292" s="63"/>
      <c r="C292" s="64" t="s">
        <v>66</v>
      </c>
      <c r="D292" s="285">
        <f>'Proposed Rates'!I27</f>
        <v>45.076900000000002</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0.5" customHeight="1">
      <c r="A293" s="62" t="s">
        <v>45</v>
      </c>
      <c r="B293" s="63"/>
      <c r="C293" s="64" t="s">
        <v>66</v>
      </c>
      <c r="D293" s="287">
        <f>'Proposed Rates'!I270</f>
        <v>4.5900000000000003E-3</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0.5" hidden="1" customHeight="1">
      <c r="A294" s="62" t="s">
        <v>47</v>
      </c>
      <c r="B294" s="63"/>
      <c r="C294" s="64" t="s">
        <v>66</v>
      </c>
      <c r="D294" s="285">
        <f>'Proposed Rates'!I43</f>
        <v>0</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0.5" hidden="1" customHeight="1">
      <c r="A295" s="62" t="s">
        <v>43</v>
      </c>
      <c r="B295" s="63"/>
      <c r="C295" s="64" t="s">
        <v>66</v>
      </c>
      <c r="D295" s="285">
        <f>'Proposed Rates'!I70</f>
        <v>0</v>
      </c>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0.5" hidden="1" customHeight="1">
      <c r="A296" s="62" t="s">
        <v>48</v>
      </c>
      <c r="B296" s="63"/>
      <c r="C296" s="64" t="s">
        <v>46</v>
      </c>
      <c r="D296" s="285">
        <f>'Proposed Rates'!I148</f>
        <v>0</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0.5" customHeight="1">
      <c r="A297" s="62" t="s">
        <v>49</v>
      </c>
      <c r="B297" s="63"/>
      <c r="C297" s="64" t="s">
        <v>66</v>
      </c>
      <c r="D297" s="285">
        <f>'Proposed Rates'!I191</f>
        <v>0.85450000000000004</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89" t="s">
        <v>50</v>
      </c>
      <c r="B298" s="63"/>
      <c r="C298" s="90" t="s">
        <v>66</v>
      </c>
      <c r="D298" s="294">
        <f>'Proposed Rates'!I206</f>
        <v>0.48370000000000002</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2.25" customHeight="1">
      <c r="A299" s="89"/>
      <c r="B299" s="63"/>
      <c r="C299" s="90"/>
      <c r="D299" s="295"/>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1.25" customHeight="1">
      <c r="A300" s="70" t="s">
        <v>51</v>
      </c>
      <c r="B300" s="63"/>
      <c r="C300" s="64"/>
      <c r="D300" s="288"/>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3" customHeight="1">
      <c r="A301" s="59"/>
      <c r="B301" s="64"/>
      <c r="C301" s="64"/>
      <c r="D301" s="288"/>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0.5" customHeight="1">
      <c r="A302" s="62" t="s">
        <v>52</v>
      </c>
      <c r="B302" s="63"/>
      <c r="C302" s="64" t="s">
        <v>46</v>
      </c>
      <c r="D302" s="285">
        <f>$D$34</f>
        <v>4.1000000000000003E-3</v>
      </c>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0.5" customHeight="1">
      <c r="A303" s="62" t="s">
        <v>53</v>
      </c>
      <c r="B303" s="63"/>
      <c r="C303" s="64" t="s">
        <v>46</v>
      </c>
      <c r="D303" s="285">
        <f>'Proposed Rates'!I219-'2026'!D307</f>
        <v>5.9999999999999984E-4</v>
      </c>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0.5" customHeight="1">
      <c r="A304" s="62" t="s">
        <v>54</v>
      </c>
      <c r="B304" s="63"/>
      <c r="C304" s="64" t="s">
        <v>46</v>
      </c>
      <c r="D304" s="285">
        <f>'Proposed Rates'!I232</f>
        <v>5.9999999999999995E-4</v>
      </c>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0.5" customHeight="1">
      <c r="A305" s="62" t="s">
        <v>55</v>
      </c>
      <c r="B305" s="63"/>
      <c r="C305" s="64" t="s">
        <v>41</v>
      </c>
      <c r="D305" s="285">
        <f>'Proposed Rates'!I246</f>
        <v>0.25</v>
      </c>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5" customHeight="1">
      <c r="A306" s="85"/>
      <c r="B306" s="63"/>
      <c r="C306" s="64"/>
      <c r="D306" s="69"/>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21.75" customHeight="1">
      <c r="A307" s="600" t="str">
        <f>$A$1</f>
        <v>Hydro Ottawa Limited</v>
      </c>
      <c r="B307" s="601"/>
      <c r="C307" s="601"/>
      <c r="D307" s="602"/>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5.75" customHeight="1">
      <c r="A308" s="603" t="str">
        <f>$A$2</f>
        <v>PROPOSED - TARIFF OF RATES AND CHARGES</v>
      </c>
      <c r="B308" s="601"/>
      <c r="C308" s="601"/>
      <c r="D308" s="602"/>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 customHeight="1">
      <c r="A309" s="604" t="str">
        <f>$A$3</f>
        <v>Effective and Implementation Date January 1, 2029</v>
      </c>
      <c r="B309" s="601"/>
      <c r="C309" s="601"/>
      <c r="D309" s="602"/>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5" customHeight="1">
      <c r="A310" s="605" t="str">
        <f>$A$4</f>
        <v>This schedule supersedes and replaces all previously</v>
      </c>
      <c r="B310" s="601"/>
      <c r="C310" s="601"/>
      <c r="D310" s="602"/>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5" customHeight="1">
      <c r="A311" s="605" t="str">
        <f>$A$5</f>
        <v>approved schedules of Rates, Charges and Loss Factors</v>
      </c>
      <c r="B311" s="601"/>
      <c r="C311" s="601"/>
      <c r="D311" s="602"/>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9.75" customHeight="1">
      <c r="A312" s="606" t="str">
        <f>$A$6</f>
        <v>EB-2024-0115</v>
      </c>
      <c r="B312" s="601"/>
      <c r="C312" s="601"/>
      <c r="D312" s="602"/>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8.75" customHeight="1">
      <c r="A313" s="607" t="s">
        <v>89</v>
      </c>
      <c r="B313" s="601"/>
      <c r="C313" s="601"/>
      <c r="D313" s="602"/>
      <c r="E313" s="71"/>
      <c r="F313" s="71"/>
      <c r="G313" s="71"/>
      <c r="H313" s="71"/>
      <c r="I313" s="71"/>
      <c r="J313" s="71"/>
      <c r="K313" s="71"/>
      <c r="L313" s="71"/>
      <c r="M313" s="71"/>
      <c r="N313" s="71"/>
      <c r="O313" s="71"/>
      <c r="P313" s="71"/>
      <c r="Q313" s="71"/>
      <c r="R313" s="71"/>
      <c r="S313" s="71"/>
      <c r="T313" s="71"/>
      <c r="U313" s="71"/>
      <c r="V313" s="71"/>
      <c r="W313" s="71"/>
      <c r="X313" s="71"/>
      <c r="Y313" s="71"/>
      <c r="Z313" s="71"/>
    </row>
    <row r="314" spans="1:26" ht="60" customHeight="1">
      <c r="A314" s="608" t="s">
        <v>90</v>
      </c>
      <c r="B314" s="601"/>
      <c r="C314" s="601"/>
      <c r="D314" s="602"/>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1.25" customHeight="1">
      <c r="A316" s="609" t="s">
        <v>34</v>
      </c>
      <c r="B316" s="601"/>
      <c r="C316" s="601"/>
      <c r="D316" s="602"/>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6"/>
      <c r="B317" s="57"/>
      <c r="C317" s="57"/>
      <c r="D317" s="58"/>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36" customHeight="1">
      <c r="A318" s="608" t="s">
        <v>35</v>
      </c>
      <c r="B318" s="601"/>
      <c r="C318" s="601"/>
      <c r="D318" s="602"/>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48" customHeight="1">
      <c r="A320" s="608" t="s">
        <v>36</v>
      </c>
      <c r="B320" s="601"/>
      <c r="C320" s="601"/>
      <c r="D320" s="602"/>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48" customHeight="1">
      <c r="A322" s="608" t="s">
        <v>37</v>
      </c>
      <c r="B322" s="601"/>
      <c r="C322" s="601"/>
      <c r="D322" s="602"/>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75" customHeight="1">
      <c r="A323" s="54"/>
      <c r="B323" s="54"/>
      <c r="C323" s="54"/>
      <c r="D323" s="55"/>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36" customHeight="1">
      <c r="A324" s="608" t="s">
        <v>91</v>
      </c>
      <c r="B324" s="601"/>
      <c r="C324" s="601"/>
      <c r="D324" s="602"/>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6.75" customHeight="1">
      <c r="A325" s="54"/>
      <c r="B325" s="54"/>
      <c r="C325" s="54"/>
      <c r="D325" s="55"/>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 customHeight="1">
      <c r="A326" s="610" t="s">
        <v>39</v>
      </c>
      <c r="B326" s="601"/>
      <c r="C326" s="601"/>
      <c r="D326" s="602"/>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6.75" customHeight="1">
      <c r="A327" s="59"/>
      <c r="B327" s="60"/>
      <c r="C327" s="60"/>
      <c r="D327" s="61"/>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0.5" customHeight="1">
      <c r="A328" s="62" t="s">
        <v>78</v>
      </c>
      <c r="B328" s="63"/>
      <c r="C328" s="64" t="s">
        <v>41</v>
      </c>
      <c r="D328" s="284">
        <f>'Proposed Rates'!I13</f>
        <v>1.24</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0.5" customHeight="1">
      <c r="A329" s="62" t="s">
        <v>59</v>
      </c>
      <c r="B329" s="63"/>
      <c r="C329" s="64" t="s">
        <v>66</v>
      </c>
      <c r="D329" s="285">
        <f>'Proposed Rates'!I26</f>
        <v>8.6244999999999994</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0.5" customHeight="1">
      <c r="A330" s="62" t="s">
        <v>45</v>
      </c>
      <c r="B330" s="63"/>
      <c r="C330" s="64" t="s">
        <v>66</v>
      </c>
      <c r="D330" s="287">
        <f>'Proposed Rates'!I269</f>
        <v>1.159E-2</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0.5" hidden="1" customHeight="1">
      <c r="A331" s="62" t="s">
        <v>47</v>
      </c>
      <c r="B331" s="63"/>
      <c r="C331" s="64" t="s">
        <v>66</v>
      </c>
      <c r="D331" s="285">
        <f>'Proposed Rates'!I42</f>
        <v>0</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0.5" hidden="1" customHeight="1">
      <c r="A332" s="62" t="s">
        <v>43</v>
      </c>
      <c r="B332" s="63"/>
      <c r="C332" s="64" t="s">
        <v>66</v>
      </c>
      <c r="D332" s="285">
        <f>'Proposed Rates'!I69</f>
        <v>0</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0.5" hidden="1" customHeight="1">
      <c r="A333" s="62" t="s">
        <v>42</v>
      </c>
      <c r="B333" s="63"/>
      <c r="C333" s="64" t="s">
        <v>66</v>
      </c>
      <c r="D333" s="285">
        <f>'Proposed Rates'!I95</f>
        <v>0</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0.5" hidden="1" customHeight="1">
      <c r="A334" s="62" t="s">
        <v>48</v>
      </c>
      <c r="B334" s="63"/>
      <c r="C334" s="64" t="s">
        <v>46</v>
      </c>
      <c r="D334" s="285">
        <f>'Proposed Rates'!I147</f>
        <v>0</v>
      </c>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0.5" customHeight="1">
      <c r="A335" s="62" t="s">
        <v>49</v>
      </c>
      <c r="B335" s="63"/>
      <c r="C335" s="64" t="s">
        <v>66</v>
      </c>
      <c r="D335" s="285">
        <f>'Proposed Rates'!I190</f>
        <v>2.1576</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0.5" customHeight="1">
      <c r="A336" s="62" t="s">
        <v>50</v>
      </c>
      <c r="B336" s="63"/>
      <c r="C336" s="64" t="s">
        <v>66</v>
      </c>
      <c r="D336" s="285">
        <f>'Proposed Rates'!I205</f>
        <v>1.2213000000000001</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5.25" customHeight="1">
      <c r="A337" s="64"/>
      <c r="B337" s="64"/>
      <c r="C337" s="64"/>
      <c r="D337" s="288"/>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1.25" customHeight="1">
      <c r="A338" s="70" t="s">
        <v>51</v>
      </c>
      <c r="B338" s="63"/>
      <c r="C338" s="64"/>
      <c r="D338" s="288"/>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5.25" customHeight="1">
      <c r="A339" s="59"/>
      <c r="B339" s="64"/>
      <c r="C339" s="64"/>
      <c r="D339" s="288"/>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0.5" customHeight="1">
      <c r="A340" s="62" t="s">
        <v>52</v>
      </c>
      <c r="B340" s="63"/>
      <c r="C340" s="64" t="s">
        <v>46</v>
      </c>
      <c r="D340" s="285">
        <f>$D$34</f>
        <v>4.1000000000000003E-3</v>
      </c>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0.5" customHeight="1">
      <c r="A341" s="62" t="s">
        <v>53</v>
      </c>
      <c r="B341" s="63"/>
      <c r="C341" s="64" t="s">
        <v>46</v>
      </c>
      <c r="D341" s="285">
        <f>'Proposed Rates'!I218-'2026'!D347</f>
        <v>5.9999999999999984E-4</v>
      </c>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0.5" customHeight="1">
      <c r="A342" s="62" t="s">
        <v>54</v>
      </c>
      <c r="B342" s="63"/>
      <c r="C342" s="64" t="s">
        <v>46</v>
      </c>
      <c r="D342" s="285">
        <f>'Proposed Rates'!I231</f>
        <v>5.9999999999999995E-4</v>
      </c>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0.5" customHeight="1">
      <c r="A343" s="62" t="s">
        <v>55</v>
      </c>
      <c r="B343" s="63"/>
      <c r="C343" s="64" t="s">
        <v>41</v>
      </c>
      <c r="D343" s="285">
        <f>'Proposed Rates'!I245</f>
        <v>0.25</v>
      </c>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9.75" customHeight="1">
      <c r="A344" s="85"/>
      <c r="B344" s="63"/>
      <c r="C344" s="64"/>
      <c r="D344" s="69"/>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21.75" customHeight="1">
      <c r="A345" s="600" t="str">
        <f>$A$1</f>
        <v>Hydro Ottawa Limited</v>
      </c>
      <c r="B345" s="601"/>
      <c r="C345" s="601"/>
      <c r="D345" s="602"/>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75" customHeight="1">
      <c r="A346" s="603" t="str">
        <f>$A$2</f>
        <v>PROPOSED - TARIFF OF RATES AND CHARGES</v>
      </c>
      <c r="B346" s="601"/>
      <c r="C346" s="601"/>
      <c r="D346" s="602"/>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 customHeight="1">
      <c r="A347" s="604" t="str">
        <f>$A$3</f>
        <v>Effective and Implementation Date January 1, 2029</v>
      </c>
      <c r="B347" s="601"/>
      <c r="C347" s="601"/>
      <c r="D347" s="602"/>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5" customHeight="1">
      <c r="A348" s="605" t="str">
        <f>$A$4</f>
        <v>This schedule supersedes and replaces all previously</v>
      </c>
      <c r="B348" s="601"/>
      <c r="C348" s="601"/>
      <c r="D348" s="602"/>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5" customHeight="1">
      <c r="A349" s="605" t="str">
        <f>$A$5</f>
        <v>approved schedules of Rates, Charges and Loss Factors</v>
      </c>
      <c r="B349" s="601"/>
      <c r="C349" s="601"/>
      <c r="D349" s="602"/>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9.75" customHeight="1">
      <c r="A350" s="606" t="str">
        <f>$A$6</f>
        <v>EB-2024-0115</v>
      </c>
      <c r="B350" s="601"/>
      <c r="C350" s="601"/>
      <c r="D350" s="602"/>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8.75" customHeight="1">
      <c r="A351" s="607" t="s">
        <v>93</v>
      </c>
      <c r="B351" s="601"/>
      <c r="C351" s="601"/>
      <c r="D351" s="602"/>
      <c r="E351" s="71"/>
      <c r="F351" s="71"/>
      <c r="G351" s="71"/>
      <c r="H351" s="71"/>
      <c r="I351" s="71"/>
      <c r="J351" s="71"/>
      <c r="K351" s="71"/>
      <c r="L351" s="71"/>
      <c r="M351" s="71"/>
      <c r="N351" s="71"/>
      <c r="O351" s="71"/>
      <c r="P351" s="71"/>
      <c r="Q351" s="71"/>
      <c r="R351" s="71"/>
      <c r="S351" s="71"/>
      <c r="T351" s="71"/>
      <c r="U351" s="71"/>
      <c r="V351" s="71"/>
      <c r="W351" s="71"/>
      <c r="X351" s="71"/>
      <c r="Y351" s="71"/>
      <c r="Z351" s="71"/>
    </row>
    <row r="352" spans="1:26" ht="36" customHeight="1">
      <c r="A352" s="608" t="s">
        <v>94</v>
      </c>
      <c r="B352" s="601"/>
      <c r="C352" s="601"/>
      <c r="D352" s="602"/>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6.75" customHeight="1">
      <c r="A353" s="54"/>
      <c r="B353" s="54"/>
      <c r="C353" s="54"/>
      <c r="D353" s="55"/>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1.25" customHeight="1">
      <c r="A354" s="609" t="s">
        <v>34</v>
      </c>
      <c r="B354" s="601"/>
      <c r="C354" s="601"/>
      <c r="D354" s="602"/>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6.75" customHeight="1">
      <c r="A355" s="56"/>
      <c r="B355" s="57"/>
      <c r="C355" s="57"/>
      <c r="D355" s="58"/>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36" customHeight="1">
      <c r="A356" s="608" t="s">
        <v>35</v>
      </c>
      <c r="B356" s="601"/>
      <c r="C356" s="601"/>
      <c r="D356" s="602"/>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6.75" customHeight="1">
      <c r="A357" s="54"/>
      <c r="B357" s="54"/>
      <c r="C357" s="54"/>
      <c r="D357" s="55"/>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48" customHeight="1">
      <c r="A358" s="608" t="s">
        <v>36</v>
      </c>
      <c r="B358" s="601"/>
      <c r="C358" s="601"/>
      <c r="D358" s="602"/>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6.75" customHeight="1">
      <c r="A359" s="54"/>
      <c r="B359" s="54"/>
      <c r="C359" s="54"/>
      <c r="D359" s="55"/>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24" customHeight="1">
      <c r="A360" s="608" t="s">
        <v>95</v>
      </c>
      <c r="B360" s="601"/>
      <c r="C360" s="601"/>
      <c r="D360" s="602"/>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6.75" customHeight="1">
      <c r="A361" s="54"/>
      <c r="B361" s="54"/>
      <c r="C361" s="54"/>
      <c r="D361" s="55"/>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36" customHeight="1">
      <c r="A362" s="608" t="s">
        <v>91</v>
      </c>
      <c r="B362" s="601"/>
      <c r="C362" s="601"/>
      <c r="D362" s="602"/>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6.75" customHeight="1">
      <c r="A363" s="54"/>
      <c r="B363" s="54"/>
      <c r="C363" s="54"/>
      <c r="D363" s="55"/>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 customHeight="1">
      <c r="A364" s="610" t="s">
        <v>39</v>
      </c>
      <c r="B364" s="601"/>
      <c r="C364" s="601"/>
      <c r="D364" s="602"/>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6.75" customHeight="1">
      <c r="A365" s="59"/>
      <c r="B365" s="60"/>
      <c r="C365" s="60"/>
      <c r="D365" s="61"/>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1.25" customHeight="1">
      <c r="A366" s="612" t="s">
        <v>40</v>
      </c>
      <c r="B366" s="602"/>
      <c r="C366" s="64" t="s">
        <v>41</v>
      </c>
      <c r="D366" s="93">
        <f>'Proposed Rates'!I376</f>
        <v>0</v>
      </c>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8.25" customHeight="1">
      <c r="A367" s="85"/>
      <c r="B367" s="63"/>
      <c r="C367" s="64"/>
      <c r="D367" s="69"/>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21.75" customHeight="1">
      <c r="A368" s="600" t="str">
        <f>$A$1</f>
        <v>Hydro Ottawa Limited</v>
      </c>
      <c r="B368" s="601"/>
      <c r="C368" s="601"/>
      <c r="D368" s="602"/>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75" customHeight="1">
      <c r="A369" s="603" t="str">
        <f>$A$2</f>
        <v>PROPOSED - TARIFF OF RATES AND CHARGES</v>
      </c>
      <c r="B369" s="601"/>
      <c r="C369" s="601"/>
      <c r="D369" s="602"/>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 customHeight="1">
      <c r="A370" s="604" t="str">
        <f>$A$3</f>
        <v>Effective and Implementation Date January 1, 2029</v>
      </c>
      <c r="B370" s="601"/>
      <c r="C370" s="601"/>
      <c r="D370" s="602"/>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5" customHeight="1">
      <c r="A371" s="605" t="str">
        <f>$A$4</f>
        <v>This schedule supersedes and replaces all previously</v>
      </c>
      <c r="B371" s="601"/>
      <c r="C371" s="601"/>
      <c r="D371" s="602"/>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5" customHeight="1">
      <c r="A372" s="605" t="str">
        <f>$A$5</f>
        <v>approved schedules of Rates, Charges and Loss Factors</v>
      </c>
      <c r="B372" s="601"/>
      <c r="C372" s="601"/>
      <c r="D372" s="602"/>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9.75" customHeight="1">
      <c r="A373" s="606" t="str">
        <f>$A$6</f>
        <v>EB-2024-0115</v>
      </c>
      <c r="B373" s="601"/>
      <c r="C373" s="601"/>
      <c r="D373" s="602"/>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8.75" customHeight="1">
      <c r="A374" s="607" t="s">
        <v>96</v>
      </c>
      <c r="B374" s="601"/>
      <c r="C374" s="601"/>
      <c r="D374" s="602"/>
      <c r="E374" s="71"/>
      <c r="F374" s="71"/>
      <c r="G374" s="71"/>
      <c r="H374" s="71"/>
      <c r="I374" s="71"/>
      <c r="J374" s="71"/>
      <c r="K374" s="71"/>
      <c r="L374" s="71"/>
      <c r="M374" s="71"/>
      <c r="N374" s="71"/>
      <c r="O374" s="71"/>
      <c r="P374" s="71"/>
      <c r="Q374" s="71"/>
      <c r="R374" s="71"/>
      <c r="S374" s="71"/>
      <c r="T374" s="71"/>
      <c r="U374" s="71"/>
      <c r="V374" s="71"/>
      <c r="W374" s="71"/>
      <c r="X374" s="71"/>
      <c r="Y374" s="71"/>
      <c r="Z374" s="71"/>
    </row>
    <row r="375" spans="1:26" ht="36" customHeight="1">
      <c r="A375" s="614" t="s">
        <v>97</v>
      </c>
      <c r="B375" s="615"/>
      <c r="C375" s="615"/>
      <c r="D375" s="615"/>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54"/>
      <c r="B376" s="54"/>
      <c r="C376" s="54"/>
      <c r="D376" s="55"/>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1.25" customHeight="1">
      <c r="A377" s="609" t="s">
        <v>34</v>
      </c>
      <c r="B377" s="601"/>
      <c r="C377" s="601"/>
      <c r="D377" s="602"/>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56"/>
      <c r="B378" s="57"/>
      <c r="C378" s="57"/>
      <c r="D378" s="58"/>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36" customHeight="1">
      <c r="A379" s="608" t="s">
        <v>35</v>
      </c>
      <c r="B379" s="601"/>
      <c r="C379" s="601"/>
      <c r="D379" s="602"/>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54"/>
      <c r="B380" s="54"/>
      <c r="C380" s="54"/>
      <c r="D380" s="55"/>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48" customHeight="1">
      <c r="A381" s="608" t="s">
        <v>36</v>
      </c>
      <c r="B381" s="601"/>
      <c r="C381" s="601"/>
      <c r="D381" s="602"/>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54"/>
      <c r="B382" s="54"/>
      <c r="C382" s="54"/>
      <c r="D382" s="55"/>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24" customHeight="1">
      <c r="A383" s="608" t="s">
        <v>95</v>
      </c>
      <c r="B383" s="601"/>
      <c r="C383" s="601"/>
      <c r="D383" s="602"/>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6.75" customHeight="1">
      <c r="A384" s="54"/>
      <c r="B384" s="54"/>
      <c r="C384" s="54"/>
      <c r="D384" s="55"/>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36" customHeight="1">
      <c r="A385" s="608" t="s">
        <v>91</v>
      </c>
      <c r="B385" s="601"/>
      <c r="C385" s="601"/>
      <c r="D385" s="602"/>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6.75" customHeight="1">
      <c r="A386" s="54"/>
      <c r="B386" s="54"/>
      <c r="C386" s="54"/>
      <c r="D386" s="55"/>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 customHeight="1">
      <c r="A387" s="610" t="s">
        <v>39</v>
      </c>
      <c r="B387" s="601"/>
      <c r="C387" s="601"/>
      <c r="D387" s="602"/>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6.75" customHeight="1">
      <c r="A388" s="59"/>
      <c r="B388" s="60"/>
      <c r="C388" s="60"/>
      <c r="D388" s="61"/>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1.25" customHeight="1">
      <c r="A389" s="612" t="s">
        <v>40</v>
      </c>
      <c r="B389" s="602"/>
      <c r="C389" s="64" t="s">
        <v>41</v>
      </c>
      <c r="D389" s="93">
        <f>'Proposed Rates'!I373</f>
        <v>12</v>
      </c>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3" customHeight="1">
      <c r="A390" s="85"/>
      <c r="B390" s="63"/>
      <c r="C390" s="64"/>
      <c r="D390" s="69"/>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3" customHeight="1">
      <c r="A391" s="296"/>
      <c r="B391" s="95"/>
      <c r="C391" s="96"/>
      <c r="D391" s="297"/>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3" customHeight="1">
      <c r="A392" s="296"/>
      <c r="B392" s="95"/>
      <c r="C392" s="96"/>
      <c r="D392" s="297"/>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3" customHeight="1">
      <c r="A393" s="296"/>
      <c r="B393" s="95"/>
      <c r="C393" s="96"/>
      <c r="D393" s="297"/>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3" customHeight="1">
      <c r="A394" s="296"/>
      <c r="B394" s="95"/>
      <c r="C394" s="96"/>
      <c r="D394" s="297"/>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3" customHeight="1">
      <c r="A395" s="296"/>
      <c r="B395" s="95"/>
      <c r="C395" s="96"/>
      <c r="D395" s="297"/>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3" customHeight="1">
      <c r="A396" s="296"/>
      <c r="B396" s="95"/>
      <c r="C396" s="96"/>
      <c r="D396" s="297"/>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8.75" customHeight="1">
      <c r="A397" s="607" t="s">
        <v>98</v>
      </c>
      <c r="B397" s="601"/>
      <c r="C397" s="601"/>
      <c r="D397" s="602"/>
      <c r="E397" s="71"/>
      <c r="F397" s="71"/>
      <c r="G397" s="71"/>
      <c r="H397" s="71"/>
      <c r="I397" s="71"/>
      <c r="J397" s="71"/>
      <c r="K397" s="71"/>
      <c r="L397" s="71"/>
      <c r="M397" s="71"/>
      <c r="N397" s="71"/>
      <c r="O397" s="71"/>
      <c r="P397" s="71"/>
      <c r="Q397" s="71"/>
      <c r="R397" s="71"/>
      <c r="S397" s="71"/>
      <c r="T397" s="71"/>
      <c r="U397" s="71"/>
      <c r="V397" s="71"/>
      <c r="W397" s="71"/>
      <c r="X397" s="71"/>
      <c r="Y397" s="71"/>
      <c r="Z397" s="71"/>
    </row>
    <row r="398" spans="1:26" ht="36" customHeight="1">
      <c r="A398" s="614" t="s">
        <v>99</v>
      </c>
      <c r="B398" s="615"/>
      <c r="C398" s="615"/>
      <c r="D398" s="615"/>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1.25" customHeight="1">
      <c r="A400" s="609" t="s">
        <v>34</v>
      </c>
      <c r="B400" s="601"/>
      <c r="C400" s="601"/>
      <c r="D400" s="602"/>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6"/>
      <c r="B401" s="57"/>
      <c r="C401" s="57"/>
      <c r="D401" s="58"/>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36" customHeight="1">
      <c r="A402" s="608" t="s">
        <v>35</v>
      </c>
      <c r="B402" s="601"/>
      <c r="C402" s="601"/>
      <c r="D402" s="602"/>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4"/>
      <c r="B403" s="54"/>
      <c r="C403" s="54"/>
      <c r="D403" s="55"/>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48" customHeight="1">
      <c r="A404" s="608" t="s">
        <v>36</v>
      </c>
      <c r="B404" s="601"/>
      <c r="C404" s="601"/>
      <c r="D404" s="602"/>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6.75" customHeight="1">
      <c r="A405" s="54"/>
      <c r="B405" s="54"/>
      <c r="C405" s="54"/>
      <c r="D405" s="55"/>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24" customHeight="1">
      <c r="A406" s="608" t="s">
        <v>95</v>
      </c>
      <c r="B406" s="601"/>
      <c r="C406" s="601"/>
      <c r="D406" s="602"/>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75" customHeight="1">
      <c r="A407" s="54"/>
      <c r="B407" s="54"/>
      <c r="C407" s="54"/>
      <c r="D407" s="55"/>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36" customHeight="1">
      <c r="A408" s="608" t="s">
        <v>91</v>
      </c>
      <c r="B408" s="601"/>
      <c r="C408" s="601"/>
      <c r="D408" s="602"/>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6.75" customHeight="1">
      <c r="A409" s="54"/>
      <c r="B409" s="54"/>
      <c r="C409" s="54"/>
      <c r="D409" s="55"/>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 customHeight="1">
      <c r="A410" s="610" t="s">
        <v>39</v>
      </c>
      <c r="B410" s="601"/>
      <c r="C410" s="601"/>
      <c r="D410" s="602"/>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6.75" customHeight="1">
      <c r="A411" s="59"/>
      <c r="B411" s="60"/>
      <c r="C411" s="60"/>
      <c r="D411" s="61"/>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1.25" customHeight="1">
      <c r="A412" s="612" t="s">
        <v>40</v>
      </c>
      <c r="B412" s="602"/>
      <c r="C412" s="64" t="s">
        <v>41</v>
      </c>
      <c r="D412" s="93">
        <f>'Proposed Rates'!I374</f>
        <v>93</v>
      </c>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4.25" customHeight="1">
      <c r="A413" s="85"/>
      <c r="B413" s="63"/>
      <c r="C413" s="64"/>
      <c r="D413" s="69"/>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21.75" customHeight="1">
      <c r="A414" s="600" t="str">
        <f>$A$1</f>
        <v>Hydro Ottawa Limited</v>
      </c>
      <c r="B414" s="601"/>
      <c r="C414" s="601"/>
      <c r="D414" s="602"/>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75" customHeight="1">
      <c r="A415" s="603" t="str">
        <f>$A$2</f>
        <v>PROPOSED - TARIFF OF RATES AND CHARGES</v>
      </c>
      <c r="B415" s="601"/>
      <c r="C415" s="601"/>
      <c r="D415" s="602"/>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 customHeight="1">
      <c r="A416" s="604" t="str">
        <f>$A$3</f>
        <v>Effective and Implementation Date January 1, 2029</v>
      </c>
      <c r="B416" s="601"/>
      <c r="C416" s="601"/>
      <c r="D416" s="602"/>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5" customHeight="1">
      <c r="A417" s="605" t="str">
        <f>$A$4</f>
        <v>This schedule supersedes and replaces all previously</v>
      </c>
      <c r="B417" s="601"/>
      <c r="C417" s="601"/>
      <c r="D417" s="602"/>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5" customHeight="1">
      <c r="A418" s="605" t="str">
        <f>$A$5</f>
        <v>approved schedules of Rates, Charges and Loss Factors</v>
      </c>
      <c r="B418" s="601"/>
      <c r="C418" s="601"/>
      <c r="D418" s="602"/>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9.75" customHeight="1">
      <c r="A419" s="606" t="str">
        <f>$A$6</f>
        <v>EB-2024-0115</v>
      </c>
      <c r="B419" s="601"/>
      <c r="C419" s="601"/>
      <c r="D419" s="602"/>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8.75" customHeight="1">
      <c r="A420" s="607" t="s">
        <v>100</v>
      </c>
      <c r="B420" s="601"/>
      <c r="C420" s="601"/>
      <c r="D420" s="602"/>
      <c r="E420" s="71"/>
      <c r="F420" s="71"/>
      <c r="G420" s="71"/>
      <c r="H420" s="71"/>
      <c r="I420" s="71"/>
      <c r="J420" s="71"/>
      <c r="K420" s="71"/>
      <c r="L420" s="71"/>
      <c r="M420" s="71"/>
      <c r="N420" s="71"/>
      <c r="O420" s="71"/>
      <c r="P420" s="71"/>
      <c r="Q420" s="71"/>
      <c r="R420" s="71"/>
      <c r="S420" s="71"/>
      <c r="T420" s="71"/>
      <c r="U420" s="71"/>
      <c r="V420" s="71"/>
      <c r="W420" s="71"/>
      <c r="X420" s="71"/>
      <c r="Y420" s="71"/>
      <c r="Z420" s="71"/>
    </row>
    <row r="421" spans="1:26" ht="36" customHeight="1">
      <c r="A421" s="608" t="s">
        <v>101</v>
      </c>
      <c r="B421" s="601"/>
      <c r="C421" s="601"/>
      <c r="D421" s="602"/>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1.25" customHeight="1">
      <c r="A423" s="609" t="s">
        <v>34</v>
      </c>
      <c r="B423" s="601"/>
      <c r="C423" s="601"/>
      <c r="D423" s="602"/>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6"/>
      <c r="B424" s="57"/>
      <c r="C424" s="57"/>
      <c r="D424" s="58"/>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36" customHeight="1">
      <c r="A425" s="608" t="s">
        <v>35</v>
      </c>
      <c r="B425" s="601"/>
      <c r="C425" s="601"/>
      <c r="D425" s="602"/>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4"/>
      <c r="B426" s="54"/>
      <c r="C426" s="54"/>
      <c r="D426" s="55"/>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48" customHeight="1">
      <c r="A427" s="608" t="s">
        <v>36</v>
      </c>
      <c r="B427" s="601"/>
      <c r="C427" s="601"/>
      <c r="D427" s="602"/>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75" customHeight="1">
      <c r="A428" s="54"/>
      <c r="B428" s="54"/>
      <c r="C428" s="54"/>
      <c r="D428" s="55"/>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24" customHeight="1">
      <c r="A429" s="608" t="s">
        <v>95</v>
      </c>
      <c r="B429" s="601"/>
      <c r="C429" s="601"/>
      <c r="D429" s="602"/>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6.75" customHeight="1">
      <c r="A430" s="54"/>
      <c r="B430" s="54"/>
      <c r="C430" s="54"/>
      <c r="D430" s="55"/>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36" customHeight="1">
      <c r="A431" s="608" t="s">
        <v>91</v>
      </c>
      <c r="B431" s="601"/>
      <c r="C431" s="601"/>
      <c r="D431" s="602"/>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6.75" customHeight="1">
      <c r="A432" s="54"/>
      <c r="B432" s="54"/>
      <c r="C432" s="54"/>
      <c r="D432" s="55"/>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 customHeight="1">
      <c r="A433" s="610" t="s">
        <v>39</v>
      </c>
      <c r="B433" s="601"/>
      <c r="C433" s="601"/>
      <c r="D433" s="602"/>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6.75" customHeight="1">
      <c r="A434" s="59"/>
      <c r="B434" s="60"/>
      <c r="C434" s="60"/>
      <c r="D434" s="61"/>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1.25" customHeight="1">
      <c r="A435" s="612" t="s">
        <v>40</v>
      </c>
      <c r="B435" s="602"/>
      <c r="C435" s="64" t="s">
        <v>41</v>
      </c>
      <c r="D435" s="93">
        <f>'Proposed Rates'!I375</f>
        <v>283</v>
      </c>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6.75" customHeight="1">
      <c r="A436" s="99"/>
      <c r="B436" s="85"/>
      <c r="C436" s="64"/>
      <c r="D436" s="288"/>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8" customHeight="1">
      <c r="A437" s="100" t="s">
        <v>102</v>
      </c>
      <c r="B437" s="101"/>
      <c r="C437" s="101"/>
      <c r="D437" s="299"/>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1.25" customHeight="1">
      <c r="A438" s="612" t="s">
        <v>103</v>
      </c>
      <c r="B438" s="602"/>
      <c r="C438" s="102" t="s">
        <v>104</v>
      </c>
      <c r="D438" s="288">
        <v>-1</v>
      </c>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75" customHeight="1">
      <c r="A439" s="85"/>
      <c r="B439" s="63"/>
      <c r="C439" s="102"/>
      <c r="D439" s="69"/>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21.75" customHeight="1">
      <c r="A440" s="600" t="str">
        <f>$A$1</f>
        <v>Hydro Ottawa Limited</v>
      </c>
      <c r="B440" s="601"/>
      <c r="C440" s="601"/>
      <c r="D440" s="602"/>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75" customHeight="1">
      <c r="A441" s="603" t="str">
        <f>$A$2</f>
        <v>PROPOSED - TARIFF OF RATES AND CHARGES</v>
      </c>
      <c r="B441" s="601"/>
      <c r="C441" s="601"/>
      <c r="D441" s="602"/>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 customHeight="1">
      <c r="A442" s="604" t="str">
        <f>$A$3</f>
        <v>Effective and Implementation Date January 1, 2029</v>
      </c>
      <c r="B442" s="601"/>
      <c r="C442" s="601"/>
      <c r="D442" s="60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5" customHeight="1">
      <c r="A443" s="605" t="str">
        <f>$A$4</f>
        <v>This schedule supersedes and replaces all previously</v>
      </c>
      <c r="B443" s="601"/>
      <c r="C443" s="601"/>
      <c r="D443" s="60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5" customHeight="1">
      <c r="A444" s="605" t="str">
        <f>$A$5</f>
        <v>approved schedules of Rates, Charges and Loss Factors</v>
      </c>
      <c r="B444" s="601"/>
      <c r="C444" s="601"/>
      <c r="D444" s="602"/>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9.75" customHeight="1">
      <c r="A445" s="606" t="str">
        <f>$A$6</f>
        <v>EB-2024-0115</v>
      </c>
      <c r="B445" s="601"/>
      <c r="C445" s="601"/>
      <c r="D445" s="602"/>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8" customHeight="1">
      <c r="A446" s="100" t="s">
        <v>105</v>
      </c>
      <c r="B446" s="101"/>
      <c r="C446" s="101"/>
      <c r="D446" s="72"/>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100"/>
      <c r="B447" s="101"/>
      <c r="C447" s="101"/>
      <c r="D447" s="72"/>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1.25" customHeight="1">
      <c r="A448" s="616" t="s">
        <v>34</v>
      </c>
      <c r="B448" s="601"/>
      <c r="C448" s="601"/>
      <c r="D448" s="602"/>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103"/>
      <c r="B449" s="54"/>
      <c r="C449" s="54"/>
      <c r="D449" s="55"/>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36" customHeight="1">
      <c r="A450" s="608" t="s">
        <v>35</v>
      </c>
      <c r="B450" s="601"/>
      <c r="C450" s="601"/>
      <c r="D450" s="602"/>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54"/>
      <c r="B451" s="54"/>
      <c r="C451" s="54"/>
      <c r="D451" s="55"/>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48" customHeight="1">
      <c r="A452" s="608" t="s">
        <v>106</v>
      </c>
      <c r="B452" s="601"/>
      <c r="C452" s="601"/>
      <c r="D452" s="60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6.75" customHeight="1">
      <c r="A453" s="54"/>
      <c r="B453" s="54"/>
      <c r="C453" s="54"/>
      <c r="D453" s="55"/>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36" customHeight="1">
      <c r="A454" s="608" t="s">
        <v>38</v>
      </c>
      <c r="B454" s="601"/>
      <c r="C454" s="601"/>
      <c r="D454" s="602"/>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6.75" customHeight="1">
      <c r="A455" s="54"/>
      <c r="B455" s="54"/>
      <c r="C455" s="54"/>
      <c r="D455" s="55"/>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 customHeight="1">
      <c r="A456" s="104" t="s">
        <v>107</v>
      </c>
      <c r="B456" s="101"/>
      <c r="C456" s="101"/>
      <c r="D456" s="72"/>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2" customHeight="1">
      <c r="A457" s="62" t="s">
        <v>108</v>
      </c>
      <c r="B457" s="62"/>
      <c r="C457" s="64" t="s">
        <v>41</v>
      </c>
      <c r="D457" s="105">
        <f>'Proposed Rates'!I323</f>
        <v>0</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2" customHeight="1">
      <c r="A458" s="64" t="s">
        <v>109</v>
      </c>
      <c r="B458" s="64"/>
      <c r="C458" s="64" t="s">
        <v>41</v>
      </c>
      <c r="D458" s="105">
        <f>'Proposed Rates'!I324</f>
        <v>30</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2" customHeight="1">
      <c r="A459" s="62" t="s">
        <v>110</v>
      </c>
      <c r="B459" s="62"/>
      <c r="C459" s="64" t="s">
        <v>41</v>
      </c>
      <c r="D459" s="105">
        <f>'Proposed Rates'!I325</f>
        <v>7</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2" customHeight="1">
      <c r="A460" s="62" t="s">
        <v>111</v>
      </c>
      <c r="B460" s="62"/>
      <c r="C460" s="64" t="s">
        <v>41</v>
      </c>
      <c r="D460" s="105">
        <f>'Proposed Rates'!I326</f>
        <v>151</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2" customHeight="1">
      <c r="A461" s="62" t="s">
        <v>112</v>
      </c>
      <c r="B461" s="62"/>
      <c r="C461" s="64" t="s">
        <v>41</v>
      </c>
      <c r="D461" s="105">
        <f>'Proposed Rates'!I327</f>
        <v>20</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2" customHeight="1">
      <c r="A462" s="62" t="s">
        <v>113</v>
      </c>
      <c r="B462" s="62"/>
      <c r="C462" s="64" t="s">
        <v>41</v>
      </c>
      <c r="D462" s="105">
        <f>'Proposed Rates'!I328</f>
        <v>25</v>
      </c>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2" customHeight="1">
      <c r="A463" s="62" t="s">
        <v>114</v>
      </c>
      <c r="B463" s="62"/>
      <c r="C463" s="64" t="s">
        <v>41</v>
      </c>
      <c r="D463" s="105">
        <f>'Proposed Rates'!I329</f>
        <v>10</v>
      </c>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2" customHeight="1">
      <c r="A464" s="62" t="s">
        <v>115</v>
      </c>
      <c r="B464" s="62"/>
      <c r="C464" s="64" t="s">
        <v>41</v>
      </c>
      <c r="D464" s="105">
        <f>'Proposed Rates'!I332</f>
        <v>390</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2" customHeight="1">
      <c r="A465" s="62" t="s">
        <v>116</v>
      </c>
      <c r="B465" s="62"/>
      <c r="C465" s="64" t="s">
        <v>41</v>
      </c>
      <c r="D465" s="105">
        <f>'Proposed Rates'!I333</f>
        <v>342</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6.75" customHeight="1">
      <c r="A466" s="64"/>
      <c r="B466" s="64"/>
      <c r="C466" s="64"/>
      <c r="D466" s="69"/>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 customHeight="1">
      <c r="A467" s="104" t="s">
        <v>117</v>
      </c>
      <c r="B467" s="104"/>
      <c r="C467" s="90"/>
      <c r="D467" s="92"/>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2" customHeight="1">
      <c r="A468" s="62" t="s">
        <v>118</v>
      </c>
      <c r="B468" s="62"/>
      <c r="C468" s="64" t="s">
        <v>104</v>
      </c>
      <c r="D468" s="590">
        <f>'Proposed Rates'!I336</f>
        <v>1.4999999999999999E-2</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2" customHeight="1">
      <c r="A469" s="62" t="s">
        <v>119</v>
      </c>
      <c r="B469" s="62"/>
      <c r="C469" s="64" t="s">
        <v>41</v>
      </c>
      <c r="D469" s="105">
        <f>'Proposed Rates'!I337</f>
        <v>74</v>
      </c>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2" customHeight="1">
      <c r="A470" s="62" t="s">
        <v>120</v>
      </c>
      <c r="B470" s="62"/>
      <c r="C470" s="64" t="s">
        <v>41</v>
      </c>
      <c r="D470" s="105">
        <f>'Proposed Rates'!I338</f>
        <v>100</v>
      </c>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2" customHeight="1">
      <c r="A471" s="62" t="s">
        <v>121</v>
      </c>
      <c r="B471" s="62"/>
      <c r="C471" s="64" t="s">
        <v>41</v>
      </c>
      <c r="D471" s="105">
        <f>'Proposed Rates'!I339</f>
        <v>338</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2" customHeight="1">
      <c r="A472" s="62" t="s">
        <v>122</v>
      </c>
      <c r="B472" s="62"/>
      <c r="C472" s="64" t="s">
        <v>41</v>
      </c>
      <c r="D472" s="105">
        <f>'Proposed Rates'!I340</f>
        <v>510</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6.75" customHeight="1">
      <c r="A473" s="64"/>
      <c r="B473" s="64"/>
      <c r="C473" s="64"/>
      <c r="D473" s="69"/>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 customHeight="1">
      <c r="A474" s="104" t="s">
        <v>123</v>
      </c>
      <c r="B474" s="104"/>
      <c r="C474" s="90"/>
      <c r="D474" s="69"/>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2" customHeight="1">
      <c r="A475" s="62" t="s">
        <v>124</v>
      </c>
      <c r="B475" s="62"/>
      <c r="C475" s="64" t="s">
        <v>41</v>
      </c>
      <c r="D475" s="105">
        <f>'Proposed Rates'!I343</f>
        <v>1148</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2" customHeight="1">
      <c r="A476" s="62" t="s">
        <v>125</v>
      </c>
      <c r="B476" s="62"/>
      <c r="C476" s="64" t="s">
        <v>41</v>
      </c>
      <c r="D476" s="105">
        <f>'Proposed Rates'!I344</f>
        <v>1514</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2" customHeight="1">
      <c r="A477" s="62" t="s">
        <v>126</v>
      </c>
      <c r="B477" s="62"/>
      <c r="C477" s="64" t="s">
        <v>41</v>
      </c>
      <c r="D477" s="105">
        <f>'Proposed Rates'!I345</f>
        <v>5333</v>
      </c>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2" customHeight="1">
      <c r="A478" s="62" t="s">
        <v>127</v>
      </c>
      <c r="B478" s="62"/>
      <c r="C478" s="64" t="s">
        <v>41</v>
      </c>
      <c r="D478" s="98">
        <f>'Proposed Rates'!I346</f>
        <v>40.590000000000003</v>
      </c>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2" customHeight="1">
      <c r="A479" s="62" t="s">
        <v>128</v>
      </c>
      <c r="B479" s="62"/>
      <c r="C479" s="64"/>
      <c r="D479" s="69" t="str">
        <f>'Proposed Rates'!I347</f>
        <v>Per Attached Table</v>
      </c>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2" customHeight="1">
      <c r="A480" s="62" t="s">
        <v>129</v>
      </c>
      <c r="B480" s="62"/>
      <c r="C480" s="64" t="s">
        <v>41</v>
      </c>
      <c r="D480" s="105">
        <f>'Proposed Rates'!I348</f>
        <v>176</v>
      </c>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6.75" customHeight="1">
      <c r="A481" s="612"/>
      <c r="B481" s="602"/>
      <c r="C481" s="64"/>
      <c r="D481" s="69"/>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21.75" customHeight="1">
      <c r="A482" s="600" t="str">
        <f>$A$1</f>
        <v>Hydro Ottawa Limited</v>
      </c>
      <c r="B482" s="601"/>
      <c r="C482" s="601"/>
      <c r="D482" s="602"/>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75" customHeight="1">
      <c r="A483" s="603" t="str">
        <f>$A$2</f>
        <v>PROPOSED - TARIFF OF RATES AND CHARGES</v>
      </c>
      <c r="B483" s="601"/>
      <c r="C483" s="601"/>
      <c r="D483" s="602"/>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 customHeight="1">
      <c r="A484" s="604" t="str">
        <f>$A$3</f>
        <v>Effective and Implementation Date January 1, 2029</v>
      </c>
      <c r="B484" s="601"/>
      <c r="C484" s="601"/>
      <c r="D484" s="602"/>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5" customHeight="1">
      <c r="A485" s="605" t="str">
        <f>$A$4</f>
        <v>This schedule supersedes and replaces all previously</v>
      </c>
      <c r="B485" s="601"/>
      <c r="C485" s="601"/>
      <c r="D485" s="602"/>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 customHeight="1">
      <c r="A486" s="605" t="str">
        <f>$A$5</f>
        <v>approved schedules of Rates, Charges and Loss Factors</v>
      </c>
      <c r="B486" s="601"/>
      <c r="C486" s="601"/>
      <c r="D486" s="602"/>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9.75" customHeight="1">
      <c r="A487" s="606" t="str">
        <f>$A$6</f>
        <v>EB-2024-0115</v>
      </c>
      <c r="B487" s="601"/>
      <c r="C487" s="601"/>
      <c r="D487" s="602"/>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8" customHeight="1">
      <c r="A488" s="100" t="s">
        <v>130</v>
      </c>
      <c r="B488" s="101"/>
      <c r="C488" s="101"/>
      <c r="D488" s="72"/>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6.75" customHeight="1">
      <c r="A489" s="100"/>
      <c r="B489" s="101"/>
      <c r="C489" s="101"/>
      <c r="D489" s="72"/>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36" customHeight="1">
      <c r="A490" s="608" t="s">
        <v>131</v>
      </c>
      <c r="B490" s="601"/>
      <c r="C490" s="601"/>
      <c r="D490" s="602"/>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6.75" customHeight="1">
      <c r="A491" s="54"/>
      <c r="B491" s="54"/>
      <c r="C491" s="54"/>
      <c r="D491" s="55"/>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48" customHeight="1">
      <c r="A492" s="608" t="s">
        <v>36</v>
      </c>
      <c r="B492" s="601"/>
      <c r="C492" s="601"/>
      <c r="D492" s="602"/>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6.75" customHeight="1">
      <c r="A493" s="54"/>
      <c r="B493" s="54"/>
      <c r="C493" s="54"/>
      <c r="D493" s="55"/>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24" customHeight="1">
      <c r="A494" s="608" t="s">
        <v>81</v>
      </c>
      <c r="B494" s="601"/>
      <c r="C494" s="601"/>
      <c r="D494" s="602"/>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6.75" customHeight="1">
      <c r="A495" s="54"/>
      <c r="B495" s="54"/>
      <c r="C495" s="54"/>
      <c r="D495" s="55"/>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36" customHeight="1">
      <c r="A496" s="608" t="s">
        <v>38</v>
      </c>
      <c r="B496" s="601"/>
      <c r="C496" s="601"/>
      <c r="D496" s="602"/>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6.75" customHeight="1">
      <c r="A497" s="54"/>
      <c r="B497" s="54"/>
      <c r="C497" s="54"/>
      <c r="D497" s="55"/>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5.75" customHeight="1">
      <c r="A498" s="608" t="s">
        <v>132</v>
      </c>
      <c r="B498" s="601"/>
      <c r="C498" s="601"/>
      <c r="D498" s="602"/>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6" customHeight="1">
      <c r="A499" s="54"/>
      <c r="B499" s="63"/>
      <c r="C499" s="63"/>
      <c r="D499" s="6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1.25" customHeight="1">
      <c r="A500" s="62" t="s">
        <v>133</v>
      </c>
      <c r="B500" s="63"/>
      <c r="C500" s="106" t="s">
        <v>41</v>
      </c>
      <c r="D500" s="301">
        <f>'Proposed Rates'!I351</f>
        <v>125.72</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1.25" customHeight="1">
      <c r="A501" s="62" t="s">
        <v>134</v>
      </c>
      <c r="B501" s="63"/>
      <c r="C501" s="106" t="s">
        <v>41</v>
      </c>
      <c r="D501" s="301">
        <f>'Proposed Rates'!I352</f>
        <v>50.29</v>
      </c>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1.25" customHeight="1">
      <c r="A502" s="62" t="s">
        <v>135</v>
      </c>
      <c r="B502" s="63"/>
      <c r="C502" s="106" t="s">
        <v>136</v>
      </c>
      <c r="D502" s="301">
        <f>'Proposed Rates'!I353</f>
        <v>1.24</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1.25" customHeight="1">
      <c r="A503" s="62" t="s">
        <v>137</v>
      </c>
      <c r="B503" s="63"/>
      <c r="C503" s="106" t="s">
        <v>136</v>
      </c>
      <c r="D503" s="301">
        <f>'Proposed Rates'!I354</f>
        <v>0.74</v>
      </c>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1.25" customHeight="1">
      <c r="A504" s="62" t="s">
        <v>138</v>
      </c>
      <c r="B504" s="63"/>
      <c r="C504" s="106" t="s">
        <v>136</v>
      </c>
      <c r="D504" s="301">
        <f>'Proposed Rates'!I355</f>
        <v>-0.74</v>
      </c>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1.25" customHeight="1">
      <c r="A505" s="62" t="s">
        <v>139</v>
      </c>
      <c r="B505" s="63"/>
      <c r="C505" s="62"/>
      <c r="D505" s="301"/>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1.25" customHeight="1">
      <c r="A506" s="62" t="s">
        <v>140</v>
      </c>
      <c r="B506" s="63"/>
      <c r="C506" s="106" t="s">
        <v>41</v>
      </c>
      <c r="D506" s="301">
        <f>'Proposed Rates'!I357</f>
        <v>0.63</v>
      </c>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1.25" customHeight="1">
      <c r="A507" s="62" t="s">
        <v>141</v>
      </c>
      <c r="B507" s="63"/>
      <c r="C507" s="106" t="s">
        <v>41</v>
      </c>
      <c r="D507" s="301">
        <f>'Proposed Rates'!I358</f>
        <v>1.24</v>
      </c>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3.75" customHeight="1">
      <c r="A508" s="62"/>
      <c r="B508" s="63"/>
      <c r="C508" s="106"/>
      <c r="D508" s="301"/>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1.25" customHeight="1">
      <c r="A509" s="62" t="s">
        <v>142</v>
      </c>
      <c r="B509" s="63"/>
      <c r="C509" s="109"/>
      <c r="D509" s="301"/>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1.25" customHeight="1">
      <c r="A510" s="62" t="s">
        <v>143</v>
      </c>
      <c r="B510" s="63"/>
      <c r="C510" s="109"/>
      <c r="D510" s="301"/>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1.25" customHeight="1">
      <c r="A511" s="62" t="s">
        <v>144</v>
      </c>
      <c r="B511" s="63"/>
      <c r="C511" s="109"/>
      <c r="D511" s="301"/>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1.25" customHeight="1">
      <c r="A512" s="62" t="s">
        <v>145</v>
      </c>
      <c r="B512" s="63"/>
      <c r="C512" s="106" t="s">
        <v>41</v>
      </c>
      <c r="D512" s="301" t="str">
        <f>'Proposed Rates'!I362</f>
        <v>no charge</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1.25" customHeight="1">
      <c r="A513" s="62" t="s">
        <v>146</v>
      </c>
      <c r="B513" s="63"/>
      <c r="C513" s="106" t="s">
        <v>41</v>
      </c>
      <c r="D513" s="301">
        <f>'Proposed Rates'!I363</f>
        <v>5.03</v>
      </c>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4.5" customHeight="1">
      <c r="A514" s="62"/>
      <c r="B514" s="63"/>
      <c r="C514" s="106"/>
      <c r="D514" s="301"/>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1.25" customHeight="1">
      <c r="A515" s="62" t="s">
        <v>147</v>
      </c>
      <c r="B515" s="63"/>
      <c r="C515" s="109"/>
      <c r="D515" s="301"/>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1.25" customHeight="1">
      <c r="A516" s="62" t="s">
        <v>148</v>
      </c>
      <c r="B516" s="63"/>
      <c r="C516" s="106" t="s">
        <v>41</v>
      </c>
      <c r="D516" s="301">
        <f>'Proposed Rates'!I365</f>
        <v>2.5099999999999998</v>
      </c>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6.75" customHeight="1">
      <c r="A517" s="73"/>
      <c r="B517" s="73"/>
      <c r="C517" s="106"/>
      <c r="D517" s="92"/>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21.75" customHeight="1">
      <c r="A518" s="600" t="str">
        <f>$A$1</f>
        <v>Hydro Ottawa Limited</v>
      </c>
      <c r="B518" s="601"/>
      <c r="C518" s="601"/>
      <c r="D518" s="602"/>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75" customHeight="1">
      <c r="A519" s="603" t="str">
        <f>$A$2</f>
        <v>PROPOSED - TARIFF OF RATES AND CHARGES</v>
      </c>
      <c r="B519" s="601"/>
      <c r="C519" s="601"/>
      <c r="D519" s="602"/>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 customHeight="1">
      <c r="A520" s="604" t="str">
        <f>$A$3</f>
        <v>Effective and Implementation Date January 1, 2029</v>
      </c>
      <c r="B520" s="601"/>
      <c r="C520" s="601"/>
      <c r="D520" s="602"/>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5" customHeight="1">
      <c r="A521" s="605" t="str">
        <f>$A$4</f>
        <v>This schedule supersedes and replaces all previously</v>
      </c>
      <c r="B521" s="601"/>
      <c r="C521" s="601"/>
      <c r="D521" s="602"/>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5" customHeight="1">
      <c r="A522" s="605" t="str">
        <f>$A$5</f>
        <v>approved schedules of Rates, Charges and Loss Factors</v>
      </c>
      <c r="B522" s="601"/>
      <c r="C522" s="601"/>
      <c r="D522" s="602"/>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9.75" customHeight="1">
      <c r="A523" s="606" t="str">
        <f>$A$6</f>
        <v>EB-2024-0115</v>
      </c>
      <c r="B523" s="601"/>
      <c r="C523" s="601"/>
      <c r="D523" s="602"/>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 customHeight="1">
      <c r="A524" s="110" t="s">
        <v>149</v>
      </c>
      <c r="B524" s="110"/>
      <c r="C524" s="111"/>
      <c r="D524" s="112"/>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6.75" customHeight="1">
      <c r="A525" s="110"/>
      <c r="B525" s="110"/>
      <c r="C525" s="111"/>
      <c r="D525" s="112"/>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22.5" customHeight="1">
      <c r="A526" s="617" t="s">
        <v>150</v>
      </c>
      <c r="B526" s="601"/>
      <c r="C526" s="601"/>
      <c r="D526" s="602"/>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1.25" customHeight="1">
      <c r="A527" s="612" t="s">
        <v>151</v>
      </c>
      <c r="B527" s="601"/>
      <c r="C527" s="602"/>
      <c r="D527" s="288">
        <f>'Proposed Rates'!I316</f>
        <v>1.0331999999999999</v>
      </c>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1.25" customHeight="1">
      <c r="A528" s="612" t="s">
        <v>152</v>
      </c>
      <c r="B528" s="601"/>
      <c r="C528" s="602"/>
      <c r="D528" s="288">
        <f>'Proposed Rates'!I317</f>
        <v>1.0149999999999999</v>
      </c>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1.25" customHeight="1">
      <c r="A529" s="612" t="s">
        <v>153</v>
      </c>
      <c r="B529" s="601"/>
      <c r="C529" s="602"/>
      <c r="D529" s="288">
        <f>'Proposed Rates'!I318</f>
        <v>1.0230999999999999</v>
      </c>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1.25" customHeight="1">
      <c r="A530" s="612" t="s">
        <v>154</v>
      </c>
      <c r="B530" s="601"/>
      <c r="C530" s="602"/>
      <c r="D530" s="288">
        <f>'Proposed Rates'!I319</f>
        <v>1.0047999999999999</v>
      </c>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1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1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1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1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1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1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1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1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1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1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1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1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1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1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1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1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1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1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1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1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1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1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1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1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1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1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1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1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1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1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1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1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1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1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1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1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1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1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1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1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1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1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1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1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1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1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1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1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1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1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1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1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1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1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1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1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1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1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1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1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1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1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1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1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1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1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1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1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1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1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1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1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1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1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1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1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1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1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1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1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1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1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1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1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1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1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1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1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1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1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1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1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1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1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1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1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1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1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1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1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1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1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1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1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1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1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1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1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1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1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1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1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1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1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1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1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1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1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1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1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1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1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27.5" customHeight="1">
      <c r="A653" s="53"/>
      <c r="B653" s="53"/>
      <c r="C653" s="53"/>
      <c r="D653" s="11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27.5" customHeight="1">
      <c r="A654" s="53"/>
      <c r="B654" s="53"/>
      <c r="C654" s="53"/>
      <c r="D654" s="11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27.5" customHeight="1">
      <c r="A655" s="53"/>
      <c r="B655" s="53"/>
      <c r="C655" s="53"/>
      <c r="D655" s="11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27.5" customHeight="1">
      <c r="A656" s="53"/>
      <c r="B656" s="53"/>
      <c r="C656" s="53"/>
      <c r="D656" s="11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1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1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1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1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1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1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1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1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1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1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1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1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1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1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1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1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1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1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1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1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1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1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1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1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1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1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1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1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1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1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1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1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1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1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1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1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1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1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1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1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1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1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1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1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1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1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1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1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1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1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1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1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1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1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1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1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1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1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1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1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1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1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1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1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1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1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1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1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1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1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c r="A727" s="53"/>
      <c r="B727" s="53"/>
      <c r="C727" s="53"/>
      <c r="D727" s="11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customHeight="1">
      <c r="A728" s="53"/>
      <c r="B728" s="53"/>
      <c r="C728" s="53"/>
      <c r="D728" s="11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customHeight="1">
      <c r="A729" s="53"/>
      <c r="B729" s="53"/>
      <c r="C729" s="53"/>
      <c r="D729" s="11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customHeight="1">
      <c r="A730" s="53"/>
      <c r="B730" s="53"/>
      <c r="C730" s="53"/>
      <c r="D730" s="11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24">
    <mergeCell ref="A435:B435"/>
    <mergeCell ref="A438:B438"/>
    <mergeCell ref="A440:D440"/>
    <mergeCell ref="A441:D441"/>
    <mergeCell ref="A442:D442"/>
    <mergeCell ref="A443:D443"/>
    <mergeCell ref="A444:D444"/>
    <mergeCell ref="A419:D419"/>
    <mergeCell ref="A420:D420"/>
    <mergeCell ref="A421:D421"/>
    <mergeCell ref="A423:D423"/>
    <mergeCell ref="A425:D425"/>
    <mergeCell ref="A427:D427"/>
    <mergeCell ref="A429:D429"/>
    <mergeCell ref="A431:D431"/>
    <mergeCell ref="A433:D433"/>
    <mergeCell ref="A406:D406"/>
    <mergeCell ref="A408:D408"/>
    <mergeCell ref="A410:D410"/>
    <mergeCell ref="A412:B412"/>
    <mergeCell ref="A414:D414"/>
    <mergeCell ref="A415:D415"/>
    <mergeCell ref="A416:D416"/>
    <mergeCell ref="A417:D417"/>
    <mergeCell ref="A418:D418"/>
    <mergeCell ref="A383:D383"/>
    <mergeCell ref="A385:D385"/>
    <mergeCell ref="A387:D387"/>
    <mergeCell ref="A389:B389"/>
    <mergeCell ref="A397:D397"/>
    <mergeCell ref="A398:D398"/>
    <mergeCell ref="A400:D400"/>
    <mergeCell ref="A402:D402"/>
    <mergeCell ref="A404:D404"/>
    <mergeCell ref="A523:D523"/>
    <mergeCell ref="A526:D526"/>
    <mergeCell ref="A527:C527"/>
    <mergeCell ref="A528:C528"/>
    <mergeCell ref="A529:C529"/>
    <mergeCell ref="A530:C530"/>
    <mergeCell ref="A494:D494"/>
    <mergeCell ref="A496:D496"/>
    <mergeCell ref="A498:D498"/>
    <mergeCell ref="A518:D518"/>
    <mergeCell ref="A519:D519"/>
    <mergeCell ref="A520:D520"/>
    <mergeCell ref="A521:D521"/>
    <mergeCell ref="A482:D482"/>
    <mergeCell ref="A483:D483"/>
    <mergeCell ref="A484:D484"/>
    <mergeCell ref="A485:D485"/>
    <mergeCell ref="A486:D486"/>
    <mergeCell ref="A487:D487"/>
    <mergeCell ref="A490:D490"/>
    <mergeCell ref="A492:D492"/>
    <mergeCell ref="A522:D522"/>
    <mergeCell ref="A354:D354"/>
    <mergeCell ref="A356:D356"/>
    <mergeCell ref="A358:D358"/>
    <mergeCell ref="A445:D445"/>
    <mergeCell ref="A448:D448"/>
    <mergeCell ref="A450:D450"/>
    <mergeCell ref="A452:D452"/>
    <mergeCell ref="A454:D454"/>
    <mergeCell ref="A481:B481"/>
    <mergeCell ref="A360:D360"/>
    <mergeCell ref="A362:D362"/>
    <mergeCell ref="A364:D364"/>
    <mergeCell ref="A366:B366"/>
    <mergeCell ref="A368:D368"/>
    <mergeCell ref="A369:D369"/>
    <mergeCell ref="A370:D370"/>
    <mergeCell ref="A371:D371"/>
    <mergeCell ref="A372:D372"/>
    <mergeCell ref="A373:D373"/>
    <mergeCell ref="A374:D374"/>
    <mergeCell ref="A375:D375"/>
    <mergeCell ref="A377:D377"/>
    <mergeCell ref="A379:D379"/>
    <mergeCell ref="A381:D381"/>
    <mergeCell ref="A326:D326"/>
    <mergeCell ref="A345:D345"/>
    <mergeCell ref="A346:D346"/>
    <mergeCell ref="A347:D347"/>
    <mergeCell ref="A348:D348"/>
    <mergeCell ref="A349:D349"/>
    <mergeCell ref="A350:D350"/>
    <mergeCell ref="A351:D351"/>
    <mergeCell ref="A352:D352"/>
    <mergeCell ref="A311:D311"/>
    <mergeCell ref="A312:D312"/>
    <mergeCell ref="A313:D313"/>
    <mergeCell ref="A314:D314"/>
    <mergeCell ref="A316:D316"/>
    <mergeCell ref="A318:D318"/>
    <mergeCell ref="A320:D320"/>
    <mergeCell ref="A322:D322"/>
    <mergeCell ref="A324:D324"/>
    <mergeCell ref="A281:D281"/>
    <mergeCell ref="A283:D283"/>
    <mergeCell ref="A285:D285"/>
    <mergeCell ref="A287:D287"/>
    <mergeCell ref="A289:D289"/>
    <mergeCell ref="A307:D307"/>
    <mergeCell ref="A308:D308"/>
    <mergeCell ref="A309:D309"/>
    <mergeCell ref="A310:D310"/>
    <mergeCell ref="A270:D270"/>
    <mergeCell ref="A271:D271"/>
    <mergeCell ref="A272:D272"/>
    <mergeCell ref="A273:D273"/>
    <mergeCell ref="A274:D274"/>
    <mergeCell ref="A275:D275"/>
    <mergeCell ref="A276:D276"/>
    <mergeCell ref="A277:D277"/>
    <mergeCell ref="A279:D279"/>
    <mergeCell ref="A255:D255"/>
    <mergeCell ref="A257:D257"/>
    <mergeCell ref="A259:D259"/>
    <mergeCell ref="A261:D261"/>
    <mergeCell ref="A263:D263"/>
    <mergeCell ref="A265:B265"/>
    <mergeCell ref="A266:B266"/>
    <mergeCell ref="A267:B267"/>
    <mergeCell ref="A268:B268"/>
    <mergeCell ref="A244:D244"/>
    <mergeCell ref="A245:D245"/>
    <mergeCell ref="A246:D246"/>
    <mergeCell ref="A247:D247"/>
    <mergeCell ref="A248:D248"/>
    <mergeCell ref="A249:D249"/>
    <mergeCell ref="A250:D250"/>
    <mergeCell ref="A251:D251"/>
    <mergeCell ref="A253:D253"/>
    <mergeCell ref="A211:D211"/>
    <mergeCell ref="A212:D212"/>
    <mergeCell ref="A213:D213"/>
    <mergeCell ref="A214:D214"/>
    <mergeCell ref="A216:D216"/>
    <mergeCell ref="A218:D218"/>
    <mergeCell ref="A220:D220"/>
    <mergeCell ref="A222:D222"/>
    <mergeCell ref="A224:D224"/>
    <mergeCell ref="A183:D183"/>
    <mergeCell ref="A184:D184"/>
    <mergeCell ref="A185:D185"/>
    <mergeCell ref="A186:D186"/>
    <mergeCell ref="A188:D188"/>
    <mergeCell ref="A207:D207"/>
    <mergeCell ref="A208:D208"/>
    <mergeCell ref="A209:D209"/>
    <mergeCell ref="A210:D210"/>
    <mergeCell ref="A169:D169"/>
    <mergeCell ref="A170:D170"/>
    <mergeCell ref="A171:D171"/>
    <mergeCell ref="A172:D172"/>
    <mergeCell ref="A173:D173"/>
    <mergeCell ref="A175:D175"/>
    <mergeCell ref="A177:D177"/>
    <mergeCell ref="A179:D179"/>
    <mergeCell ref="A181:D181"/>
    <mergeCell ref="A137:D137"/>
    <mergeCell ref="A139:D139"/>
    <mergeCell ref="A140:D140"/>
    <mergeCell ref="A141:D141"/>
    <mergeCell ref="A142:D142"/>
    <mergeCell ref="A144:D144"/>
    <mergeCell ref="A166:D166"/>
    <mergeCell ref="A167:D167"/>
    <mergeCell ref="A168:D168"/>
    <mergeCell ref="A124:D124"/>
    <mergeCell ref="A125:D125"/>
    <mergeCell ref="A126:D126"/>
    <mergeCell ref="A127:D127"/>
    <mergeCell ref="A128:D128"/>
    <mergeCell ref="A129:D129"/>
    <mergeCell ref="A131:D131"/>
    <mergeCell ref="A133:D133"/>
    <mergeCell ref="A135:D135"/>
    <mergeCell ref="A91:D91"/>
    <mergeCell ref="A93:D93"/>
    <mergeCell ref="A95:D95"/>
    <mergeCell ref="A96:D96"/>
    <mergeCell ref="A97:D97"/>
    <mergeCell ref="A98:D98"/>
    <mergeCell ref="A100:D100"/>
    <mergeCell ref="A122:D122"/>
    <mergeCell ref="A123:D123"/>
    <mergeCell ref="A79:D79"/>
    <mergeCell ref="A80:D80"/>
    <mergeCell ref="A81:D81"/>
    <mergeCell ref="A82:D82"/>
    <mergeCell ref="A83:D83"/>
    <mergeCell ref="A84:D84"/>
    <mergeCell ref="A85:D85"/>
    <mergeCell ref="A87:D87"/>
    <mergeCell ref="A89:D89"/>
    <mergeCell ref="A44:D44"/>
    <mergeCell ref="A45:D45"/>
    <mergeCell ref="A46:D46"/>
    <mergeCell ref="A48:D48"/>
    <mergeCell ref="A50:D50"/>
    <mergeCell ref="A52:D52"/>
    <mergeCell ref="A54:D54"/>
    <mergeCell ref="A56:D56"/>
    <mergeCell ref="A78:D78"/>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4"/>
  <sheetViews>
    <sheetView workbookViewId="0"/>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600" t="s">
        <v>26</v>
      </c>
      <c r="B1" s="601"/>
      <c r="C1" s="601"/>
      <c r="D1" s="602"/>
      <c r="E1" s="53"/>
      <c r="F1" s="53"/>
      <c r="G1" s="53"/>
      <c r="H1" s="53"/>
      <c r="I1" s="53"/>
      <c r="J1" s="53"/>
      <c r="K1" s="53"/>
      <c r="L1" s="53"/>
      <c r="M1" s="53"/>
      <c r="N1" s="53"/>
      <c r="O1" s="53"/>
      <c r="P1" s="53"/>
      <c r="Q1" s="53"/>
      <c r="R1" s="53"/>
      <c r="S1" s="53"/>
      <c r="T1" s="53"/>
      <c r="U1" s="53"/>
      <c r="V1" s="53"/>
      <c r="W1" s="53"/>
      <c r="X1" s="53"/>
      <c r="Y1" s="53"/>
      <c r="Z1" s="53"/>
    </row>
    <row r="2" spans="1:26" ht="18" customHeight="1">
      <c r="A2" s="603" t="s">
        <v>27</v>
      </c>
      <c r="B2" s="601"/>
      <c r="C2" s="601"/>
      <c r="D2" s="602"/>
      <c r="E2" s="53"/>
      <c r="F2" s="53"/>
      <c r="G2" s="53"/>
      <c r="H2" s="53"/>
      <c r="I2" s="53"/>
      <c r="J2" s="53"/>
      <c r="K2" s="53"/>
      <c r="L2" s="53"/>
      <c r="M2" s="53"/>
      <c r="N2" s="53"/>
      <c r="O2" s="53"/>
      <c r="P2" s="53"/>
      <c r="Q2" s="53"/>
      <c r="R2" s="53"/>
      <c r="S2" s="53"/>
      <c r="T2" s="53"/>
      <c r="U2" s="53"/>
      <c r="V2" s="53"/>
      <c r="W2" s="53"/>
      <c r="X2" s="53"/>
      <c r="Y2" s="53"/>
      <c r="Z2" s="53"/>
    </row>
    <row r="3" spans="1:26" ht="15.75" customHeight="1">
      <c r="A3" s="604" t="s">
        <v>216</v>
      </c>
      <c r="B3" s="601"/>
      <c r="C3" s="601"/>
      <c r="D3" s="602"/>
      <c r="E3" s="53"/>
      <c r="F3" s="53"/>
      <c r="G3" s="53"/>
      <c r="H3" s="53"/>
      <c r="I3" s="53"/>
      <c r="J3" s="53"/>
      <c r="K3" s="53"/>
      <c r="L3" s="53"/>
      <c r="M3" s="53"/>
      <c r="N3" s="53"/>
      <c r="O3" s="53"/>
      <c r="P3" s="53"/>
      <c r="Q3" s="53"/>
      <c r="R3" s="53"/>
      <c r="S3" s="53"/>
      <c r="T3" s="53"/>
      <c r="U3" s="53"/>
      <c r="V3" s="53"/>
      <c r="W3" s="53"/>
      <c r="X3" s="53"/>
      <c r="Y3" s="53"/>
      <c r="Z3" s="53"/>
    </row>
    <row r="4" spans="1:26" ht="11.25" customHeight="1">
      <c r="A4" s="605" t="s">
        <v>29</v>
      </c>
      <c r="B4" s="601"/>
      <c r="C4" s="601"/>
      <c r="D4" s="602"/>
      <c r="E4" s="53"/>
      <c r="F4" s="53"/>
      <c r="G4" s="53"/>
      <c r="H4" s="53"/>
      <c r="I4" s="53"/>
      <c r="J4" s="53"/>
      <c r="K4" s="53"/>
      <c r="L4" s="53"/>
      <c r="M4" s="53"/>
      <c r="N4" s="53"/>
      <c r="O4" s="53"/>
      <c r="P4" s="53"/>
      <c r="Q4" s="53"/>
      <c r="R4" s="53"/>
      <c r="S4" s="53"/>
      <c r="T4" s="53"/>
      <c r="U4" s="53"/>
      <c r="V4" s="53"/>
      <c r="W4" s="53"/>
      <c r="X4" s="53"/>
      <c r="Y4" s="53"/>
      <c r="Z4" s="53"/>
    </row>
    <row r="5" spans="1:26" ht="11.25" customHeight="1">
      <c r="A5" s="605" t="s">
        <v>30</v>
      </c>
      <c r="B5" s="601"/>
      <c r="C5" s="601"/>
      <c r="D5" s="602"/>
      <c r="E5" s="53"/>
      <c r="F5" s="53"/>
      <c r="G5" s="53"/>
      <c r="H5" s="53"/>
      <c r="I5" s="53"/>
      <c r="J5" s="53"/>
      <c r="K5" s="53"/>
      <c r="L5" s="53"/>
      <c r="M5" s="53"/>
      <c r="N5" s="53"/>
      <c r="O5" s="53"/>
      <c r="P5" s="53"/>
      <c r="Q5" s="53"/>
      <c r="R5" s="53"/>
      <c r="S5" s="53"/>
      <c r="T5" s="53"/>
      <c r="U5" s="53"/>
      <c r="V5" s="53"/>
      <c r="W5" s="53"/>
      <c r="X5" s="53"/>
      <c r="Y5" s="53"/>
      <c r="Z5" s="53"/>
    </row>
    <row r="6" spans="1:26" ht="11.25" customHeight="1">
      <c r="A6" s="606" t="s">
        <v>31</v>
      </c>
      <c r="B6" s="601"/>
      <c r="C6" s="601"/>
      <c r="D6" s="602"/>
      <c r="E6" s="53"/>
      <c r="F6" s="53"/>
      <c r="G6" s="53"/>
      <c r="H6" s="53"/>
      <c r="I6" s="53"/>
      <c r="J6" s="53"/>
      <c r="K6" s="53"/>
      <c r="L6" s="53"/>
      <c r="M6" s="53"/>
      <c r="N6" s="53"/>
      <c r="O6" s="53"/>
      <c r="P6" s="53"/>
      <c r="Q6" s="53"/>
      <c r="R6" s="53"/>
      <c r="S6" s="53"/>
      <c r="T6" s="53"/>
      <c r="U6" s="53"/>
      <c r="V6" s="53"/>
      <c r="W6" s="53"/>
      <c r="X6" s="53"/>
      <c r="Y6" s="53"/>
      <c r="Z6" s="53"/>
    </row>
    <row r="7" spans="1:26" ht="18.75" customHeight="1">
      <c r="A7" s="607" t="s">
        <v>32</v>
      </c>
      <c r="B7" s="601"/>
      <c r="C7" s="601"/>
      <c r="D7" s="602"/>
      <c r="E7" s="53"/>
      <c r="F7" s="53"/>
      <c r="G7" s="53"/>
      <c r="H7" s="53"/>
      <c r="I7" s="53"/>
      <c r="J7" s="53"/>
      <c r="K7" s="53"/>
      <c r="L7" s="53"/>
      <c r="M7" s="53"/>
      <c r="N7" s="53"/>
      <c r="O7" s="53"/>
      <c r="P7" s="53"/>
      <c r="Q7" s="53"/>
      <c r="R7" s="53"/>
      <c r="S7" s="53"/>
      <c r="T7" s="53"/>
      <c r="U7" s="53"/>
      <c r="V7" s="53"/>
      <c r="W7" s="53"/>
      <c r="X7" s="53"/>
      <c r="Y7" s="53"/>
      <c r="Z7" s="53"/>
    </row>
    <row r="8" spans="1:26" ht="72" customHeight="1">
      <c r="A8" s="608" t="s">
        <v>33</v>
      </c>
      <c r="B8" s="601"/>
      <c r="C8" s="601"/>
      <c r="D8" s="602"/>
      <c r="E8" s="53"/>
      <c r="F8" s="53"/>
      <c r="G8" s="53"/>
      <c r="H8" s="53"/>
      <c r="I8" s="53"/>
      <c r="J8" s="53"/>
      <c r="K8" s="53"/>
      <c r="L8" s="53"/>
      <c r="M8" s="53"/>
      <c r="N8" s="53"/>
      <c r="O8" s="53"/>
      <c r="P8" s="53"/>
      <c r="Q8" s="53"/>
      <c r="R8" s="53"/>
      <c r="S8" s="53"/>
      <c r="T8" s="53"/>
      <c r="U8" s="53"/>
      <c r="V8" s="53"/>
      <c r="W8" s="53"/>
      <c r="X8" s="53"/>
      <c r="Y8" s="53"/>
      <c r="Z8" s="53"/>
    </row>
    <row r="9" spans="1:26" ht="6.75" customHeight="1">
      <c r="A9" s="54"/>
      <c r="B9" s="54"/>
      <c r="C9" s="54"/>
      <c r="D9" s="55"/>
      <c r="E9" s="53"/>
      <c r="F9" s="53"/>
      <c r="G9" s="53"/>
      <c r="H9" s="53"/>
      <c r="I9" s="53"/>
      <c r="J9" s="53"/>
      <c r="K9" s="53"/>
      <c r="L9" s="53"/>
      <c r="M9" s="53"/>
      <c r="N9" s="53"/>
      <c r="O9" s="53"/>
      <c r="P9" s="53"/>
      <c r="Q9" s="53"/>
      <c r="R9" s="53"/>
      <c r="S9" s="53"/>
      <c r="T9" s="53"/>
      <c r="U9" s="53"/>
      <c r="V9" s="53"/>
      <c r="W9" s="53"/>
      <c r="X9" s="53"/>
      <c r="Y9" s="53"/>
      <c r="Z9" s="53"/>
    </row>
    <row r="10" spans="1:26" ht="11.25" customHeight="1">
      <c r="A10" s="609" t="s">
        <v>34</v>
      </c>
      <c r="B10" s="601"/>
      <c r="C10" s="601"/>
      <c r="D10" s="602"/>
      <c r="E10" s="53"/>
      <c r="F10" s="53"/>
      <c r="G10" s="53"/>
      <c r="H10" s="53"/>
      <c r="I10" s="53"/>
      <c r="J10" s="53"/>
      <c r="K10" s="53"/>
      <c r="L10" s="53"/>
      <c r="M10" s="53"/>
      <c r="N10" s="53"/>
      <c r="O10" s="53"/>
      <c r="P10" s="53"/>
      <c r="Q10" s="53"/>
      <c r="R10" s="53"/>
      <c r="S10" s="53"/>
      <c r="T10" s="53"/>
      <c r="U10" s="53"/>
      <c r="V10" s="53"/>
      <c r="W10" s="53"/>
      <c r="X10" s="53"/>
      <c r="Y10" s="53"/>
      <c r="Z10" s="53"/>
    </row>
    <row r="11" spans="1:26" ht="6.75" customHeight="1">
      <c r="A11" s="56"/>
      <c r="B11" s="57"/>
      <c r="C11" s="57"/>
      <c r="D11" s="58"/>
      <c r="E11" s="53"/>
      <c r="F11" s="53"/>
      <c r="G11" s="53"/>
      <c r="H11" s="53"/>
      <c r="I11" s="53"/>
      <c r="J11" s="53"/>
      <c r="K11" s="53"/>
      <c r="L11" s="53"/>
      <c r="M11" s="53"/>
      <c r="N11" s="53"/>
      <c r="O11" s="53"/>
      <c r="P11" s="53"/>
      <c r="Q11" s="53"/>
      <c r="R11" s="53"/>
      <c r="S11" s="53"/>
      <c r="T11" s="53"/>
      <c r="U11" s="53"/>
      <c r="V11" s="53"/>
      <c r="W11" s="53"/>
      <c r="X11" s="53"/>
      <c r="Y11" s="53"/>
      <c r="Z11" s="53"/>
    </row>
    <row r="12" spans="1:26" ht="36" customHeight="1">
      <c r="A12" s="608" t="s">
        <v>35</v>
      </c>
      <c r="B12" s="601"/>
      <c r="C12" s="601"/>
      <c r="D12" s="602"/>
      <c r="E12" s="53"/>
      <c r="F12" s="53"/>
      <c r="G12" s="53"/>
      <c r="H12" s="53"/>
      <c r="I12" s="53"/>
      <c r="J12" s="53"/>
      <c r="K12" s="53"/>
      <c r="L12" s="53"/>
      <c r="M12" s="53"/>
      <c r="N12" s="53"/>
      <c r="O12" s="53"/>
      <c r="P12" s="53"/>
      <c r="Q12" s="53"/>
      <c r="R12" s="53"/>
      <c r="S12" s="53"/>
      <c r="T12" s="53"/>
      <c r="U12" s="53"/>
      <c r="V12" s="53"/>
      <c r="W12" s="53"/>
      <c r="X12" s="53"/>
      <c r="Y12" s="53"/>
      <c r="Z12" s="53"/>
    </row>
    <row r="13" spans="1:26" ht="6.75" customHeight="1">
      <c r="A13" s="54"/>
      <c r="B13" s="54"/>
      <c r="C13" s="54"/>
      <c r="D13" s="55"/>
      <c r="E13" s="53"/>
      <c r="F13" s="53"/>
      <c r="G13" s="53"/>
      <c r="H13" s="53"/>
      <c r="I13" s="53"/>
      <c r="J13" s="53"/>
      <c r="K13" s="53"/>
      <c r="L13" s="53"/>
      <c r="M13" s="53"/>
      <c r="N13" s="53"/>
      <c r="O13" s="53"/>
      <c r="P13" s="53"/>
      <c r="Q13" s="53"/>
      <c r="R13" s="53"/>
      <c r="S13" s="53"/>
      <c r="T13" s="53"/>
      <c r="U13" s="53"/>
      <c r="V13" s="53"/>
      <c r="W13" s="53"/>
      <c r="X13" s="53"/>
      <c r="Y13" s="53"/>
      <c r="Z13" s="53"/>
    </row>
    <row r="14" spans="1:26" ht="48" customHeight="1">
      <c r="A14" s="608" t="s">
        <v>36</v>
      </c>
      <c r="B14" s="601"/>
      <c r="C14" s="601"/>
      <c r="D14" s="602"/>
      <c r="E14" s="53"/>
      <c r="F14" s="53"/>
      <c r="G14" s="53"/>
      <c r="H14" s="53"/>
      <c r="I14" s="53"/>
      <c r="J14" s="53"/>
      <c r="K14" s="53"/>
      <c r="L14" s="53"/>
      <c r="M14" s="53"/>
      <c r="N14" s="53"/>
      <c r="O14" s="53"/>
      <c r="P14" s="53"/>
      <c r="Q14" s="53"/>
      <c r="R14" s="53"/>
      <c r="S14" s="53"/>
      <c r="T14" s="53"/>
      <c r="U14" s="53"/>
      <c r="V14" s="53"/>
      <c r="W14" s="53"/>
      <c r="X14" s="53"/>
      <c r="Y14" s="53"/>
      <c r="Z14" s="53"/>
    </row>
    <row r="15" spans="1:26" ht="6.75" customHeight="1">
      <c r="A15" s="54"/>
      <c r="B15" s="54"/>
      <c r="C15" s="54"/>
      <c r="D15" s="55"/>
      <c r="E15" s="53"/>
      <c r="F15" s="53"/>
      <c r="G15" s="53"/>
      <c r="H15" s="53"/>
      <c r="I15" s="53"/>
      <c r="J15" s="53"/>
      <c r="K15" s="53"/>
      <c r="L15" s="53"/>
      <c r="M15" s="53"/>
      <c r="N15" s="53"/>
      <c r="O15" s="53"/>
      <c r="P15" s="53"/>
      <c r="Q15" s="53"/>
      <c r="R15" s="53"/>
      <c r="S15" s="53"/>
      <c r="T15" s="53"/>
      <c r="U15" s="53"/>
      <c r="V15" s="53"/>
      <c r="W15" s="53"/>
      <c r="X15" s="53"/>
      <c r="Y15" s="53"/>
      <c r="Z15" s="53"/>
    </row>
    <row r="16" spans="1:26" ht="48" customHeight="1">
      <c r="A16" s="608" t="s">
        <v>37</v>
      </c>
      <c r="B16" s="601"/>
      <c r="C16" s="601"/>
      <c r="D16" s="602"/>
      <c r="E16" s="53"/>
      <c r="F16" s="53"/>
      <c r="G16" s="53"/>
      <c r="H16" s="53"/>
      <c r="I16" s="53"/>
      <c r="J16" s="53"/>
      <c r="K16" s="53"/>
      <c r="L16" s="53"/>
      <c r="M16" s="53"/>
      <c r="N16" s="53"/>
      <c r="O16" s="53"/>
      <c r="P16" s="53"/>
      <c r="Q16" s="53"/>
      <c r="R16" s="53"/>
      <c r="S16" s="53"/>
      <c r="T16" s="53"/>
      <c r="U16" s="53"/>
      <c r="V16" s="53"/>
      <c r="W16" s="53"/>
      <c r="X16" s="53"/>
      <c r="Y16" s="53"/>
      <c r="Z16" s="53"/>
    </row>
    <row r="17" spans="1:26" ht="6.75" customHeight="1">
      <c r="A17" s="54"/>
      <c r="B17" s="54"/>
      <c r="C17" s="54"/>
      <c r="D17" s="55"/>
      <c r="E17" s="53"/>
      <c r="F17" s="53"/>
      <c r="G17" s="53"/>
      <c r="H17" s="53"/>
      <c r="I17" s="53"/>
      <c r="J17" s="53"/>
      <c r="K17" s="53"/>
      <c r="L17" s="53"/>
      <c r="M17" s="53"/>
      <c r="N17" s="53"/>
      <c r="O17" s="53"/>
      <c r="P17" s="53"/>
      <c r="Q17" s="53"/>
      <c r="R17" s="53"/>
      <c r="S17" s="53"/>
      <c r="T17" s="53"/>
      <c r="U17" s="53"/>
      <c r="V17" s="53"/>
      <c r="W17" s="53"/>
      <c r="X17" s="53"/>
      <c r="Y17" s="53"/>
      <c r="Z17" s="53"/>
    </row>
    <row r="18" spans="1:26" ht="36" customHeight="1">
      <c r="A18" s="608" t="s">
        <v>38</v>
      </c>
      <c r="B18" s="601"/>
      <c r="C18" s="601"/>
      <c r="D18" s="602"/>
      <c r="E18" s="53"/>
      <c r="F18" s="53"/>
      <c r="G18" s="53"/>
      <c r="H18" s="53"/>
      <c r="I18" s="53"/>
      <c r="J18" s="53"/>
      <c r="K18" s="53"/>
      <c r="L18" s="53"/>
      <c r="M18" s="53"/>
      <c r="N18" s="53"/>
      <c r="O18" s="53"/>
      <c r="P18" s="53"/>
      <c r="Q18" s="53"/>
      <c r="R18" s="53"/>
      <c r="S18" s="53"/>
      <c r="T18" s="53"/>
      <c r="U18" s="53"/>
      <c r="V18" s="53"/>
      <c r="W18" s="53"/>
      <c r="X18" s="53"/>
      <c r="Y18" s="53"/>
      <c r="Z18" s="53"/>
    </row>
    <row r="19" spans="1:26" ht="6.75" customHeight="1">
      <c r="A19" s="54"/>
      <c r="B19" s="54"/>
      <c r="C19" s="54"/>
      <c r="D19" s="55"/>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c r="A20" s="70" t="s">
        <v>39</v>
      </c>
      <c r="B20" s="63"/>
      <c r="C20" s="63"/>
      <c r="D20" s="63"/>
      <c r="E20" s="53"/>
      <c r="F20" s="53"/>
      <c r="G20" s="53"/>
      <c r="H20" s="53"/>
      <c r="I20" s="53"/>
      <c r="J20" s="53"/>
      <c r="K20" s="53"/>
      <c r="L20" s="53"/>
      <c r="M20" s="53"/>
      <c r="N20" s="53"/>
      <c r="O20" s="53"/>
      <c r="P20" s="53"/>
      <c r="Q20" s="53"/>
      <c r="R20" s="53"/>
      <c r="S20" s="53"/>
      <c r="T20" s="53"/>
      <c r="U20" s="53"/>
      <c r="V20" s="53"/>
      <c r="W20" s="53"/>
      <c r="X20" s="53"/>
      <c r="Y20" s="53"/>
      <c r="Z20" s="53"/>
    </row>
    <row r="21" spans="1:26" ht="6.75" customHeight="1">
      <c r="A21" s="59"/>
      <c r="B21" s="60"/>
      <c r="C21" s="60"/>
      <c r="D21" s="303"/>
      <c r="E21" s="53"/>
      <c r="F21" s="53"/>
      <c r="G21" s="53"/>
      <c r="H21" s="53"/>
      <c r="I21" s="53"/>
      <c r="J21" s="53"/>
      <c r="K21" s="53"/>
      <c r="L21" s="53"/>
      <c r="M21" s="53"/>
      <c r="N21" s="53"/>
      <c r="O21" s="53"/>
      <c r="P21" s="53"/>
      <c r="Q21" s="53"/>
      <c r="R21" s="53"/>
      <c r="S21" s="53"/>
      <c r="T21" s="53"/>
      <c r="U21" s="53"/>
      <c r="V21" s="53"/>
      <c r="W21" s="53"/>
      <c r="X21" s="53"/>
      <c r="Y21" s="53"/>
      <c r="Z21" s="53"/>
    </row>
    <row r="22" spans="1:26" ht="11.25" customHeight="1">
      <c r="A22" s="62" t="s">
        <v>40</v>
      </c>
      <c r="B22" s="63"/>
      <c r="C22" s="64" t="s">
        <v>41</v>
      </c>
      <c r="D22" s="284">
        <f>'Proposed Rates'!J8</f>
        <v>48.36</v>
      </c>
      <c r="E22" s="53"/>
      <c r="F22" s="53"/>
      <c r="G22" s="53"/>
      <c r="H22" s="53"/>
      <c r="I22" s="53"/>
      <c r="J22" s="53"/>
      <c r="K22" s="53"/>
      <c r="L22" s="53"/>
      <c r="M22" s="53"/>
      <c r="N22" s="53"/>
      <c r="O22" s="53"/>
      <c r="P22" s="53"/>
      <c r="Q22" s="53"/>
      <c r="R22" s="53"/>
      <c r="S22" s="53"/>
      <c r="T22" s="53"/>
      <c r="U22" s="53"/>
      <c r="V22" s="53"/>
      <c r="W22" s="53"/>
      <c r="X22" s="53"/>
      <c r="Y22" s="53"/>
      <c r="Z22" s="53"/>
    </row>
    <row r="23" spans="1:26" ht="11.25" hidden="1" customHeight="1">
      <c r="A23" s="62" t="s">
        <v>42</v>
      </c>
      <c r="B23" s="63"/>
      <c r="C23" s="64" t="s">
        <v>41</v>
      </c>
      <c r="D23" s="285">
        <f>'Proposed Rates'!J90</f>
        <v>0</v>
      </c>
      <c r="E23" s="53"/>
      <c r="F23" s="53"/>
      <c r="G23" s="53"/>
      <c r="H23" s="53"/>
      <c r="I23" s="53"/>
      <c r="J23" s="53"/>
      <c r="K23" s="53"/>
      <c r="L23" s="53"/>
      <c r="M23" s="53"/>
      <c r="N23" s="53"/>
      <c r="O23" s="53"/>
      <c r="P23" s="53"/>
      <c r="Q23" s="53"/>
      <c r="R23" s="53"/>
      <c r="S23" s="53"/>
      <c r="T23" s="53"/>
      <c r="U23" s="53"/>
      <c r="V23" s="53"/>
      <c r="W23" s="53"/>
      <c r="X23" s="53"/>
      <c r="Y23" s="53"/>
      <c r="Z23" s="53"/>
    </row>
    <row r="24" spans="1:26" ht="11.25" hidden="1" customHeight="1">
      <c r="A24" s="62" t="s">
        <v>43</v>
      </c>
      <c r="B24" s="63"/>
      <c r="C24" s="64" t="s">
        <v>41</v>
      </c>
      <c r="D24" s="286">
        <f>'Proposed Rates'!J64</f>
        <v>0</v>
      </c>
      <c r="E24" s="53"/>
      <c r="F24" s="53"/>
      <c r="G24" s="53"/>
      <c r="H24" s="53"/>
      <c r="I24" s="53"/>
      <c r="J24" s="53"/>
      <c r="K24" s="53"/>
      <c r="L24" s="53"/>
      <c r="M24" s="53"/>
      <c r="N24" s="53"/>
      <c r="O24" s="53"/>
      <c r="P24" s="53"/>
      <c r="Q24" s="53"/>
      <c r="R24" s="53"/>
      <c r="S24" s="53"/>
      <c r="T24" s="53"/>
      <c r="U24" s="53"/>
      <c r="V24" s="53"/>
      <c r="W24" s="53"/>
      <c r="X24" s="53"/>
      <c r="Y24" s="53"/>
      <c r="Z24" s="53"/>
    </row>
    <row r="25" spans="1:26" ht="11.25" customHeight="1">
      <c r="A25" s="62" t="s">
        <v>44</v>
      </c>
      <c r="B25" s="63"/>
      <c r="C25" s="64" t="s">
        <v>41</v>
      </c>
      <c r="D25" s="286">
        <f>'Proposed Rates'!J277</f>
        <v>0.45</v>
      </c>
      <c r="E25" s="53"/>
      <c r="F25" s="53"/>
      <c r="G25" s="53"/>
      <c r="H25" s="53"/>
      <c r="I25" s="53"/>
      <c r="J25" s="53"/>
      <c r="K25" s="53"/>
      <c r="L25" s="53"/>
      <c r="M25" s="53"/>
      <c r="N25" s="53"/>
      <c r="O25" s="53"/>
      <c r="P25" s="53"/>
      <c r="Q25" s="53"/>
      <c r="R25" s="53"/>
      <c r="S25" s="53"/>
      <c r="T25" s="53"/>
      <c r="U25" s="53"/>
      <c r="V25" s="53"/>
      <c r="W25" s="53"/>
      <c r="X25" s="53"/>
      <c r="Y25" s="53"/>
      <c r="Z25" s="53"/>
    </row>
    <row r="26" spans="1:26" ht="11.25" customHeight="1">
      <c r="A26" s="62" t="s">
        <v>45</v>
      </c>
      <c r="B26" s="63"/>
      <c r="C26" s="64" t="s">
        <v>46</v>
      </c>
      <c r="D26" s="287">
        <f>'Proposed Rates'!J264</f>
        <v>8.0000000000000007E-5</v>
      </c>
      <c r="E26" s="53"/>
      <c r="F26" s="53"/>
      <c r="G26" s="53"/>
      <c r="H26" s="53"/>
      <c r="I26" s="53"/>
      <c r="J26" s="53"/>
      <c r="K26" s="53"/>
      <c r="L26" s="53"/>
      <c r="M26" s="53"/>
      <c r="N26" s="53"/>
      <c r="O26" s="53"/>
      <c r="P26" s="53"/>
      <c r="Q26" s="53"/>
      <c r="R26" s="53"/>
      <c r="S26" s="53"/>
      <c r="T26" s="53"/>
      <c r="U26" s="53"/>
      <c r="V26" s="53"/>
      <c r="W26" s="53"/>
      <c r="X26" s="53"/>
      <c r="Y26" s="53"/>
      <c r="Z26" s="53"/>
    </row>
    <row r="27" spans="1:26" ht="11.25" hidden="1" customHeight="1">
      <c r="A27" s="62" t="s">
        <v>47</v>
      </c>
      <c r="B27" s="63"/>
      <c r="C27" s="64" t="s">
        <v>46</v>
      </c>
      <c r="D27" s="285">
        <f>'Proposed Rates'!J37</f>
        <v>0</v>
      </c>
      <c r="E27" s="53"/>
      <c r="F27" s="53"/>
      <c r="G27" s="53"/>
      <c r="H27" s="53"/>
      <c r="I27" s="53"/>
      <c r="J27" s="53"/>
      <c r="K27" s="53"/>
      <c r="L27" s="53"/>
      <c r="M27" s="53"/>
      <c r="N27" s="53"/>
      <c r="O27" s="53"/>
      <c r="P27" s="53"/>
      <c r="Q27" s="53"/>
      <c r="R27" s="53"/>
      <c r="S27" s="53"/>
      <c r="T27" s="53"/>
      <c r="U27" s="53"/>
      <c r="V27" s="53"/>
      <c r="W27" s="53"/>
      <c r="X27" s="53"/>
      <c r="Y27" s="53"/>
      <c r="Z27" s="53"/>
    </row>
    <row r="28" spans="1:26" ht="11.25" hidden="1" customHeight="1">
      <c r="A28" s="62" t="s">
        <v>48</v>
      </c>
      <c r="B28" s="63"/>
      <c r="C28" s="64" t="s">
        <v>46</v>
      </c>
      <c r="D28" s="285">
        <f>'Proposed Rates'!J142</f>
        <v>0</v>
      </c>
      <c r="E28" s="53"/>
      <c r="F28" s="53"/>
      <c r="G28" s="53"/>
      <c r="H28" s="53"/>
      <c r="I28" s="53"/>
      <c r="J28" s="53"/>
      <c r="K28" s="53"/>
      <c r="L28" s="53"/>
      <c r="M28" s="53"/>
      <c r="N28" s="53"/>
      <c r="O28" s="53"/>
      <c r="P28" s="53"/>
      <c r="Q28" s="53"/>
      <c r="R28" s="53"/>
      <c r="S28" s="53"/>
      <c r="T28" s="53"/>
      <c r="U28" s="53"/>
      <c r="V28" s="53"/>
      <c r="W28" s="53"/>
      <c r="X28" s="53"/>
      <c r="Y28" s="53"/>
      <c r="Z28" s="53"/>
    </row>
    <row r="29" spans="1:26" ht="11.25" customHeight="1">
      <c r="A29" s="62" t="s">
        <v>49</v>
      </c>
      <c r="B29" s="63"/>
      <c r="C29" s="64" t="s">
        <v>46</v>
      </c>
      <c r="D29" s="285">
        <f>'Proposed Rates'!J183</f>
        <v>1.38E-2</v>
      </c>
      <c r="E29" s="53"/>
      <c r="F29" s="53"/>
      <c r="G29" s="53"/>
      <c r="H29" s="53"/>
      <c r="I29" s="53"/>
      <c r="J29" s="53"/>
      <c r="K29" s="53"/>
      <c r="L29" s="53"/>
      <c r="M29" s="53"/>
      <c r="N29" s="53"/>
      <c r="O29" s="53"/>
      <c r="P29" s="53"/>
      <c r="Q29" s="53"/>
      <c r="R29" s="53"/>
      <c r="S29" s="53"/>
      <c r="T29" s="53"/>
      <c r="U29" s="53"/>
      <c r="V29" s="53"/>
      <c r="W29" s="53"/>
      <c r="X29" s="53"/>
      <c r="Y29" s="53"/>
      <c r="Z29" s="53"/>
    </row>
    <row r="30" spans="1:26" ht="10.5" customHeight="1">
      <c r="A30" s="62" t="s">
        <v>50</v>
      </c>
      <c r="B30" s="63"/>
      <c r="C30" s="64" t="s">
        <v>46</v>
      </c>
      <c r="D30" s="285">
        <f>'Proposed Rates'!J198</f>
        <v>7.7999999999999996E-3</v>
      </c>
      <c r="E30" s="53"/>
      <c r="F30" s="53"/>
      <c r="G30" s="53"/>
      <c r="H30" s="53"/>
      <c r="I30" s="53"/>
      <c r="J30" s="53"/>
      <c r="K30" s="53"/>
      <c r="L30" s="53"/>
      <c r="M30" s="53"/>
      <c r="N30" s="53"/>
      <c r="O30" s="53"/>
      <c r="P30" s="53"/>
      <c r="Q30" s="53"/>
      <c r="R30" s="53"/>
      <c r="S30" s="53"/>
      <c r="T30" s="53"/>
      <c r="U30" s="53"/>
      <c r="V30" s="53"/>
      <c r="W30" s="53"/>
      <c r="X30" s="53"/>
      <c r="Y30" s="53"/>
      <c r="Z30" s="53"/>
    </row>
    <row r="31" spans="1:26" ht="6.75" customHeight="1">
      <c r="A31" s="64"/>
      <c r="B31" s="64"/>
      <c r="C31" s="64"/>
      <c r="D31" s="69"/>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c r="A32" s="70" t="s">
        <v>51</v>
      </c>
      <c r="B32" s="63"/>
      <c r="C32" s="64"/>
      <c r="D32" s="69"/>
      <c r="E32" s="53"/>
      <c r="F32" s="53"/>
      <c r="G32" s="53"/>
      <c r="H32" s="53"/>
      <c r="I32" s="53"/>
      <c r="J32" s="53"/>
      <c r="K32" s="53"/>
      <c r="L32" s="53"/>
      <c r="M32" s="53"/>
      <c r="N32" s="53"/>
      <c r="O32" s="53"/>
      <c r="P32" s="53"/>
      <c r="Q32" s="53"/>
      <c r="R32" s="53"/>
      <c r="S32" s="53"/>
      <c r="T32" s="53"/>
      <c r="U32" s="53"/>
      <c r="V32" s="53"/>
      <c r="W32" s="53"/>
      <c r="X32" s="53"/>
      <c r="Y32" s="53"/>
      <c r="Z32" s="53"/>
    </row>
    <row r="33" spans="1:26" ht="6.75" customHeight="1">
      <c r="A33" s="59"/>
      <c r="B33" s="64"/>
      <c r="C33" s="64"/>
      <c r="D33" s="69"/>
      <c r="E33" s="53"/>
      <c r="F33" s="53"/>
      <c r="G33" s="53"/>
      <c r="H33" s="53"/>
      <c r="I33" s="53"/>
      <c r="J33" s="53"/>
      <c r="K33" s="53"/>
      <c r="L33" s="53"/>
      <c r="M33" s="53"/>
      <c r="N33" s="53"/>
      <c r="O33" s="53"/>
      <c r="P33" s="53"/>
      <c r="Q33" s="53"/>
      <c r="R33" s="53"/>
      <c r="S33" s="53"/>
      <c r="T33" s="53"/>
      <c r="U33" s="53"/>
      <c r="V33" s="53"/>
      <c r="W33" s="53"/>
      <c r="X33" s="53"/>
      <c r="Y33" s="53"/>
      <c r="Z33" s="53"/>
    </row>
    <row r="34" spans="1:26" ht="11.25" customHeight="1">
      <c r="A34" s="62" t="s">
        <v>52</v>
      </c>
      <c r="B34" s="63"/>
      <c r="C34" s="64" t="s">
        <v>46</v>
      </c>
      <c r="D34" s="66">
        <v>4.1000000000000003E-3</v>
      </c>
      <c r="E34" s="53"/>
      <c r="F34" s="53"/>
      <c r="G34" s="53"/>
      <c r="H34" s="53"/>
      <c r="I34" s="53"/>
      <c r="J34" s="53"/>
      <c r="K34" s="53"/>
      <c r="L34" s="53"/>
      <c r="M34" s="53"/>
      <c r="N34" s="53"/>
      <c r="O34" s="53"/>
      <c r="P34" s="53"/>
      <c r="Q34" s="53"/>
      <c r="R34" s="53"/>
      <c r="S34" s="53"/>
      <c r="T34" s="53"/>
      <c r="U34" s="53"/>
      <c r="V34" s="53"/>
      <c r="W34" s="53"/>
      <c r="X34" s="53"/>
      <c r="Y34" s="53"/>
      <c r="Z34" s="53"/>
    </row>
    <row r="35" spans="1:26" ht="11.25" customHeight="1">
      <c r="A35" s="62" t="s">
        <v>53</v>
      </c>
      <c r="B35" s="63"/>
      <c r="C35" s="64" t="s">
        <v>46</v>
      </c>
      <c r="D35" s="66">
        <f>'Proposed Rates'!J213-'2026'!D35</f>
        <v>5.9999999999999984E-4</v>
      </c>
      <c r="E35" s="53"/>
      <c r="F35" s="53"/>
      <c r="G35" s="53"/>
      <c r="H35" s="53"/>
      <c r="I35" s="53"/>
      <c r="J35" s="53"/>
      <c r="K35" s="53"/>
      <c r="L35" s="53"/>
      <c r="M35" s="53"/>
      <c r="N35" s="53"/>
      <c r="O35" s="53"/>
      <c r="P35" s="53"/>
      <c r="Q35" s="53"/>
      <c r="R35" s="53"/>
      <c r="S35" s="53"/>
      <c r="T35" s="53"/>
      <c r="U35" s="53"/>
      <c r="V35" s="53"/>
      <c r="W35" s="53"/>
      <c r="X35" s="53"/>
      <c r="Y35" s="53"/>
      <c r="Z35" s="53"/>
    </row>
    <row r="36" spans="1:26" ht="11.25" customHeight="1">
      <c r="A36" s="62" t="s">
        <v>54</v>
      </c>
      <c r="B36" s="63"/>
      <c r="C36" s="64" t="s">
        <v>46</v>
      </c>
      <c r="D36" s="66">
        <f>'Proposed Rates'!J226</f>
        <v>5.9999999999999995E-4</v>
      </c>
      <c r="E36" s="53"/>
      <c r="F36" s="53"/>
      <c r="G36" s="53"/>
      <c r="H36" s="53"/>
      <c r="I36" s="53"/>
      <c r="J36" s="53"/>
      <c r="K36" s="53"/>
      <c r="L36" s="53"/>
      <c r="M36" s="53"/>
      <c r="N36" s="53"/>
      <c r="O36" s="53"/>
      <c r="P36" s="53"/>
      <c r="Q36" s="53"/>
      <c r="R36" s="53"/>
      <c r="S36" s="53"/>
      <c r="T36" s="53"/>
      <c r="U36" s="53"/>
      <c r="V36" s="53"/>
      <c r="W36" s="53"/>
      <c r="X36" s="53"/>
      <c r="Y36" s="53"/>
      <c r="Z36" s="53"/>
    </row>
    <row r="37" spans="1:26" ht="11.25" customHeight="1">
      <c r="A37" s="62" t="s">
        <v>55</v>
      </c>
      <c r="B37" s="63"/>
      <c r="C37" s="64" t="s">
        <v>41</v>
      </c>
      <c r="D37" s="66">
        <f>'Proposed Rates'!J240</f>
        <v>0.25</v>
      </c>
      <c r="E37" s="53"/>
      <c r="F37" s="53"/>
      <c r="G37" s="53"/>
      <c r="H37" s="53"/>
      <c r="I37" s="53"/>
      <c r="J37" s="53"/>
      <c r="K37" s="53"/>
      <c r="L37" s="53"/>
      <c r="M37" s="53"/>
      <c r="N37" s="53"/>
      <c r="O37" s="53"/>
      <c r="P37" s="53"/>
      <c r="Q37" s="53"/>
      <c r="R37" s="53"/>
      <c r="S37" s="53"/>
      <c r="T37" s="53"/>
      <c r="U37" s="53"/>
      <c r="V37" s="53"/>
      <c r="W37" s="53"/>
      <c r="X37" s="53"/>
      <c r="Y37" s="53"/>
      <c r="Z37" s="53"/>
    </row>
    <row r="38" spans="1:26" ht="11.25" customHeight="1">
      <c r="A38" s="62"/>
      <c r="B38" s="63"/>
      <c r="C38" s="64"/>
      <c r="D38" s="69"/>
      <c r="E38" s="53"/>
      <c r="F38" s="53"/>
      <c r="G38" s="53"/>
      <c r="H38" s="53"/>
      <c r="I38" s="53"/>
      <c r="J38" s="53"/>
      <c r="K38" s="53"/>
      <c r="L38" s="53"/>
      <c r="M38" s="53"/>
      <c r="N38" s="53"/>
      <c r="O38" s="53"/>
      <c r="P38" s="53"/>
      <c r="Q38" s="53"/>
      <c r="R38" s="53"/>
      <c r="S38" s="53"/>
      <c r="T38" s="53"/>
      <c r="U38" s="53"/>
      <c r="V38" s="53"/>
      <c r="W38" s="53"/>
      <c r="X38" s="53"/>
      <c r="Y38" s="53"/>
      <c r="Z38" s="53"/>
    </row>
    <row r="39" spans="1:26" ht="24" customHeight="1">
      <c r="A39" s="600" t="str">
        <f>$A$1</f>
        <v>Hydro Ottawa Limited</v>
      </c>
      <c r="B39" s="601"/>
      <c r="C39" s="601"/>
      <c r="D39" s="602"/>
      <c r="E39" s="53"/>
      <c r="F39" s="53"/>
      <c r="G39" s="53"/>
      <c r="H39" s="53"/>
      <c r="I39" s="53"/>
      <c r="J39" s="53"/>
      <c r="K39" s="53"/>
      <c r="L39" s="53"/>
      <c r="M39" s="53"/>
      <c r="N39" s="53"/>
      <c r="O39" s="53"/>
      <c r="P39" s="53"/>
      <c r="Q39" s="53"/>
      <c r="R39" s="53"/>
      <c r="S39" s="53"/>
      <c r="T39" s="53"/>
      <c r="U39" s="53"/>
      <c r="V39" s="53"/>
      <c r="W39" s="53"/>
      <c r="X39" s="53"/>
      <c r="Y39" s="53"/>
      <c r="Z39" s="53"/>
    </row>
    <row r="40" spans="1:26" ht="15.75" customHeight="1">
      <c r="A40" s="603" t="str">
        <f>$A$2</f>
        <v>PROPOSED - TARIFF OF RATES AND CHARGES</v>
      </c>
      <c r="B40" s="601"/>
      <c r="C40" s="601"/>
      <c r="D40" s="602"/>
      <c r="E40" s="53"/>
      <c r="F40" s="53"/>
      <c r="G40" s="53"/>
      <c r="H40" s="53"/>
      <c r="I40" s="53"/>
      <c r="J40" s="53"/>
      <c r="K40" s="53"/>
      <c r="L40" s="53"/>
      <c r="M40" s="53"/>
      <c r="N40" s="53"/>
      <c r="O40" s="53"/>
      <c r="P40" s="53"/>
      <c r="Q40" s="53"/>
      <c r="R40" s="53"/>
      <c r="S40" s="53"/>
      <c r="T40" s="53"/>
      <c r="U40" s="53"/>
      <c r="V40" s="53"/>
      <c r="W40" s="53"/>
      <c r="X40" s="53"/>
      <c r="Y40" s="53"/>
      <c r="Z40" s="53"/>
    </row>
    <row r="41" spans="1:26" ht="15.75" customHeight="1">
      <c r="A41" s="604" t="str">
        <f>$A$3</f>
        <v>Effective and Implementation Date January 1, 2030</v>
      </c>
      <c r="B41" s="601"/>
      <c r="C41" s="601"/>
      <c r="D41" s="602"/>
      <c r="E41" s="53"/>
      <c r="F41" s="53"/>
      <c r="G41" s="53"/>
      <c r="H41" s="53"/>
      <c r="I41" s="53"/>
      <c r="J41" s="53"/>
      <c r="K41" s="53"/>
      <c r="L41" s="53"/>
      <c r="M41" s="53"/>
      <c r="N41" s="53"/>
      <c r="O41" s="53"/>
      <c r="P41" s="53"/>
      <c r="Q41" s="53"/>
      <c r="R41" s="53"/>
      <c r="S41" s="53"/>
      <c r="T41" s="53"/>
      <c r="U41" s="53"/>
      <c r="V41" s="53"/>
      <c r="W41" s="53"/>
      <c r="X41" s="53"/>
      <c r="Y41" s="53"/>
      <c r="Z41" s="53"/>
    </row>
    <row r="42" spans="1:26" ht="12" customHeight="1">
      <c r="A42" s="605" t="str">
        <f>$A$4</f>
        <v>This schedule supersedes and replaces all previously</v>
      </c>
      <c r="B42" s="601"/>
      <c r="C42" s="601"/>
      <c r="D42" s="602"/>
      <c r="E42" s="53"/>
      <c r="F42" s="53"/>
      <c r="G42" s="53"/>
      <c r="H42" s="53"/>
      <c r="I42" s="53"/>
      <c r="J42" s="53"/>
      <c r="K42" s="53"/>
      <c r="L42" s="53"/>
      <c r="M42" s="53"/>
      <c r="N42" s="53"/>
      <c r="O42" s="53"/>
      <c r="P42" s="53"/>
      <c r="Q42" s="53"/>
      <c r="R42" s="53"/>
      <c r="S42" s="53"/>
      <c r="T42" s="53"/>
      <c r="U42" s="53"/>
      <c r="V42" s="53"/>
      <c r="W42" s="53"/>
      <c r="X42" s="53"/>
      <c r="Y42" s="53"/>
      <c r="Z42" s="53"/>
    </row>
    <row r="43" spans="1:26" ht="11.25" customHeight="1">
      <c r="A43" s="605" t="str">
        <f>$A$5</f>
        <v>approved schedules of Rates, Charges and Loss Factors</v>
      </c>
      <c r="B43" s="601"/>
      <c r="C43" s="601"/>
      <c r="D43" s="602"/>
      <c r="E43" s="53"/>
      <c r="F43" s="53"/>
      <c r="G43" s="53"/>
      <c r="H43" s="53"/>
      <c r="I43" s="53"/>
      <c r="J43" s="53"/>
      <c r="K43" s="53"/>
      <c r="L43" s="53"/>
      <c r="M43" s="53"/>
      <c r="N43" s="53"/>
      <c r="O43" s="53"/>
      <c r="P43" s="53"/>
      <c r="Q43" s="53"/>
      <c r="R43" s="53"/>
      <c r="S43" s="53"/>
      <c r="T43" s="53"/>
      <c r="U43" s="53"/>
      <c r="V43" s="53"/>
      <c r="W43" s="53"/>
      <c r="X43" s="53"/>
      <c r="Y43" s="53"/>
      <c r="Z43" s="53"/>
    </row>
    <row r="44" spans="1:26" ht="11.25" customHeight="1">
      <c r="A44" s="606" t="str">
        <f>$A$6</f>
        <v>EB-2024-0115</v>
      </c>
      <c r="B44" s="601"/>
      <c r="C44" s="601"/>
      <c r="D44" s="602"/>
      <c r="E44" s="53"/>
      <c r="F44" s="53"/>
      <c r="G44" s="53"/>
      <c r="H44" s="53"/>
      <c r="I44" s="53"/>
      <c r="J44" s="53"/>
      <c r="K44" s="53"/>
      <c r="L44" s="53"/>
      <c r="M44" s="53"/>
      <c r="N44" s="53"/>
      <c r="O44" s="53"/>
      <c r="P44" s="53"/>
      <c r="Q44" s="53"/>
      <c r="R44" s="53"/>
      <c r="S44" s="53"/>
      <c r="T44" s="53"/>
      <c r="U44" s="53"/>
      <c r="V44" s="53"/>
      <c r="W44" s="53"/>
      <c r="X44" s="53"/>
      <c r="Y44" s="53"/>
      <c r="Z44" s="53"/>
    </row>
    <row r="45" spans="1:26" ht="18.75" customHeight="1">
      <c r="A45" s="607" t="s">
        <v>56</v>
      </c>
      <c r="B45" s="601"/>
      <c r="C45" s="601"/>
      <c r="D45" s="602"/>
      <c r="E45" s="71"/>
      <c r="F45" s="71"/>
      <c r="G45" s="71"/>
      <c r="H45" s="71"/>
      <c r="I45" s="71"/>
      <c r="J45" s="71"/>
      <c r="K45" s="71"/>
      <c r="L45" s="71"/>
      <c r="M45" s="71"/>
      <c r="N45" s="71"/>
      <c r="O45" s="71"/>
      <c r="P45" s="71"/>
      <c r="Q45" s="71"/>
      <c r="R45" s="71"/>
      <c r="S45" s="71"/>
      <c r="T45" s="71"/>
      <c r="U45" s="71"/>
      <c r="V45" s="71"/>
      <c r="W45" s="71"/>
      <c r="X45" s="71"/>
      <c r="Y45" s="71"/>
      <c r="Z45" s="71"/>
    </row>
    <row r="46" spans="1:26" ht="48" customHeight="1">
      <c r="A46" s="608" t="s">
        <v>57</v>
      </c>
      <c r="B46" s="601"/>
      <c r="C46" s="601"/>
      <c r="D46" s="602"/>
      <c r="E46" s="53"/>
      <c r="F46" s="53"/>
      <c r="G46" s="53"/>
      <c r="H46" s="53"/>
      <c r="I46" s="53"/>
      <c r="J46" s="53"/>
      <c r="K46" s="53"/>
      <c r="L46" s="53"/>
      <c r="M46" s="53"/>
      <c r="N46" s="53"/>
      <c r="O46" s="53"/>
      <c r="P46" s="53"/>
      <c r="Q46" s="53"/>
      <c r="R46" s="53"/>
      <c r="S46" s="53"/>
      <c r="T46" s="53"/>
      <c r="U46" s="53"/>
      <c r="V46" s="53"/>
      <c r="W46" s="53"/>
      <c r="X46" s="53"/>
      <c r="Y46" s="53"/>
      <c r="Z46" s="53"/>
    </row>
    <row r="47" spans="1:26" ht="6.75" customHeight="1">
      <c r="A47" s="54"/>
      <c r="B47" s="54"/>
      <c r="C47" s="54"/>
      <c r="D47" s="55"/>
      <c r="E47" s="53"/>
      <c r="F47" s="53"/>
      <c r="G47" s="53"/>
      <c r="H47" s="53"/>
      <c r="I47" s="53"/>
      <c r="J47" s="53"/>
      <c r="K47" s="53"/>
      <c r="L47" s="53"/>
      <c r="M47" s="53"/>
      <c r="N47" s="53"/>
      <c r="O47" s="53"/>
      <c r="P47" s="53"/>
      <c r="Q47" s="53"/>
      <c r="R47" s="53"/>
      <c r="S47" s="53"/>
      <c r="T47" s="53"/>
      <c r="U47" s="53"/>
      <c r="V47" s="53"/>
      <c r="W47" s="53"/>
      <c r="X47" s="53"/>
      <c r="Y47" s="53"/>
      <c r="Z47" s="53"/>
    </row>
    <row r="48" spans="1:26" ht="11.25" customHeight="1">
      <c r="A48" s="609" t="s">
        <v>34</v>
      </c>
      <c r="B48" s="601"/>
      <c r="C48" s="601"/>
      <c r="D48" s="602"/>
      <c r="E48" s="53"/>
      <c r="F48" s="53"/>
      <c r="G48" s="53"/>
      <c r="H48" s="53"/>
      <c r="I48" s="53"/>
      <c r="J48" s="53"/>
      <c r="K48" s="53"/>
      <c r="L48" s="53"/>
      <c r="M48" s="53"/>
      <c r="N48" s="53"/>
      <c r="O48" s="53"/>
      <c r="P48" s="53"/>
      <c r="Q48" s="53"/>
      <c r="R48" s="53"/>
      <c r="S48" s="53"/>
      <c r="T48" s="53"/>
      <c r="U48" s="53"/>
      <c r="V48" s="53"/>
      <c r="W48" s="53"/>
      <c r="X48" s="53"/>
      <c r="Y48" s="53"/>
      <c r="Z48" s="53"/>
    </row>
    <row r="49" spans="1:26" ht="6.75" customHeight="1">
      <c r="A49" s="56"/>
      <c r="B49" s="57"/>
      <c r="C49" s="57"/>
      <c r="D49" s="58"/>
      <c r="E49" s="53"/>
      <c r="F49" s="53"/>
      <c r="G49" s="53"/>
      <c r="H49" s="53"/>
      <c r="I49" s="53"/>
      <c r="J49" s="53"/>
      <c r="K49" s="53"/>
      <c r="L49" s="53"/>
      <c r="M49" s="53"/>
      <c r="N49" s="53"/>
      <c r="O49" s="53"/>
      <c r="P49" s="53"/>
      <c r="Q49" s="53"/>
      <c r="R49" s="53"/>
      <c r="S49" s="53"/>
      <c r="T49" s="53"/>
      <c r="U49" s="53"/>
      <c r="V49" s="53"/>
      <c r="W49" s="53"/>
      <c r="X49" s="53"/>
      <c r="Y49" s="53"/>
      <c r="Z49" s="53"/>
    </row>
    <row r="50" spans="1:26" ht="36" customHeight="1">
      <c r="A50" s="608" t="s">
        <v>35</v>
      </c>
      <c r="B50" s="601"/>
      <c r="C50" s="601"/>
      <c r="D50" s="602"/>
      <c r="E50" s="53"/>
      <c r="F50" s="53"/>
      <c r="G50" s="53"/>
      <c r="H50" s="53"/>
      <c r="I50" s="53"/>
      <c r="J50" s="53"/>
      <c r="K50" s="53"/>
      <c r="L50" s="53"/>
      <c r="M50" s="53"/>
      <c r="N50" s="53"/>
      <c r="O50" s="53"/>
      <c r="P50" s="53"/>
      <c r="Q50" s="53"/>
      <c r="R50" s="53"/>
      <c r="S50" s="53"/>
      <c r="T50" s="53"/>
      <c r="U50" s="53"/>
      <c r="V50" s="53"/>
      <c r="W50" s="53"/>
      <c r="X50" s="53"/>
      <c r="Y50" s="53"/>
      <c r="Z50" s="53"/>
    </row>
    <row r="51" spans="1:26" ht="6.75" customHeight="1">
      <c r="A51" s="54"/>
      <c r="B51" s="54"/>
      <c r="C51" s="54"/>
      <c r="D51" s="55"/>
      <c r="E51" s="53"/>
      <c r="F51" s="53"/>
      <c r="G51" s="53"/>
      <c r="H51" s="53"/>
      <c r="I51" s="53"/>
      <c r="J51" s="53"/>
      <c r="K51" s="53"/>
      <c r="L51" s="53"/>
      <c r="M51" s="53"/>
      <c r="N51" s="53"/>
      <c r="O51" s="53"/>
      <c r="P51" s="53"/>
      <c r="Q51" s="53"/>
      <c r="R51" s="53"/>
      <c r="S51" s="53"/>
      <c r="T51" s="53"/>
      <c r="U51" s="53"/>
      <c r="V51" s="53"/>
      <c r="W51" s="53"/>
      <c r="X51" s="53"/>
      <c r="Y51" s="53"/>
      <c r="Z51" s="53"/>
    </row>
    <row r="52" spans="1:26" ht="48" customHeight="1">
      <c r="A52" s="608" t="s">
        <v>36</v>
      </c>
      <c r="B52" s="601"/>
      <c r="C52" s="601"/>
      <c r="D52" s="602"/>
      <c r="E52" s="53"/>
      <c r="F52" s="53"/>
      <c r="G52" s="53"/>
      <c r="H52" s="53"/>
      <c r="I52" s="53"/>
      <c r="J52" s="53"/>
      <c r="K52" s="53"/>
      <c r="L52" s="53"/>
      <c r="M52" s="53"/>
      <c r="N52" s="53"/>
      <c r="O52" s="53"/>
      <c r="P52" s="53"/>
      <c r="Q52" s="53"/>
      <c r="R52" s="53"/>
      <c r="S52" s="53"/>
      <c r="T52" s="53"/>
      <c r="U52" s="53"/>
      <c r="V52" s="53"/>
      <c r="W52" s="53"/>
      <c r="X52" s="53"/>
      <c r="Y52" s="53"/>
      <c r="Z52" s="53"/>
    </row>
    <row r="53" spans="1:26" ht="6.75" customHeight="1">
      <c r="A53" s="54"/>
      <c r="B53" s="54"/>
      <c r="C53" s="54"/>
      <c r="D53" s="55"/>
      <c r="E53" s="53"/>
      <c r="F53" s="53"/>
      <c r="G53" s="53"/>
      <c r="H53" s="53"/>
      <c r="I53" s="53"/>
      <c r="J53" s="53"/>
      <c r="K53" s="53"/>
      <c r="L53" s="53"/>
      <c r="M53" s="53"/>
      <c r="N53" s="53"/>
      <c r="O53" s="53"/>
      <c r="P53" s="53"/>
      <c r="Q53" s="53"/>
      <c r="R53" s="53"/>
      <c r="S53" s="53"/>
      <c r="T53" s="53"/>
      <c r="U53" s="53"/>
      <c r="V53" s="53"/>
      <c r="W53" s="53"/>
      <c r="X53" s="53"/>
      <c r="Y53" s="53"/>
      <c r="Z53" s="53"/>
    </row>
    <row r="54" spans="1:26" ht="48" customHeight="1">
      <c r="A54" s="608" t="s">
        <v>37</v>
      </c>
      <c r="B54" s="601"/>
      <c r="C54" s="601"/>
      <c r="D54" s="602"/>
      <c r="E54" s="53"/>
      <c r="F54" s="53"/>
      <c r="G54" s="53"/>
      <c r="H54" s="53"/>
      <c r="I54" s="53"/>
      <c r="J54" s="53"/>
      <c r="K54" s="53"/>
      <c r="L54" s="53"/>
      <c r="M54" s="53"/>
      <c r="N54" s="53"/>
      <c r="O54" s="53"/>
      <c r="P54" s="53"/>
      <c r="Q54" s="53"/>
      <c r="R54" s="53"/>
      <c r="S54" s="53"/>
      <c r="T54" s="53"/>
      <c r="U54" s="53"/>
      <c r="V54" s="53"/>
      <c r="W54" s="53"/>
      <c r="X54" s="53"/>
      <c r="Y54" s="53"/>
      <c r="Z54" s="53"/>
    </row>
    <row r="55" spans="1:26" ht="6.75" customHeight="1">
      <c r="A55" s="54"/>
      <c r="B55" s="54"/>
      <c r="C55" s="54"/>
      <c r="D55" s="55"/>
      <c r="E55" s="53"/>
      <c r="F55" s="53"/>
      <c r="G55" s="53"/>
      <c r="H55" s="53"/>
      <c r="I55" s="53"/>
      <c r="J55" s="53"/>
      <c r="K55" s="53"/>
      <c r="L55" s="53"/>
      <c r="M55" s="53"/>
      <c r="N55" s="53"/>
      <c r="O55" s="53"/>
      <c r="P55" s="53"/>
      <c r="Q55" s="53"/>
      <c r="R55" s="53"/>
      <c r="S55" s="53"/>
      <c r="T55" s="53"/>
      <c r="U55" s="53"/>
      <c r="V55" s="53"/>
      <c r="W55" s="53"/>
      <c r="X55" s="53"/>
      <c r="Y55" s="53"/>
      <c r="Z55" s="53"/>
    </row>
    <row r="56" spans="1:26" ht="36" customHeight="1">
      <c r="A56" s="608" t="s">
        <v>58</v>
      </c>
      <c r="B56" s="601"/>
      <c r="C56" s="601"/>
      <c r="D56" s="602"/>
      <c r="E56" s="53"/>
      <c r="F56" s="53"/>
      <c r="G56" s="53"/>
      <c r="H56" s="53"/>
      <c r="I56" s="53"/>
      <c r="J56" s="53"/>
      <c r="K56" s="53"/>
      <c r="L56" s="53"/>
      <c r="M56" s="53"/>
      <c r="N56" s="53"/>
      <c r="O56" s="53"/>
      <c r="P56" s="53"/>
      <c r="Q56" s="53"/>
      <c r="R56" s="53"/>
      <c r="S56" s="53"/>
      <c r="T56" s="53"/>
      <c r="U56" s="53"/>
      <c r="V56" s="53"/>
      <c r="W56" s="53"/>
      <c r="X56" s="53"/>
      <c r="Y56" s="53"/>
      <c r="Z56" s="53"/>
    </row>
    <row r="57" spans="1:26" ht="6.75" customHeight="1">
      <c r="A57" s="54"/>
      <c r="B57" s="54"/>
      <c r="C57" s="54"/>
      <c r="D57" s="55"/>
      <c r="E57" s="53"/>
      <c r="F57" s="53"/>
      <c r="G57" s="53"/>
      <c r="H57" s="53"/>
      <c r="I57" s="53"/>
      <c r="J57" s="53"/>
      <c r="K57" s="53"/>
      <c r="L57" s="53"/>
      <c r="M57" s="53"/>
      <c r="N57" s="53"/>
      <c r="O57" s="53"/>
      <c r="P57" s="53"/>
      <c r="Q57" s="53"/>
      <c r="R57" s="53"/>
      <c r="S57" s="53"/>
      <c r="T57" s="53"/>
      <c r="U57" s="53"/>
      <c r="V57" s="53"/>
      <c r="W57" s="53"/>
      <c r="X57" s="53"/>
      <c r="Y57" s="53"/>
      <c r="Z57" s="53"/>
    </row>
    <row r="58" spans="1:26" ht="15" customHeight="1">
      <c r="A58" s="70" t="s">
        <v>39</v>
      </c>
      <c r="B58" s="63"/>
      <c r="C58" s="63"/>
      <c r="D58" s="63"/>
      <c r="E58" s="53"/>
      <c r="F58" s="53"/>
      <c r="G58" s="53"/>
      <c r="H58" s="53"/>
      <c r="I58" s="53"/>
      <c r="J58" s="53"/>
      <c r="K58" s="53"/>
      <c r="L58" s="53"/>
      <c r="M58" s="53"/>
      <c r="N58" s="53"/>
      <c r="O58" s="53"/>
      <c r="P58" s="53"/>
      <c r="Q58" s="53"/>
      <c r="R58" s="53"/>
      <c r="S58" s="53"/>
      <c r="T58" s="53"/>
      <c r="U58" s="53"/>
      <c r="V58" s="53"/>
      <c r="W58" s="53"/>
      <c r="X58" s="53"/>
      <c r="Y58" s="53"/>
      <c r="Z58" s="53"/>
    </row>
    <row r="59" spans="1:26" ht="6.75" customHeight="1">
      <c r="A59" s="59"/>
      <c r="B59" s="60"/>
      <c r="C59" s="60"/>
      <c r="D59" s="61"/>
      <c r="E59" s="53"/>
      <c r="F59" s="53"/>
      <c r="G59" s="53"/>
      <c r="H59" s="53"/>
      <c r="I59" s="53"/>
      <c r="J59" s="53"/>
      <c r="K59" s="53"/>
      <c r="L59" s="53"/>
      <c r="M59" s="53"/>
      <c r="N59" s="53"/>
      <c r="O59" s="53"/>
      <c r="P59" s="53"/>
      <c r="Q59" s="53"/>
      <c r="R59" s="53"/>
      <c r="S59" s="53"/>
      <c r="T59" s="53"/>
      <c r="U59" s="53"/>
      <c r="V59" s="53"/>
      <c r="W59" s="53"/>
      <c r="X59" s="53"/>
      <c r="Y59" s="53"/>
      <c r="Z59" s="53"/>
    </row>
    <row r="60" spans="1:26" ht="10.5" customHeight="1">
      <c r="A60" s="62" t="s">
        <v>40</v>
      </c>
      <c r="B60" s="63"/>
      <c r="C60" s="64" t="s">
        <v>41</v>
      </c>
      <c r="D60" s="284">
        <f>'Proposed Rates'!J9</f>
        <v>31.3</v>
      </c>
      <c r="E60" s="53"/>
      <c r="F60" s="53"/>
      <c r="G60" s="53"/>
      <c r="H60" s="53"/>
      <c r="I60" s="53"/>
      <c r="J60" s="53"/>
      <c r="K60" s="53"/>
      <c r="L60" s="53"/>
      <c r="M60" s="53"/>
      <c r="N60" s="53"/>
      <c r="O60" s="53"/>
      <c r="P60" s="53"/>
      <c r="Q60" s="53"/>
      <c r="R60" s="53"/>
      <c r="S60" s="53"/>
      <c r="T60" s="53"/>
      <c r="U60" s="53"/>
      <c r="V60" s="53"/>
      <c r="W60" s="53"/>
      <c r="X60" s="53"/>
      <c r="Y60" s="53"/>
      <c r="Z60" s="53"/>
    </row>
    <row r="61" spans="1:26" ht="10.5" customHeight="1">
      <c r="A61" s="62" t="s">
        <v>44</v>
      </c>
      <c r="B61" s="63"/>
      <c r="C61" s="64" t="s">
        <v>41</v>
      </c>
      <c r="D61" s="286">
        <f>'Proposed Rates'!J278</f>
        <v>0.45</v>
      </c>
      <c r="E61" s="53"/>
      <c r="F61" s="53"/>
      <c r="G61" s="53"/>
      <c r="H61" s="53"/>
      <c r="I61" s="53"/>
      <c r="J61" s="53"/>
      <c r="K61" s="53"/>
      <c r="L61" s="53"/>
      <c r="M61" s="53"/>
      <c r="N61" s="53"/>
      <c r="O61" s="53"/>
      <c r="P61" s="53"/>
      <c r="Q61" s="53"/>
      <c r="R61" s="53"/>
      <c r="S61" s="53"/>
      <c r="T61" s="53"/>
      <c r="U61" s="53"/>
      <c r="V61" s="53"/>
      <c r="W61" s="53"/>
      <c r="X61" s="53"/>
      <c r="Y61" s="53"/>
      <c r="Z61" s="53"/>
    </row>
    <row r="62" spans="1:26" ht="10.5" customHeight="1">
      <c r="A62" s="62" t="s">
        <v>59</v>
      </c>
      <c r="B62" s="63"/>
      <c r="C62" s="64" t="s">
        <v>46</v>
      </c>
      <c r="D62" s="285">
        <f>'Proposed Rates'!J22</f>
        <v>4.0599999999999997E-2</v>
      </c>
      <c r="E62" s="53"/>
      <c r="F62" s="53"/>
      <c r="G62" s="53"/>
      <c r="H62" s="53"/>
      <c r="I62" s="53"/>
      <c r="J62" s="53"/>
      <c r="K62" s="53"/>
      <c r="L62" s="53"/>
      <c r="M62" s="53"/>
      <c r="N62" s="53"/>
      <c r="O62" s="53"/>
      <c r="P62" s="53"/>
      <c r="Q62" s="53"/>
      <c r="R62" s="53"/>
      <c r="S62" s="53"/>
      <c r="T62" s="53"/>
      <c r="U62" s="53"/>
      <c r="V62" s="53"/>
      <c r="W62" s="53"/>
      <c r="X62" s="53"/>
      <c r="Y62" s="53"/>
      <c r="Z62" s="53"/>
    </row>
    <row r="63" spans="1:26" ht="10.5" customHeight="1">
      <c r="A63" s="62" t="s">
        <v>45</v>
      </c>
      <c r="B63" s="63"/>
      <c r="C63" s="64" t="s">
        <v>46</v>
      </c>
      <c r="D63" s="287">
        <f>'Proposed Rates'!J265</f>
        <v>6.0000000000000002E-5</v>
      </c>
      <c r="E63" s="53"/>
      <c r="F63" s="53"/>
      <c r="G63" s="53"/>
      <c r="H63" s="53"/>
      <c r="I63" s="53"/>
      <c r="J63" s="53"/>
      <c r="K63" s="53"/>
      <c r="L63" s="53"/>
      <c r="M63" s="53"/>
      <c r="N63" s="53"/>
      <c r="O63" s="53"/>
      <c r="P63" s="53"/>
      <c r="Q63" s="53"/>
      <c r="R63" s="53"/>
      <c r="S63" s="53"/>
      <c r="T63" s="53"/>
      <c r="U63" s="53"/>
      <c r="V63" s="53"/>
      <c r="W63" s="53"/>
      <c r="X63" s="53"/>
      <c r="Y63" s="53"/>
      <c r="Z63" s="53"/>
    </row>
    <row r="64" spans="1:26" ht="10.5" hidden="1" customHeight="1">
      <c r="A64" s="62" t="s">
        <v>47</v>
      </c>
      <c r="B64" s="63"/>
      <c r="C64" s="64" t="s">
        <v>46</v>
      </c>
      <c r="D64" s="285">
        <f>'Proposed Rates'!J38</f>
        <v>0</v>
      </c>
      <c r="E64" s="53"/>
      <c r="F64" s="53"/>
      <c r="G64" s="53"/>
      <c r="H64" s="53"/>
      <c r="I64" s="53"/>
      <c r="J64" s="53"/>
      <c r="K64" s="53"/>
      <c r="L64" s="53"/>
      <c r="M64" s="53"/>
      <c r="N64" s="53"/>
      <c r="O64" s="53"/>
      <c r="P64" s="53"/>
      <c r="Q64" s="53"/>
      <c r="R64" s="53"/>
      <c r="S64" s="53"/>
      <c r="T64" s="53"/>
      <c r="U64" s="53"/>
      <c r="V64" s="53"/>
      <c r="W64" s="53"/>
      <c r="X64" s="53"/>
      <c r="Y64" s="53"/>
      <c r="Z64" s="53"/>
    </row>
    <row r="65" spans="1:26" ht="10.5" hidden="1" customHeight="1">
      <c r="A65" s="62" t="s">
        <v>43</v>
      </c>
      <c r="B65" s="63"/>
      <c r="C65" s="64" t="s">
        <v>46</v>
      </c>
      <c r="D65" s="285">
        <f>'Proposed Rates'!J65</f>
        <v>0</v>
      </c>
      <c r="E65" s="53"/>
      <c r="F65" s="53"/>
      <c r="G65" s="53"/>
      <c r="H65" s="53"/>
      <c r="I65" s="53"/>
      <c r="J65" s="53"/>
      <c r="K65" s="53"/>
      <c r="L65" s="53"/>
      <c r="M65" s="53"/>
      <c r="N65" s="53"/>
      <c r="O65" s="53"/>
      <c r="P65" s="53"/>
      <c r="Q65" s="53"/>
      <c r="R65" s="53"/>
      <c r="S65" s="53"/>
      <c r="T65" s="53"/>
      <c r="U65" s="53"/>
      <c r="V65" s="53"/>
      <c r="W65" s="53"/>
      <c r="X65" s="53"/>
      <c r="Y65" s="53"/>
      <c r="Z65" s="53"/>
    </row>
    <row r="66" spans="1:26" ht="10.5" hidden="1" customHeight="1">
      <c r="A66" s="62" t="s">
        <v>42</v>
      </c>
      <c r="B66" s="63"/>
      <c r="C66" s="64" t="s">
        <v>46</v>
      </c>
      <c r="D66" s="285">
        <f>'Proposed Rates'!J91</f>
        <v>0</v>
      </c>
      <c r="E66" s="53"/>
      <c r="F66" s="53"/>
      <c r="G66" s="53"/>
      <c r="H66" s="53"/>
      <c r="I66" s="53"/>
      <c r="J66" s="53"/>
      <c r="K66" s="53"/>
      <c r="L66" s="53"/>
      <c r="M66" s="53"/>
      <c r="N66" s="53"/>
      <c r="O66" s="53"/>
      <c r="P66" s="53"/>
      <c r="Q66" s="53"/>
      <c r="R66" s="53"/>
      <c r="S66" s="53"/>
      <c r="T66" s="53"/>
      <c r="U66" s="53"/>
      <c r="V66" s="53"/>
      <c r="W66" s="53"/>
      <c r="X66" s="53"/>
      <c r="Y66" s="53"/>
      <c r="Z66" s="53"/>
    </row>
    <row r="67" spans="1:26" ht="10.5" hidden="1" customHeight="1">
      <c r="A67" s="62" t="s">
        <v>48</v>
      </c>
      <c r="B67" s="63"/>
      <c r="C67" s="64" t="s">
        <v>46</v>
      </c>
      <c r="D67" s="285">
        <f>'Proposed Rates'!J143</f>
        <v>0</v>
      </c>
      <c r="E67" s="53"/>
      <c r="F67" s="53"/>
      <c r="G67" s="53"/>
      <c r="H67" s="53"/>
      <c r="I67" s="53"/>
      <c r="J67" s="53"/>
      <c r="K67" s="53"/>
      <c r="L67" s="53"/>
      <c r="M67" s="53"/>
      <c r="N67" s="53"/>
      <c r="O67" s="53"/>
      <c r="P67" s="53"/>
      <c r="Q67" s="53"/>
      <c r="R67" s="53"/>
      <c r="S67" s="53"/>
      <c r="T67" s="53"/>
      <c r="U67" s="53"/>
      <c r="V67" s="53"/>
      <c r="W67" s="53"/>
      <c r="X67" s="53"/>
      <c r="Y67" s="53"/>
      <c r="Z67" s="53"/>
    </row>
    <row r="68" spans="1:26" ht="10.5" customHeight="1">
      <c r="A68" s="62" t="s">
        <v>49</v>
      </c>
      <c r="B68" s="63"/>
      <c r="C68" s="64" t="s">
        <v>46</v>
      </c>
      <c r="D68" s="285">
        <f>'Proposed Rates'!J184</f>
        <v>1.0699999999999999E-2</v>
      </c>
      <c r="E68" s="53"/>
      <c r="F68" s="53"/>
      <c r="G68" s="53"/>
      <c r="H68" s="53"/>
      <c r="I68" s="53"/>
      <c r="J68" s="53"/>
      <c r="K68" s="53"/>
      <c r="L68" s="53"/>
      <c r="M68" s="53"/>
      <c r="N68" s="53"/>
      <c r="O68" s="53"/>
      <c r="P68" s="53"/>
      <c r="Q68" s="53"/>
      <c r="R68" s="53"/>
      <c r="S68" s="53"/>
      <c r="T68" s="53"/>
      <c r="U68" s="53"/>
      <c r="V68" s="53"/>
      <c r="W68" s="53"/>
      <c r="X68" s="53"/>
      <c r="Y68" s="53"/>
      <c r="Z68" s="53"/>
    </row>
    <row r="69" spans="1:26" ht="10.5" customHeight="1">
      <c r="A69" s="62" t="s">
        <v>50</v>
      </c>
      <c r="B69" s="62"/>
      <c r="C69" s="64" t="s">
        <v>46</v>
      </c>
      <c r="D69" s="285">
        <f>'Proposed Rates'!J199</f>
        <v>6.1000000000000004E-3</v>
      </c>
      <c r="E69" s="53"/>
      <c r="F69" s="53"/>
      <c r="G69" s="53"/>
      <c r="H69" s="53"/>
      <c r="I69" s="53"/>
      <c r="J69" s="53"/>
      <c r="K69" s="53"/>
      <c r="L69" s="53"/>
      <c r="M69" s="53"/>
      <c r="N69" s="53"/>
      <c r="O69" s="53"/>
      <c r="P69" s="53"/>
      <c r="Q69" s="53"/>
      <c r="R69" s="53"/>
      <c r="S69" s="53"/>
      <c r="T69" s="53"/>
      <c r="U69" s="53"/>
      <c r="V69" s="53"/>
      <c r="W69" s="53"/>
      <c r="X69" s="53"/>
      <c r="Y69" s="53"/>
      <c r="Z69" s="53"/>
    </row>
    <row r="70" spans="1:26" ht="3.75" customHeight="1">
      <c r="A70" s="62"/>
      <c r="B70" s="63"/>
      <c r="C70" s="64"/>
      <c r="D70" s="288"/>
      <c r="E70" s="53"/>
      <c r="F70" s="53"/>
      <c r="G70" s="53"/>
      <c r="H70" s="53"/>
      <c r="I70" s="53"/>
      <c r="J70" s="53"/>
      <c r="K70" s="53"/>
      <c r="L70" s="53"/>
      <c r="M70" s="53"/>
      <c r="N70" s="53"/>
      <c r="O70" s="53"/>
      <c r="P70" s="53"/>
      <c r="Q70" s="53"/>
      <c r="R70" s="53"/>
      <c r="S70" s="53"/>
      <c r="T70" s="53"/>
      <c r="U70" s="53"/>
      <c r="V70" s="53"/>
      <c r="W70" s="53"/>
      <c r="X70" s="53"/>
      <c r="Y70" s="53"/>
      <c r="Z70" s="53"/>
    </row>
    <row r="71" spans="1:26" ht="11.25" customHeight="1">
      <c r="A71" s="70" t="s">
        <v>51</v>
      </c>
      <c r="B71" s="62"/>
      <c r="C71" s="64"/>
      <c r="D71" s="288"/>
      <c r="E71" s="53"/>
      <c r="F71" s="53"/>
      <c r="G71" s="53"/>
      <c r="H71" s="53"/>
      <c r="I71" s="53"/>
      <c r="J71" s="53"/>
      <c r="K71" s="53"/>
      <c r="L71" s="53"/>
      <c r="M71" s="53"/>
      <c r="N71" s="53"/>
      <c r="O71" s="53"/>
      <c r="P71" s="53"/>
      <c r="Q71" s="53"/>
      <c r="R71" s="53"/>
      <c r="S71" s="53"/>
      <c r="T71" s="53"/>
      <c r="U71" s="53"/>
      <c r="V71" s="53"/>
      <c r="W71" s="53"/>
      <c r="X71" s="53"/>
      <c r="Y71" s="53"/>
      <c r="Z71" s="53"/>
    </row>
    <row r="72" spans="1:26" ht="3" customHeight="1">
      <c r="A72" s="70"/>
      <c r="B72" s="63"/>
      <c r="C72" s="64"/>
      <c r="D72" s="288"/>
      <c r="E72" s="53"/>
      <c r="F72" s="53"/>
      <c r="G72" s="53"/>
      <c r="H72" s="53"/>
      <c r="I72" s="53"/>
      <c r="J72" s="53"/>
      <c r="K72" s="53"/>
      <c r="L72" s="53"/>
      <c r="M72" s="53"/>
      <c r="N72" s="53"/>
      <c r="O72" s="53"/>
      <c r="P72" s="53"/>
      <c r="Q72" s="53"/>
      <c r="R72" s="53"/>
      <c r="S72" s="53"/>
      <c r="T72" s="53"/>
      <c r="U72" s="53"/>
      <c r="V72" s="53"/>
      <c r="W72" s="53"/>
      <c r="X72" s="53"/>
      <c r="Y72" s="53"/>
      <c r="Z72" s="53"/>
    </row>
    <row r="73" spans="1:26" ht="10.5" customHeight="1">
      <c r="A73" s="62" t="s">
        <v>52</v>
      </c>
      <c r="B73" s="63"/>
      <c r="C73" s="64" t="s">
        <v>46</v>
      </c>
      <c r="D73" s="285">
        <f>$D$34</f>
        <v>4.1000000000000003E-3</v>
      </c>
      <c r="E73" s="53"/>
      <c r="F73" s="53"/>
      <c r="G73" s="53"/>
      <c r="H73" s="53"/>
      <c r="I73" s="53"/>
      <c r="J73" s="53"/>
      <c r="K73" s="53"/>
      <c r="L73" s="53"/>
      <c r="M73" s="53"/>
      <c r="N73" s="53"/>
      <c r="O73" s="53"/>
      <c r="P73" s="53"/>
      <c r="Q73" s="53"/>
      <c r="R73" s="53"/>
      <c r="S73" s="53"/>
      <c r="T73" s="53"/>
      <c r="U73" s="53"/>
      <c r="V73" s="53"/>
      <c r="W73" s="53"/>
      <c r="X73" s="53"/>
      <c r="Y73" s="53"/>
      <c r="Z73" s="53"/>
    </row>
    <row r="74" spans="1:26" ht="10.5" customHeight="1">
      <c r="A74" s="62" t="s">
        <v>53</v>
      </c>
      <c r="B74" s="63"/>
      <c r="C74" s="64" t="s">
        <v>46</v>
      </c>
      <c r="D74" s="285">
        <f>'Proposed Rates'!J214-'2026'!D75</f>
        <v>5.9999999999999984E-4</v>
      </c>
      <c r="E74" s="53"/>
      <c r="F74" s="53"/>
      <c r="G74" s="53"/>
      <c r="H74" s="53"/>
      <c r="I74" s="53"/>
      <c r="J74" s="53"/>
      <c r="K74" s="53"/>
      <c r="L74" s="53"/>
      <c r="M74" s="53"/>
      <c r="N74" s="53"/>
      <c r="O74" s="53"/>
      <c r="P74" s="53"/>
      <c r="Q74" s="53"/>
      <c r="R74" s="53"/>
      <c r="S74" s="53"/>
      <c r="T74" s="53"/>
      <c r="U74" s="53"/>
      <c r="V74" s="53"/>
      <c r="W74" s="53"/>
      <c r="X74" s="53"/>
      <c r="Y74" s="53"/>
      <c r="Z74" s="53"/>
    </row>
    <row r="75" spans="1:26" ht="10.5" customHeight="1">
      <c r="A75" s="62" t="s">
        <v>54</v>
      </c>
      <c r="B75" s="63"/>
      <c r="C75" s="64" t="s">
        <v>46</v>
      </c>
      <c r="D75" s="285">
        <f>'Proposed Rates'!J227</f>
        <v>5.9999999999999995E-4</v>
      </c>
      <c r="E75" s="53"/>
      <c r="F75" s="53"/>
      <c r="G75" s="53"/>
      <c r="H75" s="53"/>
      <c r="I75" s="53"/>
      <c r="J75" s="53"/>
      <c r="K75" s="53"/>
      <c r="L75" s="53"/>
      <c r="M75" s="53"/>
      <c r="N75" s="53"/>
      <c r="O75" s="53"/>
      <c r="P75" s="53"/>
      <c r="Q75" s="53"/>
      <c r="R75" s="53"/>
      <c r="S75" s="53"/>
      <c r="T75" s="53"/>
      <c r="U75" s="53"/>
      <c r="V75" s="53"/>
      <c r="W75" s="53"/>
      <c r="X75" s="53"/>
      <c r="Y75" s="53"/>
      <c r="Z75" s="53"/>
    </row>
    <row r="76" spans="1:26" ht="10.5" customHeight="1">
      <c r="A76" s="62" t="s">
        <v>55</v>
      </c>
      <c r="B76" s="63"/>
      <c r="C76" s="64" t="s">
        <v>41</v>
      </c>
      <c r="D76" s="285">
        <f>'Proposed Rates'!J241</f>
        <v>0.25</v>
      </c>
      <c r="E76" s="53"/>
      <c r="F76" s="53"/>
      <c r="G76" s="53"/>
      <c r="H76" s="53"/>
      <c r="I76" s="53"/>
      <c r="J76" s="53"/>
      <c r="K76" s="53"/>
      <c r="L76" s="53"/>
      <c r="M76" s="53"/>
      <c r="N76" s="53"/>
      <c r="O76" s="53"/>
      <c r="P76" s="53"/>
      <c r="Q76" s="53"/>
      <c r="R76" s="53"/>
      <c r="S76" s="53"/>
      <c r="T76" s="53"/>
      <c r="U76" s="53"/>
      <c r="V76" s="53"/>
      <c r="W76" s="53"/>
      <c r="X76" s="53"/>
      <c r="Y76" s="53"/>
      <c r="Z76" s="53"/>
    </row>
    <row r="77" spans="1:26" ht="3.75" customHeight="1">
      <c r="A77" s="85"/>
      <c r="B77" s="63"/>
      <c r="C77" s="64"/>
      <c r="D77" s="69"/>
      <c r="E77" s="53"/>
      <c r="F77" s="53"/>
      <c r="G77" s="53"/>
      <c r="H77" s="53"/>
      <c r="I77" s="53"/>
      <c r="J77" s="53"/>
      <c r="K77" s="53"/>
      <c r="L77" s="53"/>
      <c r="M77" s="53"/>
      <c r="N77" s="53"/>
      <c r="O77" s="53"/>
      <c r="P77" s="53"/>
      <c r="Q77" s="53"/>
      <c r="R77" s="53"/>
      <c r="S77" s="53"/>
      <c r="T77" s="53"/>
      <c r="U77" s="53"/>
      <c r="V77" s="53"/>
      <c r="W77" s="53"/>
      <c r="X77" s="53"/>
      <c r="Y77" s="53"/>
      <c r="Z77" s="53"/>
    </row>
    <row r="78" spans="1:26" ht="24" customHeight="1">
      <c r="A78" s="600" t="str">
        <f>$A$1</f>
        <v>Hydro Ottawa Limited</v>
      </c>
      <c r="B78" s="601"/>
      <c r="C78" s="601"/>
      <c r="D78" s="602"/>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603" t="str">
        <f>$A$2</f>
        <v>PROPOSED - TARIFF OF RATES AND CHARGES</v>
      </c>
      <c r="B79" s="601"/>
      <c r="C79" s="601"/>
      <c r="D79" s="602"/>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c r="A80" s="604" t="str">
        <f>$A$3</f>
        <v>Effective and Implementation Date January 1, 2030</v>
      </c>
      <c r="B80" s="601"/>
      <c r="C80" s="601"/>
      <c r="D80" s="602"/>
      <c r="E80" s="53"/>
      <c r="F80" s="53"/>
      <c r="G80" s="53"/>
      <c r="H80" s="53"/>
      <c r="I80" s="53"/>
      <c r="J80" s="53"/>
      <c r="K80" s="53"/>
      <c r="L80" s="53"/>
      <c r="M80" s="53"/>
      <c r="N80" s="53"/>
      <c r="O80" s="53"/>
      <c r="P80" s="53"/>
      <c r="Q80" s="53"/>
      <c r="R80" s="53"/>
      <c r="S80" s="53"/>
      <c r="T80" s="53"/>
      <c r="U80" s="53"/>
      <c r="V80" s="53"/>
      <c r="W80" s="53"/>
      <c r="X80" s="53"/>
      <c r="Y80" s="53"/>
      <c r="Z80" s="53"/>
    </row>
    <row r="81" spans="1:26" ht="12" customHeight="1">
      <c r="A81" s="605" t="str">
        <f>$A$4</f>
        <v>This schedule supersedes and replaces all previously</v>
      </c>
      <c r="B81" s="601"/>
      <c r="C81" s="601"/>
      <c r="D81" s="602"/>
      <c r="E81" s="53"/>
      <c r="F81" s="53"/>
      <c r="G81" s="53"/>
      <c r="H81" s="53"/>
      <c r="I81" s="53"/>
      <c r="J81" s="53"/>
      <c r="K81" s="53"/>
      <c r="L81" s="53"/>
      <c r="M81" s="53"/>
      <c r="N81" s="53"/>
      <c r="O81" s="53"/>
      <c r="P81" s="53"/>
      <c r="Q81" s="53"/>
      <c r="R81" s="53"/>
      <c r="S81" s="53"/>
      <c r="T81" s="53"/>
      <c r="U81" s="53"/>
      <c r="V81" s="53"/>
      <c r="W81" s="53"/>
      <c r="X81" s="53"/>
      <c r="Y81" s="53"/>
      <c r="Z81" s="53"/>
    </row>
    <row r="82" spans="1:26" ht="11.25" customHeight="1">
      <c r="A82" s="605" t="str">
        <f>$A$5</f>
        <v>approved schedules of Rates, Charges and Loss Factors</v>
      </c>
      <c r="B82" s="601"/>
      <c r="C82" s="601"/>
      <c r="D82" s="602"/>
      <c r="E82" s="53"/>
      <c r="F82" s="53"/>
      <c r="G82" s="53"/>
      <c r="H82" s="53"/>
      <c r="I82" s="53"/>
      <c r="J82" s="53"/>
      <c r="K82" s="53"/>
      <c r="L82" s="53"/>
      <c r="M82" s="53"/>
      <c r="N82" s="53"/>
      <c r="O82" s="53"/>
      <c r="P82" s="53"/>
      <c r="Q82" s="53"/>
      <c r="R82" s="53"/>
      <c r="S82" s="53"/>
      <c r="T82" s="53"/>
      <c r="U82" s="53"/>
      <c r="V82" s="53"/>
      <c r="W82" s="53"/>
      <c r="X82" s="53"/>
      <c r="Y82" s="53"/>
      <c r="Z82" s="53"/>
    </row>
    <row r="83" spans="1:26" ht="11.25" customHeight="1">
      <c r="A83" s="606" t="str">
        <f>$A$6</f>
        <v>EB-2024-0115</v>
      </c>
      <c r="B83" s="601"/>
      <c r="C83" s="601"/>
      <c r="D83" s="602"/>
      <c r="E83" s="53"/>
      <c r="F83" s="53"/>
      <c r="G83" s="53"/>
      <c r="H83" s="53"/>
      <c r="I83" s="53"/>
      <c r="J83" s="53"/>
      <c r="K83" s="53"/>
      <c r="L83" s="53"/>
      <c r="M83" s="53"/>
      <c r="N83" s="53"/>
      <c r="O83" s="53"/>
      <c r="P83" s="53"/>
      <c r="Q83" s="53"/>
      <c r="R83" s="53"/>
      <c r="S83" s="53"/>
      <c r="T83" s="53"/>
      <c r="U83" s="53"/>
      <c r="V83" s="53"/>
      <c r="W83" s="53"/>
      <c r="X83" s="53"/>
      <c r="Y83" s="53"/>
      <c r="Z83" s="53"/>
    </row>
    <row r="84" spans="1:26" ht="18.75" customHeight="1">
      <c r="A84" s="607" t="s">
        <v>61</v>
      </c>
      <c r="B84" s="601"/>
      <c r="C84" s="601"/>
      <c r="D84" s="602"/>
      <c r="E84" s="71"/>
      <c r="F84" s="71"/>
      <c r="G84" s="71"/>
      <c r="H84" s="71"/>
      <c r="I84" s="71"/>
      <c r="J84" s="71"/>
      <c r="K84" s="71"/>
      <c r="L84" s="71"/>
      <c r="M84" s="71"/>
      <c r="N84" s="71"/>
      <c r="O84" s="71"/>
      <c r="P84" s="71"/>
      <c r="Q84" s="71"/>
      <c r="R84" s="71"/>
      <c r="S84" s="71"/>
      <c r="T84" s="71"/>
      <c r="U84" s="71"/>
      <c r="V84" s="71"/>
      <c r="W84" s="71"/>
      <c r="X84" s="71"/>
      <c r="Y84" s="71"/>
      <c r="Z84" s="71"/>
    </row>
    <row r="85" spans="1:26" ht="48" customHeight="1">
      <c r="A85" s="608" t="s">
        <v>62</v>
      </c>
      <c r="B85" s="601"/>
      <c r="C85" s="601"/>
      <c r="D85" s="602"/>
      <c r="E85" s="53"/>
      <c r="F85" s="53"/>
      <c r="G85" s="53"/>
      <c r="H85" s="53"/>
      <c r="I85" s="53"/>
      <c r="J85" s="53"/>
      <c r="K85" s="53"/>
      <c r="L85" s="53"/>
      <c r="M85" s="53"/>
      <c r="N85" s="53"/>
      <c r="O85" s="53"/>
      <c r="P85" s="53"/>
      <c r="Q85" s="53"/>
      <c r="R85" s="53"/>
      <c r="S85" s="53"/>
      <c r="T85" s="53"/>
      <c r="U85" s="53"/>
      <c r="V85" s="53"/>
      <c r="W85" s="53"/>
      <c r="X85" s="53"/>
      <c r="Y85" s="53"/>
      <c r="Z85" s="53"/>
    </row>
    <row r="86" spans="1:26" ht="6.75" customHeight="1">
      <c r="A86" s="54"/>
      <c r="B86" s="54"/>
      <c r="C86" s="54"/>
      <c r="D86" s="55"/>
      <c r="E86" s="53"/>
      <c r="F86" s="53"/>
      <c r="G86" s="53"/>
      <c r="H86" s="53"/>
      <c r="I86" s="53"/>
      <c r="J86" s="53"/>
      <c r="K86" s="53"/>
      <c r="L86" s="53"/>
      <c r="M86" s="53"/>
      <c r="N86" s="53"/>
      <c r="O86" s="53"/>
      <c r="P86" s="53"/>
      <c r="Q86" s="53"/>
      <c r="R86" s="53"/>
      <c r="S86" s="53"/>
      <c r="T86" s="53"/>
      <c r="U86" s="53"/>
      <c r="V86" s="53"/>
      <c r="W86" s="53"/>
      <c r="X86" s="53"/>
      <c r="Y86" s="53"/>
      <c r="Z86" s="53"/>
    </row>
    <row r="87" spans="1:26" ht="11.25" customHeight="1">
      <c r="A87" s="609" t="s">
        <v>34</v>
      </c>
      <c r="B87" s="601"/>
      <c r="C87" s="601"/>
      <c r="D87" s="602"/>
      <c r="E87" s="53"/>
      <c r="F87" s="53"/>
      <c r="G87" s="53"/>
      <c r="H87" s="53"/>
      <c r="I87" s="53"/>
      <c r="J87" s="53"/>
      <c r="K87" s="53"/>
      <c r="L87" s="53"/>
      <c r="M87" s="53"/>
      <c r="N87" s="53"/>
      <c r="O87" s="53"/>
      <c r="P87" s="53"/>
      <c r="Q87" s="53"/>
      <c r="R87" s="53"/>
      <c r="S87" s="53"/>
      <c r="T87" s="53"/>
      <c r="U87" s="53"/>
      <c r="V87" s="53"/>
      <c r="W87" s="53"/>
      <c r="X87" s="53"/>
      <c r="Y87" s="53"/>
      <c r="Z87" s="53"/>
    </row>
    <row r="88" spans="1:26" ht="6.75" customHeight="1">
      <c r="A88" s="56"/>
      <c r="B88" s="57"/>
      <c r="C88" s="57"/>
      <c r="D88" s="58"/>
      <c r="E88" s="53"/>
      <c r="F88" s="53"/>
      <c r="G88" s="53"/>
      <c r="H88" s="53"/>
      <c r="I88" s="53"/>
      <c r="J88" s="53"/>
      <c r="K88" s="53"/>
      <c r="L88" s="53"/>
      <c r="M88" s="53"/>
      <c r="N88" s="53"/>
      <c r="O88" s="53"/>
      <c r="P88" s="53"/>
      <c r="Q88" s="53"/>
      <c r="R88" s="53"/>
      <c r="S88" s="53"/>
      <c r="T88" s="53"/>
      <c r="U88" s="53"/>
      <c r="V88" s="53"/>
      <c r="W88" s="53"/>
      <c r="X88" s="53"/>
      <c r="Y88" s="53"/>
      <c r="Z88" s="53"/>
    </row>
    <row r="89" spans="1:26" ht="36" customHeight="1">
      <c r="A89" s="608" t="s">
        <v>35</v>
      </c>
      <c r="B89" s="601"/>
      <c r="C89" s="601"/>
      <c r="D89" s="602"/>
      <c r="E89" s="53"/>
      <c r="F89" s="53"/>
      <c r="G89" s="53"/>
      <c r="H89" s="53"/>
      <c r="I89" s="53"/>
      <c r="J89" s="53"/>
      <c r="K89" s="53"/>
      <c r="L89" s="53"/>
      <c r="M89" s="53"/>
      <c r="N89" s="53"/>
      <c r="O89" s="53"/>
      <c r="P89" s="53"/>
      <c r="Q89" s="53"/>
      <c r="R89" s="53"/>
      <c r="S89" s="53"/>
      <c r="T89" s="53"/>
      <c r="U89" s="53"/>
      <c r="V89" s="53"/>
      <c r="W89" s="53"/>
      <c r="X89" s="53"/>
      <c r="Y89" s="53"/>
      <c r="Z89" s="53"/>
    </row>
    <row r="90" spans="1:26" ht="6.75" customHeight="1">
      <c r="A90" s="54"/>
      <c r="B90" s="54"/>
      <c r="C90" s="54"/>
      <c r="D90" s="55"/>
      <c r="E90" s="53"/>
      <c r="F90" s="53"/>
      <c r="G90" s="53"/>
      <c r="H90" s="53"/>
      <c r="I90" s="53"/>
      <c r="J90" s="53"/>
      <c r="K90" s="53"/>
      <c r="L90" s="53"/>
      <c r="M90" s="53"/>
      <c r="N90" s="53"/>
      <c r="O90" s="53"/>
      <c r="P90" s="53"/>
      <c r="Q90" s="53"/>
      <c r="R90" s="53"/>
      <c r="S90" s="53"/>
      <c r="T90" s="53"/>
      <c r="U90" s="53"/>
      <c r="V90" s="53"/>
      <c r="W90" s="53"/>
      <c r="X90" s="53"/>
      <c r="Y90" s="53"/>
      <c r="Z90" s="53"/>
    </row>
    <row r="91" spans="1:26" ht="48" customHeight="1">
      <c r="A91" s="608" t="s">
        <v>36</v>
      </c>
      <c r="B91" s="601"/>
      <c r="C91" s="601"/>
      <c r="D91" s="602"/>
      <c r="E91" s="53"/>
      <c r="F91" s="53"/>
      <c r="G91" s="53"/>
      <c r="H91" s="53"/>
      <c r="I91" s="53"/>
      <c r="J91" s="53"/>
      <c r="K91" s="53"/>
      <c r="L91" s="53"/>
      <c r="M91" s="53"/>
      <c r="N91" s="53"/>
      <c r="O91" s="53"/>
      <c r="P91" s="53"/>
      <c r="Q91" s="53"/>
      <c r="R91" s="53"/>
      <c r="S91" s="53"/>
      <c r="T91" s="53"/>
      <c r="U91" s="53"/>
      <c r="V91" s="53"/>
      <c r="W91" s="53"/>
      <c r="X91" s="53"/>
      <c r="Y91" s="53"/>
      <c r="Z91" s="53"/>
    </row>
    <row r="92" spans="1:26" ht="6.75" customHeight="1">
      <c r="A92" s="54"/>
      <c r="B92" s="54"/>
      <c r="C92" s="54"/>
      <c r="D92" s="55"/>
      <c r="E92" s="53"/>
      <c r="F92" s="53"/>
      <c r="G92" s="53"/>
      <c r="H92" s="53"/>
      <c r="I92" s="53"/>
      <c r="J92" s="53"/>
      <c r="K92" s="53"/>
      <c r="L92" s="53"/>
      <c r="M92" s="53"/>
      <c r="N92" s="53"/>
      <c r="O92" s="53"/>
      <c r="P92" s="53"/>
      <c r="Q92" s="53"/>
      <c r="R92" s="53"/>
      <c r="S92" s="53"/>
      <c r="T92" s="53"/>
      <c r="U92" s="53"/>
      <c r="V92" s="53"/>
      <c r="W92" s="53"/>
      <c r="X92" s="53"/>
      <c r="Y92" s="53"/>
      <c r="Z92" s="53"/>
    </row>
    <row r="93" spans="1:26" ht="48" customHeight="1">
      <c r="A93" s="608" t="s">
        <v>37</v>
      </c>
      <c r="B93" s="601"/>
      <c r="C93" s="601"/>
      <c r="D93" s="602"/>
      <c r="E93" s="53"/>
      <c r="F93" s="53"/>
      <c r="G93" s="53"/>
      <c r="H93" s="53"/>
      <c r="I93" s="53"/>
      <c r="J93" s="53"/>
      <c r="K93" s="53"/>
      <c r="L93" s="53"/>
      <c r="M93" s="53"/>
      <c r="N93" s="53"/>
      <c r="O93" s="53"/>
      <c r="P93" s="53"/>
      <c r="Q93" s="53"/>
      <c r="R93" s="53"/>
      <c r="S93" s="53"/>
      <c r="T93" s="53"/>
      <c r="U93" s="53"/>
      <c r="V93" s="53"/>
      <c r="W93" s="53"/>
      <c r="X93" s="53"/>
      <c r="Y93" s="53"/>
      <c r="Z93" s="53"/>
    </row>
    <row r="94" spans="1:26" ht="6.75" customHeight="1">
      <c r="A94" s="54"/>
      <c r="B94" s="54"/>
      <c r="C94" s="54"/>
      <c r="D94" s="55"/>
      <c r="E94" s="53"/>
      <c r="F94" s="53"/>
      <c r="G94" s="53"/>
      <c r="H94" s="53"/>
      <c r="I94" s="53"/>
      <c r="J94" s="53"/>
      <c r="K94" s="53"/>
      <c r="L94" s="53"/>
      <c r="M94" s="53"/>
      <c r="N94" s="53"/>
      <c r="O94" s="53"/>
      <c r="P94" s="53"/>
      <c r="Q94" s="53"/>
      <c r="R94" s="53"/>
      <c r="S94" s="53"/>
      <c r="T94" s="53"/>
      <c r="U94" s="53"/>
      <c r="V94" s="53"/>
      <c r="W94" s="53"/>
      <c r="X94" s="53"/>
      <c r="Y94" s="53"/>
      <c r="Z94" s="53"/>
    </row>
    <row r="95" spans="1:26" ht="96" customHeight="1">
      <c r="A95" s="608" t="s">
        <v>63</v>
      </c>
      <c r="B95" s="601"/>
      <c r="C95" s="601"/>
      <c r="D95" s="602"/>
      <c r="E95" s="53"/>
      <c r="F95" s="53"/>
      <c r="G95" s="53"/>
      <c r="H95" s="53"/>
      <c r="I95" s="53"/>
      <c r="J95" s="53"/>
      <c r="K95" s="53"/>
      <c r="L95" s="53"/>
      <c r="M95" s="53"/>
      <c r="N95" s="53"/>
      <c r="O95" s="53"/>
      <c r="P95" s="53"/>
      <c r="Q95" s="53"/>
      <c r="R95" s="53"/>
      <c r="S95" s="53"/>
      <c r="T95" s="53"/>
      <c r="U95" s="53"/>
      <c r="V95" s="53"/>
      <c r="W95" s="53"/>
      <c r="X95" s="53"/>
      <c r="Y95" s="53"/>
      <c r="Z95" s="53"/>
    </row>
    <row r="96" spans="1:26" ht="96" customHeight="1">
      <c r="A96" s="608" t="s">
        <v>64</v>
      </c>
      <c r="B96" s="601"/>
      <c r="C96" s="601"/>
      <c r="D96" s="602"/>
      <c r="E96" s="53"/>
      <c r="F96" s="53"/>
      <c r="G96" s="53"/>
      <c r="H96" s="53"/>
      <c r="I96" s="53"/>
      <c r="J96" s="53"/>
      <c r="K96" s="53"/>
      <c r="L96" s="53"/>
      <c r="M96" s="53"/>
      <c r="N96" s="53"/>
      <c r="O96" s="53"/>
      <c r="P96" s="53"/>
      <c r="Q96" s="53"/>
      <c r="R96" s="53"/>
      <c r="S96" s="53"/>
      <c r="T96" s="53"/>
      <c r="U96" s="53"/>
      <c r="V96" s="53"/>
      <c r="W96" s="53"/>
      <c r="X96" s="53"/>
      <c r="Y96" s="53"/>
      <c r="Z96" s="53"/>
    </row>
    <row r="97" spans="1:26" ht="36" customHeight="1">
      <c r="A97" s="608" t="s">
        <v>38</v>
      </c>
      <c r="B97" s="601"/>
      <c r="C97" s="601"/>
      <c r="D97" s="602"/>
      <c r="E97" s="53"/>
      <c r="F97" s="53"/>
      <c r="G97" s="53"/>
      <c r="H97" s="53"/>
      <c r="I97" s="53"/>
      <c r="J97" s="53"/>
      <c r="K97" s="53"/>
      <c r="L97" s="53"/>
      <c r="M97" s="53"/>
      <c r="N97" s="53"/>
      <c r="O97" s="53"/>
      <c r="P97" s="53"/>
      <c r="Q97" s="53"/>
      <c r="R97" s="53"/>
      <c r="S97" s="53"/>
      <c r="T97" s="53"/>
      <c r="U97" s="53"/>
      <c r="V97" s="53"/>
      <c r="W97" s="53"/>
      <c r="X97" s="53"/>
      <c r="Y97" s="53"/>
      <c r="Z97" s="53"/>
    </row>
    <row r="98" spans="1:26" ht="24" customHeight="1">
      <c r="A98" s="611" t="s">
        <v>65</v>
      </c>
      <c r="B98" s="601"/>
      <c r="C98" s="601"/>
      <c r="D98" s="602"/>
      <c r="E98" s="53"/>
      <c r="F98" s="53"/>
      <c r="G98" s="53"/>
      <c r="H98" s="53"/>
      <c r="I98" s="53"/>
      <c r="J98" s="53"/>
      <c r="K98" s="53"/>
      <c r="L98" s="53"/>
      <c r="M98" s="53"/>
      <c r="N98" s="53"/>
      <c r="O98" s="53"/>
      <c r="P98" s="53"/>
      <c r="Q98" s="53"/>
      <c r="R98" s="53"/>
      <c r="S98" s="53"/>
      <c r="T98" s="53"/>
      <c r="U98" s="53"/>
      <c r="V98" s="53"/>
      <c r="W98" s="53"/>
      <c r="X98" s="53"/>
      <c r="Y98" s="53"/>
      <c r="Z98" s="53"/>
    </row>
    <row r="99" spans="1:26" ht="6.75" customHeight="1">
      <c r="A99" s="74"/>
      <c r="B99" s="74"/>
      <c r="C99" s="74"/>
      <c r="D99" s="75"/>
      <c r="E99" s="53"/>
      <c r="F99" s="53"/>
      <c r="G99" s="53"/>
      <c r="H99" s="53"/>
      <c r="I99" s="53"/>
      <c r="J99" s="53"/>
      <c r="K99" s="53"/>
      <c r="L99" s="53"/>
      <c r="M99" s="53"/>
      <c r="N99" s="53"/>
      <c r="O99" s="53"/>
      <c r="P99" s="53"/>
      <c r="Q99" s="53"/>
      <c r="R99" s="53"/>
      <c r="S99" s="53"/>
      <c r="T99" s="53"/>
      <c r="U99" s="53"/>
      <c r="V99" s="53"/>
      <c r="W99" s="53"/>
      <c r="X99" s="53"/>
      <c r="Y99" s="53"/>
      <c r="Z99" s="53"/>
    </row>
    <row r="100" spans="1:26" ht="15" customHeight="1">
      <c r="A100" s="610" t="s">
        <v>39</v>
      </c>
      <c r="B100" s="601"/>
      <c r="C100" s="601"/>
      <c r="D100" s="602"/>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6.75" customHeight="1">
      <c r="A101" s="59"/>
      <c r="B101" s="60"/>
      <c r="C101" s="60"/>
      <c r="D101" s="61"/>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2" customHeight="1">
      <c r="A102" s="62" t="s">
        <v>40</v>
      </c>
      <c r="B102" s="63"/>
      <c r="C102" s="64" t="s">
        <v>41</v>
      </c>
      <c r="D102" s="284">
        <f>'Proposed Rates'!J10</f>
        <v>200</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2" customHeight="1">
      <c r="A103" s="62" t="s">
        <v>59</v>
      </c>
      <c r="B103" s="63"/>
      <c r="C103" s="64" t="s">
        <v>66</v>
      </c>
      <c r="D103" s="285">
        <f>'Proposed Rates'!J23</f>
        <v>9.6918000000000006</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2" customHeight="1">
      <c r="A104" s="62" t="s">
        <v>45</v>
      </c>
      <c r="B104" s="63"/>
      <c r="C104" s="64" t="s">
        <v>66</v>
      </c>
      <c r="D104" s="287">
        <f>'Proposed Rates'!J266</f>
        <v>2.504E-2</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2" hidden="1" customHeight="1">
      <c r="A105" s="62" t="s">
        <v>47</v>
      </c>
      <c r="B105" s="63"/>
      <c r="C105" s="64" t="s">
        <v>66</v>
      </c>
      <c r="D105" s="285">
        <f>'Proposed Rates'!J39</f>
        <v>0</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2" hidden="1" customHeight="1">
      <c r="A106" s="62" t="s">
        <v>43</v>
      </c>
      <c r="B106" s="63"/>
      <c r="C106" s="64" t="s">
        <v>66</v>
      </c>
      <c r="D106" s="285">
        <f>'Proposed Rates'!J66</f>
        <v>0</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2" hidden="1" customHeight="1">
      <c r="A107" s="62" t="s">
        <v>42</v>
      </c>
      <c r="B107" s="63"/>
      <c r="C107" s="64" t="s">
        <v>66</v>
      </c>
      <c r="D107" s="285">
        <f>'Proposed Rates'!J92</f>
        <v>0</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2" hidden="1" customHeight="1">
      <c r="A108" s="62" t="s">
        <v>48</v>
      </c>
      <c r="B108" s="63"/>
      <c r="C108" s="64" t="s">
        <v>46</v>
      </c>
      <c r="D108" s="285">
        <f>'Proposed Rates'!J145</f>
        <v>0</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2" hidden="1" customHeight="1">
      <c r="A109" s="62" t="s">
        <v>67</v>
      </c>
      <c r="B109" s="63"/>
      <c r="C109" s="64" t="s">
        <v>46</v>
      </c>
      <c r="D109" s="285">
        <f>'Proposed Rates'!J158</f>
        <v>0</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2" customHeight="1">
      <c r="A110" s="62" t="s">
        <v>49</v>
      </c>
      <c r="B110" s="63"/>
      <c r="C110" s="64" t="s">
        <v>66</v>
      </c>
      <c r="D110" s="285">
        <f>'Proposed Rates'!J185</f>
        <v>4.5787000000000004</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2" customHeight="1">
      <c r="A111" s="62" t="s">
        <v>68</v>
      </c>
      <c r="B111" s="63"/>
      <c r="C111" s="64" t="s">
        <v>66</v>
      </c>
      <c r="D111" s="285">
        <f>'Proposed Rates'!J186</f>
        <v>0.77839999999999998</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1.25" customHeight="1">
      <c r="A112" s="62" t="s">
        <v>50</v>
      </c>
      <c r="B112" s="63"/>
      <c r="C112" s="64" t="s">
        <v>66</v>
      </c>
      <c r="D112" s="285">
        <f>'Proposed Rates'!J200</f>
        <v>2.5918000000000001</v>
      </c>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1.25" customHeight="1">
      <c r="A113" s="62" t="s">
        <v>69</v>
      </c>
      <c r="B113" s="63"/>
      <c r="C113" s="64" t="s">
        <v>66</v>
      </c>
      <c r="D113" s="285">
        <f>'Proposed Rates'!J201</f>
        <v>0.44059999999999999</v>
      </c>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3" customHeight="1">
      <c r="A114" s="64"/>
      <c r="B114" s="64"/>
      <c r="C114" s="64"/>
      <c r="D114" s="288"/>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1.25" customHeight="1">
      <c r="A115" s="70" t="s">
        <v>51</v>
      </c>
      <c r="B115" s="63"/>
      <c r="C115" s="64"/>
      <c r="D115" s="288"/>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4.5" customHeight="1">
      <c r="A116" s="59"/>
      <c r="B116" s="64"/>
      <c r="C116" s="64"/>
      <c r="D116" s="288"/>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2" customHeight="1">
      <c r="A117" s="62" t="s">
        <v>52</v>
      </c>
      <c r="B117" s="63"/>
      <c r="C117" s="64" t="s">
        <v>46</v>
      </c>
      <c r="D117" s="285">
        <f>$D$34</f>
        <v>4.1000000000000003E-3</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2" customHeight="1">
      <c r="A118" s="62" t="s">
        <v>53</v>
      </c>
      <c r="B118" s="63"/>
      <c r="C118" s="64" t="s">
        <v>46</v>
      </c>
      <c r="D118" s="285">
        <f>'Proposed Rates'!J215-'2026'!D119</f>
        <v>5.9999999999999984E-4</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2" customHeight="1">
      <c r="A119" s="62" t="s">
        <v>54</v>
      </c>
      <c r="B119" s="63"/>
      <c r="C119" s="64" t="s">
        <v>46</v>
      </c>
      <c r="D119" s="285">
        <f>'Proposed Rates'!J228</f>
        <v>5.9999999999999995E-4</v>
      </c>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2" customHeight="1">
      <c r="A120" s="62" t="s">
        <v>55</v>
      </c>
      <c r="B120" s="63"/>
      <c r="C120" s="64" t="s">
        <v>41</v>
      </c>
      <c r="D120" s="285">
        <f>'Proposed Rates'!J242</f>
        <v>0.25</v>
      </c>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3.75" customHeight="1">
      <c r="A121" s="85"/>
      <c r="B121" s="63"/>
      <c r="C121" s="64"/>
      <c r="D121" s="69"/>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24" customHeight="1">
      <c r="A122" s="600" t="str">
        <f>$A$1</f>
        <v>Hydro Ottawa Limited</v>
      </c>
      <c r="B122" s="601"/>
      <c r="C122" s="601"/>
      <c r="D122" s="602"/>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c r="A123" s="603" t="str">
        <f>$A$2</f>
        <v>PROPOSED - TARIFF OF RATES AND CHARGES</v>
      </c>
      <c r="B123" s="601"/>
      <c r="C123" s="601"/>
      <c r="D123" s="602"/>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c r="A124" s="604" t="str">
        <f>$A$3</f>
        <v>Effective and Implementation Date January 1, 2030</v>
      </c>
      <c r="B124" s="601"/>
      <c r="C124" s="601"/>
      <c r="D124" s="602"/>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2" customHeight="1">
      <c r="A125" s="605" t="str">
        <f>$A$4</f>
        <v>This schedule supersedes and replaces all previously</v>
      </c>
      <c r="B125" s="601"/>
      <c r="C125" s="601"/>
      <c r="D125" s="602"/>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1.25" customHeight="1">
      <c r="A126" s="605" t="str">
        <f>$A$5</f>
        <v>approved schedules of Rates, Charges and Loss Factors</v>
      </c>
      <c r="B126" s="601"/>
      <c r="C126" s="601"/>
      <c r="D126" s="602"/>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1.25" customHeight="1">
      <c r="A127" s="606" t="str">
        <f>$A$6</f>
        <v>EB-2024-0115</v>
      </c>
      <c r="B127" s="601"/>
      <c r="C127" s="601"/>
      <c r="D127" s="602"/>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8.75" customHeight="1">
      <c r="A128" s="607" t="s">
        <v>70</v>
      </c>
      <c r="B128" s="601"/>
      <c r="C128" s="601"/>
      <c r="D128" s="602"/>
      <c r="E128" s="71"/>
      <c r="F128" s="71"/>
      <c r="G128" s="71"/>
      <c r="H128" s="71"/>
      <c r="I128" s="71"/>
      <c r="J128" s="71"/>
      <c r="K128" s="71"/>
      <c r="L128" s="71"/>
      <c r="M128" s="71"/>
      <c r="N128" s="71"/>
      <c r="O128" s="71"/>
      <c r="P128" s="71"/>
      <c r="Q128" s="71"/>
      <c r="R128" s="71"/>
      <c r="S128" s="71"/>
      <c r="T128" s="71"/>
      <c r="U128" s="71"/>
      <c r="V128" s="71"/>
      <c r="W128" s="71"/>
      <c r="X128" s="71"/>
      <c r="Y128" s="71"/>
      <c r="Z128" s="71"/>
    </row>
    <row r="129" spans="1:26" ht="48" customHeight="1">
      <c r="A129" s="608" t="s">
        <v>71</v>
      </c>
      <c r="B129" s="601"/>
      <c r="C129" s="601"/>
      <c r="D129" s="602"/>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6.75" customHeight="1">
      <c r="A130" s="54"/>
      <c r="B130" s="54"/>
      <c r="C130" s="54"/>
      <c r="D130" s="55"/>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1.25" customHeight="1">
      <c r="A131" s="609" t="s">
        <v>34</v>
      </c>
      <c r="B131" s="601"/>
      <c r="C131" s="601"/>
      <c r="D131" s="602"/>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6.75" customHeight="1">
      <c r="A132" s="56"/>
      <c r="B132" s="57"/>
      <c r="C132" s="57"/>
      <c r="D132" s="58"/>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36" customHeight="1">
      <c r="A133" s="608" t="s">
        <v>35</v>
      </c>
      <c r="B133" s="601"/>
      <c r="C133" s="601"/>
      <c r="D133" s="602"/>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6.75" customHeight="1">
      <c r="A134" s="54"/>
      <c r="B134" s="54"/>
      <c r="C134" s="54"/>
      <c r="D134" s="55"/>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48" customHeight="1">
      <c r="A135" s="608" t="s">
        <v>72</v>
      </c>
      <c r="B135" s="601"/>
      <c r="C135" s="601"/>
      <c r="D135" s="602"/>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75" customHeight="1">
      <c r="A136" s="54"/>
      <c r="B136" s="54"/>
      <c r="C136" s="54"/>
      <c r="D136" s="55"/>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48" customHeight="1">
      <c r="A137" s="608" t="s">
        <v>37</v>
      </c>
      <c r="B137" s="601"/>
      <c r="C137" s="601"/>
      <c r="D137" s="602"/>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6.75" customHeight="1">
      <c r="A138" s="54"/>
      <c r="B138" s="54"/>
      <c r="C138" s="54"/>
      <c r="D138" s="55"/>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96" customHeight="1">
      <c r="A139" s="608" t="s">
        <v>63</v>
      </c>
      <c r="B139" s="601"/>
      <c r="C139" s="601"/>
      <c r="D139" s="602"/>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96" customHeight="1">
      <c r="A140" s="608" t="s">
        <v>64</v>
      </c>
      <c r="B140" s="601"/>
      <c r="C140" s="601"/>
      <c r="D140" s="602"/>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36" customHeight="1">
      <c r="A141" s="608" t="s">
        <v>38</v>
      </c>
      <c r="B141" s="601"/>
      <c r="C141" s="601"/>
      <c r="D141" s="602"/>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24" customHeight="1">
      <c r="A142" s="611" t="s">
        <v>65</v>
      </c>
      <c r="B142" s="601"/>
      <c r="C142" s="601"/>
      <c r="D142" s="602"/>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6.75" customHeight="1">
      <c r="A143" s="74"/>
      <c r="B143" s="74"/>
      <c r="C143" s="74"/>
      <c r="D143" s="75"/>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 customHeight="1">
      <c r="A144" s="610" t="s">
        <v>39</v>
      </c>
      <c r="B144" s="601"/>
      <c r="C144" s="601"/>
      <c r="D144" s="602"/>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6.75" customHeight="1">
      <c r="A145" s="59"/>
      <c r="B145" s="60"/>
      <c r="C145" s="60"/>
      <c r="D145" s="61"/>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0.5" customHeight="1">
      <c r="A146" s="62" t="s">
        <v>40</v>
      </c>
      <c r="B146" s="63"/>
      <c r="C146" s="64" t="s">
        <v>41</v>
      </c>
      <c r="D146" s="284">
        <f>'Proposed Rates'!J11</f>
        <v>4126.75</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0.5" customHeight="1">
      <c r="A147" s="62" t="s">
        <v>59</v>
      </c>
      <c r="B147" s="63"/>
      <c r="C147" s="64" t="s">
        <v>66</v>
      </c>
      <c r="D147" s="285">
        <f>'Proposed Rates'!J24</f>
        <v>9.5539000000000005</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0.5" customHeight="1">
      <c r="A148" s="62" t="s">
        <v>45</v>
      </c>
      <c r="B148" s="63"/>
      <c r="C148" s="64" t="s">
        <v>66</v>
      </c>
      <c r="D148" s="287">
        <f>'Proposed Rates'!J267</f>
        <v>2.4840000000000001E-2</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0.5" hidden="1" customHeight="1">
      <c r="A149" s="62" t="s">
        <v>47</v>
      </c>
      <c r="B149" s="63"/>
      <c r="C149" s="64" t="s">
        <v>66</v>
      </c>
      <c r="D149" s="285">
        <f>'Proposed Rates'!J40</f>
        <v>0</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0.5" hidden="1" customHeight="1">
      <c r="A150" s="62" t="s">
        <v>43</v>
      </c>
      <c r="B150" s="63"/>
      <c r="C150" s="64" t="s">
        <v>66</v>
      </c>
      <c r="D150" s="285">
        <f>'Proposed Rates'!J67</f>
        <v>0</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0.5" hidden="1" customHeight="1">
      <c r="A151" s="62" t="s">
        <v>42</v>
      </c>
      <c r="B151" s="63"/>
      <c r="C151" s="64" t="s">
        <v>66</v>
      </c>
      <c r="D151" s="285">
        <f>'Proposed Rates'!J93</f>
        <v>0</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0.5" hidden="1" customHeight="1">
      <c r="A152" s="62" t="s">
        <v>48</v>
      </c>
      <c r="B152" s="63"/>
      <c r="C152" s="64" t="s">
        <v>46</v>
      </c>
      <c r="D152" s="285">
        <f>'Proposed Rates'!J145</f>
        <v>0</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0.5" hidden="1" customHeight="1">
      <c r="A153" s="62" t="s">
        <v>67</v>
      </c>
      <c r="B153" s="63"/>
      <c r="C153" s="64" t="s">
        <v>46</v>
      </c>
      <c r="D153" s="285">
        <f>'Proposed Rates'!J159</f>
        <v>0</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0.5" customHeight="1">
      <c r="A154" s="62" t="s">
        <v>49</v>
      </c>
      <c r="B154" s="63"/>
      <c r="C154" s="64" t="s">
        <v>66</v>
      </c>
      <c r="D154" s="285">
        <f>'Proposed Rates'!J187</f>
        <v>4.5423999999999998</v>
      </c>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0.5" customHeight="1">
      <c r="A155" s="62" t="s">
        <v>68</v>
      </c>
      <c r="B155" s="63"/>
      <c r="C155" s="64" t="s">
        <v>66</v>
      </c>
      <c r="D155" s="285">
        <f>'Proposed Rates'!J188</f>
        <v>0.7722</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0.5" customHeight="1">
      <c r="A156" s="62" t="s">
        <v>50</v>
      </c>
      <c r="B156" s="63"/>
      <c r="C156" s="64" t="s">
        <v>66</v>
      </c>
      <c r="D156" s="285">
        <f>'Proposed Rates'!J202</f>
        <v>2.5712000000000002</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0.5" customHeight="1">
      <c r="A157" s="62" t="s">
        <v>69</v>
      </c>
      <c r="B157" s="63"/>
      <c r="C157" s="64" t="s">
        <v>66</v>
      </c>
      <c r="D157" s="285">
        <f>'Proposed Rates'!J203</f>
        <v>0.43709999999999999</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4.5" customHeight="1">
      <c r="A158" s="64"/>
      <c r="B158" s="64"/>
      <c r="C158" s="64"/>
      <c r="D158" s="288"/>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1.25" customHeight="1">
      <c r="A159" s="70" t="s">
        <v>51</v>
      </c>
      <c r="B159" s="63"/>
      <c r="C159" s="64"/>
      <c r="D159" s="288"/>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4.5" customHeight="1">
      <c r="A160" s="59"/>
      <c r="B160" s="64"/>
      <c r="C160" s="64"/>
      <c r="D160" s="288"/>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0.5" customHeight="1">
      <c r="A161" s="62" t="s">
        <v>52</v>
      </c>
      <c r="B161" s="63"/>
      <c r="C161" s="64" t="s">
        <v>46</v>
      </c>
      <c r="D161" s="285">
        <f>$D$34</f>
        <v>4.1000000000000003E-3</v>
      </c>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0.5" customHeight="1">
      <c r="A162" s="62" t="s">
        <v>53</v>
      </c>
      <c r="B162" s="63"/>
      <c r="C162" s="64" t="s">
        <v>46</v>
      </c>
      <c r="D162" s="285">
        <f>'Proposed Rates'!J216-'2026'!D163</f>
        <v>5.9999999999999984E-4</v>
      </c>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0.5" customHeight="1">
      <c r="A163" s="62" t="s">
        <v>54</v>
      </c>
      <c r="B163" s="63"/>
      <c r="C163" s="64" t="s">
        <v>46</v>
      </c>
      <c r="D163" s="285">
        <f>'Proposed Rates'!J229</f>
        <v>5.9999999999999995E-4</v>
      </c>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0.5" customHeight="1">
      <c r="A164" s="62" t="s">
        <v>55</v>
      </c>
      <c r="B164" s="63"/>
      <c r="C164" s="64" t="s">
        <v>41</v>
      </c>
      <c r="D164" s="285">
        <f>'Proposed Rates'!J243</f>
        <v>0.25</v>
      </c>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1.25" customHeight="1">
      <c r="A165" s="85"/>
      <c r="B165" s="63"/>
      <c r="C165" s="64"/>
      <c r="D165" s="69"/>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24" customHeight="1">
      <c r="A166" s="600" t="str">
        <f>$A$1</f>
        <v>Hydro Ottawa Limited</v>
      </c>
      <c r="B166" s="601"/>
      <c r="C166" s="601"/>
      <c r="D166" s="602"/>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customHeight="1">
      <c r="A167" s="603" t="str">
        <f>$A$2</f>
        <v>PROPOSED - TARIFF OF RATES AND CHARGES</v>
      </c>
      <c r="B167" s="601"/>
      <c r="C167" s="601"/>
      <c r="D167" s="602"/>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c r="A168" s="604" t="str">
        <f>$A$3</f>
        <v>Effective and Implementation Date January 1, 2030</v>
      </c>
      <c r="B168" s="601"/>
      <c r="C168" s="601"/>
      <c r="D168" s="602"/>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2" customHeight="1">
      <c r="A169" s="605" t="str">
        <f>$A$4</f>
        <v>This schedule supersedes and replaces all previously</v>
      </c>
      <c r="B169" s="601"/>
      <c r="C169" s="601"/>
      <c r="D169" s="602"/>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1.25" customHeight="1">
      <c r="A170" s="605" t="str">
        <f>$A$5</f>
        <v>approved schedules of Rates, Charges and Loss Factors</v>
      </c>
      <c r="B170" s="601"/>
      <c r="C170" s="601"/>
      <c r="D170" s="602"/>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1.25" customHeight="1">
      <c r="A171" s="606" t="str">
        <f>$A$6</f>
        <v>EB-2024-0115</v>
      </c>
      <c r="B171" s="601"/>
      <c r="C171" s="601"/>
      <c r="D171" s="602"/>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8" customHeight="1">
      <c r="A172" s="607" t="s">
        <v>73</v>
      </c>
      <c r="B172" s="601"/>
      <c r="C172" s="601"/>
      <c r="D172" s="602"/>
      <c r="E172" s="71"/>
      <c r="F172" s="71"/>
      <c r="G172" s="71"/>
      <c r="H172" s="71"/>
      <c r="I172" s="71"/>
      <c r="J172" s="71"/>
      <c r="K172" s="71"/>
      <c r="L172" s="71"/>
      <c r="M172" s="71"/>
      <c r="N172" s="71"/>
      <c r="O172" s="71"/>
      <c r="P172" s="71"/>
      <c r="Q172" s="71"/>
      <c r="R172" s="71"/>
      <c r="S172" s="71"/>
      <c r="T172" s="71"/>
      <c r="U172" s="71"/>
      <c r="V172" s="71"/>
      <c r="W172" s="71"/>
      <c r="X172" s="71"/>
      <c r="Y172" s="71"/>
      <c r="Z172" s="71"/>
    </row>
    <row r="173" spans="1:26" ht="48" customHeight="1">
      <c r="A173" s="608" t="s">
        <v>74</v>
      </c>
      <c r="B173" s="601"/>
      <c r="C173" s="601"/>
      <c r="D173" s="602"/>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6.75" customHeight="1">
      <c r="A174" s="54"/>
      <c r="B174" s="54"/>
      <c r="C174" s="54"/>
      <c r="D174" s="55"/>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1.25" customHeight="1">
      <c r="A175" s="609" t="s">
        <v>34</v>
      </c>
      <c r="B175" s="601"/>
      <c r="C175" s="601"/>
      <c r="D175" s="602"/>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6.75" customHeight="1">
      <c r="A176" s="56"/>
      <c r="B176" s="57"/>
      <c r="C176" s="57"/>
      <c r="D176" s="58"/>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36" customHeight="1">
      <c r="A177" s="608" t="s">
        <v>35</v>
      </c>
      <c r="B177" s="601"/>
      <c r="C177" s="601"/>
      <c r="D177" s="602"/>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6.75" customHeight="1">
      <c r="A178" s="54"/>
      <c r="B178" s="54"/>
      <c r="C178" s="54"/>
      <c r="D178" s="55"/>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48" customHeight="1">
      <c r="A179" s="608" t="s">
        <v>75</v>
      </c>
      <c r="B179" s="601"/>
      <c r="C179" s="601"/>
      <c r="D179" s="602"/>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6.75" customHeight="1">
      <c r="A180" s="54"/>
      <c r="B180" s="54"/>
      <c r="C180" s="54"/>
      <c r="D180" s="55"/>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48" customHeight="1">
      <c r="A181" s="608" t="s">
        <v>37</v>
      </c>
      <c r="B181" s="601"/>
      <c r="C181" s="601"/>
      <c r="D181" s="602"/>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6.75" customHeight="1">
      <c r="A182" s="54"/>
      <c r="B182" s="54"/>
      <c r="C182" s="54"/>
      <c r="D182" s="55"/>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96" customHeight="1">
      <c r="A183" s="608" t="s">
        <v>63</v>
      </c>
      <c r="B183" s="601"/>
      <c r="C183" s="601"/>
      <c r="D183" s="602"/>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96" customHeight="1">
      <c r="A184" s="608" t="s">
        <v>64</v>
      </c>
      <c r="B184" s="601"/>
      <c r="C184" s="601"/>
      <c r="D184" s="602"/>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36" customHeight="1">
      <c r="A185" s="608" t="s">
        <v>38</v>
      </c>
      <c r="B185" s="601"/>
      <c r="C185" s="601"/>
      <c r="D185" s="602"/>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24" customHeight="1">
      <c r="A186" s="611" t="s">
        <v>65</v>
      </c>
      <c r="B186" s="601"/>
      <c r="C186" s="601"/>
      <c r="D186" s="602"/>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6.75" customHeight="1">
      <c r="A187" s="74"/>
      <c r="B187" s="74"/>
      <c r="C187" s="74"/>
      <c r="D187" s="75"/>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 customHeight="1">
      <c r="A188" s="610" t="s">
        <v>39</v>
      </c>
      <c r="B188" s="601"/>
      <c r="C188" s="601"/>
      <c r="D188" s="602"/>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6.75" customHeight="1">
      <c r="A189" s="59"/>
      <c r="B189" s="60"/>
      <c r="C189" s="60"/>
      <c r="D189" s="61"/>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0.5" customHeight="1">
      <c r="A190" s="62" t="s">
        <v>40</v>
      </c>
      <c r="B190" s="63"/>
      <c r="C190" s="64" t="s">
        <v>41</v>
      </c>
      <c r="D190" s="284">
        <f>'Proposed Rates'!J12</f>
        <v>14946.93</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0.5" customHeight="1">
      <c r="A191" s="62" t="s">
        <v>59</v>
      </c>
      <c r="B191" s="63"/>
      <c r="C191" s="64" t="s">
        <v>66</v>
      </c>
      <c r="D191" s="285">
        <f>'Proposed Rates'!J25</f>
        <v>11.262499999999999</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0.5" customHeight="1">
      <c r="A192" s="62" t="s">
        <v>45</v>
      </c>
      <c r="B192" s="63"/>
      <c r="C192" s="64" t="s">
        <v>66</v>
      </c>
      <c r="D192" s="287">
        <f>'Proposed Rates'!J268</f>
        <v>2.9170000000000001E-2</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0.5" hidden="1" customHeight="1">
      <c r="A193" s="62" t="s">
        <v>47</v>
      </c>
      <c r="B193" s="63"/>
      <c r="C193" s="64" t="s">
        <v>66</v>
      </c>
      <c r="D193" s="285">
        <f>'Proposed Rates'!J41</f>
        <v>0</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0.5" hidden="1" customHeight="1">
      <c r="A194" s="62" t="s">
        <v>43</v>
      </c>
      <c r="B194" s="63"/>
      <c r="C194" s="64" t="s">
        <v>66</v>
      </c>
      <c r="D194" s="285">
        <f>'Proposed Rates'!J68</f>
        <v>0</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0.5" hidden="1" customHeight="1">
      <c r="A195" s="62" t="s">
        <v>42</v>
      </c>
      <c r="B195" s="63"/>
      <c r="C195" s="64" t="s">
        <v>66</v>
      </c>
      <c r="D195" s="285">
        <f>'Proposed Rates'!J94</f>
        <v>0</v>
      </c>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0.5" hidden="1" customHeight="1">
      <c r="A196" s="62" t="s">
        <v>48</v>
      </c>
      <c r="B196" s="63"/>
      <c r="C196" s="64" t="s">
        <v>46</v>
      </c>
      <c r="D196" s="285">
        <f>'Proposed Rates'!J146</f>
        <v>0</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0.5" customHeight="1">
      <c r="A197" s="62" t="s">
        <v>49</v>
      </c>
      <c r="B197" s="63"/>
      <c r="C197" s="64" t="s">
        <v>66</v>
      </c>
      <c r="D197" s="285">
        <f>'Proposed Rates'!J189</f>
        <v>5.3339999999999996</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0.5" customHeight="1">
      <c r="A198" s="62" t="s">
        <v>50</v>
      </c>
      <c r="B198" s="63"/>
      <c r="C198" s="64" t="s">
        <v>66</v>
      </c>
      <c r="D198" s="285">
        <f>'Proposed Rates'!J204</f>
        <v>3.0192999999999999</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3.75" customHeight="1">
      <c r="A199" s="64"/>
      <c r="B199" s="64"/>
      <c r="C199" s="64"/>
      <c r="D199" s="288"/>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1.25" customHeight="1">
      <c r="A200" s="70" t="s">
        <v>51</v>
      </c>
      <c r="B200" s="63"/>
      <c r="C200" s="64"/>
      <c r="D200" s="288"/>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3.75" customHeight="1">
      <c r="A201" s="59"/>
      <c r="B201" s="64"/>
      <c r="C201" s="64"/>
      <c r="D201" s="288"/>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0.5" customHeight="1">
      <c r="A202" s="62" t="s">
        <v>52</v>
      </c>
      <c r="B202" s="63"/>
      <c r="C202" s="64" t="s">
        <v>46</v>
      </c>
      <c r="D202" s="285">
        <f>$D$34</f>
        <v>4.1000000000000003E-3</v>
      </c>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0.5" customHeight="1">
      <c r="A203" s="62" t="s">
        <v>53</v>
      </c>
      <c r="B203" s="63"/>
      <c r="C203" s="64" t="s">
        <v>46</v>
      </c>
      <c r="D203" s="285">
        <f>'Proposed Rates'!J217-'2026'!H205</f>
        <v>4.7000000000000002E-3</v>
      </c>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0.5" customHeight="1">
      <c r="A204" s="62" t="s">
        <v>54</v>
      </c>
      <c r="B204" s="63"/>
      <c r="C204" s="64" t="s">
        <v>46</v>
      </c>
      <c r="D204" s="285">
        <f>'Proposed Rates'!J230</f>
        <v>5.9999999999999995E-4</v>
      </c>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0.5" customHeight="1">
      <c r="A205" s="62" t="s">
        <v>55</v>
      </c>
      <c r="B205" s="63"/>
      <c r="C205" s="64" t="s">
        <v>41</v>
      </c>
      <c r="D205" s="285">
        <f>'Proposed Rates'!J244</f>
        <v>0.25</v>
      </c>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5.25" customHeight="1">
      <c r="A206" s="85"/>
      <c r="B206" s="63"/>
      <c r="C206" s="64"/>
      <c r="D206" s="69"/>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24" customHeight="1">
      <c r="A207" s="600" t="str">
        <f>$A$1</f>
        <v>Hydro Ottawa Limited</v>
      </c>
      <c r="B207" s="601"/>
      <c r="C207" s="601"/>
      <c r="D207" s="602"/>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customHeight="1">
      <c r="A208" s="603" t="str">
        <f>$A$2</f>
        <v>PROPOSED - TARIFF OF RATES AND CHARGES</v>
      </c>
      <c r="B208" s="601"/>
      <c r="C208" s="601"/>
      <c r="D208" s="602"/>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customHeight="1">
      <c r="A209" s="604" t="str">
        <f>$A$3</f>
        <v>Effective and Implementation Date January 1, 2030</v>
      </c>
      <c r="B209" s="601"/>
      <c r="C209" s="601"/>
      <c r="D209" s="602"/>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2" customHeight="1">
      <c r="A210" s="605" t="str">
        <f>$A$4</f>
        <v>This schedule supersedes and replaces all previously</v>
      </c>
      <c r="B210" s="601"/>
      <c r="C210" s="601"/>
      <c r="D210" s="602"/>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1.25" customHeight="1">
      <c r="A211" s="605" t="str">
        <f>$A$5</f>
        <v>approved schedules of Rates, Charges and Loss Factors</v>
      </c>
      <c r="B211" s="601"/>
      <c r="C211" s="601"/>
      <c r="D211" s="602"/>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1.25" customHeight="1">
      <c r="A212" s="606" t="str">
        <f>$A$6</f>
        <v>EB-2024-0115</v>
      </c>
      <c r="B212" s="601"/>
      <c r="C212" s="601"/>
      <c r="D212" s="602"/>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8.75" customHeight="1">
      <c r="A213" s="607" t="s">
        <v>76</v>
      </c>
      <c r="B213" s="601"/>
      <c r="C213" s="601"/>
      <c r="D213" s="602"/>
      <c r="E213" s="71"/>
      <c r="F213" s="71"/>
      <c r="G213" s="71"/>
      <c r="H213" s="71"/>
      <c r="I213" s="71"/>
      <c r="J213" s="71"/>
      <c r="K213" s="71"/>
      <c r="L213" s="71"/>
      <c r="M213" s="71"/>
      <c r="N213" s="71"/>
      <c r="O213" s="71"/>
      <c r="P213" s="71"/>
      <c r="Q213" s="71"/>
      <c r="R213" s="71"/>
      <c r="S213" s="71"/>
      <c r="T213" s="71"/>
      <c r="U213" s="71"/>
      <c r="V213" s="71"/>
      <c r="W213" s="71"/>
      <c r="X213" s="71"/>
      <c r="Y213" s="71"/>
      <c r="Z213" s="71"/>
    </row>
    <row r="214" spans="1:26" ht="84" customHeight="1">
      <c r="A214" s="608" t="s">
        <v>77</v>
      </c>
      <c r="B214" s="601"/>
      <c r="C214" s="601"/>
      <c r="D214" s="602"/>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6.75" customHeight="1">
      <c r="A215" s="54"/>
      <c r="B215" s="54"/>
      <c r="C215" s="54"/>
      <c r="D215" s="55"/>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1.25" customHeight="1">
      <c r="A216" s="609" t="s">
        <v>34</v>
      </c>
      <c r="B216" s="601"/>
      <c r="C216" s="601"/>
      <c r="D216" s="602"/>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6.75" customHeight="1">
      <c r="A217" s="56"/>
      <c r="B217" s="57"/>
      <c r="C217" s="57"/>
      <c r="D217" s="58"/>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36" customHeight="1">
      <c r="A218" s="608" t="s">
        <v>35</v>
      </c>
      <c r="B218" s="601"/>
      <c r="C218" s="601"/>
      <c r="D218" s="602"/>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6.75" customHeight="1">
      <c r="A219" s="54"/>
      <c r="B219" s="54"/>
      <c r="C219" s="54"/>
      <c r="D219" s="55"/>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48" customHeight="1">
      <c r="A220" s="608" t="s">
        <v>36</v>
      </c>
      <c r="B220" s="601"/>
      <c r="C220" s="601"/>
      <c r="D220" s="602"/>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6.75" customHeight="1">
      <c r="A221" s="54"/>
      <c r="B221" s="54"/>
      <c r="C221" s="54"/>
      <c r="D221" s="55"/>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48" customHeight="1">
      <c r="A222" s="608" t="s">
        <v>37</v>
      </c>
      <c r="B222" s="601"/>
      <c r="C222" s="601"/>
      <c r="D222" s="602"/>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6.75" customHeight="1">
      <c r="A223" s="54"/>
      <c r="B223" s="54"/>
      <c r="C223" s="54"/>
      <c r="D223" s="55"/>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36" customHeight="1">
      <c r="A224" s="608" t="s">
        <v>38</v>
      </c>
      <c r="B224" s="601"/>
      <c r="C224" s="601"/>
      <c r="D224" s="602"/>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6.75" customHeight="1">
      <c r="A225" s="54"/>
      <c r="B225" s="54"/>
      <c r="C225" s="54"/>
      <c r="D225" s="55"/>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 customHeight="1">
      <c r="A226" s="70" t="s">
        <v>39</v>
      </c>
      <c r="B226" s="63"/>
      <c r="C226" s="63"/>
      <c r="D226" s="6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6.75" customHeight="1">
      <c r="A227" s="59"/>
      <c r="B227" s="60"/>
      <c r="C227" s="60"/>
      <c r="D227" s="61"/>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0.5" customHeight="1">
      <c r="A228" s="62" t="s">
        <v>78</v>
      </c>
      <c r="B228" s="63"/>
      <c r="C228" s="64" t="s">
        <v>41</v>
      </c>
      <c r="D228" s="284">
        <f>'Proposed Rates'!J15</f>
        <v>9.68</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0.5" customHeight="1">
      <c r="A229" s="62" t="s">
        <v>59</v>
      </c>
      <c r="B229" s="63"/>
      <c r="C229" s="64" t="s">
        <v>46</v>
      </c>
      <c r="D229" s="285">
        <f>'Proposed Rates'!J28</f>
        <v>4.6199999999999998E-2</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0.5" customHeight="1">
      <c r="A230" s="62" t="s">
        <v>45</v>
      </c>
      <c r="B230" s="63"/>
      <c r="C230" s="64" t="s">
        <v>46</v>
      </c>
      <c r="D230" s="287">
        <f>'Proposed Rates'!J271</f>
        <v>4.0000000000000003E-5</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0.5" hidden="1" customHeight="1">
      <c r="A231" s="62" t="s">
        <v>47</v>
      </c>
      <c r="B231" s="63"/>
      <c r="C231" s="64" t="s">
        <v>46</v>
      </c>
      <c r="D231" s="285">
        <f>'Proposed Rates'!J44</f>
        <v>0</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0.5" hidden="1" customHeight="1">
      <c r="A232" s="62" t="s">
        <v>43</v>
      </c>
      <c r="B232" s="63"/>
      <c r="C232" s="64" t="s">
        <v>46</v>
      </c>
      <c r="D232" s="285">
        <f>'Proposed Rates'!J71</f>
        <v>0</v>
      </c>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0.5" hidden="1" customHeight="1">
      <c r="A233" s="62" t="s">
        <v>42</v>
      </c>
      <c r="B233" s="63"/>
      <c r="C233" s="64" t="s">
        <v>46</v>
      </c>
      <c r="D233" s="285">
        <f>'Proposed Rates'!J97</f>
        <v>0</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0.5" customHeight="1">
      <c r="A234" s="62" t="s">
        <v>49</v>
      </c>
      <c r="B234" s="63"/>
      <c r="C234" s="64" t="s">
        <v>46</v>
      </c>
      <c r="D234" s="285">
        <f>'Proposed Rates'!J192</f>
        <v>7.4999999999999997E-3</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0.5" customHeight="1">
      <c r="A235" s="62" t="s">
        <v>50</v>
      </c>
      <c r="B235" s="63"/>
      <c r="C235" s="64" t="s">
        <v>46</v>
      </c>
      <c r="D235" s="285">
        <f>'Proposed Rates'!J207</f>
        <v>4.3E-3</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3.75" customHeight="1">
      <c r="A236" s="64"/>
      <c r="B236" s="64"/>
      <c r="C236" s="64"/>
      <c r="D236" s="288"/>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5.75" customHeight="1">
      <c r="A237" s="70" t="s">
        <v>51</v>
      </c>
      <c r="B237" s="63"/>
      <c r="C237" s="64"/>
      <c r="D237" s="288"/>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4.5" customHeight="1">
      <c r="A238" s="59"/>
      <c r="B238" s="64"/>
      <c r="C238" s="64"/>
      <c r="D238" s="288"/>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0.5" customHeight="1">
      <c r="A239" s="62" t="s">
        <v>52</v>
      </c>
      <c r="B239" s="63"/>
      <c r="C239" s="64" t="s">
        <v>46</v>
      </c>
      <c r="D239" s="285">
        <f>$D$34</f>
        <v>4.1000000000000003E-3</v>
      </c>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0.5" customHeight="1">
      <c r="A240" s="62" t="s">
        <v>53</v>
      </c>
      <c r="B240" s="63"/>
      <c r="C240" s="64" t="s">
        <v>46</v>
      </c>
      <c r="D240" s="285">
        <f>'Proposed Rates'!J220-'2026'!D243</f>
        <v>5.9999999999999984E-4</v>
      </c>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0.5" customHeight="1">
      <c r="A241" s="62" t="s">
        <v>54</v>
      </c>
      <c r="B241" s="63"/>
      <c r="C241" s="64" t="s">
        <v>46</v>
      </c>
      <c r="D241" s="285">
        <f>'Proposed Rates'!J233</f>
        <v>5.9999999999999995E-4</v>
      </c>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0.5" customHeight="1">
      <c r="A242" s="62" t="s">
        <v>55</v>
      </c>
      <c r="B242" s="63"/>
      <c r="C242" s="64" t="s">
        <v>41</v>
      </c>
      <c r="D242" s="285">
        <f>'Proposed Rates'!J247</f>
        <v>0.25</v>
      </c>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3.75" customHeight="1">
      <c r="A243" s="85"/>
      <c r="B243" s="63"/>
      <c r="C243" s="64"/>
      <c r="D243" s="69"/>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24" customHeight="1">
      <c r="A244" s="600" t="str">
        <f>$A$1</f>
        <v>Hydro Ottawa Limited</v>
      </c>
      <c r="B244" s="601"/>
      <c r="C244" s="601"/>
      <c r="D244" s="602"/>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5.75" customHeight="1">
      <c r="A245" s="603" t="str">
        <f>$A$2</f>
        <v>PROPOSED - TARIFF OF RATES AND CHARGES</v>
      </c>
      <c r="B245" s="601"/>
      <c r="C245" s="601"/>
      <c r="D245" s="602"/>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75" customHeight="1">
      <c r="A246" s="604" t="str">
        <f>$A$3</f>
        <v>Effective and Implementation Date January 1, 2030</v>
      </c>
      <c r="B246" s="601"/>
      <c r="C246" s="601"/>
      <c r="D246" s="602"/>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2" customHeight="1">
      <c r="A247" s="605" t="str">
        <f>$A$4</f>
        <v>This schedule supersedes and replaces all previously</v>
      </c>
      <c r="B247" s="601"/>
      <c r="C247" s="601"/>
      <c r="D247" s="602"/>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1.25" customHeight="1">
      <c r="A248" s="605" t="str">
        <f>$A$5</f>
        <v>approved schedules of Rates, Charges and Loss Factors</v>
      </c>
      <c r="B248" s="601"/>
      <c r="C248" s="601"/>
      <c r="D248" s="602"/>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1.25" customHeight="1">
      <c r="A249" s="606" t="str">
        <f>$A$6</f>
        <v>EB-2024-0115</v>
      </c>
      <c r="B249" s="601"/>
      <c r="C249" s="601"/>
      <c r="D249" s="602"/>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8.75" customHeight="1">
      <c r="A250" s="607" t="s">
        <v>79</v>
      </c>
      <c r="B250" s="601"/>
      <c r="C250" s="601"/>
      <c r="D250" s="602"/>
      <c r="E250" s="71"/>
      <c r="F250" s="71"/>
      <c r="G250" s="71"/>
      <c r="H250" s="71"/>
      <c r="I250" s="71"/>
      <c r="J250" s="71"/>
      <c r="K250" s="71"/>
      <c r="L250" s="71"/>
      <c r="M250" s="71"/>
      <c r="N250" s="71"/>
      <c r="O250" s="71"/>
      <c r="P250" s="71"/>
      <c r="Q250" s="71"/>
      <c r="R250" s="71"/>
      <c r="S250" s="71"/>
      <c r="T250" s="71"/>
      <c r="U250" s="71"/>
      <c r="V250" s="71"/>
      <c r="W250" s="71"/>
      <c r="X250" s="71"/>
      <c r="Y250" s="71"/>
      <c r="Z250" s="71"/>
    </row>
    <row r="251" spans="1:26" ht="36" customHeight="1">
      <c r="A251" s="608" t="s">
        <v>80</v>
      </c>
      <c r="B251" s="601"/>
      <c r="C251" s="601"/>
      <c r="D251" s="602"/>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6.75" customHeight="1">
      <c r="A252" s="54"/>
      <c r="B252" s="54"/>
      <c r="C252" s="54"/>
      <c r="D252" s="55"/>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1.25" customHeight="1">
      <c r="A253" s="609" t="s">
        <v>34</v>
      </c>
      <c r="B253" s="601"/>
      <c r="C253" s="601"/>
      <c r="D253" s="602"/>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6.75" customHeight="1">
      <c r="A254" s="56"/>
      <c r="B254" s="57"/>
      <c r="C254" s="57"/>
      <c r="D254" s="58"/>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36" customHeight="1">
      <c r="A255" s="608" t="s">
        <v>35</v>
      </c>
      <c r="B255" s="601"/>
      <c r="C255" s="601"/>
      <c r="D255" s="602"/>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6.75" customHeight="1">
      <c r="A256" s="54"/>
      <c r="B256" s="54"/>
      <c r="C256" s="54"/>
      <c r="D256" s="55"/>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48" customHeight="1">
      <c r="A257" s="608" t="s">
        <v>36</v>
      </c>
      <c r="B257" s="601"/>
      <c r="C257" s="601"/>
      <c r="D257" s="602"/>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6.75" customHeight="1">
      <c r="A258" s="54"/>
      <c r="B258" s="54"/>
      <c r="C258" s="54"/>
      <c r="D258" s="55"/>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24" customHeight="1">
      <c r="A259" s="608" t="s">
        <v>81</v>
      </c>
      <c r="B259" s="601"/>
      <c r="C259" s="601"/>
      <c r="D259" s="602"/>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6.75" customHeight="1">
      <c r="A260" s="54"/>
      <c r="B260" s="54"/>
      <c r="C260" s="54"/>
      <c r="D260" s="55"/>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36" customHeight="1">
      <c r="A261" s="608" t="s">
        <v>82</v>
      </c>
      <c r="B261" s="601"/>
      <c r="C261" s="601"/>
      <c r="D261" s="602"/>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6.75" customHeight="1">
      <c r="A262" s="54"/>
      <c r="B262" s="54"/>
      <c r="C262" s="54"/>
      <c r="D262" s="55"/>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 customHeight="1">
      <c r="A263" s="610" t="s">
        <v>83</v>
      </c>
      <c r="B263" s="601"/>
      <c r="C263" s="601"/>
      <c r="D263" s="602"/>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6.75" customHeight="1">
      <c r="A264" s="59"/>
      <c r="B264" s="60"/>
      <c r="C264" s="60"/>
      <c r="D264" s="61"/>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1.25" customHeight="1">
      <c r="A265" s="612" t="s">
        <v>40</v>
      </c>
      <c r="B265" s="602"/>
      <c r="C265" s="64" t="s">
        <v>41</v>
      </c>
      <c r="D265" s="284">
        <f>'Proposed Rates'!J16</f>
        <v>186.89</v>
      </c>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1.25" customHeight="1">
      <c r="A266" s="612" t="s">
        <v>84</v>
      </c>
      <c r="B266" s="602"/>
      <c r="C266" s="64" t="s">
        <v>66</v>
      </c>
      <c r="D266" s="285">
        <f>'Proposed Rates'!J29</f>
        <v>4.8452000000000002</v>
      </c>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1.25" customHeight="1">
      <c r="A267" s="612" t="s">
        <v>85</v>
      </c>
      <c r="B267" s="602"/>
      <c r="C267" s="64" t="s">
        <v>66</v>
      </c>
      <c r="D267" s="285">
        <f>'Proposed Rates'!J30</f>
        <v>4.7747999999999999</v>
      </c>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1.25" customHeight="1">
      <c r="A268" s="612" t="s">
        <v>86</v>
      </c>
      <c r="B268" s="602"/>
      <c r="C268" s="64" t="s">
        <v>66</v>
      </c>
      <c r="D268" s="285">
        <f>'Proposed Rates'!J31</f>
        <v>5.6308999999999996</v>
      </c>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3" customHeight="1">
      <c r="A269" s="85"/>
      <c r="B269" s="63"/>
      <c r="C269" s="64"/>
      <c r="D269" s="288"/>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24" customHeight="1">
      <c r="A270" s="600" t="str">
        <f>$A$1</f>
        <v>Hydro Ottawa Limited</v>
      </c>
      <c r="B270" s="601"/>
      <c r="C270" s="601"/>
      <c r="D270" s="602"/>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5.75" customHeight="1">
      <c r="A271" s="603" t="str">
        <f>$A$2</f>
        <v>PROPOSED - TARIFF OF RATES AND CHARGES</v>
      </c>
      <c r="B271" s="601"/>
      <c r="C271" s="601"/>
      <c r="D271" s="602"/>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75" customHeight="1">
      <c r="A272" s="604" t="str">
        <f>$A$3</f>
        <v>Effective and Implementation Date January 1, 2030</v>
      </c>
      <c r="B272" s="601"/>
      <c r="C272" s="601"/>
      <c r="D272" s="602"/>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2" customHeight="1">
      <c r="A273" s="605" t="str">
        <f>$A$4</f>
        <v>This schedule supersedes and replaces all previously</v>
      </c>
      <c r="B273" s="601"/>
      <c r="C273" s="601"/>
      <c r="D273" s="602"/>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1.25" customHeight="1">
      <c r="A274" s="605" t="str">
        <f>$A$5</f>
        <v>approved schedules of Rates, Charges and Loss Factors</v>
      </c>
      <c r="B274" s="601"/>
      <c r="C274" s="601"/>
      <c r="D274" s="602"/>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1.25" customHeight="1">
      <c r="A275" s="606" t="str">
        <f>$A$6</f>
        <v>EB-2024-0115</v>
      </c>
      <c r="B275" s="601"/>
      <c r="C275" s="601"/>
      <c r="D275" s="602"/>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8.75" customHeight="1">
      <c r="A276" s="607" t="s">
        <v>87</v>
      </c>
      <c r="B276" s="601"/>
      <c r="C276" s="601"/>
      <c r="D276" s="602"/>
      <c r="E276" s="71"/>
      <c r="F276" s="71"/>
      <c r="G276" s="71"/>
      <c r="H276" s="71"/>
      <c r="I276" s="71"/>
      <c r="J276" s="71"/>
      <c r="K276" s="71"/>
      <c r="L276" s="71"/>
      <c r="M276" s="71"/>
      <c r="N276" s="71"/>
      <c r="O276" s="71"/>
      <c r="P276" s="71"/>
      <c r="Q276" s="71"/>
      <c r="R276" s="71"/>
      <c r="S276" s="71"/>
      <c r="T276" s="71"/>
      <c r="U276" s="71"/>
      <c r="V276" s="71"/>
      <c r="W276" s="71"/>
      <c r="X276" s="71"/>
      <c r="Y276" s="71"/>
      <c r="Z276" s="71"/>
    </row>
    <row r="277" spans="1:26" ht="36" customHeight="1">
      <c r="A277" s="608" t="s">
        <v>88</v>
      </c>
      <c r="B277" s="601"/>
      <c r="C277" s="601"/>
      <c r="D277" s="602"/>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6.75" customHeight="1">
      <c r="A278" s="54"/>
      <c r="B278" s="54"/>
      <c r="C278" s="54"/>
      <c r="D278" s="55"/>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1.25" customHeight="1">
      <c r="A279" s="609" t="s">
        <v>34</v>
      </c>
      <c r="B279" s="601"/>
      <c r="C279" s="601"/>
      <c r="D279" s="602"/>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6.75" customHeight="1">
      <c r="A280" s="56"/>
      <c r="B280" s="57"/>
      <c r="C280" s="57"/>
      <c r="D280" s="58"/>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36" customHeight="1">
      <c r="A281" s="608" t="s">
        <v>35</v>
      </c>
      <c r="B281" s="601"/>
      <c r="C281" s="601"/>
      <c r="D281" s="602"/>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6.75" customHeight="1">
      <c r="A282" s="54"/>
      <c r="B282" s="54"/>
      <c r="C282" s="54"/>
      <c r="D282" s="55"/>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48" customHeight="1">
      <c r="A283" s="608" t="s">
        <v>36</v>
      </c>
      <c r="B283" s="601"/>
      <c r="C283" s="601"/>
      <c r="D283" s="602"/>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6.75" customHeight="1">
      <c r="A284" s="54"/>
      <c r="B284" s="54"/>
      <c r="C284" s="54"/>
      <c r="D284" s="55"/>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48" customHeight="1">
      <c r="A285" s="608" t="s">
        <v>37</v>
      </c>
      <c r="B285" s="601"/>
      <c r="C285" s="601"/>
      <c r="D285" s="602"/>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6.75" customHeight="1">
      <c r="A286" s="54"/>
      <c r="B286" s="54"/>
      <c r="C286" s="54"/>
      <c r="D286" s="55"/>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36" customHeight="1">
      <c r="A287" s="608" t="s">
        <v>38</v>
      </c>
      <c r="B287" s="601"/>
      <c r="C287" s="601"/>
      <c r="D287" s="602"/>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6.75" customHeight="1">
      <c r="A288" s="54"/>
      <c r="B288" s="54"/>
      <c r="C288" s="54"/>
      <c r="D288" s="55"/>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 customHeight="1">
      <c r="A289" s="610" t="s">
        <v>39</v>
      </c>
      <c r="B289" s="601"/>
      <c r="C289" s="601"/>
      <c r="D289" s="602"/>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6.75" customHeight="1">
      <c r="A290" s="59"/>
      <c r="B290" s="60"/>
      <c r="C290" s="60"/>
      <c r="D290" s="61"/>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0.5" customHeight="1">
      <c r="A291" s="62" t="s">
        <v>78</v>
      </c>
      <c r="B291" s="63"/>
      <c r="C291" s="64" t="s">
        <v>41</v>
      </c>
      <c r="D291" s="284">
        <f>'Proposed Rates'!J14</f>
        <v>9.89</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0.5" customHeight="1">
      <c r="A292" s="62" t="s">
        <v>59</v>
      </c>
      <c r="B292" s="63"/>
      <c r="C292" s="64" t="s">
        <v>66</v>
      </c>
      <c r="D292" s="285">
        <f>'Proposed Rates'!J27</f>
        <v>46.416400000000003</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0.5" customHeight="1">
      <c r="A293" s="62" t="s">
        <v>45</v>
      </c>
      <c r="B293" s="63"/>
      <c r="C293" s="64" t="s">
        <v>66</v>
      </c>
      <c r="D293" s="287">
        <f>'Proposed Rates'!J270</f>
        <v>4.6699999999999997E-3</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0.5" hidden="1" customHeight="1">
      <c r="A294" s="62" t="s">
        <v>47</v>
      </c>
      <c r="B294" s="63"/>
      <c r="C294" s="64" t="s">
        <v>66</v>
      </c>
      <c r="D294" s="285">
        <f>'Proposed Rates'!J43</f>
        <v>0</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0.5" hidden="1" customHeight="1">
      <c r="A295" s="62" t="s">
        <v>43</v>
      </c>
      <c r="B295" s="63"/>
      <c r="C295" s="64" t="s">
        <v>66</v>
      </c>
      <c r="D295" s="285">
        <f>'Proposed Rates'!J70</f>
        <v>0</v>
      </c>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0.5" hidden="1" customHeight="1">
      <c r="A296" s="62" t="s">
        <v>48</v>
      </c>
      <c r="B296" s="63"/>
      <c r="C296" s="64" t="s">
        <v>46</v>
      </c>
      <c r="D296" s="285">
        <f>'Proposed Rates'!J148</f>
        <v>0</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0.5" customHeight="1">
      <c r="A297" s="62" t="s">
        <v>49</v>
      </c>
      <c r="B297" s="63"/>
      <c r="C297" s="64" t="s">
        <v>66</v>
      </c>
      <c r="D297" s="285">
        <f>'Proposed Rates'!J191</f>
        <v>0.85450000000000004</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0.5" customHeight="1">
      <c r="A298" s="89" t="s">
        <v>50</v>
      </c>
      <c r="B298" s="63"/>
      <c r="C298" s="90" t="s">
        <v>66</v>
      </c>
      <c r="D298" s="294">
        <f>'Proposed Rates'!J206</f>
        <v>0.48370000000000002</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5.25" customHeight="1">
      <c r="A299" s="89"/>
      <c r="B299" s="63"/>
      <c r="C299" s="90"/>
      <c r="D299" s="295"/>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1.25" customHeight="1">
      <c r="A300" s="70" t="s">
        <v>51</v>
      </c>
      <c r="B300" s="63"/>
      <c r="C300" s="64"/>
      <c r="D300" s="288"/>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4.5" customHeight="1">
      <c r="A301" s="59"/>
      <c r="B301" s="64"/>
      <c r="C301" s="64"/>
      <c r="D301" s="288"/>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0.5" customHeight="1">
      <c r="A302" s="62" t="s">
        <v>52</v>
      </c>
      <c r="B302" s="63"/>
      <c r="C302" s="64" t="s">
        <v>46</v>
      </c>
      <c r="D302" s="285">
        <f>$D$34</f>
        <v>4.1000000000000003E-3</v>
      </c>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0.5" customHeight="1">
      <c r="A303" s="62" t="s">
        <v>53</v>
      </c>
      <c r="B303" s="63"/>
      <c r="C303" s="64" t="s">
        <v>46</v>
      </c>
      <c r="D303" s="285">
        <f>'Proposed Rates'!J219-'2026'!D307</f>
        <v>5.9999999999999984E-4</v>
      </c>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0.5" customHeight="1">
      <c r="A304" s="62" t="s">
        <v>54</v>
      </c>
      <c r="B304" s="63"/>
      <c r="C304" s="64" t="s">
        <v>46</v>
      </c>
      <c r="D304" s="285">
        <f>'Proposed Rates'!J232</f>
        <v>5.9999999999999995E-4</v>
      </c>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0.5" customHeight="1">
      <c r="A305" s="62" t="s">
        <v>55</v>
      </c>
      <c r="B305" s="63"/>
      <c r="C305" s="64" t="s">
        <v>41</v>
      </c>
      <c r="D305" s="285">
        <f>'Proposed Rates'!J246</f>
        <v>0.25</v>
      </c>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4.5" customHeight="1">
      <c r="A306" s="85"/>
      <c r="B306" s="63"/>
      <c r="C306" s="64"/>
      <c r="D306" s="69"/>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24" customHeight="1">
      <c r="A307" s="600" t="str">
        <f>$A$1</f>
        <v>Hydro Ottawa Limited</v>
      </c>
      <c r="B307" s="601"/>
      <c r="C307" s="601"/>
      <c r="D307" s="602"/>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5.75" customHeight="1">
      <c r="A308" s="603" t="str">
        <f>$A$2</f>
        <v>PROPOSED - TARIFF OF RATES AND CHARGES</v>
      </c>
      <c r="B308" s="601"/>
      <c r="C308" s="601"/>
      <c r="D308" s="602"/>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75" customHeight="1">
      <c r="A309" s="604" t="str">
        <f>$A$3</f>
        <v>Effective and Implementation Date January 1, 2030</v>
      </c>
      <c r="B309" s="601"/>
      <c r="C309" s="601"/>
      <c r="D309" s="602"/>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2" customHeight="1">
      <c r="A310" s="605" t="str">
        <f>$A$4</f>
        <v>This schedule supersedes and replaces all previously</v>
      </c>
      <c r="B310" s="601"/>
      <c r="C310" s="601"/>
      <c r="D310" s="602"/>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1.25" customHeight="1">
      <c r="A311" s="605" t="str">
        <f>$A$5</f>
        <v>approved schedules of Rates, Charges and Loss Factors</v>
      </c>
      <c r="B311" s="601"/>
      <c r="C311" s="601"/>
      <c r="D311" s="602"/>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1.25" customHeight="1">
      <c r="A312" s="606" t="str">
        <f>$A$6</f>
        <v>EB-2024-0115</v>
      </c>
      <c r="B312" s="601"/>
      <c r="C312" s="601"/>
      <c r="D312" s="602"/>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8.75" customHeight="1">
      <c r="A313" s="607" t="s">
        <v>89</v>
      </c>
      <c r="B313" s="601"/>
      <c r="C313" s="601"/>
      <c r="D313" s="602"/>
      <c r="E313" s="71"/>
      <c r="F313" s="71"/>
      <c r="G313" s="71"/>
      <c r="H313" s="71"/>
      <c r="I313" s="71"/>
      <c r="J313" s="71"/>
      <c r="K313" s="71"/>
      <c r="L313" s="71"/>
      <c r="M313" s="71"/>
      <c r="N313" s="71"/>
      <c r="O313" s="71"/>
      <c r="P313" s="71"/>
      <c r="Q313" s="71"/>
      <c r="R313" s="71"/>
      <c r="S313" s="71"/>
      <c r="T313" s="71"/>
      <c r="U313" s="71"/>
      <c r="V313" s="71"/>
      <c r="W313" s="71"/>
      <c r="X313" s="71"/>
      <c r="Y313" s="71"/>
      <c r="Z313" s="71"/>
    </row>
    <row r="314" spans="1:26" ht="60" customHeight="1">
      <c r="A314" s="608" t="s">
        <v>90</v>
      </c>
      <c r="B314" s="601"/>
      <c r="C314" s="601"/>
      <c r="D314" s="602"/>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6.75" customHeight="1">
      <c r="A315" s="54"/>
      <c r="B315" s="54"/>
      <c r="C315" s="54"/>
      <c r="D315" s="55"/>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1.25" customHeight="1">
      <c r="A316" s="609" t="s">
        <v>34</v>
      </c>
      <c r="B316" s="601"/>
      <c r="C316" s="601"/>
      <c r="D316" s="602"/>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6.75" customHeight="1">
      <c r="A317" s="56"/>
      <c r="B317" s="57"/>
      <c r="C317" s="57"/>
      <c r="D317" s="58"/>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36" customHeight="1">
      <c r="A318" s="608" t="s">
        <v>35</v>
      </c>
      <c r="B318" s="601"/>
      <c r="C318" s="601"/>
      <c r="D318" s="602"/>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6.75" customHeight="1">
      <c r="A319" s="54"/>
      <c r="B319" s="54"/>
      <c r="C319" s="54"/>
      <c r="D319" s="55"/>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48" customHeight="1">
      <c r="A320" s="608" t="s">
        <v>36</v>
      </c>
      <c r="B320" s="601"/>
      <c r="C320" s="601"/>
      <c r="D320" s="602"/>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6.75" customHeight="1">
      <c r="A321" s="54"/>
      <c r="B321" s="54"/>
      <c r="C321" s="54"/>
      <c r="D321" s="55"/>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48" customHeight="1">
      <c r="A322" s="608" t="s">
        <v>37</v>
      </c>
      <c r="B322" s="601"/>
      <c r="C322" s="601"/>
      <c r="D322" s="602"/>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6.75" customHeight="1">
      <c r="A323" s="54"/>
      <c r="B323" s="54"/>
      <c r="C323" s="54"/>
      <c r="D323" s="55"/>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36" customHeight="1">
      <c r="A324" s="608" t="s">
        <v>91</v>
      </c>
      <c r="B324" s="601"/>
      <c r="C324" s="601"/>
      <c r="D324" s="602"/>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6.75" customHeight="1">
      <c r="A325" s="54"/>
      <c r="B325" s="54"/>
      <c r="C325" s="54"/>
      <c r="D325" s="55"/>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 customHeight="1">
      <c r="A326" s="610" t="s">
        <v>39</v>
      </c>
      <c r="B326" s="601"/>
      <c r="C326" s="601"/>
      <c r="D326" s="602"/>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6.75" customHeight="1">
      <c r="A327" s="59"/>
      <c r="B327" s="60"/>
      <c r="C327" s="60"/>
      <c r="D327" s="61"/>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2" customHeight="1">
      <c r="A328" s="62" t="s">
        <v>78</v>
      </c>
      <c r="B328" s="63"/>
      <c r="C328" s="64" t="s">
        <v>41</v>
      </c>
      <c r="D328" s="284">
        <f>'Proposed Rates'!J13</f>
        <v>1.25</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2" customHeight="1">
      <c r="A329" s="62" t="s">
        <v>59</v>
      </c>
      <c r="B329" s="63"/>
      <c r="C329" s="64" t="s">
        <v>66</v>
      </c>
      <c r="D329" s="285">
        <f>'Proposed Rates'!J26</f>
        <v>8.6967999999999996</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2" customHeight="1">
      <c r="A330" s="62" t="s">
        <v>45</v>
      </c>
      <c r="B330" s="63"/>
      <c r="C330" s="64" t="s">
        <v>66</v>
      </c>
      <c r="D330" s="287">
        <f>'Proposed Rates'!J269</f>
        <v>1.18E-2</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2" hidden="1" customHeight="1">
      <c r="A331" s="62" t="s">
        <v>47</v>
      </c>
      <c r="B331" s="63"/>
      <c r="C331" s="64" t="s">
        <v>66</v>
      </c>
      <c r="D331" s="285">
        <f>'Proposed Rates'!J42</f>
        <v>0</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2" hidden="1" customHeight="1">
      <c r="A332" s="62" t="s">
        <v>43</v>
      </c>
      <c r="B332" s="63"/>
      <c r="C332" s="64" t="s">
        <v>66</v>
      </c>
      <c r="D332" s="285">
        <f>'Proposed Rates'!J69</f>
        <v>0</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2" hidden="1" customHeight="1">
      <c r="A333" s="62" t="s">
        <v>42</v>
      </c>
      <c r="B333" s="63"/>
      <c r="C333" s="64" t="s">
        <v>66</v>
      </c>
      <c r="D333" s="285">
        <f>'Proposed Rates'!J95</f>
        <v>0</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2" hidden="1" customHeight="1">
      <c r="A334" s="62" t="s">
        <v>48</v>
      </c>
      <c r="B334" s="63"/>
      <c r="C334" s="64" t="s">
        <v>46</v>
      </c>
      <c r="D334" s="285">
        <f>'Proposed Rates'!J147</f>
        <v>0</v>
      </c>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2" customHeight="1">
      <c r="A335" s="62" t="s">
        <v>49</v>
      </c>
      <c r="B335" s="63"/>
      <c r="C335" s="64" t="s">
        <v>66</v>
      </c>
      <c r="D335" s="285">
        <f>'Proposed Rates'!J190</f>
        <v>2.1576</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2" customHeight="1">
      <c r="A336" s="62" t="s">
        <v>50</v>
      </c>
      <c r="B336" s="63"/>
      <c r="C336" s="64" t="s">
        <v>66</v>
      </c>
      <c r="D336" s="285">
        <f>'Proposed Rates'!J205</f>
        <v>1.2213000000000001</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4.5" customHeight="1">
      <c r="A337" s="64"/>
      <c r="B337" s="64"/>
      <c r="C337" s="64"/>
      <c r="D337" s="288"/>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1.25" customHeight="1">
      <c r="A338" s="70" t="s">
        <v>51</v>
      </c>
      <c r="B338" s="63"/>
      <c r="C338" s="64"/>
      <c r="D338" s="288"/>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4.5" customHeight="1">
      <c r="A339" s="59"/>
      <c r="B339" s="64"/>
      <c r="C339" s="64"/>
      <c r="D339" s="288"/>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2" customHeight="1">
      <c r="A340" s="62" t="s">
        <v>52</v>
      </c>
      <c r="B340" s="63"/>
      <c r="C340" s="64" t="s">
        <v>46</v>
      </c>
      <c r="D340" s="285">
        <f>$D$34</f>
        <v>4.1000000000000003E-3</v>
      </c>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2" customHeight="1">
      <c r="A341" s="62" t="s">
        <v>53</v>
      </c>
      <c r="B341" s="63"/>
      <c r="C341" s="64" t="s">
        <v>46</v>
      </c>
      <c r="D341" s="285">
        <f>'Proposed Rates'!J1-'2026'!D347</f>
        <v>-4.1000000000000003E-3</v>
      </c>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2" customHeight="1">
      <c r="A342" s="62" t="s">
        <v>54</v>
      </c>
      <c r="B342" s="63"/>
      <c r="C342" s="64" t="s">
        <v>46</v>
      </c>
      <c r="D342" s="285">
        <f>'Proposed Rates'!J231</f>
        <v>5.9999999999999995E-4</v>
      </c>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2" customHeight="1">
      <c r="A343" s="62" t="s">
        <v>55</v>
      </c>
      <c r="B343" s="63"/>
      <c r="C343" s="64" t="s">
        <v>41</v>
      </c>
      <c r="D343" s="285">
        <f>'Proposed Rates'!J245</f>
        <v>0.25</v>
      </c>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4.5" customHeight="1">
      <c r="A344" s="85"/>
      <c r="B344" s="63"/>
      <c r="C344" s="64"/>
      <c r="D344" s="69"/>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24" customHeight="1">
      <c r="A345" s="600" t="str">
        <f>$A$1</f>
        <v>Hydro Ottawa Limited</v>
      </c>
      <c r="B345" s="601"/>
      <c r="C345" s="601"/>
      <c r="D345" s="602"/>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75" customHeight="1">
      <c r="A346" s="603" t="str">
        <f>$A$2</f>
        <v>PROPOSED - TARIFF OF RATES AND CHARGES</v>
      </c>
      <c r="B346" s="601"/>
      <c r="C346" s="601"/>
      <c r="D346" s="602"/>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75" customHeight="1">
      <c r="A347" s="604" t="str">
        <f>$A$3</f>
        <v>Effective and Implementation Date January 1, 2030</v>
      </c>
      <c r="B347" s="601"/>
      <c r="C347" s="601"/>
      <c r="D347" s="602"/>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2" customHeight="1">
      <c r="A348" s="605" t="str">
        <f>$A$4</f>
        <v>This schedule supersedes and replaces all previously</v>
      </c>
      <c r="B348" s="601"/>
      <c r="C348" s="601"/>
      <c r="D348" s="602"/>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1.25" customHeight="1">
      <c r="A349" s="605" t="str">
        <f>$A$5</f>
        <v>approved schedules of Rates, Charges and Loss Factors</v>
      </c>
      <c r="B349" s="601"/>
      <c r="C349" s="601"/>
      <c r="D349" s="602"/>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1.25" customHeight="1">
      <c r="A350" s="606" t="str">
        <f>$A$6</f>
        <v>EB-2024-0115</v>
      </c>
      <c r="B350" s="601"/>
      <c r="C350" s="601"/>
      <c r="D350" s="602"/>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8.75" customHeight="1">
      <c r="A351" s="607" t="s">
        <v>93</v>
      </c>
      <c r="B351" s="601"/>
      <c r="C351" s="601"/>
      <c r="D351" s="602"/>
      <c r="E351" s="71"/>
      <c r="F351" s="71"/>
      <c r="G351" s="71"/>
      <c r="H351" s="71"/>
      <c r="I351" s="71"/>
      <c r="J351" s="71"/>
      <c r="K351" s="71"/>
      <c r="L351" s="71"/>
      <c r="M351" s="71"/>
      <c r="N351" s="71"/>
      <c r="O351" s="71"/>
      <c r="P351" s="71"/>
      <c r="Q351" s="71"/>
      <c r="R351" s="71"/>
      <c r="S351" s="71"/>
      <c r="T351" s="71"/>
      <c r="U351" s="71"/>
      <c r="V351" s="71"/>
      <c r="W351" s="71"/>
      <c r="X351" s="71"/>
      <c r="Y351" s="71"/>
      <c r="Z351" s="71"/>
    </row>
    <row r="352" spans="1:26" ht="36" customHeight="1">
      <c r="A352" s="608" t="s">
        <v>94</v>
      </c>
      <c r="B352" s="601"/>
      <c r="C352" s="601"/>
      <c r="D352" s="602"/>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6.75" customHeight="1">
      <c r="A353" s="54"/>
      <c r="B353" s="54"/>
      <c r="C353" s="54"/>
      <c r="D353" s="55"/>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1.25" customHeight="1">
      <c r="A354" s="609" t="s">
        <v>34</v>
      </c>
      <c r="B354" s="601"/>
      <c r="C354" s="601"/>
      <c r="D354" s="602"/>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6.75" customHeight="1">
      <c r="A355" s="56"/>
      <c r="B355" s="57"/>
      <c r="C355" s="57"/>
      <c r="D355" s="58"/>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36" customHeight="1">
      <c r="A356" s="608" t="s">
        <v>35</v>
      </c>
      <c r="B356" s="601"/>
      <c r="C356" s="601"/>
      <c r="D356" s="602"/>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6.75" customHeight="1">
      <c r="A357" s="54"/>
      <c r="B357" s="54"/>
      <c r="C357" s="54"/>
      <c r="D357" s="55"/>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48" customHeight="1">
      <c r="A358" s="608" t="s">
        <v>36</v>
      </c>
      <c r="B358" s="601"/>
      <c r="C358" s="601"/>
      <c r="D358" s="602"/>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6.75" customHeight="1">
      <c r="A359" s="54"/>
      <c r="B359" s="54"/>
      <c r="C359" s="54"/>
      <c r="D359" s="55"/>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24" customHeight="1">
      <c r="A360" s="608" t="s">
        <v>95</v>
      </c>
      <c r="B360" s="601"/>
      <c r="C360" s="601"/>
      <c r="D360" s="602"/>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6.75" customHeight="1">
      <c r="A361" s="54"/>
      <c r="B361" s="54"/>
      <c r="C361" s="54"/>
      <c r="D361" s="55"/>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36" customHeight="1">
      <c r="A362" s="608" t="s">
        <v>91</v>
      </c>
      <c r="B362" s="601"/>
      <c r="C362" s="601"/>
      <c r="D362" s="602"/>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6.75" customHeight="1">
      <c r="A363" s="54"/>
      <c r="B363" s="54"/>
      <c r="C363" s="54"/>
      <c r="D363" s="55"/>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 customHeight="1">
      <c r="A364" s="610" t="s">
        <v>39</v>
      </c>
      <c r="B364" s="601"/>
      <c r="C364" s="601"/>
      <c r="D364" s="602"/>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6.75" customHeight="1">
      <c r="A365" s="59"/>
      <c r="B365" s="60"/>
      <c r="C365" s="60"/>
      <c r="D365" s="61"/>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0.5" customHeight="1">
      <c r="A366" s="612" t="s">
        <v>40</v>
      </c>
      <c r="B366" s="602"/>
      <c r="C366" s="64" t="s">
        <v>41</v>
      </c>
      <c r="D366" s="93">
        <f>'Proposed Rates'!J376</f>
        <v>0</v>
      </c>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0.5" customHeight="1">
      <c r="A367" s="85"/>
      <c r="B367" s="63"/>
      <c r="C367" s="64"/>
      <c r="D367" s="69"/>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24" customHeight="1">
      <c r="A368" s="600" t="str">
        <f>$A$1</f>
        <v>Hydro Ottawa Limited</v>
      </c>
      <c r="B368" s="601"/>
      <c r="C368" s="601"/>
      <c r="D368" s="602"/>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75" customHeight="1">
      <c r="A369" s="603" t="str">
        <f>$A$2</f>
        <v>PROPOSED - TARIFF OF RATES AND CHARGES</v>
      </c>
      <c r="B369" s="601"/>
      <c r="C369" s="601"/>
      <c r="D369" s="602"/>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75" customHeight="1">
      <c r="A370" s="604" t="str">
        <f>$A$3</f>
        <v>Effective and Implementation Date January 1, 2030</v>
      </c>
      <c r="B370" s="601"/>
      <c r="C370" s="601"/>
      <c r="D370" s="602"/>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2" customHeight="1">
      <c r="A371" s="605" t="str">
        <f>$A$4</f>
        <v>This schedule supersedes and replaces all previously</v>
      </c>
      <c r="B371" s="601"/>
      <c r="C371" s="601"/>
      <c r="D371" s="602"/>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1.25" customHeight="1">
      <c r="A372" s="605" t="str">
        <f>$A$5</f>
        <v>approved schedules of Rates, Charges and Loss Factors</v>
      </c>
      <c r="B372" s="601"/>
      <c r="C372" s="601"/>
      <c r="D372" s="602"/>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1.25" customHeight="1">
      <c r="A373" s="606" t="str">
        <f>$A$6</f>
        <v>EB-2024-0115</v>
      </c>
      <c r="B373" s="601"/>
      <c r="C373" s="601"/>
      <c r="D373" s="602"/>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8.75" customHeight="1">
      <c r="A374" s="607" t="s">
        <v>96</v>
      </c>
      <c r="B374" s="601"/>
      <c r="C374" s="601"/>
      <c r="D374" s="602"/>
      <c r="E374" s="71"/>
      <c r="F374" s="71"/>
      <c r="G374" s="71"/>
      <c r="H374" s="71"/>
      <c r="I374" s="71"/>
      <c r="J374" s="71"/>
      <c r="K374" s="71"/>
      <c r="L374" s="71"/>
      <c r="M374" s="71"/>
      <c r="N374" s="71"/>
      <c r="O374" s="71"/>
      <c r="P374" s="71"/>
      <c r="Q374" s="71"/>
      <c r="R374" s="71"/>
      <c r="S374" s="71"/>
      <c r="T374" s="71"/>
      <c r="U374" s="71"/>
      <c r="V374" s="71"/>
      <c r="W374" s="71"/>
      <c r="X374" s="71"/>
      <c r="Y374" s="71"/>
      <c r="Z374" s="71"/>
    </row>
    <row r="375" spans="1:26" ht="36" customHeight="1">
      <c r="A375" s="614" t="s">
        <v>97</v>
      </c>
      <c r="B375" s="615"/>
      <c r="C375" s="615"/>
      <c r="D375" s="615"/>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6.75" customHeight="1">
      <c r="A376" s="54"/>
      <c r="B376" s="54"/>
      <c r="C376" s="54"/>
      <c r="D376" s="55"/>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1.25" customHeight="1">
      <c r="A377" s="609" t="s">
        <v>34</v>
      </c>
      <c r="B377" s="601"/>
      <c r="C377" s="601"/>
      <c r="D377" s="602"/>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6.75" customHeight="1">
      <c r="A378" s="56"/>
      <c r="B378" s="57"/>
      <c r="C378" s="57"/>
      <c r="D378" s="58"/>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36" customHeight="1">
      <c r="A379" s="608" t="s">
        <v>35</v>
      </c>
      <c r="B379" s="601"/>
      <c r="C379" s="601"/>
      <c r="D379" s="602"/>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6.75" customHeight="1">
      <c r="A380" s="54"/>
      <c r="B380" s="54"/>
      <c r="C380" s="54"/>
      <c r="D380" s="55"/>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48" customHeight="1">
      <c r="A381" s="608" t="s">
        <v>36</v>
      </c>
      <c r="B381" s="601"/>
      <c r="C381" s="601"/>
      <c r="D381" s="602"/>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6.75" customHeight="1">
      <c r="A382" s="54"/>
      <c r="B382" s="54"/>
      <c r="C382" s="54"/>
      <c r="D382" s="55"/>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24" customHeight="1">
      <c r="A383" s="608" t="s">
        <v>95</v>
      </c>
      <c r="B383" s="601"/>
      <c r="C383" s="601"/>
      <c r="D383" s="602"/>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6.75" customHeight="1">
      <c r="A384" s="54"/>
      <c r="B384" s="54"/>
      <c r="C384" s="54"/>
      <c r="D384" s="55"/>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36" customHeight="1">
      <c r="A385" s="608" t="s">
        <v>91</v>
      </c>
      <c r="B385" s="601"/>
      <c r="C385" s="601"/>
      <c r="D385" s="602"/>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6.75" customHeight="1">
      <c r="A386" s="54"/>
      <c r="B386" s="54"/>
      <c r="C386" s="54"/>
      <c r="D386" s="55"/>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 customHeight="1">
      <c r="A387" s="610" t="s">
        <v>39</v>
      </c>
      <c r="B387" s="601"/>
      <c r="C387" s="601"/>
      <c r="D387" s="602"/>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6.75" customHeight="1">
      <c r="A388" s="59"/>
      <c r="B388" s="60"/>
      <c r="C388" s="60"/>
      <c r="D388" s="61"/>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1.25" customHeight="1">
      <c r="A389" s="612" t="s">
        <v>40</v>
      </c>
      <c r="B389" s="602"/>
      <c r="C389" s="64" t="s">
        <v>41</v>
      </c>
      <c r="D389" s="93">
        <f>'Proposed Rates'!J373</f>
        <v>12</v>
      </c>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1.25" customHeight="1">
      <c r="A390" s="85"/>
      <c r="B390" s="63"/>
      <c r="C390" s="64"/>
      <c r="D390" s="69"/>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24" customHeight="1">
      <c r="A391" s="600" t="str">
        <f>$A$1</f>
        <v>Hydro Ottawa Limited</v>
      </c>
      <c r="B391" s="601"/>
      <c r="C391" s="601"/>
      <c r="D391" s="602"/>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5.75" customHeight="1">
      <c r="A392" s="603" t="str">
        <f>$A$2</f>
        <v>PROPOSED - TARIFF OF RATES AND CHARGES</v>
      </c>
      <c r="B392" s="601"/>
      <c r="C392" s="601"/>
      <c r="D392" s="602"/>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75" customHeight="1">
      <c r="A393" s="604" t="str">
        <f>$A$3</f>
        <v>Effective and Implementation Date January 1, 2030</v>
      </c>
      <c r="B393" s="601"/>
      <c r="C393" s="601"/>
      <c r="D393" s="602"/>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2" customHeight="1">
      <c r="A394" s="605" t="str">
        <f>$A$4</f>
        <v>This schedule supersedes and replaces all previously</v>
      </c>
      <c r="B394" s="601"/>
      <c r="C394" s="601"/>
      <c r="D394" s="602"/>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1.25" customHeight="1">
      <c r="A395" s="605" t="str">
        <f>$A$5</f>
        <v>approved schedules of Rates, Charges and Loss Factors</v>
      </c>
      <c r="B395" s="601"/>
      <c r="C395" s="601"/>
      <c r="D395" s="602"/>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1.25" customHeight="1">
      <c r="A396" s="606" t="str">
        <f>$A$6</f>
        <v>EB-2024-0115</v>
      </c>
      <c r="B396" s="601"/>
      <c r="C396" s="601"/>
      <c r="D396" s="602"/>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8.75" customHeight="1">
      <c r="A397" s="607" t="s">
        <v>98</v>
      </c>
      <c r="B397" s="601"/>
      <c r="C397" s="601"/>
      <c r="D397" s="602"/>
      <c r="E397" s="71"/>
      <c r="F397" s="71"/>
      <c r="G397" s="71"/>
      <c r="H397" s="71"/>
      <c r="I397" s="71"/>
      <c r="J397" s="71"/>
      <c r="K397" s="71"/>
      <c r="L397" s="71"/>
      <c r="M397" s="71"/>
      <c r="N397" s="71"/>
      <c r="O397" s="71"/>
      <c r="P397" s="71"/>
      <c r="Q397" s="71"/>
      <c r="R397" s="71"/>
      <c r="S397" s="71"/>
      <c r="T397" s="71"/>
      <c r="U397" s="71"/>
      <c r="V397" s="71"/>
      <c r="W397" s="71"/>
      <c r="X397" s="71"/>
      <c r="Y397" s="71"/>
      <c r="Z397" s="71"/>
    </row>
    <row r="398" spans="1:26" ht="36" customHeight="1">
      <c r="A398" s="614" t="s">
        <v>99</v>
      </c>
      <c r="B398" s="615"/>
      <c r="C398" s="615"/>
      <c r="D398" s="615"/>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6.75" customHeight="1">
      <c r="A399" s="54"/>
      <c r="B399" s="54"/>
      <c r="C399" s="54"/>
      <c r="D399" s="55"/>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1.25" customHeight="1">
      <c r="A400" s="609" t="s">
        <v>34</v>
      </c>
      <c r="B400" s="601"/>
      <c r="C400" s="601"/>
      <c r="D400" s="602"/>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6.75" customHeight="1">
      <c r="A401" s="56"/>
      <c r="B401" s="57"/>
      <c r="C401" s="57"/>
      <c r="D401" s="58"/>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36" customHeight="1">
      <c r="A402" s="608" t="s">
        <v>35</v>
      </c>
      <c r="B402" s="601"/>
      <c r="C402" s="601"/>
      <c r="D402" s="602"/>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6.75" customHeight="1">
      <c r="A403" s="54"/>
      <c r="B403" s="54"/>
      <c r="C403" s="54"/>
      <c r="D403" s="55"/>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48" customHeight="1">
      <c r="A404" s="608" t="s">
        <v>36</v>
      </c>
      <c r="B404" s="601"/>
      <c r="C404" s="601"/>
      <c r="D404" s="602"/>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6.75" customHeight="1">
      <c r="A405" s="54"/>
      <c r="B405" s="54"/>
      <c r="C405" s="54"/>
      <c r="D405" s="55"/>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24" customHeight="1">
      <c r="A406" s="608" t="s">
        <v>95</v>
      </c>
      <c r="B406" s="601"/>
      <c r="C406" s="601"/>
      <c r="D406" s="602"/>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75" customHeight="1">
      <c r="A407" s="54"/>
      <c r="B407" s="54"/>
      <c r="C407" s="54"/>
      <c r="D407" s="55"/>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36" customHeight="1">
      <c r="A408" s="608" t="s">
        <v>91</v>
      </c>
      <c r="B408" s="601"/>
      <c r="C408" s="601"/>
      <c r="D408" s="602"/>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6.75" customHeight="1">
      <c r="A409" s="54"/>
      <c r="B409" s="54"/>
      <c r="C409" s="54"/>
      <c r="D409" s="55"/>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 customHeight="1">
      <c r="A410" s="610" t="s">
        <v>39</v>
      </c>
      <c r="B410" s="601"/>
      <c r="C410" s="601"/>
      <c r="D410" s="602"/>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6.75" customHeight="1">
      <c r="A411" s="59"/>
      <c r="B411" s="60"/>
      <c r="C411" s="60"/>
      <c r="D411" s="61"/>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1.25" customHeight="1">
      <c r="A412" s="612" t="s">
        <v>40</v>
      </c>
      <c r="B412" s="602"/>
      <c r="C412" s="64" t="s">
        <v>41</v>
      </c>
      <c r="D412" s="93">
        <f>'Proposed Rates'!J374</f>
        <v>95</v>
      </c>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1.25" customHeight="1">
      <c r="A413" s="85"/>
      <c r="B413" s="63"/>
      <c r="C413" s="64"/>
      <c r="D413" s="69"/>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24" customHeight="1">
      <c r="A414" s="600" t="str">
        <f>$A$1</f>
        <v>Hydro Ottawa Limited</v>
      </c>
      <c r="B414" s="601"/>
      <c r="C414" s="601"/>
      <c r="D414" s="602"/>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75" customHeight="1">
      <c r="A415" s="603" t="str">
        <f>$A$2</f>
        <v>PROPOSED - TARIFF OF RATES AND CHARGES</v>
      </c>
      <c r="B415" s="601"/>
      <c r="C415" s="601"/>
      <c r="D415" s="602"/>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75" customHeight="1">
      <c r="A416" s="604" t="str">
        <f>$A$3</f>
        <v>Effective and Implementation Date January 1, 2030</v>
      </c>
      <c r="B416" s="601"/>
      <c r="C416" s="601"/>
      <c r="D416" s="602"/>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2" customHeight="1">
      <c r="A417" s="605" t="str">
        <f>$A$4</f>
        <v>This schedule supersedes and replaces all previously</v>
      </c>
      <c r="B417" s="601"/>
      <c r="C417" s="601"/>
      <c r="D417" s="602"/>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1.25" customHeight="1">
      <c r="A418" s="605" t="str">
        <f>$A$5</f>
        <v>approved schedules of Rates, Charges and Loss Factors</v>
      </c>
      <c r="B418" s="601"/>
      <c r="C418" s="601"/>
      <c r="D418" s="602"/>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1.25" customHeight="1">
      <c r="A419" s="606" t="str">
        <f>$A$6</f>
        <v>EB-2024-0115</v>
      </c>
      <c r="B419" s="601"/>
      <c r="C419" s="601"/>
      <c r="D419" s="602"/>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8.75" customHeight="1">
      <c r="A420" s="607" t="s">
        <v>100</v>
      </c>
      <c r="B420" s="601"/>
      <c r="C420" s="601"/>
      <c r="D420" s="602"/>
      <c r="E420" s="71"/>
      <c r="F420" s="71"/>
      <c r="G420" s="71"/>
      <c r="H420" s="71"/>
      <c r="I420" s="71"/>
      <c r="J420" s="71"/>
      <c r="K420" s="71"/>
      <c r="L420" s="71"/>
      <c r="M420" s="71"/>
      <c r="N420" s="71"/>
      <c r="O420" s="71"/>
      <c r="P420" s="71"/>
      <c r="Q420" s="71"/>
      <c r="R420" s="71"/>
      <c r="S420" s="71"/>
      <c r="T420" s="71"/>
      <c r="U420" s="71"/>
      <c r="V420" s="71"/>
      <c r="W420" s="71"/>
      <c r="X420" s="71"/>
      <c r="Y420" s="71"/>
      <c r="Z420" s="71"/>
    </row>
    <row r="421" spans="1:26" ht="36" customHeight="1">
      <c r="A421" s="608" t="s">
        <v>101</v>
      </c>
      <c r="B421" s="601"/>
      <c r="C421" s="601"/>
      <c r="D421" s="602"/>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6.75" customHeight="1">
      <c r="A422" s="54"/>
      <c r="B422" s="54"/>
      <c r="C422" s="54"/>
      <c r="D422" s="55"/>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1.25" customHeight="1">
      <c r="A423" s="609" t="s">
        <v>34</v>
      </c>
      <c r="B423" s="601"/>
      <c r="C423" s="601"/>
      <c r="D423" s="602"/>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6.75" customHeight="1">
      <c r="A424" s="56"/>
      <c r="B424" s="57"/>
      <c r="C424" s="57"/>
      <c r="D424" s="58"/>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36" customHeight="1">
      <c r="A425" s="608" t="s">
        <v>35</v>
      </c>
      <c r="B425" s="601"/>
      <c r="C425" s="601"/>
      <c r="D425" s="602"/>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6.75" customHeight="1">
      <c r="A426" s="54"/>
      <c r="B426" s="54"/>
      <c r="C426" s="54"/>
      <c r="D426" s="55"/>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48" customHeight="1">
      <c r="A427" s="608" t="s">
        <v>36</v>
      </c>
      <c r="B427" s="601"/>
      <c r="C427" s="601"/>
      <c r="D427" s="602"/>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6.75" customHeight="1">
      <c r="A428" s="54"/>
      <c r="B428" s="54"/>
      <c r="C428" s="54"/>
      <c r="D428" s="55"/>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24" customHeight="1">
      <c r="A429" s="608" t="s">
        <v>95</v>
      </c>
      <c r="B429" s="601"/>
      <c r="C429" s="601"/>
      <c r="D429" s="602"/>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6.75" customHeight="1">
      <c r="A430" s="54"/>
      <c r="B430" s="54"/>
      <c r="C430" s="54"/>
      <c r="D430" s="55"/>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36" customHeight="1">
      <c r="A431" s="608" t="s">
        <v>91</v>
      </c>
      <c r="B431" s="601"/>
      <c r="C431" s="601"/>
      <c r="D431" s="602"/>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6.75" customHeight="1">
      <c r="A432" s="54"/>
      <c r="B432" s="54"/>
      <c r="C432" s="54"/>
      <c r="D432" s="55"/>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 customHeight="1">
      <c r="A433" s="610" t="s">
        <v>39</v>
      </c>
      <c r="B433" s="601"/>
      <c r="C433" s="601"/>
      <c r="D433" s="602"/>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6.75" customHeight="1">
      <c r="A434" s="59"/>
      <c r="B434" s="60"/>
      <c r="C434" s="60"/>
      <c r="D434" s="61"/>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1.25" customHeight="1">
      <c r="A435" s="612" t="s">
        <v>40</v>
      </c>
      <c r="B435" s="602"/>
      <c r="C435" s="64" t="s">
        <v>41</v>
      </c>
      <c r="D435" s="93">
        <f>'Proposed Rates'!J375</f>
        <v>289</v>
      </c>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6.75" customHeight="1">
      <c r="A436" s="99"/>
      <c r="B436" s="85"/>
      <c r="C436" s="64"/>
      <c r="D436" s="288"/>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8" customHeight="1">
      <c r="A437" s="100" t="s">
        <v>102</v>
      </c>
      <c r="B437" s="101"/>
      <c r="C437" s="101"/>
      <c r="D437" s="299"/>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1.25" customHeight="1">
      <c r="A438" s="612" t="s">
        <v>103</v>
      </c>
      <c r="B438" s="602"/>
      <c r="C438" s="102" t="s">
        <v>104</v>
      </c>
      <c r="D438" s="288">
        <v>-1</v>
      </c>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1.25" customHeight="1">
      <c r="A439" s="85"/>
      <c r="B439" s="63"/>
      <c r="C439" s="102"/>
      <c r="D439" s="69"/>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24" customHeight="1">
      <c r="A440" s="600" t="str">
        <f>$A$1</f>
        <v>Hydro Ottawa Limited</v>
      </c>
      <c r="B440" s="601"/>
      <c r="C440" s="601"/>
      <c r="D440" s="602"/>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75" customHeight="1">
      <c r="A441" s="603" t="str">
        <f>$A$2</f>
        <v>PROPOSED - TARIFF OF RATES AND CHARGES</v>
      </c>
      <c r="B441" s="601"/>
      <c r="C441" s="601"/>
      <c r="D441" s="602"/>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75" customHeight="1">
      <c r="A442" s="604" t="str">
        <f>$A$3</f>
        <v>Effective and Implementation Date January 1, 2030</v>
      </c>
      <c r="B442" s="601"/>
      <c r="C442" s="601"/>
      <c r="D442" s="602"/>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2" customHeight="1">
      <c r="A443" s="605" t="str">
        <f>$A$4</f>
        <v>This schedule supersedes and replaces all previously</v>
      </c>
      <c r="B443" s="601"/>
      <c r="C443" s="601"/>
      <c r="D443" s="602"/>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1.25" customHeight="1">
      <c r="A444" s="605" t="str">
        <f>$A$5</f>
        <v>approved schedules of Rates, Charges and Loss Factors</v>
      </c>
      <c r="B444" s="601"/>
      <c r="C444" s="601"/>
      <c r="D444" s="602"/>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1.25" customHeight="1">
      <c r="A445" s="606" t="str">
        <f>$A$6</f>
        <v>EB-2024-0115</v>
      </c>
      <c r="B445" s="601"/>
      <c r="C445" s="601"/>
      <c r="D445" s="602"/>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8" customHeight="1">
      <c r="A446" s="100" t="s">
        <v>105</v>
      </c>
      <c r="B446" s="101"/>
      <c r="C446" s="101"/>
      <c r="D446" s="72"/>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6.75" customHeight="1">
      <c r="A447" s="100"/>
      <c r="B447" s="101"/>
      <c r="C447" s="101"/>
      <c r="D447" s="72"/>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1.25" customHeight="1">
      <c r="A448" s="616" t="s">
        <v>34</v>
      </c>
      <c r="B448" s="601"/>
      <c r="C448" s="601"/>
      <c r="D448" s="602"/>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6.75" customHeight="1">
      <c r="A449" s="103"/>
      <c r="B449" s="54"/>
      <c r="C449" s="54"/>
      <c r="D449" s="55"/>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36" customHeight="1">
      <c r="A450" s="608" t="s">
        <v>35</v>
      </c>
      <c r="B450" s="601"/>
      <c r="C450" s="601"/>
      <c r="D450" s="602"/>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6.75" customHeight="1">
      <c r="A451" s="54"/>
      <c r="B451" s="54"/>
      <c r="C451" s="54"/>
      <c r="D451" s="55"/>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48" customHeight="1">
      <c r="A452" s="608" t="s">
        <v>106</v>
      </c>
      <c r="B452" s="601"/>
      <c r="C452" s="601"/>
      <c r="D452" s="602"/>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6.75" customHeight="1">
      <c r="A453" s="54"/>
      <c r="B453" s="54"/>
      <c r="C453" s="54"/>
      <c r="D453" s="55"/>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36" customHeight="1">
      <c r="A454" s="608" t="s">
        <v>38</v>
      </c>
      <c r="B454" s="601"/>
      <c r="C454" s="601"/>
      <c r="D454" s="602"/>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6.75" customHeight="1">
      <c r="A455" s="54"/>
      <c r="B455" s="54"/>
      <c r="C455" s="54"/>
      <c r="D455" s="55"/>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 customHeight="1">
      <c r="A456" s="104" t="s">
        <v>107</v>
      </c>
      <c r="B456" s="101"/>
      <c r="C456" s="101"/>
      <c r="D456" s="72"/>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1.25" customHeight="1">
      <c r="A457" s="612" t="s">
        <v>108</v>
      </c>
      <c r="B457" s="602"/>
      <c r="C457" s="64" t="s">
        <v>41</v>
      </c>
      <c r="D457" s="105">
        <f>'Proposed Rates'!J323</f>
        <v>0</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1.25" customHeight="1">
      <c r="A458" s="85" t="s">
        <v>109</v>
      </c>
      <c r="B458" s="85"/>
      <c r="C458" s="64" t="s">
        <v>41</v>
      </c>
      <c r="D458" s="105">
        <f>'Proposed Rates'!J324</f>
        <v>30</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1.25" customHeight="1">
      <c r="A459" s="612" t="s">
        <v>110</v>
      </c>
      <c r="B459" s="602"/>
      <c r="C459" s="64" t="s">
        <v>41</v>
      </c>
      <c r="D459" s="105">
        <f>'Proposed Rates'!J325</f>
        <v>7</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1.25" customHeight="1">
      <c r="A460" s="612" t="s">
        <v>111</v>
      </c>
      <c r="B460" s="602"/>
      <c r="C460" s="64" t="s">
        <v>41</v>
      </c>
      <c r="D460" s="105">
        <f>'Proposed Rates'!J326</f>
        <v>154</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1.25" customHeight="1">
      <c r="A461" s="612" t="s">
        <v>112</v>
      </c>
      <c r="B461" s="602"/>
      <c r="C461" s="64" t="s">
        <v>41</v>
      </c>
      <c r="D461" s="105">
        <f>'Proposed Rates'!J327</f>
        <v>20</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1.25" customHeight="1">
      <c r="A462" s="612" t="s">
        <v>113</v>
      </c>
      <c r="B462" s="602"/>
      <c r="C462" s="64" t="s">
        <v>41</v>
      </c>
      <c r="D462" s="105">
        <f>'Proposed Rates'!J328</f>
        <v>25</v>
      </c>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1.25" customHeight="1">
      <c r="A463" s="612" t="s">
        <v>114</v>
      </c>
      <c r="B463" s="602"/>
      <c r="C463" s="64" t="s">
        <v>41</v>
      </c>
      <c r="D463" s="105">
        <f>'Proposed Rates'!J329</f>
        <v>10</v>
      </c>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1.25" customHeight="1">
      <c r="A464" s="612" t="s">
        <v>115</v>
      </c>
      <c r="B464" s="602"/>
      <c r="C464" s="64" t="s">
        <v>41</v>
      </c>
      <c r="D464" s="105">
        <f>'Proposed Rates'!J332</f>
        <v>398</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1.25" customHeight="1">
      <c r="A465" s="612" t="s">
        <v>116</v>
      </c>
      <c r="B465" s="602"/>
      <c r="C465" s="64" t="s">
        <v>41</v>
      </c>
      <c r="D465" s="105">
        <f>'Proposed Rates'!J333</f>
        <v>350</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6.75" customHeight="1">
      <c r="A466" s="85"/>
      <c r="B466" s="85"/>
      <c r="C466" s="64"/>
      <c r="D466" s="69"/>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 customHeight="1">
      <c r="A467" s="104" t="s">
        <v>117</v>
      </c>
      <c r="B467" s="101"/>
      <c r="C467" s="90"/>
      <c r="D467" s="92"/>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22.5" customHeight="1">
      <c r="A468" s="612" t="s">
        <v>118</v>
      </c>
      <c r="B468" s="602"/>
      <c r="C468" s="64" t="s">
        <v>104</v>
      </c>
      <c r="D468" s="98">
        <f>'Proposed Rates'!J336</f>
        <v>1.4999999999999999E-2</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1.25" customHeight="1">
      <c r="A469" s="612" t="s">
        <v>119</v>
      </c>
      <c r="B469" s="602"/>
      <c r="C469" s="64" t="s">
        <v>41</v>
      </c>
      <c r="D469" s="105">
        <f>'Proposed Rates'!J337</f>
        <v>76</v>
      </c>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1.25" customHeight="1">
      <c r="A470" s="612" t="s">
        <v>120</v>
      </c>
      <c r="B470" s="602"/>
      <c r="C470" s="64" t="s">
        <v>41</v>
      </c>
      <c r="D470" s="105">
        <f>'Proposed Rates'!J338</f>
        <v>102</v>
      </c>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1.25" customHeight="1">
      <c r="A471" s="612" t="s">
        <v>121</v>
      </c>
      <c r="B471" s="602"/>
      <c r="C471" s="64" t="s">
        <v>41</v>
      </c>
      <c r="D471" s="105">
        <f>'Proposed Rates'!J339</f>
        <v>345</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1.25" customHeight="1">
      <c r="A472" s="612" t="s">
        <v>122</v>
      </c>
      <c r="B472" s="602"/>
      <c r="C472" s="64" t="s">
        <v>41</v>
      </c>
      <c r="D472" s="105">
        <f>'Proposed Rates'!J340</f>
        <v>521</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6.75" customHeight="1">
      <c r="A473" s="85"/>
      <c r="B473" s="85"/>
      <c r="C473" s="64"/>
      <c r="D473" s="69"/>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 customHeight="1">
      <c r="A474" s="104" t="s">
        <v>123</v>
      </c>
      <c r="B474" s="101"/>
      <c r="C474" s="90"/>
      <c r="D474" s="69"/>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1.25" customHeight="1">
      <c r="A475" s="612" t="s">
        <v>124</v>
      </c>
      <c r="B475" s="602"/>
      <c r="C475" s="64" t="s">
        <v>41</v>
      </c>
      <c r="D475" s="105">
        <f>'Proposed Rates'!J343</f>
        <v>1172</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1.25" customHeight="1">
      <c r="A476" s="612" t="s">
        <v>125</v>
      </c>
      <c r="B476" s="602"/>
      <c r="C476" s="64" t="s">
        <v>41</v>
      </c>
      <c r="D476" s="105">
        <f>'Proposed Rates'!J344</f>
        <v>1546</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1.25" customHeight="1">
      <c r="A477" s="612" t="s">
        <v>126</v>
      </c>
      <c r="B477" s="602"/>
      <c r="C477" s="64" t="s">
        <v>41</v>
      </c>
      <c r="D477" s="105">
        <f>'Proposed Rates'!J345</f>
        <v>5445</v>
      </c>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1.25" customHeight="1">
      <c r="A478" s="62" t="s">
        <v>127</v>
      </c>
      <c r="B478" s="63"/>
      <c r="C478" s="64" t="s">
        <v>41</v>
      </c>
      <c r="D478" s="98">
        <f>'Proposed Rates'!J346</f>
        <v>40.590000000000003</v>
      </c>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1.25" customHeight="1">
      <c r="A479" s="612" t="s">
        <v>128</v>
      </c>
      <c r="B479" s="602"/>
      <c r="C479" s="64"/>
      <c r="D479" s="69" t="str">
        <f>'Proposed Rates'!J347</f>
        <v>Per Attached Table</v>
      </c>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1.25" customHeight="1">
      <c r="A480" s="612" t="s">
        <v>129</v>
      </c>
      <c r="B480" s="602"/>
      <c r="C480" s="64" t="s">
        <v>41</v>
      </c>
      <c r="D480" s="105">
        <f>'Proposed Rates'!J348</f>
        <v>179</v>
      </c>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1.25" customHeight="1">
      <c r="A481" s="612"/>
      <c r="B481" s="602"/>
      <c r="C481" s="64"/>
      <c r="D481" s="69"/>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24" customHeight="1">
      <c r="A482" s="600" t="str">
        <f>$A$1</f>
        <v>Hydro Ottawa Limited</v>
      </c>
      <c r="B482" s="601"/>
      <c r="C482" s="601"/>
      <c r="D482" s="602"/>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75" customHeight="1">
      <c r="A483" s="603" t="str">
        <f>$A$2</f>
        <v>PROPOSED - TARIFF OF RATES AND CHARGES</v>
      </c>
      <c r="B483" s="601"/>
      <c r="C483" s="601"/>
      <c r="D483" s="602"/>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75" customHeight="1">
      <c r="A484" s="604" t="str">
        <f>$A$3</f>
        <v>Effective and Implementation Date January 1, 2030</v>
      </c>
      <c r="B484" s="601"/>
      <c r="C484" s="601"/>
      <c r="D484" s="602"/>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2" customHeight="1">
      <c r="A485" s="605" t="str">
        <f>$A$4</f>
        <v>This schedule supersedes and replaces all previously</v>
      </c>
      <c r="B485" s="601"/>
      <c r="C485" s="601"/>
      <c r="D485" s="602"/>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1.25" customHeight="1">
      <c r="A486" s="605" t="str">
        <f>$A$5</f>
        <v>approved schedules of Rates, Charges and Loss Factors</v>
      </c>
      <c r="B486" s="601"/>
      <c r="C486" s="601"/>
      <c r="D486" s="602"/>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1.25" customHeight="1">
      <c r="A487" s="606" t="str">
        <f>$A$6</f>
        <v>EB-2024-0115</v>
      </c>
      <c r="B487" s="601"/>
      <c r="C487" s="601"/>
      <c r="D487" s="602"/>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8" customHeight="1">
      <c r="A488" s="100" t="s">
        <v>130</v>
      </c>
      <c r="B488" s="101"/>
      <c r="C488" s="101"/>
      <c r="D488" s="72"/>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6.75" customHeight="1">
      <c r="A489" s="100"/>
      <c r="B489" s="101"/>
      <c r="C489" s="101"/>
      <c r="D489" s="72"/>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36" customHeight="1">
      <c r="A490" s="608" t="s">
        <v>131</v>
      </c>
      <c r="B490" s="601"/>
      <c r="C490" s="601"/>
      <c r="D490" s="602"/>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6.75" customHeight="1">
      <c r="A491" s="54"/>
      <c r="B491" s="54"/>
      <c r="C491" s="54"/>
      <c r="D491" s="55"/>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48" customHeight="1">
      <c r="A492" s="608" t="s">
        <v>36</v>
      </c>
      <c r="B492" s="601"/>
      <c r="C492" s="601"/>
      <c r="D492" s="602"/>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6.75" customHeight="1">
      <c r="A493" s="54"/>
      <c r="B493" s="54"/>
      <c r="C493" s="54"/>
      <c r="D493" s="55"/>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24" customHeight="1">
      <c r="A494" s="608" t="s">
        <v>81</v>
      </c>
      <c r="B494" s="601"/>
      <c r="C494" s="601"/>
      <c r="D494" s="602"/>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6.75" customHeight="1">
      <c r="A495" s="54"/>
      <c r="B495" s="54"/>
      <c r="C495" s="54"/>
      <c r="D495" s="55"/>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36" customHeight="1">
      <c r="A496" s="608" t="s">
        <v>38</v>
      </c>
      <c r="B496" s="601"/>
      <c r="C496" s="601"/>
      <c r="D496" s="602"/>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6.75" customHeight="1">
      <c r="A497" s="54"/>
      <c r="B497" s="54"/>
      <c r="C497" s="54"/>
      <c r="D497" s="55"/>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24" customHeight="1">
      <c r="A498" s="608" t="s">
        <v>132</v>
      </c>
      <c r="B498" s="601"/>
      <c r="C498" s="601"/>
      <c r="D498" s="602"/>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7.5" customHeight="1">
      <c r="A499" s="304"/>
      <c r="B499" s="304"/>
      <c r="C499" s="304"/>
      <c r="D499" s="305"/>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1.25" customHeight="1">
      <c r="A500" s="62" t="s">
        <v>133</v>
      </c>
      <c r="B500" s="63"/>
      <c r="C500" s="106" t="s">
        <v>41</v>
      </c>
      <c r="D500" s="301">
        <f>'Proposed Rates'!J351</f>
        <v>125.72</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1.25" customHeight="1">
      <c r="A501" s="62" t="s">
        <v>134</v>
      </c>
      <c r="B501" s="63"/>
      <c r="C501" s="106" t="s">
        <v>41</v>
      </c>
      <c r="D501" s="301">
        <f>'Proposed Rates'!J352</f>
        <v>50.29</v>
      </c>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1.25" customHeight="1">
      <c r="A502" s="62" t="s">
        <v>135</v>
      </c>
      <c r="B502" s="63"/>
      <c r="C502" s="106" t="s">
        <v>136</v>
      </c>
      <c r="D502" s="301">
        <f>'Proposed Rates'!J353</f>
        <v>1.24</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1.25" customHeight="1">
      <c r="A503" s="62" t="s">
        <v>137</v>
      </c>
      <c r="B503" s="63"/>
      <c r="C503" s="106" t="s">
        <v>136</v>
      </c>
      <c r="D503" s="301">
        <f>'Proposed Rates'!J354</f>
        <v>0.74</v>
      </c>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1.25" customHeight="1">
      <c r="A504" s="62" t="s">
        <v>138</v>
      </c>
      <c r="B504" s="63"/>
      <c r="C504" s="106" t="s">
        <v>136</v>
      </c>
      <c r="D504" s="301">
        <f>'Proposed Rates'!J355</f>
        <v>-0.74</v>
      </c>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1.25" customHeight="1">
      <c r="A505" s="62" t="s">
        <v>139</v>
      </c>
      <c r="B505" s="63"/>
      <c r="C505" s="62"/>
      <c r="D505" s="301"/>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1.25" customHeight="1">
      <c r="A506" s="62" t="s">
        <v>140</v>
      </c>
      <c r="B506" s="63"/>
      <c r="C506" s="106" t="s">
        <v>41</v>
      </c>
      <c r="D506" s="301">
        <f>'Proposed Rates'!J357</f>
        <v>0.63</v>
      </c>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1.25" customHeight="1">
      <c r="A507" s="62" t="s">
        <v>141</v>
      </c>
      <c r="B507" s="63"/>
      <c r="C507" s="106" t="s">
        <v>41</v>
      </c>
      <c r="D507" s="301">
        <f>'Proposed Rates'!J358</f>
        <v>1.24</v>
      </c>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5.25" customHeight="1">
      <c r="A508" s="62"/>
      <c r="B508" s="63"/>
      <c r="C508" s="106"/>
      <c r="D508" s="301"/>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1.25" customHeight="1">
      <c r="A509" s="62" t="s">
        <v>142</v>
      </c>
      <c r="B509" s="63"/>
      <c r="C509" s="109"/>
      <c r="D509" s="301"/>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1.25" customHeight="1">
      <c r="A510" s="62" t="s">
        <v>143</v>
      </c>
      <c r="B510" s="63"/>
      <c r="C510" s="109"/>
      <c r="D510" s="301"/>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1.25" customHeight="1">
      <c r="A511" s="62" t="s">
        <v>144</v>
      </c>
      <c r="B511" s="63"/>
      <c r="C511" s="109"/>
      <c r="D511" s="301"/>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1.25" customHeight="1">
      <c r="A512" s="62" t="s">
        <v>145</v>
      </c>
      <c r="B512" s="63"/>
      <c r="C512" s="106" t="s">
        <v>41</v>
      </c>
      <c r="D512" s="301" t="str">
        <f>'Proposed Rates'!J362</f>
        <v>no charge</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1.25" customHeight="1">
      <c r="A513" s="62" t="s">
        <v>146</v>
      </c>
      <c r="B513" s="63"/>
      <c r="C513" s="106" t="s">
        <v>41</v>
      </c>
      <c r="D513" s="301">
        <f>'Proposed Rates'!J363</f>
        <v>5.03</v>
      </c>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3" customHeight="1">
      <c r="A514" s="62"/>
      <c r="B514" s="63"/>
      <c r="C514" s="106"/>
      <c r="D514" s="301"/>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1.25" customHeight="1">
      <c r="A515" s="62" t="s">
        <v>147</v>
      </c>
      <c r="B515" s="63"/>
      <c r="C515" s="109"/>
      <c r="D515" s="301"/>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1.25" customHeight="1">
      <c r="A516" s="62" t="s">
        <v>148</v>
      </c>
      <c r="B516" s="63"/>
      <c r="C516" s="106" t="s">
        <v>41</v>
      </c>
      <c r="D516" s="301">
        <f>'Proposed Rates'!J365</f>
        <v>2.5099999999999998</v>
      </c>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6.75" customHeight="1">
      <c r="A517" s="73"/>
      <c r="B517" s="73"/>
      <c r="C517" s="106"/>
      <c r="D517" s="92"/>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24" customHeight="1">
      <c r="A518" s="600" t="str">
        <f>$A$1</f>
        <v>Hydro Ottawa Limited</v>
      </c>
      <c r="B518" s="601"/>
      <c r="C518" s="601"/>
      <c r="D518" s="602"/>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75" customHeight="1">
      <c r="A519" s="603" t="str">
        <f>$A$2</f>
        <v>PROPOSED - TARIFF OF RATES AND CHARGES</v>
      </c>
      <c r="B519" s="601"/>
      <c r="C519" s="601"/>
      <c r="D519" s="602"/>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75" customHeight="1">
      <c r="A520" s="604" t="str">
        <f>$A$3</f>
        <v>Effective and Implementation Date January 1, 2030</v>
      </c>
      <c r="B520" s="601"/>
      <c r="C520" s="601"/>
      <c r="D520" s="602"/>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2" customHeight="1">
      <c r="A521" s="605" t="str">
        <f>$A$4</f>
        <v>This schedule supersedes and replaces all previously</v>
      </c>
      <c r="B521" s="601"/>
      <c r="C521" s="601"/>
      <c r="D521" s="602"/>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1.25" customHeight="1">
      <c r="A522" s="605" t="str">
        <f>$A$5</f>
        <v>approved schedules of Rates, Charges and Loss Factors</v>
      </c>
      <c r="B522" s="601"/>
      <c r="C522" s="601"/>
      <c r="D522" s="602"/>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1.25" customHeight="1">
      <c r="A523" s="606" t="str">
        <f>$A$6</f>
        <v>EB-2024-0115</v>
      </c>
      <c r="B523" s="601"/>
      <c r="C523" s="601"/>
      <c r="D523" s="602"/>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 customHeight="1">
      <c r="A524" s="110" t="s">
        <v>149</v>
      </c>
      <c r="B524" s="110"/>
      <c r="C524" s="111"/>
      <c r="D524" s="112"/>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6.75" customHeight="1">
      <c r="A525" s="110"/>
      <c r="B525" s="110"/>
      <c r="C525" s="111"/>
      <c r="D525" s="112"/>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22.5" customHeight="1">
      <c r="A526" s="617" t="s">
        <v>150</v>
      </c>
      <c r="B526" s="601"/>
      <c r="C526" s="601"/>
      <c r="D526" s="602"/>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1.25" customHeight="1">
      <c r="A527" s="612" t="s">
        <v>151</v>
      </c>
      <c r="B527" s="601"/>
      <c r="C527" s="602"/>
      <c r="D527" s="288">
        <f>'Proposed Rates'!J316</f>
        <v>1.0331999999999999</v>
      </c>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1.25" customHeight="1">
      <c r="A528" s="612" t="s">
        <v>152</v>
      </c>
      <c r="B528" s="601"/>
      <c r="C528" s="602"/>
      <c r="D528" s="288">
        <f>'Proposed Rates'!J317</f>
        <v>1.0149999999999999</v>
      </c>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1.25" customHeight="1">
      <c r="A529" s="612" t="s">
        <v>153</v>
      </c>
      <c r="B529" s="601"/>
      <c r="C529" s="602"/>
      <c r="D529" s="288">
        <f>'Proposed Rates'!J318</f>
        <v>1.0230999999999999</v>
      </c>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1.25" customHeight="1">
      <c r="A530" s="612" t="s">
        <v>154</v>
      </c>
      <c r="B530" s="601"/>
      <c r="C530" s="602"/>
      <c r="D530" s="288">
        <f>'Proposed Rates'!J319</f>
        <v>1.0047999999999999</v>
      </c>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27.5" customHeight="1">
      <c r="A531" s="53"/>
      <c r="B531" s="53"/>
      <c r="C531" s="53"/>
      <c r="D531" s="11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27.5" customHeight="1">
      <c r="A532" s="53"/>
      <c r="B532" s="53"/>
      <c r="C532" s="53"/>
      <c r="D532" s="11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27.5" customHeight="1">
      <c r="A533" s="53"/>
      <c r="B533" s="53"/>
      <c r="C533" s="53"/>
      <c r="D533" s="11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27.5" customHeight="1">
      <c r="A534" s="53"/>
      <c r="B534" s="53"/>
      <c r="C534" s="53"/>
      <c r="D534" s="11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27.5" customHeight="1">
      <c r="A535" s="53"/>
      <c r="B535" s="53"/>
      <c r="C535" s="53"/>
      <c r="D535" s="11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27.5" customHeight="1">
      <c r="A536" s="53"/>
      <c r="B536" s="53"/>
      <c r="C536" s="53"/>
      <c r="D536" s="11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27.5" customHeight="1">
      <c r="A537" s="53"/>
      <c r="B537" s="53"/>
      <c r="C537" s="53"/>
      <c r="D537" s="11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27.5" customHeight="1">
      <c r="A538" s="53"/>
      <c r="B538" s="53"/>
      <c r="C538" s="53"/>
      <c r="D538" s="11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27.5" customHeight="1">
      <c r="A539" s="53"/>
      <c r="B539" s="53"/>
      <c r="C539" s="53"/>
      <c r="D539" s="11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27.5" customHeight="1">
      <c r="A540" s="53"/>
      <c r="B540" s="53"/>
      <c r="C540" s="53"/>
      <c r="D540" s="11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27.5" customHeight="1">
      <c r="A541" s="53"/>
      <c r="B541" s="53"/>
      <c r="C541" s="53"/>
      <c r="D541" s="11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27.5" customHeight="1">
      <c r="A542" s="53"/>
      <c r="B542" s="53"/>
      <c r="C542" s="53"/>
      <c r="D542" s="11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27.5" customHeight="1">
      <c r="A543" s="53"/>
      <c r="B543" s="53"/>
      <c r="C543" s="53"/>
      <c r="D543" s="11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27.5" customHeight="1">
      <c r="A544" s="53"/>
      <c r="B544" s="53"/>
      <c r="C544" s="53"/>
      <c r="D544" s="11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27.5" customHeight="1">
      <c r="A545" s="53"/>
      <c r="B545" s="53"/>
      <c r="C545" s="53"/>
      <c r="D545" s="11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27.5" customHeight="1">
      <c r="A546" s="53"/>
      <c r="B546" s="53"/>
      <c r="C546" s="53"/>
      <c r="D546" s="11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27.5" customHeight="1">
      <c r="A547" s="53"/>
      <c r="B547" s="53"/>
      <c r="C547" s="53"/>
      <c r="D547" s="11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27.5" customHeight="1">
      <c r="A548" s="53"/>
      <c r="B548" s="53"/>
      <c r="C548" s="53"/>
      <c r="D548" s="11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27.5" customHeight="1">
      <c r="A549" s="53"/>
      <c r="B549" s="53"/>
      <c r="C549" s="53"/>
      <c r="D549" s="11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27.5" customHeight="1">
      <c r="A550" s="53"/>
      <c r="B550" s="53"/>
      <c r="C550" s="53"/>
      <c r="D550" s="11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27.5" customHeight="1">
      <c r="A551" s="53"/>
      <c r="B551" s="53"/>
      <c r="C551" s="53"/>
      <c r="D551" s="11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27.5" customHeight="1">
      <c r="A552" s="53"/>
      <c r="B552" s="53"/>
      <c r="C552" s="53"/>
      <c r="D552" s="11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27.5" customHeight="1">
      <c r="A553" s="53"/>
      <c r="B553" s="53"/>
      <c r="C553" s="53"/>
      <c r="D553" s="11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27.5" customHeight="1">
      <c r="A554" s="53"/>
      <c r="B554" s="53"/>
      <c r="C554" s="53"/>
      <c r="D554" s="11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27.5" customHeight="1">
      <c r="A555" s="53"/>
      <c r="B555" s="53"/>
      <c r="C555" s="53"/>
      <c r="D555" s="11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27.5" customHeight="1">
      <c r="A556" s="53"/>
      <c r="B556" s="53"/>
      <c r="C556" s="53"/>
      <c r="D556" s="11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27.5" customHeight="1">
      <c r="A557" s="53"/>
      <c r="B557" s="53"/>
      <c r="C557" s="53"/>
      <c r="D557" s="11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27.5" customHeight="1">
      <c r="A558" s="53"/>
      <c r="B558" s="53"/>
      <c r="C558" s="53"/>
      <c r="D558" s="11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27.5" customHeight="1">
      <c r="A559" s="53"/>
      <c r="B559" s="53"/>
      <c r="C559" s="53"/>
      <c r="D559" s="11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27.5" customHeight="1">
      <c r="A560" s="53"/>
      <c r="B560" s="53"/>
      <c r="C560" s="53"/>
      <c r="D560" s="11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27.5" customHeight="1">
      <c r="A561" s="53"/>
      <c r="B561" s="53"/>
      <c r="C561" s="53"/>
      <c r="D561" s="11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27.5" customHeight="1">
      <c r="A562" s="53"/>
      <c r="B562" s="53"/>
      <c r="C562" s="53"/>
      <c r="D562" s="11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27.5" customHeight="1">
      <c r="A563" s="53"/>
      <c r="B563" s="53"/>
      <c r="C563" s="53"/>
      <c r="D563" s="11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27.5" customHeight="1">
      <c r="A564" s="53"/>
      <c r="B564" s="53"/>
      <c r="C564" s="53"/>
      <c r="D564" s="11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27.5" customHeight="1">
      <c r="A565" s="53"/>
      <c r="B565" s="53"/>
      <c r="C565" s="53"/>
      <c r="D565" s="11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27.5" customHeight="1">
      <c r="A566" s="53"/>
      <c r="B566" s="53"/>
      <c r="C566" s="53"/>
      <c r="D566" s="11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27.5" customHeight="1">
      <c r="A567" s="53"/>
      <c r="B567" s="53"/>
      <c r="C567" s="53"/>
      <c r="D567" s="11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27.5" customHeight="1">
      <c r="A568" s="53"/>
      <c r="B568" s="53"/>
      <c r="C568" s="53"/>
      <c r="D568" s="11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27.5" customHeight="1">
      <c r="A569" s="53"/>
      <c r="B569" s="53"/>
      <c r="C569" s="53"/>
      <c r="D569" s="11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27.5" customHeight="1">
      <c r="A570" s="53"/>
      <c r="B570" s="53"/>
      <c r="C570" s="53"/>
      <c r="D570" s="11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27.5" customHeight="1">
      <c r="A571" s="53"/>
      <c r="B571" s="53"/>
      <c r="C571" s="53"/>
      <c r="D571" s="11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27.5" customHeight="1">
      <c r="A572" s="53"/>
      <c r="B572" s="53"/>
      <c r="C572" s="53"/>
      <c r="D572" s="11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27.5" customHeight="1">
      <c r="A573" s="53"/>
      <c r="B573" s="53"/>
      <c r="C573" s="53"/>
      <c r="D573" s="11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27.5" customHeight="1">
      <c r="A574" s="53"/>
      <c r="B574" s="53"/>
      <c r="C574" s="53"/>
      <c r="D574" s="11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27.5" customHeight="1">
      <c r="A575" s="53"/>
      <c r="B575" s="53"/>
      <c r="C575" s="53"/>
      <c r="D575" s="11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27.5" customHeight="1">
      <c r="A576" s="53"/>
      <c r="B576" s="53"/>
      <c r="C576" s="53"/>
      <c r="D576" s="11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27.5" customHeight="1">
      <c r="A577" s="53"/>
      <c r="B577" s="53"/>
      <c r="C577" s="53"/>
      <c r="D577" s="11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27.5" customHeight="1">
      <c r="A578" s="53"/>
      <c r="B578" s="53"/>
      <c r="C578" s="53"/>
      <c r="D578" s="11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27.5" customHeight="1">
      <c r="A579" s="53"/>
      <c r="B579" s="53"/>
      <c r="C579" s="53"/>
      <c r="D579" s="11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27.5" customHeight="1">
      <c r="A580" s="53"/>
      <c r="B580" s="53"/>
      <c r="C580" s="53"/>
      <c r="D580" s="11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27.5" customHeight="1">
      <c r="A581" s="53"/>
      <c r="B581" s="53"/>
      <c r="C581" s="53"/>
      <c r="D581" s="11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27.5" customHeight="1">
      <c r="A582" s="53"/>
      <c r="B582" s="53"/>
      <c r="C582" s="53"/>
      <c r="D582" s="11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27.5" customHeight="1">
      <c r="A583" s="53"/>
      <c r="B583" s="53"/>
      <c r="C583" s="53"/>
      <c r="D583" s="11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27.5" customHeight="1">
      <c r="A584" s="53"/>
      <c r="B584" s="53"/>
      <c r="C584" s="53"/>
      <c r="D584" s="11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27.5" customHeight="1">
      <c r="A585" s="53"/>
      <c r="B585" s="53"/>
      <c r="C585" s="53"/>
      <c r="D585" s="11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27.5" customHeight="1">
      <c r="A586" s="53"/>
      <c r="B586" s="53"/>
      <c r="C586" s="53"/>
      <c r="D586" s="11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27.5" customHeight="1">
      <c r="A587" s="53"/>
      <c r="B587" s="53"/>
      <c r="C587" s="53"/>
      <c r="D587" s="11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27.5" customHeight="1">
      <c r="A588" s="53"/>
      <c r="B588" s="53"/>
      <c r="C588" s="53"/>
      <c r="D588" s="11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27.5" customHeight="1">
      <c r="A589" s="53"/>
      <c r="B589" s="53"/>
      <c r="C589" s="53"/>
      <c r="D589" s="11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27.5" customHeight="1">
      <c r="A590" s="53"/>
      <c r="B590" s="53"/>
      <c r="C590" s="53"/>
      <c r="D590" s="11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27.5" customHeight="1">
      <c r="A591" s="53"/>
      <c r="B591" s="53"/>
      <c r="C591" s="53"/>
      <c r="D591" s="11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27.5" customHeight="1">
      <c r="A592" s="53"/>
      <c r="B592" s="53"/>
      <c r="C592" s="53"/>
      <c r="D592" s="11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27.5" customHeight="1">
      <c r="A593" s="53"/>
      <c r="B593" s="53"/>
      <c r="C593" s="53"/>
      <c r="D593" s="11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27.5" customHeight="1">
      <c r="A594" s="53"/>
      <c r="B594" s="53"/>
      <c r="C594" s="53"/>
      <c r="D594" s="11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27.5" customHeight="1">
      <c r="A595" s="53"/>
      <c r="B595" s="53"/>
      <c r="C595" s="53"/>
      <c r="D595" s="11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27.5" customHeight="1">
      <c r="A596" s="53"/>
      <c r="B596" s="53"/>
      <c r="C596" s="53"/>
      <c r="D596" s="11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27.5" customHeight="1">
      <c r="A597" s="53"/>
      <c r="B597" s="53"/>
      <c r="C597" s="53"/>
      <c r="D597" s="11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27.5" customHeight="1">
      <c r="A598" s="53"/>
      <c r="B598" s="53"/>
      <c r="C598" s="53"/>
      <c r="D598" s="11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27.5" customHeight="1">
      <c r="A599" s="53"/>
      <c r="B599" s="53"/>
      <c r="C599" s="53"/>
      <c r="D599" s="11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27.5" customHeight="1">
      <c r="A600" s="53"/>
      <c r="B600" s="53"/>
      <c r="C600" s="53"/>
      <c r="D600" s="11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27.5" customHeight="1">
      <c r="A601" s="53"/>
      <c r="B601" s="53"/>
      <c r="C601" s="53"/>
      <c r="D601" s="11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27.5" customHeight="1">
      <c r="A602" s="53"/>
      <c r="B602" s="53"/>
      <c r="C602" s="53"/>
      <c r="D602" s="11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27.5" customHeight="1">
      <c r="A603" s="53"/>
      <c r="B603" s="53"/>
      <c r="C603" s="53"/>
      <c r="D603" s="11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27.5" customHeight="1">
      <c r="A604" s="53"/>
      <c r="B604" s="53"/>
      <c r="C604" s="53"/>
      <c r="D604" s="11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27.5" customHeight="1">
      <c r="A605" s="53"/>
      <c r="B605" s="53"/>
      <c r="C605" s="53"/>
      <c r="D605" s="11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27.5" customHeight="1">
      <c r="A606" s="53"/>
      <c r="B606" s="53"/>
      <c r="C606" s="53"/>
      <c r="D606" s="11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27.5" customHeight="1">
      <c r="A607" s="53"/>
      <c r="B607" s="53"/>
      <c r="C607" s="53"/>
      <c r="D607" s="11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27.5" customHeight="1">
      <c r="A608" s="53"/>
      <c r="B608" s="53"/>
      <c r="C608" s="53"/>
      <c r="D608" s="11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27.5" customHeight="1">
      <c r="A609" s="53"/>
      <c r="B609" s="53"/>
      <c r="C609" s="53"/>
      <c r="D609" s="11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27.5" customHeight="1">
      <c r="A610" s="53"/>
      <c r="B610" s="53"/>
      <c r="C610" s="53"/>
      <c r="D610" s="11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27.5" customHeight="1">
      <c r="A611" s="53"/>
      <c r="B611" s="53"/>
      <c r="C611" s="53"/>
      <c r="D611" s="11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27.5" customHeight="1">
      <c r="A612" s="53"/>
      <c r="B612" s="53"/>
      <c r="C612" s="53"/>
      <c r="D612" s="11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27.5" customHeight="1">
      <c r="A613" s="53"/>
      <c r="B613" s="53"/>
      <c r="C613" s="53"/>
      <c r="D613" s="11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27.5" customHeight="1">
      <c r="A614" s="53"/>
      <c r="B614" s="53"/>
      <c r="C614" s="53"/>
      <c r="D614" s="11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27.5" customHeight="1">
      <c r="A615" s="53"/>
      <c r="B615" s="53"/>
      <c r="C615" s="53"/>
      <c r="D615" s="11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27.5" customHeight="1">
      <c r="A616" s="53"/>
      <c r="B616" s="53"/>
      <c r="C616" s="53"/>
      <c r="D616" s="11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27.5" customHeight="1">
      <c r="A617" s="53"/>
      <c r="B617" s="53"/>
      <c r="C617" s="53"/>
      <c r="D617" s="11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27.5" customHeight="1">
      <c r="A618" s="53"/>
      <c r="B618" s="53"/>
      <c r="C618" s="53"/>
      <c r="D618" s="11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27.5" customHeight="1">
      <c r="A619" s="53"/>
      <c r="B619" s="53"/>
      <c r="C619" s="53"/>
      <c r="D619" s="11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27.5" customHeight="1">
      <c r="A620" s="53"/>
      <c r="B620" s="53"/>
      <c r="C620" s="53"/>
      <c r="D620" s="11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27.5" customHeight="1">
      <c r="A621" s="53"/>
      <c r="B621" s="53"/>
      <c r="C621" s="53"/>
      <c r="D621" s="11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27.5" customHeight="1">
      <c r="A622" s="53"/>
      <c r="B622" s="53"/>
      <c r="C622" s="53"/>
      <c r="D622" s="11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27.5" customHeight="1">
      <c r="A623" s="53"/>
      <c r="B623" s="53"/>
      <c r="C623" s="53"/>
      <c r="D623" s="11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27.5" customHeight="1">
      <c r="A624" s="53"/>
      <c r="B624" s="53"/>
      <c r="C624" s="53"/>
      <c r="D624" s="11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27.5" customHeight="1">
      <c r="A625" s="53"/>
      <c r="B625" s="53"/>
      <c r="C625" s="53"/>
      <c r="D625" s="11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27.5" customHeight="1">
      <c r="A626" s="53"/>
      <c r="B626" s="53"/>
      <c r="C626" s="53"/>
      <c r="D626" s="11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27.5" customHeight="1">
      <c r="A627" s="53"/>
      <c r="B627" s="53"/>
      <c r="C627" s="53"/>
      <c r="D627" s="11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27.5" customHeight="1">
      <c r="A628" s="53"/>
      <c r="B628" s="53"/>
      <c r="C628" s="53"/>
      <c r="D628" s="11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27.5" customHeight="1">
      <c r="A629" s="53"/>
      <c r="B629" s="53"/>
      <c r="C629" s="53"/>
      <c r="D629" s="11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27.5" customHeight="1">
      <c r="A630" s="53"/>
      <c r="B630" s="53"/>
      <c r="C630" s="53"/>
      <c r="D630" s="11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27.5" customHeight="1">
      <c r="A631" s="53"/>
      <c r="B631" s="53"/>
      <c r="C631" s="53"/>
      <c r="D631" s="11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27.5" customHeight="1">
      <c r="A632" s="53"/>
      <c r="B632" s="53"/>
      <c r="C632" s="53"/>
      <c r="D632" s="11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27.5" customHeight="1">
      <c r="A633" s="53"/>
      <c r="B633" s="53"/>
      <c r="C633" s="53"/>
      <c r="D633" s="11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27.5" customHeight="1">
      <c r="A634" s="53"/>
      <c r="B634" s="53"/>
      <c r="C634" s="53"/>
      <c r="D634" s="11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27.5" customHeight="1">
      <c r="A635" s="53"/>
      <c r="B635" s="53"/>
      <c r="C635" s="53"/>
      <c r="D635" s="11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27.5" customHeight="1">
      <c r="A636" s="53"/>
      <c r="B636" s="53"/>
      <c r="C636" s="53"/>
      <c r="D636" s="11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27.5" customHeight="1">
      <c r="A637" s="53"/>
      <c r="B637" s="53"/>
      <c r="C637" s="53"/>
      <c r="D637" s="11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27.5" customHeight="1">
      <c r="A638" s="53"/>
      <c r="B638" s="53"/>
      <c r="C638" s="53"/>
      <c r="D638" s="11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27.5" customHeight="1">
      <c r="A639" s="53"/>
      <c r="B639" s="53"/>
      <c r="C639" s="53"/>
      <c r="D639" s="11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27.5" customHeight="1">
      <c r="A640" s="53"/>
      <c r="B640" s="53"/>
      <c r="C640" s="53"/>
      <c r="D640" s="11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27.5" customHeight="1">
      <c r="A641" s="53"/>
      <c r="B641" s="53"/>
      <c r="C641" s="53"/>
      <c r="D641" s="11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27.5" customHeight="1">
      <c r="A642" s="53"/>
      <c r="B642" s="53"/>
      <c r="C642" s="53"/>
      <c r="D642" s="11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27.5" customHeight="1">
      <c r="A643" s="53"/>
      <c r="B643" s="53"/>
      <c r="C643" s="53"/>
      <c r="D643" s="11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27.5" customHeight="1">
      <c r="A644" s="53"/>
      <c r="B644" s="53"/>
      <c r="C644" s="53"/>
      <c r="D644" s="11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27.5" customHeight="1">
      <c r="A645" s="53"/>
      <c r="B645" s="53"/>
      <c r="C645" s="53"/>
      <c r="D645" s="11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27.5" customHeight="1">
      <c r="A646" s="53"/>
      <c r="B646" s="53"/>
      <c r="C646" s="53"/>
      <c r="D646" s="11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27.5" customHeight="1">
      <c r="A647" s="53"/>
      <c r="B647" s="53"/>
      <c r="C647" s="53"/>
      <c r="D647" s="11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27.5" customHeight="1">
      <c r="A648" s="53"/>
      <c r="B648" s="53"/>
      <c r="C648" s="53"/>
      <c r="D648" s="11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27.5" customHeight="1">
      <c r="A649" s="53"/>
      <c r="B649" s="53"/>
      <c r="C649" s="53"/>
      <c r="D649" s="11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27.5" customHeight="1">
      <c r="A650" s="53"/>
      <c r="B650" s="53"/>
      <c r="C650" s="53"/>
      <c r="D650" s="11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27.5" customHeight="1">
      <c r="A651" s="53"/>
      <c r="B651" s="53"/>
      <c r="C651" s="53"/>
      <c r="D651" s="11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27.5" customHeight="1">
      <c r="A652" s="53"/>
      <c r="B652" s="53"/>
      <c r="C652" s="53"/>
      <c r="D652" s="11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27.5" customHeight="1">
      <c r="A653" s="53"/>
      <c r="B653" s="53"/>
      <c r="C653" s="53"/>
      <c r="D653" s="11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27.5" customHeight="1">
      <c r="A654" s="53"/>
      <c r="B654" s="53"/>
      <c r="C654" s="53"/>
      <c r="D654" s="11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27.5" customHeight="1">
      <c r="A655" s="53"/>
      <c r="B655" s="53"/>
      <c r="C655" s="53"/>
      <c r="D655" s="11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27.5" customHeight="1">
      <c r="A656" s="53"/>
      <c r="B656" s="53"/>
      <c r="C656" s="53"/>
      <c r="D656" s="11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53"/>
      <c r="B657" s="53"/>
      <c r="C657" s="53"/>
      <c r="D657" s="11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53"/>
      <c r="B658" s="53"/>
      <c r="C658" s="53"/>
      <c r="D658" s="11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53"/>
      <c r="B659" s="53"/>
      <c r="C659" s="53"/>
      <c r="D659" s="11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53"/>
      <c r="B660" s="53"/>
      <c r="C660" s="53"/>
      <c r="D660" s="11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53"/>
      <c r="B661" s="53"/>
      <c r="C661" s="53"/>
      <c r="D661" s="11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53"/>
      <c r="B662" s="53"/>
      <c r="C662" s="53"/>
      <c r="D662" s="11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53"/>
      <c r="B663" s="53"/>
      <c r="C663" s="53"/>
      <c r="D663" s="11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53"/>
      <c r="B664" s="53"/>
      <c r="C664" s="53"/>
      <c r="D664" s="11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53"/>
      <c r="B665" s="53"/>
      <c r="C665" s="53"/>
      <c r="D665" s="11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53"/>
      <c r="B666" s="53"/>
      <c r="C666" s="53"/>
      <c r="D666" s="11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53"/>
      <c r="B667" s="53"/>
      <c r="C667" s="53"/>
      <c r="D667" s="11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53"/>
      <c r="B668" s="53"/>
      <c r="C668" s="53"/>
      <c r="D668" s="11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53"/>
      <c r="B669" s="53"/>
      <c r="C669" s="53"/>
      <c r="D669" s="11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53"/>
      <c r="B670" s="53"/>
      <c r="C670" s="53"/>
      <c r="D670" s="11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53"/>
      <c r="B671" s="53"/>
      <c r="C671" s="53"/>
      <c r="D671" s="11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53"/>
      <c r="B672" s="53"/>
      <c r="C672" s="53"/>
      <c r="D672" s="11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53"/>
      <c r="B673" s="53"/>
      <c r="C673" s="53"/>
      <c r="D673" s="11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53"/>
      <c r="B674" s="53"/>
      <c r="C674" s="53"/>
      <c r="D674" s="11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53"/>
      <c r="B675" s="53"/>
      <c r="C675" s="53"/>
      <c r="D675" s="11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53"/>
      <c r="B676" s="53"/>
      <c r="C676" s="53"/>
      <c r="D676" s="11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53"/>
      <c r="B677" s="53"/>
      <c r="C677" s="53"/>
      <c r="D677" s="11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53"/>
      <c r="B678" s="53"/>
      <c r="C678" s="53"/>
      <c r="D678" s="11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53"/>
      <c r="B679" s="53"/>
      <c r="C679" s="53"/>
      <c r="D679" s="11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53"/>
      <c r="B680" s="53"/>
      <c r="C680" s="53"/>
      <c r="D680" s="11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53"/>
      <c r="B681" s="53"/>
      <c r="C681" s="53"/>
      <c r="D681" s="11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53"/>
      <c r="B682" s="53"/>
      <c r="C682" s="53"/>
      <c r="D682" s="11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53"/>
      <c r="B683" s="53"/>
      <c r="C683" s="53"/>
      <c r="D683" s="11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53"/>
      <c r="B684" s="53"/>
      <c r="C684" s="53"/>
      <c r="D684" s="11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53"/>
      <c r="B685" s="53"/>
      <c r="C685" s="53"/>
      <c r="D685" s="11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53"/>
      <c r="B686" s="53"/>
      <c r="C686" s="53"/>
      <c r="D686" s="11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53"/>
      <c r="B687" s="53"/>
      <c r="C687" s="53"/>
      <c r="D687" s="11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53"/>
      <c r="B688" s="53"/>
      <c r="C688" s="53"/>
      <c r="D688" s="11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53"/>
      <c r="B689" s="53"/>
      <c r="C689" s="53"/>
      <c r="D689" s="11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53"/>
      <c r="B690" s="53"/>
      <c r="C690" s="53"/>
      <c r="D690" s="11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53"/>
      <c r="B691" s="53"/>
      <c r="C691" s="53"/>
      <c r="D691" s="11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53"/>
      <c r="B692" s="53"/>
      <c r="C692" s="53"/>
      <c r="D692" s="11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53"/>
      <c r="B693" s="53"/>
      <c r="C693" s="53"/>
      <c r="D693" s="11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53"/>
      <c r="B694" s="53"/>
      <c r="C694" s="53"/>
      <c r="D694" s="11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53"/>
      <c r="B695" s="53"/>
      <c r="C695" s="53"/>
      <c r="D695" s="11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53"/>
      <c r="B696" s="53"/>
      <c r="C696" s="53"/>
      <c r="D696" s="11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53"/>
      <c r="B697" s="53"/>
      <c r="C697" s="53"/>
      <c r="D697" s="11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53"/>
      <c r="B698" s="53"/>
      <c r="C698" s="53"/>
      <c r="D698" s="11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53"/>
      <c r="B699" s="53"/>
      <c r="C699" s="53"/>
      <c r="D699" s="11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53"/>
      <c r="B700" s="53"/>
      <c r="C700" s="53"/>
      <c r="D700" s="11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53"/>
      <c r="B701" s="53"/>
      <c r="C701" s="53"/>
      <c r="D701" s="11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53"/>
      <c r="B702" s="53"/>
      <c r="C702" s="53"/>
      <c r="D702" s="11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53"/>
      <c r="B703" s="53"/>
      <c r="C703" s="53"/>
      <c r="D703" s="11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53"/>
      <c r="B704" s="53"/>
      <c r="C704" s="53"/>
      <c r="D704" s="11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53"/>
      <c r="B705" s="53"/>
      <c r="C705" s="53"/>
      <c r="D705" s="11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53"/>
      <c r="B706" s="53"/>
      <c r="C706" s="53"/>
      <c r="D706" s="11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53"/>
      <c r="B707" s="53"/>
      <c r="C707" s="53"/>
      <c r="D707" s="11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53"/>
      <c r="B708" s="53"/>
      <c r="C708" s="53"/>
      <c r="D708" s="11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53"/>
      <c r="B709" s="53"/>
      <c r="C709" s="53"/>
      <c r="D709" s="11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53"/>
      <c r="B710" s="53"/>
      <c r="C710" s="53"/>
      <c r="D710" s="11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53"/>
      <c r="B711" s="53"/>
      <c r="C711" s="53"/>
      <c r="D711" s="11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53"/>
      <c r="B712" s="53"/>
      <c r="C712" s="53"/>
      <c r="D712" s="11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53"/>
      <c r="B713" s="53"/>
      <c r="C713" s="53"/>
      <c r="D713" s="11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53"/>
      <c r="B714" s="53"/>
      <c r="C714" s="53"/>
      <c r="D714" s="11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53"/>
      <c r="B715" s="53"/>
      <c r="C715" s="53"/>
      <c r="D715" s="11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53"/>
      <c r="B716" s="53"/>
      <c r="C716" s="53"/>
      <c r="D716" s="11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53"/>
      <c r="B717" s="53"/>
      <c r="C717" s="53"/>
      <c r="D717" s="11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53"/>
      <c r="B718" s="53"/>
      <c r="C718" s="53"/>
      <c r="D718" s="11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53"/>
      <c r="B719" s="53"/>
      <c r="C719" s="53"/>
      <c r="D719" s="11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53"/>
      <c r="B720" s="53"/>
      <c r="C720" s="53"/>
      <c r="D720" s="11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53"/>
      <c r="B721" s="53"/>
      <c r="C721" s="53"/>
      <c r="D721" s="11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53"/>
      <c r="B722" s="53"/>
      <c r="C722" s="53"/>
      <c r="D722" s="11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53"/>
      <c r="B723" s="53"/>
      <c r="C723" s="53"/>
      <c r="D723" s="11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53"/>
      <c r="B724" s="53"/>
      <c r="C724" s="53"/>
      <c r="D724" s="11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53"/>
      <c r="B725" s="53"/>
      <c r="C725" s="53"/>
      <c r="D725" s="11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53"/>
      <c r="B726" s="53"/>
      <c r="C726" s="53"/>
      <c r="D726" s="11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c r="A727" s="53"/>
      <c r="B727" s="53"/>
      <c r="C727" s="53"/>
      <c r="D727" s="11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customHeight="1">
      <c r="A728" s="53"/>
      <c r="B728" s="53"/>
      <c r="C728" s="53"/>
      <c r="D728" s="11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customHeight="1">
      <c r="A729" s="53"/>
      <c r="B729" s="53"/>
      <c r="C729" s="53"/>
      <c r="D729" s="11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customHeight="1">
      <c r="A730" s="53"/>
      <c r="B730" s="53"/>
      <c r="C730" s="53"/>
      <c r="D730" s="11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customHeight="1"/>
    <row r="732" spans="1:26" ht="15.75" customHeight="1"/>
    <row r="733" spans="1:26" ht="15.75" customHeight="1"/>
    <row r="734" spans="1:26" ht="15.75" customHeight="1"/>
    <row r="735" spans="1:26" ht="15.75" customHeight="1"/>
    <row r="736" spans="1:2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48">
    <mergeCell ref="A423:D423"/>
    <mergeCell ref="A425:D425"/>
    <mergeCell ref="A427:D427"/>
    <mergeCell ref="A429:D429"/>
    <mergeCell ref="A431:D431"/>
    <mergeCell ref="A433:D433"/>
    <mergeCell ref="A435:B435"/>
    <mergeCell ref="A412:B412"/>
    <mergeCell ref="A414:D414"/>
    <mergeCell ref="A415:D415"/>
    <mergeCell ref="A416:D416"/>
    <mergeCell ref="A417:D417"/>
    <mergeCell ref="A418:D418"/>
    <mergeCell ref="A419:D419"/>
    <mergeCell ref="A420:D420"/>
    <mergeCell ref="A421:D421"/>
    <mergeCell ref="A396:D396"/>
    <mergeCell ref="A397:D397"/>
    <mergeCell ref="A398:D398"/>
    <mergeCell ref="A400:D400"/>
    <mergeCell ref="A402:D402"/>
    <mergeCell ref="A404:D404"/>
    <mergeCell ref="A406:D406"/>
    <mergeCell ref="A408:D408"/>
    <mergeCell ref="A410:D410"/>
    <mergeCell ref="A383:D383"/>
    <mergeCell ref="A385:D385"/>
    <mergeCell ref="A387:D387"/>
    <mergeCell ref="A389:B389"/>
    <mergeCell ref="A391:D391"/>
    <mergeCell ref="A392:D392"/>
    <mergeCell ref="A393:D393"/>
    <mergeCell ref="A394:D394"/>
    <mergeCell ref="A395:D395"/>
    <mergeCell ref="A528:C528"/>
    <mergeCell ref="A529:C529"/>
    <mergeCell ref="A530:C530"/>
    <mergeCell ref="A519:D519"/>
    <mergeCell ref="A520:D520"/>
    <mergeCell ref="A521:D521"/>
    <mergeCell ref="A522:D522"/>
    <mergeCell ref="A523:D523"/>
    <mergeCell ref="A526:D526"/>
    <mergeCell ref="A527:C527"/>
    <mergeCell ref="A485:D485"/>
    <mergeCell ref="A486:D486"/>
    <mergeCell ref="A487:D487"/>
    <mergeCell ref="A490:D490"/>
    <mergeCell ref="A492:D492"/>
    <mergeCell ref="A494:D494"/>
    <mergeCell ref="A496:D496"/>
    <mergeCell ref="A498:D498"/>
    <mergeCell ref="A518:D518"/>
    <mergeCell ref="A475:B475"/>
    <mergeCell ref="A476:B476"/>
    <mergeCell ref="A477:B477"/>
    <mergeCell ref="A479:B479"/>
    <mergeCell ref="A480:B480"/>
    <mergeCell ref="A481:B481"/>
    <mergeCell ref="A482:D482"/>
    <mergeCell ref="A483:D483"/>
    <mergeCell ref="A484:D484"/>
    <mergeCell ref="A462:B462"/>
    <mergeCell ref="A463:B463"/>
    <mergeCell ref="A464:B464"/>
    <mergeCell ref="A465:B465"/>
    <mergeCell ref="A468:B468"/>
    <mergeCell ref="A469:B469"/>
    <mergeCell ref="A470:B470"/>
    <mergeCell ref="A471:B471"/>
    <mergeCell ref="A472:B472"/>
    <mergeCell ref="A445:D445"/>
    <mergeCell ref="A448:D448"/>
    <mergeCell ref="A450:D450"/>
    <mergeCell ref="A452:D452"/>
    <mergeCell ref="A454:D454"/>
    <mergeCell ref="A457:B457"/>
    <mergeCell ref="A459:B459"/>
    <mergeCell ref="A460:B460"/>
    <mergeCell ref="A461:B461"/>
    <mergeCell ref="A354:D354"/>
    <mergeCell ref="A356:D356"/>
    <mergeCell ref="A358:D358"/>
    <mergeCell ref="A438:B438"/>
    <mergeCell ref="A440:D440"/>
    <mergeCell ref="A441:D441"/>
    <mergeCell ref="A442:D442"/>
    <mergeCell ref="A443:D443"/>
    <mergeCell ref="A444:D444"/>
    <mergeCell ref="A360:D360"/>
    <mergeCell ref="A362:D362"/>
    <mergeCell ref="A364:D364"/>
    <mergeCell ref="A366:B366"/>
    <mergeCell ref="A368:D368"/>
    <mergeCell ref="A369:D369"/>
    <mergeCell ref="A370:D370"/>
    <mergeCell ref="A371:D371"/>
    <mergeCell ref="A372:D372"/>
    <mergeCell ref="A373:D373"/>
    <mergeCell ref="A374:D374"/>
    <mergeCell ref="A375:D375"/>
    <mergeCell ref="A377:D377"/>
    <mergeCell ref="A379:D379"/>
    <mergeCell ref="A381:D381"/>
    <mergeCell ref="A326:D326"/>
    <mergeCell ref="A345:D345"/>
    <mergeCell ref="A346:D346"/>
    <mergeCell ref="A347:D347"/>
    <mergeCell ref="A348:D348"/>
    <mergeCell ref="A349:D349"/>
    <mergeCell ref="A350:D350"/>
    <mergeCell ref="A351:D351"/>
    <mergeCell ref="A352:D352"/>
    <mergeCell ref="A311:D311"/>
    <mergeCell ref="A312:D312"/>
    <mergeCell ref="A313:D313"/>
    <mergeCell ref="A314:D314"/>
    <mergeCell ref="A316:D316"/>
    <mergeCell ref="A318:D318"/>
    <mergeCell ref="A320:D320"/>
    <mergeCell ref="A322:D322"/>
    <mergeCell ref="A324:D324"/>
    <mergeCell ref="A281:D281"/>
    <mergeCell ref="A283:D283"/>
    <mergeCell ref="A285:D285"/>
    <mergeCell ref="A287:D287"/>
    <mergeCell ref="A289:D289"/>
    <mergeCell ref="A307:D307"/>
    <mergeCell ref="A308:D308"/>
    <mergeCell ref="A309:D309"/>
    <mergeCell ref="A310:D310"/>
    <mergeCell ref="A270:D270"/>
    <mergeCell ref="A271:D271"/>
    <mergeCell ref="A272:D272"/>
    <mergeCell ref="A273:D273"/>
    <mergeCell ref="A274:D274"/>
    <mergeCell ref="A275:D275"/>
    <mergeCell ref="A276:D276"/>
    <mergeCell ref="A277:D277"/>
    <mergeCell ref="A279:D279"/>
    <mergeCell ref="A255:D255"/>
    <mergeCell ref="A257:D257"/>
    <mergeCell ref="A259:D259"/>
    <mergeCell ref="A261:D261"/>
    <mergeCell ref="A263:D263"/>
    <mergeCell ref="A265:B265"/>
    <mergeCell ref="A266:B266"/>
    <mergeCell ref="A267:B267"/>
    <mergeCell ref="A268:B268"/>
    <mergeCell ref="A244:D244"/>
    <mergeCell ref="A245:D245"/>
    <mergeCell ref="A246:D246"/>
    <mergeCell ref="A247:D247"/>
    <mergeCell ref="A248:D248"/>
    <mergeCell ref="A249:D249"/>
    <mergeCell ref="A250:D250"/>
    <mergeCell ref="A251:D251"/>
    <mergeCell ref="A253:D253"/>
    <mergeCell ref="A211:D211"/>
    <mergeCell ref="A212:D212"/>
    <mergeCell ref="A213:D213"/>
    <mergeCell ref="A214:D214"/>
    <mergeCell ref="A216:D216"/>
    <mergeCell ref="A218:D218"/>
    <mergeCell ref="A220:D220"/>
    <mergeCell ref="A222:D222"/>
    <mergeCell ref="A224:D224"/>
    <mergeCell ref="A183:D183"/>
    <mergeCell ref="A184:D184"/>
    <mergeCell ref="A185:D185"/>
    <mergeCell ref="A186:D186"/>
    <mergeCell ref="A188:D188"/>
    <mergeCell ref="A207:D207"/>
    <mergeCell ref="A208:D208"/>
    <mergeCell ref="A209:D209"/>
    <mergeCell ref="A210:D210"/>
    <mergeCell ref="A169:D169"/>
    <mergeCell ref="A170:D170"/>
    <mergeCell ref="A171:D171"/>
    <mergeCell ref="A172:D172"/>
    <mergeCell ref="A173:D173"/>
    <mergeCell ref="A175:D175"/>
    <mergeCell ref="A177:D177"/>
    <mergeCell ref="A179:D179"/>
    <mergeCell ref="A181:D181"/>
    <mergeCell ref="A137:D137"/>
    <mergeCell ref="A139:D139"/>
    <mergeCell ref="A140:D140"/>
    <mergeCell ref="A141:D141"/>
    <mergeCell ref="A142:D142"/>
    <mergeCell ref="A144:D144"/>
    <mergeCell ref="A166:D166"/>
    <mergeCell ref="A167:D167"/>
    <mergeCell ref="A168:D168"/>
    <mergeCell ref="A124:D124"/>
    <mergeCell ref="A125:D125"/>
    <mergeCell ref="A126:D126"/>
    <mergeCell ref="A127:D127"/>
    <mergeCell ref="A128:D128"/>
    <mergeCell ref="A129:D129"/>
    <mergeCell ref="A131:D131"/>
    <mergeCell ref="A133:D133"/>
    <mergeCell ref="A135:D135"/>
    <mergeCell ref="A91:D91"/>
    <mergeCell ref="A93:D93"/>
    <mergeCell ref="A95:D95"/>
    <mergeCell ref="A96:D96"/>
    <mergeCell ref="A97:D97"/>
    <mergeCell ref="A98:D98"/>
    <mergeCell ref="A100:D100"/>
    <mergeCell ref="A122:D122"/>
    <mergeCell ref="A123:D123"/>
    <mergeCell ref="A79:D79"/>
    <mergeCell ref="A80:D80"/>
    <mergeCell ref="A81:D81"/>
    <mergeCell ref="A82:D82"/>
    <mergeCell ref="A83:D83"/>
    <mergeCell ref="A84:D84"/>
    <mergeCell ref="A85:D85"/>
    <mergeCell ref="A87:D87"/>
    <mergeCell ref="A89:D89"/>
    <mergeCell ref="A44:D44"/>
    <mergeCell ref="A45:D45"/>
    <mergeCell ref="A46:D46"/>
    <mergeCell ref="A48:D48"/>
    <mergeCell ref="A50:D50"/>
    <mergeCell ref="A52:D52"/>
    <mergeCell ref="A54:D54"/>
    <mergeCell ref="A56:D56"/>
    <mergeCell ref="A78:D78"/>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orientation="portrait"/>
  <rowBreaks count="13" manualBreakCount="13">
    <brk id="481" man="1"/>
    <brk id="517" man="1"/>
    <brk id="38" man="1"/>
    <brk id="390" man="1"/>
    <brk id="77" man="1"/>
    <brk id="269" man="1"/>
    <brk id="367" man="1"/>
    <brk id="306" man="1"/>
    <brk id="243" man="1"/>
    <brk id="439" man="1"/>
    <brk id="344" man="1"/>
    <brk id="121" man="1"/>
    <brk id="4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4"/>
  <sheetViews>
    <sheetView workbookViewId="0">
      <pane ySplit="4" topLeftCell="A96" activePane="bottomLeft" state="frozen"/>
      <selection pane="bottomLeft" activeCell="G378" sqref="G378"/>
    </sheetView>
  </sheetViews>
  <sheetFormatPr defaultColWidth="12.5703125" defaultRowHeight="15" customHeight="1"/>
  <cols>
    <col min="1" max="1" width="6.140625" customWidth="1"/>
    <col min="2" max="2" width="42.42578125" customWidth="1"/>
    <col min="3" max="3" width="45.28515625" customWidth="1"/>
    <col min="4" max="4" width="77.85546875" customWidth="1"/>
    <col min="5" max="11" width="14.85546875" customWidth="1"/>
    <col min="12" max="26" width="12.42578125" customWidth="1"/>
  </cols>
  <sheetData>
    <row r="1" spans="1:26" ht="12" customHeight="1">
      <c r="A1" s="52"/>
      <c r="B1" s="52"/>
      <c r="C1" s="52"/>
      <c r="D1" s="3"/>
      <c r="E1" s="306"/>
      <c r="F1" s="3"/>
      <c r="G1" s="3"/>
      <c r="H1" s="3"/>
      <c r="I1" s="3"/>
      <c r="J1" s="3"/>
      <c r="K1" s="3"/>
      <c r="L1" s="3"/>
      <c r="M1" s="3"/>
      <c r="N1" s="3"/>
      <c r="O1" s="3"/>
      <c r="P1" s="3"/>
      <c r="Q1" s="3"/>
      <c r="R1" s="3"/>
      <c r="S1" s="3"/>
      <c r="T1" s="3"/>
      <c r="U1" s="3"/>
      <c r="V1" s="3"/>
      <c r="W1" s="3"/>
      <c r="X1" s="3"/>
      <c r="Y1" s="3"/>
      <c r="Z1" s="3"/>
    </row>
    <row r="2" spans="1:26" ht="12" customHeight="1">
      <c r="A2" s="307" t="s">
        <v>217</v>
      </c>
      <c r="B2" s="52"/>
      <c r="C2" s="52"/>
      <c r="D2" s="3"/>
      <c r="E2" s="3"/>
      <c r="F2" s="3"/>
      <c r="G2" s="3"/>
      <c r="H2" s="3"/>
      <c r="I2" s="3"/>
      <c r="J2" s="3"/>
      <c r="K2" s="3"/>
      <c r="L2" s="3"/>
      <c r="M2" s="3"/>
      <c r="N2" s="3"/>
      <c r="O2" s="3"/>
      <c r="P2" s="3"/>
      <c r="Q2" s="3"/>
      <c r="R2" s="3"/>
      <c r="S2" s="3"/>
      <c r="T2" s="3"/>
      <c r="U2" s="3"/>
      <c r="V2" s="3"/>
      <c r="W2" s="3"/>
      <c r="X2" s="3"/>
      <c r="Y2" s="3"/>
      <c r="Z2" s="3"/>
    </row>
    <row r="3" spans="1:26" ht="12" customHeight="1">
      <c r="A3" s="52"/>
      <c r="B3" s="52"/>
      <c r="C3" s="52"/>
      <c r="D3" s="3"/>
      <c r="E3" s="308">
        <v>4</v>
      </c>
      <c r="F3" s="308">
        <v>5</v>
      </c>
      <c r="G3" s="308">
        <v>6</v>
      </c>
      <c r="H3" s="308">
        <v>7</v>
      </c>
      <c r="I3" s="308">
        <v>8</v>
      </c>
      <c r="J3" s="308">
        <v>9</v>
      </c>
      <c r="K3" s="3"/>
      <c r="L3" s="3"/>
      <c r="M3" s="3"/>
      <c r="N3" s="3"/>
      <c r="O3" s="3"/>
      <c r="P3" s="3"/>
      <c r="Q3" s="3"/>
      <c r="R3" s="3"/>
      <c r="S3" s="3"/>
      <c r="T3" s="3"/>
      <c r="U3" s="3"/>
      <c r="V3" s="3"/>
      <c r="W3" s="3"/>
      <c r="X3" s="3"/>
      <c r="Y3" s="3"/>
      <c r="Z3" s="3"/>
    </row>
    <row r="4" spans="1:26" ht="12" customHeight="1">
      <c r="A4" s="52"/>
      <c r="B4" s="52"/>
      <c r="C4" s="52"/>
      <c r="D4" s="3"/>
      <c r="E4" s="309" t="s">
        <v>218</v>
      </c>
      <c r="F4" s="310" t="s">
        <v>2</v>
      </c>
      <c r="G4" s="310" t="s">
        <v>3</v>
      </c>
      <c r="H4" s="310" t="s">
        <v>4</v>
      </c>
      <c r="I4" s="310" t="s">
        <v>5</v>
      </c>
      <c r="J4" s="310" t="s">
        <v>6</v>
      </c>
      <c r="K4" s="3"/>
      <c r="L4" s="3"/>
      <c r="M4" s="3"/>
      <c r="N4" s="3"/>
      <c r="O4" s="3"/>
      <c r="P4" s="3"/>
      <c r="Q4" s="3"/>
      <c r="R4" s="3"/>
      <c r="S4" s="3"/>
      <c r="T4" s="3"/>
      <c r="U4" s="3"/>
      <c r="V4" s="3"/>
      <c r="W4" s="3"/>
      <c r="X4" s="3"/>
      <c r="Y4" s="3"/>
      <c r="Z4" s="3"/>
    </row>
    <row r="5" spans="1:26" ht="12" customHeight="1">
      <c r="A5" s="311" t="s">
        <v>10</v>
      </c>
      <c r="B5" s="312"/>
      <c r="C5" s="312"/>
      <c r="D5" s="312"/>
      <c r="E5" s="313"/>
      <c r="F5" s="314"/>
      <c r="G5" s="314"/>
      <c r="H5" s="312"/>
      <c r="I5" s="312"/>
      <c r="J5" s="312"/>
      <c r="K5" s="315"/>
      <c r="L5" s="315"/>
      <c r="M5" s="315"/>
      <c r="N5" s="315"/>
      <c r="O5" s="315"/>
      <c r="P5" s="315"/>
      <c r="Q5" s="315"/>
      <c r="R5" s="315"/>
      <c r="S5" s="315"/>
      <c r="T5" s="315"/>
      <c r="U5" s="315"/>
      <c r="V5" s="315"/>
      <c r="W5" s="315"/>
      <c r="X5" s="315"/>
      <c r="Y5" s="315"/>
      <c r="Z5" s="315"/>
    </row>
    <row r="6" spans="1:26" ht="12" customHeight="1">
      <c r="A6" s="307"/>
      <c r="B6" s="52"/>
      <c r="C6" s="52"/>
      <c r="D6" s="52"/>
      <c r="E6" s="316"/>
      <c r="F6" s="317"/>
      <c r="G6" s="317"/>
      <c r="H6" s="52"/>
      <c r="I6" s="52"/>
      <c r="J6" s="52"/>
      <c r="K6" s="3"/>
      <c r="L6" s="3"/>
      <c r="M6" s="3"/>
      <c r="N6" s="3"/>
      <c r="O6" s="3"/>
      <c r="P6" s="3"/>
      <c r="Q6" s="3"/>
      <c r="R6" s="3"/>
      <c r="S6" s="3"/>
      <c r="T6" s="3"/>
      <c r="U6" s="3"/>
      <c r="V6" s="3"/>
      <c r="W6" s="3"/>
      <c r="X6" s="3"/>
      <c r="Y6" s="3"/>
      <c r="Z6" s="3"/>
    </row>
    <row r="7" spans="1:26" ht="12" customHeight="1">
      <c r="A7" s="52"/>
      <c r="B7" s="307" t="s">
        <v>219</v>
      </c>
      <c r="C7" s="318" t="s">
        <v>220</v>
      </c>
      <c r="D7" s="52"/>
      <c r="E7" s="319" t="s">
        <v>218</v>
      </c>
      <c r="F7" s="320" t="str">
        <f t="shared" ref="F7:J7" si="0">F4</f>
        <v>2026F</v>
      </c>
      <c r="G7" s="320" t="str">
        <f t="shared" si="0"/>
        <v>2027F</v>
      </c>
      <c r="H7" s="320" t="str">
        <f t="shared" si="0"/>
        <v>2028F</v>
      </c>
      <c r="I7" s="320" t="str">
        <f t="shared" si="0"/>
        <v>2029F</v>
      </c>
      <c r="J7" s="320" t="str">
        <f t="shared" si="0"/>
        <v>2030F</v>
      </c>
      <c r="K7" s="3"/>
      <c r="L7" s="3"/>
      <c r="M7" s="3"/>
      <c r="N7" s="3"/>
      <c r="O7" s="3"/>
      <c r="P7" s="3"/>
      <c r="Q7" s="3"/>
      <c r="R7" s="3"/>
      <c r="S7" s="3"/>
      <c r="T7" s="3"/>
      <c r="U7" s="3"/>
      <c r="V7" s="3"/>
      <c r="W7" s="3"/>
      <c r="X7" s="3"/>
      <c r="Y7" s="3"/>
      <c r="Z7" s="3"/>
    </row>
    <row r="8" spans="1:26" ht="12" customHeight="1">
      <c r="A8" s="52"/>
      <c r="B8" s="321" t="str">
        <f t="shared" ref="B8:B18" si="1">D8&amp;"."&amp;C8</f>
        <v>Residential.Monthly Service Charge</v>
      </c>
      <c r="C8" s="321" t="s">
        <v>221</v>
      </c>
      <c r="D8" s="307" t="s">
        <v>222</v>
      </c>
      <c r="E8" s="322">
        <v>34.26</v>
      </c>
      <c r="F8" s="323">
        <v>40.72</v>
      </c>
      <c r="G8" s="323">
        <v>42.64</v>
      </c>
      <c r="H8" s="323">
        <v>45.47</v>
      </c>
      <c r="I8" s="323">
        <v>46.98</v>
      </c>
      <c r="J8" s="323">
        <v>48.36</v>
      </c>
      <c r="K8" s="3"/>
      <c r="L8" s="3"/>
      <c r="M8" s="3"/>
      <c r="N8" s="3"/>
      <c r="O8" s="3"/>
      <c r="P8" s="3"/>
      <c r="Q8" s="3"/>
      <c r="R8" s="3"/>
      <c r="S8" s="3"/>
      <c r="T8" s="3"/>
      <c r="U8" s="3"/>
      <c r="V8" s="3"/>
      <c r="W8" s="3"/>
      <c r="X8" s="3"/>
      <c r="Y8" s="3"/>
      <c r="Z8" s="3"/>
    </row>
    <row r="9" spans="1:26" ht="12" customHeight="1">
      <c r="A9" s="52"/>
      <c r="B9" s="321" t="str">
        <f t="shared" si="1"/>
        <v>General Service &lt; 50 kW.Monthly Service Charge</v>
      </c>
      <c r="C9" s="321" t="s">
        <v>221</v>
      </c>
      <c r="D9" s="307" t="s">
        <v>223</v>
      </c>
      <c r="E9" s="322">
        <v>23.53</v>
      </c>
      <c r="F9" s="323">
        <v>27.14</v>
      </c>
      <c r="G9" s="323">
        <v>28.41</v>
      </c>
      <c r="H9" s="323">
        <v>30.29</v>
      </c>
      <c r="I9" s="323">
        <v>30.86</v>
      </c>
      <c r="J9" s="323">
        <v>31.3</v>
      </c>
      <c r="K9" s="3"/>
      <c r="L9" s="3"/>
      <c r="M9" s="3"/>
      <c r="N9" s="3"/>
      <c r="O9" s="3"/>
      <c r="P9" s="3"/>
      <c r="Q9" s="3"/>
      <c r="R9" s="3"/>
      <c r="S9" s="3"/>
      <c r="T9" s="3"/>
      <c r="U9" s="3"/>
      <c r="V9" s="3"/>
      <c r="W9" s="3"/>
      <c r="X9" s="3"/>
      <c r="Y9" s="3"/>
      <c r="Z9" s="3"/>
    </row>
    <row r="10" spans="1:26" ht="12" customHeight="1">
      <c r="A10" s="52"/>
      <c r="B10" s="321" t="str">
        <f t="shared" si="1"/>
        <v>General Service 50 to 1,499 KW.Monthly Service Charge</v>
      </c>
      <c r="C10" s="321" t="s">
        <v>221</v>
      </c>
      <c r="D10" s="307" t="s">
        <v>224</v>
      </c>
      <c r="E10" s="322">
        <v>200</v>
      </c>
      <c r="F10" s="323">
        <v>200</v>
      </c>
      <c r="G10" s="323">
        <v>200</v>
      </c>
      <c r="H10" s="323">
        <v>200</v>
      </c>
      <c r="I10" s="323">
        <v>200</v>
      </c>
      <c r="J10" s="323">
        <v>200</v>
      </c>
      <c r="K10" s="3"/>
      <c r="L10" s="3"/>
      <c r="M10" s="3"/>
      <c r="N10" s="3"/>
      <c r="O10" s="3"/>
      <c r="P10" s="3"/>
      <c r="Q10" s="3"/>
      <c r="R10" s="3"/>
      <c r="S10" s="3"/>
      <c r="T10" s="3"/>
      <c r="U10" s="3"/>
      <c r="V10" s="3"/>
      <c r="W10" s="3"/>
      <c r="X10" s="3"/>
      <c r="Y10" s="3"/>
      <c r="Z10" s="3"/>
    </row>
    <row r="11" spans="1:26" ht="12" customHeight="1">
      <c r="A11" s="52"/>
      <c r="B11" s="321" t="str">
        <f t="shared" si="1"/>
        <v>General Service 1,500 to 4,999 KW.Monthly Service Charge</v>
      </c>
      <c r="C11" s="321" t="s">
        <v>221</v>
      </c>
      <c r="D11" s="307" t="s">
        <v>225</v>
      </c>
      <c r="E11" s="322">
        <v>4126.75</v>
      </c>
      <c r="F11" s="323">
        <v>4126.75</v>
      </c>
      <c r="G11" s="323">
        <v>4126.75</v>
      </c>
      <c r="H11" s="323">
        <v>4126.75</v>
      </c>
      <c r="I11" s="323">
        <v>4126.75</v>
      </c>
      <c r="J11" s="323">
        <v>4126.75</v>
      </c>
      <c r="K11" s="324"/>
      <c r="L11" s="3"/>
      <c r="M11" s="3"/>
      <c r="N11" s="3"/>
      <c r="O11" s="3"/>
      <c r="P11" s="3"/>
      <c r="Q11" s="3"/>
      <c r="R11" s="3"/>
      <c r="S11" s="3"/>
      <c r="T11" s="3"/>
      <c r="U11" s="3"/>
      <c r="V11" s="3"/>
      <c r="W11" s="3"/>
      <c r="X11" s="3"/>
      <c r="Y11" s="3"/>
      <c r="Z11" s="3"/>
    </row>
    <row r="12" spans="1:26" ht="12" customHeight="1">
      <c r="A12" s="52"/>
      <c r="B12" s="321" t="str">
        <f t="shared" si="1"/>
        <v>Large User.Monthly Service Charge</v>
      </c>
      <c r="C12" s="321" t="s">
        <v>221</v>
      </c>
      <c r="D12" s="307" t="s">
        <v>226</v>
      </c>
      <c r="E12" s="322">
        <v>14946.93</v>
      </c>
      <c r="F12" s="323">
        <v>14946.93</v>
      </c>
      <c r="G12" s="323">
        <v>14946.93</v>
      </c>
      <c r="H12" s="323">
        <v>14946.93</v>
      </c>
      <c r="I12" s="323">
        <v>14946.93</v>
      </c>
      <c r="J12" s="323">
        <v>14946.93</v>
      </c>
      <c r="K12" s="324"/>
      <c r="L12" s="3"/>
      <c r="M12" s="3"/>
      <c r="N12" s="3"/>
      <c r="O12" s="3"/>
      <c r="P12" s="3"/>
      <c r="Q12" s="3"/>
      <c r="R12" s="3"/>
      <c r="S12" s="3"/>
      <c r="T12" s="3"/>
      <c r="U12" s="3"/>
      <c r="V12" s="3"/>
      <c r="W12" s="3"/>
      <c r="X12" s="3"/>
      <c r="Y12" s="3"/>
      <c r="Z12" s="3"/>
    </row>
    <row r="13" spans="1:26" ht="12" customHeight="1">
      <c r="A13" s="52"/>
      <c r="B13" s="321" t="str">
        <f t="shared" si="1"/>
        <v>Street Light.Monthly Service Charge</v>
      </c>
      <c r="C13" s="321" t="s">
        <v>221</v>
      </c>
      <c r="D13" s="307" t="s">
        <v>227</v>
      </c>
      <c r="E13" s="322">
        <v>1.1200000000000001</v>
      </c>
      <c r="F13" s="323">
        <v>1.24</v>
      </c>
      <c r="G13" s="323">
        <v>1.17</v>
      </c>
      <c r="H13" s="323">
        <v>1.24</v>
      </c>
      <c r="I13" s="323">
        <v>1.24</v>
      </c>
      <c r="J13" s="323">
        <v>1.25</v>
      </c>
      <c r="K13" s="3"/>
      <c r="L13" s="3"/>
      <c r="M13" s="3"/>
      <c r="N13" s="3"/>
      <c r="O13" s="3"/>
      <c r="P13" s="3"/>
      <c r="Q13" s="3"/>
      <c r="R13" s="3"/>
      <c r="S13" s="3"/>
      <c r="T13" s="3"/>
      <c r="U13" s="3"/>
      <c r="V13" s="3"/>
      <c r="W13" s="3"/>
      <c r="X13" s="3"/>
      <c r="Y13" s="3"/>
      <c r="Z13" s="3"/>
    </row>
    <row r="14" spans="1:26" ht="12" customHeight="1">
      <c r="A14" s="52"/>
      <c r="B14" s="321" t="str">
        <f t="shared" si="1"/>
        <v>Sentinel Lights.Monthly Service Charge</v>
      </c>
      <c r="C14" s="321" t="s">
        <v>221</v>
      </c>
      <c r="D14" s="307" t="s">
        <v>228</v>
      </c>
      <c r="E14" s="322">
        <v>7.02</v>
      </c>
      <c r="F14" s="323">
        <v>8.33</v>
      </c>
      <c r="G14" s="323">
        <v>8.7200000000000006</v>
      </c>
      <c r="H14" s="323">
        <v>9.3000000000000007</v>
      </c>
      <c r="I14" s="323">
        <v>9.61</v>
      </c>
      <c r="J14" s="323">
        <v>9.89</v>
      </c>
      <c r="K14" s="3"/>
      <c r="L14" s="3"/>
      <c r="M14" s="3"/>
      <c r="N14" s="3"/>
      <c r="O14" s="3"/>
      <c r="P14" s="3"/>
      <c r="Q14" s="3"/>
      <c r="R14" s="3"/>
      <c r="S14" s="3"/>
      <c r="T14" s="3"/>
      <c r="U14" s="3"/>
      <c r="V14" s="3"/>
      <c r="W14" s="3"/>
      <c r="X14" s="3"/>
      <c r="Y14" s="3"/>
      <c r="Z14" s="3"/>
    </row>
    <row r="15" spans="1:26" ht="12" customHeight="1">
      <c r="A15" s="52"/>
      <c r="B15" s="321" t="str">
        <f t="shared" si="1"/>
        <v>Unmetered Scattered Load.Monthly Service Charge</v>
      </c>
      <c r="C15" s="321" t="s">
        <v>221</v>
      </c>
      <c r="D15" s="307" t="s">
        <v>229</v>
      </c>
      <c r="E15" s="322">
        <v>7.09</v>
      </c>
      <c r="F15" s="323">
        <v>8.34</v>
      </c>
      <c r="G15" s="323">
        <v>8.69</v>
      </c>
      <c r="H15" s="323">
        <v>9.27</v>
      </c>
      <c r="I15" s="323">
        <v>9.5500000000000007</v>
      </c>
      <c r="J15" s="323">
        <v>9.68</v>
      </c>
      <c r="K15" s="3"/>
      <c r="L15" s="3"/>
      <c r="M15" s="3"/>
      <c r="N15" s="3"/>
      <c r="O15" s="3"/>
      <c r="P15" s="3"/>
      <c r="Q15" s="3"/>
      <c r="R15" s="3"/>
      <c r="S15" s="3"/>
      <c r="T15" s="3"/>
      <c r="U15" s="3"/>
      <c r="V15" s="3"/>
      <c r="W15" s="3"/>
      <c r="X15" s="3"/>
      <c r="Y15" s="3"/>
      <c r="Z15" s="3"/>
    </row>
    <row r="16" spans="1:26" ht="12" customHeight="1">
      <c r="A16" s="52"/>
      <c r="B16" s="321" t="str">
        <f t="shared" si="1"/>
        <v>Standby Power General Service 50 to 1,499 KW.Monthly Service Charge</v>
      </c>
      <c r="C16" s="321" t="s">
        <v>221</v>
      </c>
      <c r="D16" s="307" t="s">
        <v>230</v>
      </c>
      <c r="E16" s="322">
        <v>186.89</v>
      </c>
      <c r="F16" s="325">
        <v>186.89</v>
      </c>
      <c r="G16" s="325">
        <v>186.89</v>
      </c>
      <c r="H16" s="325">
        <v>186.89</v>
      </c>
      <c r="I16" s="325">
        <v>186.89</v>
      </c>
      <c r="J16" s="325">
        <v>186.89</v>
      </c>
      <c r="K16" s="3"/>
      <c r="L16" s="3"/>
      <c r="M16" s="3"/>
      <c r="N16" s="3"/>
      <c r="O16" s="3"/>
      <c r="P16" s="3"/>
      <c r="Q16" s="3"/>
      <c r="R16" s="3"/>
      <c r="S16" s="3"/>
      <c r="T16" s="3"/>
      <c r="U16" s="3"/>
      <c r="V16" s="3"/>
      <c r="W16" s="3"/>
      <c r="X16" s="3"/>
      <c r="Y16" s="3"/>
      <c r="Z16" s="3"/>
    </row>
    <row r="17" spans="1:26" ht="12" customHeight="1">
      <c r="A17" s="52"/>
      <c r="B17" s="321" t="str">
        <f t="shared" si="1"/>
        <v>Standby Power General Service 1,500 to 4,999 KW.Monthly Service Charge</v>
      </c>
      <c r="C17" s="321" t="s">
        <v>221</v>
      </c>
      <c r="D17" s="307" t="s">
        <v>231</v>
      </c>
      <c r="E17" s="322">
        <v>186.89</v>
      </c>
      <c r="F17" s="325">
        <v>186.89</v>
      </c>
      <c r="G17" s="325">
        <v>186.89</v>
      </c>
      <c r="H17" s="325">
        <v>186.89</v>
      </c>
      <c r="I17" s="325">
        <v>186.89</v>
      </c>
      <c r="J17" s="325">
        <v>186.89</v>
      </c>
      <c r="K17" s="3"/>
      <c r="L17" s="3"/>
      <c r="M17" s="3"/>
      <c r="N17" s="3"/>
      <c r="O17" s="3"/>
      <c r="P17" s="3"/>
      <c r="Q17" s="3"/>
      <c r="R17" s="3"/>
      <c r="S17" s="3"/>
      <c r="T17" s="3"/>
      <c r="U17" s="3"/>
      <c r="V17" s="3"/>
      <c r="W17" s="3"/>
      <c r="X17" s="3"/>
      <c r="Y17" s="3"/>
      <c r="Z17" s="3"/>
    </row>
    <row r="18" spans="1:26" ht="12" customHeight="1">
      <c r="A18" s="52"/>
      <c r="B18" s="321" t="str">
        <f t="shared" si="1"/>
        <v>Standby Power Large Use.Monthly Service Charge</v>
      </c>
      <c r="C18" s="321" t="s">
        <v>221</v>
      </c>
      <c r="D18" s="307" t="s">
        <v>232</v>
      </c>
      <c r="E18" s="322">
        <v>186.89</v>
      </c>
      <c r="F18" s="325">
        <v>186.89</v>
      </c>
      <c r="G18" s="325">
        <v>186.89</v>
      </c>
      <c r="H18" s="325">
        <v>186.89</v>
      </c>
      <c r="I18" s="325">
        <v>186.89</v>
      </c>
      <c r="J18" s="325">
        <v>186.89</v>
      </c>
      <c r="K18" s="3"/>
      <c r="L18" s="3"/>
      <c r="M18" s="3"/>
      <c r="N18" s="3"/>
      <c r="O18" s="3"/>
      <c r="P18" s="3"/>
      <c r="Q18" s="3"/>
      <c r="R18" s="3"/>
      <c r="S18" s="3"/>
      <c r="T18" s="3"/>
      <c r="U18" s="3"/>
      <c r="V18" s="3"/>
      <c r="W18" s="3"/>
      <c r="X18" s="3"/>
      <c r="Y18" s="3"/>
      <c r="Z18" s="3"/>
    </row>
    <row r="19" spans="1:26" ht="12" customHeight="1">
      <c r="A19" s="52"/>
      <c r="B19" s="52"/>
      <c r="C19" s="52"/>
      <c r="D19" s="3"/>
      <c r="E19" s="3"/>
      <c r="F19" s="307"/>
      <c r="G19" s="307"/>
      <c r="H19" s="307"/>
      <c r="I19" s="307"/>
      <c r="J19" s="307"/>
      <c r="K19" s="3"/>
      <c r="L19" s="3"/>
      <c r="M19" s="3"/>
      <c r="N19" s="3"/>
      <c r="O19" s="3"/>
      <c r="P19" s="3"/>
      <c r="Q19" s="3"/>
      <c r="R19" s="3"/>
      <c r="S19" s="3"/>
      <c r="T19" s="3"/>
      <c r="U19" s="3"/>
      <c r="V19" s="3"/>
      <c r="W19" s="3"/>
      <c r="X19" s="3"/>
      <c r="Y19" s="3"/>
      <c r="Z19" s="3"/>
    </row>
    <row r="20" spans="1:26" ht="12" customHeight="1">
      <c r="A20" s="52"/>
      <c r="B20" s="307"/>
      <c r="C20" s="318" t="s">
        <v>233</v>
      </c>
      <c r="D20" s="52"/>
      <c r="E20" s="319" t="s">
        <v>218</v>
      </c>
      <c r="F20" s="320" t="str">
        <f t="shared" ref="F20:J20" si="2">F$4</f>
        <v>2026F</v>
      </c>
      <c r="G20" s="320" t="str">
        <f t="shared" si="2"/>
        <v>2027F</v>
      </c>
      <c r="H20" s="320" t="str">
        <f t="shared" si="2"/>
        <v>2028F</v>
      </c>
      <c r="I20" s="320" t="str">
        <f t="shared" si="2"/>
        <v>2029F</v>
      </c>
      <c r="J20" s="320" t="str">
        <f t="shared" si="2"/>
        <v>2030F</v>
      </c>
      <c r="K20" s="3"/>
      <c r="L20" s="3"/>
      <c r="M20" s="3"/>
      <c r="N20" s="3"/>
      <c r="O20" s="3"/>
      <c r="P20" s="3"/>
      <c r="Q20" s="3"/>
      <c r="R20" s="3"/>
      <c r="S20" s="3"/>
      <c r="T20" s="3"/>
      <c r="U20" s="3"/>
      <c r="V20" s="3"/>
      <c r="W20" s="3"/>
      <c r="X20" s="3"/>
      <c r="Y20" s="3"/>
      <c r="Z20" s="3"/>
    </row>
    <row r="21" spans="1:26" ht="12" customHeight="1">
      <c r="A21" s="52" t="s">
        <v>46</v>
      </c>
      <c r="B21" s="321" t="str">
        <f t="shared" ref="B21:B31" si="3">D21&amp;"."&amp;C21</f>
        <v>Residential.Distribution Volumetric Rate</v>
      </c>
      <c r="C21" s="321" t="s">
        <v>59</v>
      </c>
      <c r="D21" s="307" t="s">
        <v>222</v>
      </c>
      <c r="E21" s="3">
        <v>0</v>
      </c>
      <c r="F21" s="326">
        <v>0</v>
      </c>
      <c r="G21" s="326">
        <v>0</v>
      </c>
      <c r="H21" s="326">
        <v>0</v>
      </c>
      <c r="I21" s="326">
        <v>0</v>
      </c>
      <c r="J21" s="326">
        <v>0</v>
      </c>
      <c r="K21" s="3"/>
      <c r="L21" s="3"/>
      <c r="M21" s="3"/>
      <c r="N21" s="3"/>
      <c r="O21" s="3"/>
      <c r="P21" s="3"/>
      <c r="Q21" s="3"/>
      <c r="R21" s="3"/>
      <c r="S21" s="3"/>
      <c r="T21" s="3"/>
      <c r="U21" s="3"/>
      <c r="V21" s="3"/>
      <c r="W21" s="3"/>
      <c r="X21" s="3"/>
      <c r="Y21" s="3"/>
      <c r="Z21" s="3"/>
    </row>
    <row r="22" spans="1:26" ht="12" customHeight="1">
      <c r="A22" s="52" t="s">
        <v>46</v>
      </c>
      <c r="B22" s="321" t="str">
        <f t="shared" si="3"/>
        <v>General Service &lt; 50 kW.Distribution Volumetric Rate</v>
      </c>
      <c r="C22" s="321" t="s">
        <v>59</v>
      </c>
      <c r="D22" s="307" t="s">
        <v>223</v>
      </c>
      <c r="E22" s="306">
        <v>3.0499999999999999E-2</v>
      </c>
      <c r="F22" s="327">
        <v>3.5200000000000002E-2</v>
      </c>
      <c r="G22" s="327">
        <v>3.6900000000000002E-2</v>
      </c>
      <c r="H22" s="327">
        <v>3.9300000000000002E-2</v>
      </c>
      <c r="I22" s="327">
        <v>0.04</v>
      </c>
      <c r="J22" s="327">
        <v>4.0599999999999997E-2</v>
      </c>
      <c r="K22" s="3"/>
      <c r="L22" s="3"/>
      <c r="M22" s="3"/>
      <c r="N22" s="3"/>
      <c r="O22" s="3"/>
      <c r="P22" s="3"/>
      <c r="Q22" s="3"/>
      <c r="R22" s="3"/>
      <c r="S22" s="3"/>
      <c r="T22" s="3"/>
      <c r="U22" s="3"/>
      <c r="V22" s="3"/>
      <c r="W22" s="3"/>
      <c r="X22" s="3"/>
      <c r="Y22" s="3"/>
      <c r="Z22" s="3"/>
    </row>
    <row r="23" spans="1:26" ht="12" customHeight="1">
      <c r="A23" s="52" t="s">
        <v>66</v>
      </c>
      <c r="B23" s="321" t="str">
        <f t="shared" si="3"/>
        <v>General Service 50 to 1,499 KW.Distribution Volumetric Rate</v>
      </c>
      <c r="C23" s="321" t="s">
        <v>59</v>
      </c>
      <c r="D23" s="307" t="s">
        <v>224</v>
      </c>
      <c r="E23" s="306">
        <v>6.5552999999999999</v>
      </c>
      <c r="F23" s="327">
        <v>7.9935999999999998</v>
      </c>
      <c r="G23" s="327">
        <v>8.4202999999999992</v>
      </c>
      <c r="H23" s="327">
        <v>9.0498999999999992</v>
      </c>
      <c r="I23" s="327">
        <v>9.3849</v>
      </c>
      <c r="J23" s="327">
        <v>9.6918000000000006</v>
      </c>
      <c r="K23" s="3"/>
      <c r="L23" s="3"/>
      <c r="M23" s="3"/>
      <c r="N23" s="3"/>
      <c r="O23" s="3"/>
      <c r="P23" s="3"/>
      <c r="Q23" s="3"/>
      <c r="R23" s="3"/>
      <c r="S23" s="3"/>
      <c r="T23" s="3"/>
      <c r="U23" s="3"/>
      <c r="V23" s="3"/>
      <c r="W23" s="3"/>
      <c r="X23" s="3"/>
      <c r="Y23" s="3"/>
      <c r="Z23" s="3"/>
    </row>
    <row r="24" spans="1:26" ht="12" customHeight="1">
      <c r="A24" s="52" t="s">
        <v>66</v>
      </c>
      <c r="B24" s="321" t="str">
        <f t="shared" si="3"/>
        <v>General Service 1,500 to 4,999 KW.Distribution Volumetric Rate</v>
      </c>
      <c r="C24" s="321" t="s">
        <v>59</v>
      </c>
      <c r="D24" s="307" t="s">
        <v>225</v>
      </c>
      <c r="E24" s="306">
        <v>6.0796000000000001</v>
      </c>
      <c r="F24" s="327">
        <v>7.6669</v>
      </c>
      <c r="G24" s="327">
        <v>8.1407000000000007</v>
      </c>
      <c r="H24" s="327">
        <v>8.8402999999999992</v>
      </c>
      <c r="I24" s="327">
        <v>9.2126999999999999</v>
      </c>
      <c r="J24" s="327">
        <v>9.5539000000000005</v>
      </c>
      <c r="K24" s="3"/>
      <c r="L24" s="3"/>
      <c r="M24" s="3"/>
      <c r="N24" s="3"/>
      <c r="O24" s="3"/>
      <c r="P24" s="3"/>
      <c r="Q24" s="3"/>
      <c r="R24" s="3"/>
      <c r="S24" s="3"/>
      <c r="T24" s="3"/>
      <c r="U24" s="3"/>
      <c r="V24" s="3"/>
      <c r="W24" s="3"/>
      <c r="X24" s="3"/>
      <c r="Y24" s="3"/>
      <c r="Z24" s="3"/>
    </row>
    <row r="25" spans="1:26" ht="12" customHeight="1">
      <c r="A25" s="52" t="s">
        <v>66</v>
      </c>
      <c r="B25" s="321" t="str">
        <f t="shared" si="3"/>
        <v>Large User.Distribution Volumetric Rate</v>
      </c>
      <c r="C25" s="321" t="s">
        <v>59</v>
      </c>
      <c r="D25" s="307" t="s">
        <v>226</v>
      </c>
      <c r="E25" s="306">
        <v>6.0316000000000001</v>
      </c>
      <c r="F25" s="327">
        <v>8.2606000000000002</v>
      </c>
      <c r="G25" s="327">
        <v>8.9039000000000001</v>
      </c>
      <c r="H25" s="327">
        <v>9.6370000000000005</v>
      </c>
      <c r="I25" s="327">
        <v>10.463800000000001</v>
      </c>
      <c r="J25" s="327">
        <v>11.262499999999999</v>
      </c>
      <c r="K25" s="3"/>
      <c r="L25" s="3"/>
      <c r="M25" s="3"/>
      <c r="N25" s="3"/>
      <c r="O25" s="3"/>
      <c r="P25" s="3"/>
      <c r="Q25" s="3"/>
      <c r="R25" s="3"/>
      <c r="S25" s="3"/>
      <c r="T25" s="3"/>
      <c r="U25" s="3"/>
      <c r="V25" s="3"/>
      <c r="W25" s="3"/>
      <c r="X25" s="3"/>
      <c r="Y25" s="3"/>
      <c r="Z25" s="3"/>
    </row>
    <row r="26" spans="1:26" ht="12" customHeight="1">
      <c r="A26" s="52" t="s">
        <v>66</v>
      </c>
      <c r="B26" s="321" t="str">
        <f t="shared" si="3"/>
        <v>Street Light.Distribution Volumetric Rate</v>
      </c>
      <c r="C26" s="321" t="s">
        <v>59</v>
      </c>
      <c r="D26" s="307" t="s">
        <v>227</v>
      </c>
      <c r="E26" s="306">
        <v>7.8163999999999998</v>
      </c>
      <c r="F26" s="327">
        <v>8.5587999999999997</v>
      </c>
      <c r="G26" s="327">
        <v>8.0873000000000008</v>
      </c>
      <c r="H26" s="327">
        <v>8.5327999999999999</v>
      </c>
      <c r="I26" s="327">
        <v>8.6244999999999994</v>
      </c>
      <c r="J26" s="327">
        <v>8.6967999999999996</v>
      </c>
      <c r="K26" s="3"/>
      <c r="L26" s="3"/>
      <c r="M26" s="3"/>
      <c r="N26" s="3"/>
      <c r="O26" s="3"/>
      <c r="P26" s="3"/>
      <c r="Q26" s="3"/>
      <c r="R26" s="3"/>
      <c r="S26" s="3"/>
      <c r="T26" s="3"/>
      <c r="U26" s="3"/>
      <c r="V26" s="3"/>
      <c r="W26" s="3"/>
      <c r="X26" s="3"/>
      <c r="Y26" s="3"/>
      <c r="Z26" s="3"/>
    </row>
    <row r="27" spans="1:26" ht="12" customHeight="1">
      <c r="A27" s="52" t="s">
        <v>66</v>
      </c>
      <c r="B27" s="321" t="str">
        <f t="shared" si="3"/>
        <v>Sentinel Lights.Distribution Volumetric Rate</v>
      </c>
      <c r="C27" s="321" t="s">
        <v>59</v>
      </c>
      <c r="D27" s="307" t="s">
        <v>228</v>
      </c>
      <c r="E27" s="306">
        <v>32.929699999999997</v>
      </c>
      <c r="F27" s="327">
        <v>39.082700000000003</v>
      </c>
      <c r="G27" s="327">
        <v>40.930700000000002</v>
      </c>
      <c r="H27" s="327">
        <v>43.639699999999998</v>
      </c>
      <c r="I27" s="327">
        <v>45.076900000000002</v>
      </c>
      <c r="J27" s="327">
        <v>46.416400000000003</v>
      </c>
      <c r="K27" s="3"/>
      <c r="L27" s="3"/>
      <c r="M27" s="3"/>
      <c r="N27" s="3"/>
      <c r="O27" s="3"/>
      <c r="P27" s="3"/>
      <c r="Q27" s="3"/>
      <c r="R27" s="3"/>
      <c r="S27" s="3"/>
      <c r="T27" s="3"/>
      <c r="U27" s="3"/>
      <c r="V27" s="3"/>
      <c r="W27" s="3"/>
      <c r="X27" s="3"/>
      <c r="Y27" s="3"/>
      <c r="Z27" s="3"/>
    </row>
    <row r="28" spans="1:26" ht="12" customHeight="1">
      <c r="A28" s="52" t="s">
        <v>46</v>
      </c>
      <c r="B28" s="321" t="str">
        <f t="shared" si="3"/>
        <v>Unmetered Scattered Load.Distribution Volumetric Rate</v>
      </c>
      <c r="C28" s="321" t="s">
        <v>59</v>
      </c>
      <c r="D28" s="307" t="s">
        <v>229</v>
      </c>
      <c r="E28" s="306">
        <v>3.3799999999999997E-2</v>
      </c>
      <c r="F28" s="327">
        <v>3.9800000000000002E-2</v>
      </c>
      <c r="G28" s="327">
        <v>4.1500000000000002E-2</v>
      </c>
      <c r="H28" s="327">
        <v>4.4200000000000003E-2</v>
      </c>
      <c r="I28" s="327">
        <v>4.5499999999999999E-2</v>
      </c>
      <c r="J28" s="327">
        <v>4.6199999999999998E-2</v>
      </c>
      <c r="K28" s="3"/>
      <c r="L28" s="3"/>
      <c r="M28" s="3"/>
      <c r="N28" s="3"/>
      <c r="O28" s="3"/>
      <c r="P28" s="3"/>
      <c r="Q28" s="3"/>
      <c r="R28" s="3"/>
      <c r="S28" s="3"/>
      <c r="T28" s="3"/>
      <c r="U28" s="3"/>
      <c r="V28" s="3"/>
      <c r="W28" s="3"/>
      <c r="X28" s="3"/>
      <c r="Y28" s="3"/>
      <c r="Z28" s="3"/>
    </row>
    <row r="29" spans="1:26" ht="12" customHeight="1">
      <c r="A29" s="52" t="s">
        <v>66</v>
      </c>
      <c r="B29" s="321" t="str">
        <f t="shared" si="3"/>
        <v>Standby Power General Service 50 to 1,499 KW.Distribution Volumetric Rate</v>
      </c>
      <c r="C29" s="321" t="s">
        <v>59</v>
      </c>
      <c r="D29" s="307" t="s">
        <v>230</v>
      </c>
      <c r="E29" s="306">
        <v>2.4940000000000002</v>
      </c>
      <c r="F29" s="328">
        <v>3.9962</v>
      </c>
      <c r="G29" s="328">
        <v>4.2095000000000002</v>
      </c>
      <c r="H29" s="328">
        <v>4.5243000000000002</v>
      </c>
      <c r="I29" s="328">
        <v>4.6917999999999997</v>
      </c>
      <c r="J29" s="328">
        <v>4.8452000000000002</v>
      </c>
      <c r="K29" s="3"/>
      <c r="L29" s="3"/>
      <c r="M29" s="3"/>
      <c r="N29" s="3"/>
      <c r="O29" s="3"/>
      <c r="P29" s="3"/>
      <c r="Q29" s="3"/>
      <c r="R29" s="3"/>
      <c r="S29" s="3"/>
      <c r="T29" s="3"/>
      <c r="U29" s="3"/>
      <c r="V29" s="3"/>
      <c r="W29" s="3"/>
      <c r="X29" s="3"/>
      <c r="Y29" s="3"/>
      <c r="Z29" s="3"/>
    </row>
    <row r="30" spans="1:26" ht="12" customHeight="1">
      <c r="A30" s="52" t="s">
        <v>66</v>
      </c>
      <c r="B30" s="321" t="str">
        <f t="shared" si="3"/>
        <v>Standby Power General Service 1,500 to 4,999 KW.Distribution Volumetric Rate</v>
      </c>
      <c r="C30" s="321" t="s">
        <v>59</v>
      </c>
      <c r="D30" s="307" t="s">
        <v>231</v>
      </c>
      <c r="E30" s="306">
        <v>2.2877000000000001</v>
      </c>
      <c r="F30" s="328">
        <v>3.8313999999999999</v>
      </c>
      <c r="G30" s="328">
        <v>4.0682999999999998</v>
      </c>
      <c r="H30" s="328">
        <v>4.4180999999999999</v>
      </c>
      <c r="I30" s="328">
        <v>4.6041999999999996</v>
      </c>
      <c r="J30" s="328">
        <v>4.7747999999999999</v>
      </c>
      <c r="K30" s="3"/>
      <c r="L30" s="3"/>
      <c r="M30" s="3"/>
      <c r="N30" s="3"/>
      <c r="O30" s="3"/>
      <c r="P30" s="3"/>
      <c r="Q30" s="3"/>
      <c r="R30" s="3"/>
      <c r="S30" s="3"/>
      <c r="T30" s="3"/>
      <c r="U30" s="3"/>
      <c r="V30" s="3"/>
      <c r="W30" s="3"/>
      <c r="X30" s="3"/>
      <c r="Y30" s="3"/>
      <c r="Z30" s="3"/>
    </row>
    <row r="31" spans="1:26" ht="12" customHeight="1">
      <c r="A31" s="52" t="s">
        <v>66</v>
      </c>
      <c r="B31" s="321" t="str">
        <f t="shared" si="3"/>
        <v>Standby Power Large Use.Distribution Volumetric Rate</v>
      </c>
      <c r="C31" s="321" t="s">
        <v>59</v>
      </c>
      <c r="D31" s="307" t="s">
        <v>232</v>
      </c>
      <c r="E31" s="306">
        <v>2.5388000000000002</v>
      </c>
      <c r="F31" s="328">
        <v>4.13</v>
      </c>
      <c r="G31" s="328">
        <v>4.4516999999999998</v>
      </c>
      <c r="H31" s="328">
        <v>4.8182</v>
      </c>
      <c r="I31" s="328">
        <v>5.2316000000000003</v>
      </c>
      <c r="J31" s="328">
        <v>5.6308999999999996</v>
      </c>
      <c r="K31" s="3"/>
      <c r="L31" s="3"/>
      <c r="M31" s="3"/>
      <c r="N31" s="3"/>
      <c r="O31" s="3"/>
      <c r="P31" s="3"/>
      <c r="Q31" s="3"/>
      <c r="R31" s="3"/>
      <c r="S31" s="3"/>
      <c r="T31" s="3"/>
      <c r="U31" s="3"/>
      <c r="V31" s="3"/>
      <c r="W31" s="3"/>
      <c r="X31" s="3"/>
      <c r="Y31" s="3"/>
      <c r="Z31" s="3"/>
    </row>
    <row r="32" spans="1:26" ht="12" customHeight="1">
      <c r="A32" s="52"/>
      <c r="B32" s="52"/>
      <c r="C32" s="52"/>
      <c r="D32" s="3"/>
      <c r="E32" s="3"/>
      <c r="F32" s="329"/>
      <c r="G32" s="3"/>
      <c r="H32" s="3"/>
      <c r="I32" s="3"/>
      <c r="J32" s="3"/>
      <c r="K32" s="3"/>
      <c r="L32" s="3"/>
      <c r="M32" s="3"/>
      <c r="N32" s="3"/>
      <c r="O32" s="3"/>
      <c r="P32" s="3"/>
      <c r="Q32" s="3"/>
      <c r="R32" s="3"/>
      <c r="S32" s="3"/>
      <c r="T32" s="3"/>
      <c r="U32" s="3"/>
      <c r="V32" s="3"/>
      <c r="W32" s="3"/>
      <c r="X32" s="3"/>
      <c r="Y32" s="3"/>
      <c r="Z32" s="3"/>
    </row>
    <row r="33" spans="1:26" ht="12" customHeight="1">
      <c r="A33" s="311" t="s">
        <v>234</v>
      </c>
      <c r="B33" s="312"/>
      <c r="C33" s="312"/>
      <c r="D33" s="312"/>
      <c r="E33" s="313"/>
      <c r="F33" s="314"/>
      <c r="G33" s="314"/>
      <c r="H33" s="312"/>
      <c r="I33" s="312"/>
      <c r="J33" s="312"/>
      <c r="K33" s="315"/>
      <c r="L33" s="315"/>
      <c r="M33" s="315"/>
      <c r="N33" s="315"/>
      <c r="O33" s="315"/>
      <c r="P33" s="315"/>
      <c r="Q33" s="315"/>
      <c r="R33" s="315"/>
      <c r="S33" s="315"/>
      <c r="T33" s="315"/>
      <c r="U33" s="315"/>
      <c r="V33" s="315"/>
      <c r="W33" s="315"/>
      <c r="X33" s="315"/>
      <c r="Y33" s="315"/>
      <c r="Z33" s="315"/>
    </row>
    <row r="34" spans="1:26" ht="12" customHeight="1">
      <c r="A34" s="307"/>
      <c r="B34" s="52"/>
      <c r="C34" s="52"/>
      <c r="D34" s="52"/>
      <c r="E34" s="316"/>
      <c r="F34" s="317"/>
      <c r="G34" s="317"/>
      <c r="H34" s="52"/>
      <c r="I34" s="52"/>
      <c r="J34" s="52"/>
      <c r="K34" s="3"/>
      <c r="L34" s="3"/>
      <c r="M34" s="3"/>
      <c r="N34" s="3"/>
      <c r="O34" s="3"/>
      <c r="P34" s="3"/>
      <c r="Q34" s="3"/>
      <c r="R34" s="3"/>
      <c r="S34" s="3"/>
      <c r="T34" s="3"/>
      <c r="U34" s="3"/>
      <c r="V34" s="3"/>
      <c r="W34" s="3"/>
      <c r="X34" s="3"/>
      <c r="Y34" s="3"/>
      <c r="Z34" s="3"/>
    </row>
    <row r="35" spans="1:26" ht="12" customHeight="1">
      <c r="A35" s="52"/>
      <c r="B35" s="307"/>
      <c r="C35" s="318" t="s">
        <v>235</v>
      </c>
      <c r="D35" s="3"/>
      <c r="E35" s="3"/>
      <c r="F35" s="3"/>
      <c r="G35" s="3"/>
      <c r="H35" s="330"/>
      <c r="I35" s="3"/>
      <c r="J35" s="3"/>
      <c r="K35" s="3"/>
      <c r="L35" s="3"/>
      <c r="M35" s="3"/>
      <c r="N35" s="3"/>
      <c r="O35" s="3"/>
      <c r="P35" s="3"/>
      <c r="Q35" s="3"/>
      <c r="R35" s="3"/>
      <c r="S35" s="3"/>
      <c r="T35" s="3"/>
      <c r="U35" s="3"/>
      <c r="V35" s="3"/>
      <c r="W35" s="3"/>
      <c r="X35" s="3"/>
      <c r="Y35" s="3"/>
      <c r="Z35" s="3"/>
    </row>
    <row r="36" spans="1:26" ht="12" customHeight="1">
      <c r="A36" s="52"/>
      <c r="B36" s="52"/>
      <c r="C36" s="318" t="s">
        <v>236</v>
      </c>
      <c r="D36" s="3"/>
      <c r="E36" s="319" t="s">
        <v>218</v>
      </c>
      <c r="F36" s="320" t="str">
        <f t="shared" ref="F36:J36" si="4">F$4</f>
        <v>2026F</v>
      </c>
      <c r="G36" s="320" t="str">
        <f t="shared" si="4"/>
        <v>2027F</v>
      </c>
      <c r="H36" s="320" t="str">
        <f t="shared" si="4"/>
        <v>2028F</v>
      </c>
      <c r="I36" s="320" t="str">
        <f t="shared" si="4"/>
        <v>2029F</v>
      </c>
      <c r="J36" s="320" t="str">
        <f t="shared" si="4"/>
        <v>2030F</v>
      </c>
      <c r="K36" s="3"/>
      <c r="L36" s="3"/>
      <c r="M36" s="3"/>
      <c r="N36" s="3"/>
      <c r="O36" s="3"/>
      <c r="P36" s="3"/>
      <c r="Q36" s="3"/>
      <c r="R36" s="3"/>
      <c r="S36" s="3"/>
      <c r="T36" s="3"/>
      <c r="U36" s="3"/>
      <c r="V36" s="3"/>
      <c r="W36" s="3"/>
      <c r="X36" s="3"/>
      <c r="Y36" s="3"/>
      <c r="Z36" s="3"/>
    </row>
    <row r="37" spans="1:26" ht="12" customHeight="1">
      <c r="A37" s="52" t="s">
        <v>46</v>
      </c>
      <c r="B37" s="321" t="str">
        <f t="shared" ref="B37:B47" si="5">D37&amp;"."&amp;C37</f>
        <v>Residential.DVA Disposition Rate Rider Group 1 -2025</v>
      </c>
      <c r="C37" s="321" t="s">
        <v>237</v>
      </c>
      <c r="D37" s="307" t="s">
        <v>222</v>
      </c>
      <c r="E37" s="306">
        <v>-2.0000000000000001E-4</v>
      </c>
      <c r="F37" s="331">
        <v>-5.9999999999999995E-4</v>
      </c>
      <c r="G37" s="176">
        <v>0</v>
      </c>
      <c r="H37" s="176">
        <v>0</v>
      </c>
      <c r="I37" s="176">
        <v>0</v>
      </c>
      <c r="J37" s="176">
        <v>0</v>
      </c>
      <c r="K37" s="3"/>
      <c r="L37" s="3"/>
      <c r="M37" s="3"/>
      <c r="N37" s="3"/>
      <c r="O37" s="3"/>
      <c r="P37" s="3"/>
      <c r="Q37" s="3"/>
      <c r="R37" s="3"/>
      <c r="S37" s="3"/>
      <c r="T37" s="3"/>
      <c r="U37" s="3"/>
      <c r="V37" s="3"/>
      <c r="W37" s="3"/>
      <c r="X37" s="3"/>
      <c r="Y37" s="3"/>
      <c r="Z37" s="3"/>
    </row>
    <row r="38" spans="1:26" ht="12" customHeight="1">
      <c r="A38" s="52" t="s">
        <v>46</v>
      </c>
      <c r="B38" s="321" t="str">
        <f t="shared" si="5"/>
        <v>General Service &lt; 50 kW.DVA Disposition Rate Rider Group 1 -2025</v>
      </c>
      <c r="C38" s="321" t="s">
        <v>237</v>
      </c>
      <c r="D38" s="307" t="s">
        <v>223</v>
      </c>
      <c r="E38" s="306">
        <v>0</v>
      </c>
      <c r="F38" s="331">
        <v>-5.0000000000000001E-4</v>
      </c>
      <c r="G38" s="176">
        <v>0</v>
      </c>
      <c r="H38" s="176">
        <v>0</v>
      </c>
      <c r="I38" s="176">
        <v>0</v>
      </c>
      <c r="J38" s="176">
        <v>0</v>
      </c>
      <c r="K38" s="3"/>
      <c r="L38" s="3"/>
      <c r="M38" s="3"/>
      <c r="N38" s="3"/>
      <c r="O38" s="3"/>
      <c r="P38" s="3"/>
      <c r="Q38" s="3"/>
      <c r="R38" s="3"/>
      <c r="S38" s="3"/>
      <c r="T38" s="3"/>
      <c r="U38" s="3"/>
      <c r="V38" s="3"/>
      <c r="W38" s="3"/>
      <c r="X38" s="3"/>
      <c r="Y38" s="3"/>
      <c r="Z38" s="3"/>
    </row>
    <row r="39" spans="1:26" ht="12" customHeight="1">
      <c r="A39" s="52" t="s">
        <v>66</v>
      </c>
      <c r="B39" s="321" t="str">
        <f t="shared" si="5"/>
        <v>General Service 50 to 1,499 KW.DVA Disposition Rate Rider Group 1 -2025</v>
      </c>
      <c r="C39" s="321" t="s">
        <v>237</v>
      </c>
      <c r="D39" s="307" t="s">
        <v>224</v>
      </c>
      <c r="E39" s="306">
        <v>0.35310000000000002</v>
      </c>
      <c r="F39" s="331">
        <v>7.3000000000000001E-3</v>
      </c>
      <c r="G39" s="176">
        <v>0</v>
      </c>
      <c r="H39" s="176">
        <v>0</v>
      </c>
      <c r="I39" s="176">
        <v>0</v>
      </c>
      <c r="J39" s="176">
        <v>0</v>
      </c>
      <c r="K39" s="3"/>
      <c r="L39" s="3"/>
      <c r="M39" s="3"/>
      <c r="N39" s="3"/>
      <c r="O39" s="3"/>
      <c r="P39" s="3"/>
      <c r="Q39" s="3"/>
      <c r="R39" s="3"/>
      <c r="S39" s="3"/>
      <c r="T39" s="3"/>
      <c r="U39" s="3"/>
      <c r="V39" s="3"/>
      <c r="W39" s="3"/>
      <c r="X39" s="3"/>
      <c r="Y39" s="3"/>
      <c r="Z39" s="3"/>
    </row>
    <row r="40" spans="1:26" ht="12" customHeight="1">
      <c r="A40" s="52" t="s">
        <v>66</v>
      </c>
      <c r="B40" s="321" t="str">
        <f t="shared" si="5"/>
        <v>General Service 1,500 to 4,999 KW.DVA Disposition Rate Rider Group 1 -2025</v>
      </c>
      <c r="C40" s="321" t="s">
        <v>237</v>
      </c>
      <c r="D40" s="307" t="s">
        <v>225</v>
      </c>
      <c r="E40" s="306">
        <v>5.3600000000000002E-2</v>
      </c>
      <c r="F40" s="331">
        <v>-0.22289999999999999</v>
      </c>
      <c r="G40" s="176">
        <v>0</v>
      </c>
      <c r="H40" s="176">
        <v>0</v>
      </c>
      <c r="I40" s="176">
        <v>0</v>
      </c>
      <c r="J40" s="176">
        <v>0</v>
      </c>
      <c r="K40" s="3"/>
      <c r="L40" s="3"/>
      <c r="M40" s="3"/>
      <c r="N40" s="3"/>
      <c r="O40" s="3"/>
      <c r="P40" s="3"/>
      <c r="Q40" s="3"/>
      <c r="R40" s="3"/>
      <c r="S40" s="3"/>
      <c r="T40" s="3"/>
      <c r="U40" s="3"/>
      <c r="V40" s="3"/>
      <c r="W40" s="3"/>
      <c r="X40" s="3"/>
      <c r="Y40" s="3"/>
      <c r="Z40" s="3"/>
    </row>
    <row r="41" spans="1:26" ht="12" customHeight="1">
      <c r="A41" s="52" t="s">
        <v>66</v>
      </c>
      <c r="B41" s="321" t="str">
        <f t="shared" si="5"/>
        <v>Large User.DVA Disposition Rate Rider Group 1 -2025</v>
      </c>
      <c r="C41" s="321" t="s">
        <v>237</v>
      </c>
      <c r="D41" s="307" t="s">
        <v>226</v>
      </c>
      <c r="E41" s="306">
        <v>6.3399999999999998E-2</v>
      </c>
      <c r="F41" s="331">
        <v>-0.27450000000000002</v>
      </c>
      <c r="G41" s="176">
        <v>0</v>
      </c>
      <c r="H41" s="176">
        <v>0</v>
      </c>
      <c r="I41" s="176">
        <v>0</v>
      </c>
      <c r="J41" s="176">
        <v>0</v>
      </c>
      <c r="K41" s="3"/>
      <c r="L41" s="3"/>
      <c r="M41" s="3"/>
      <c r="N41" s="3"/>
      <c r="O41" s="3"/>
      <c r="P41" s="3"/>
      <c r="Q41" s="3"/>
      <c r="R41" s="3"/>
      <c r="S41" s="3"/>
      <c r="T41" s="3"/>
      <c r="U41" s="3"/>
      <c r="V41" s="3"/>
      <c r="W41" s="3"/>
      <c r="X41" s="3"/>
      <c r="Y41" s="3"/>
      <c r="Z41" s="3"/>
    </row>
    <row r="42" spans="1:26" ht="12" customHeight="1">
      <c r="A42" s="52" t="s">
        <v>66</v>
      </c>
      <c r="B42" s="321" t="str">
        <f t="shared" si="5"/>
        <v>Street Light.DVA Disposition Rate Rider Group 1 -2025</v>
      </c>
      <c r="C42" s="321" t="s">
        <v>237</v>
      </c>
      <c r="D42" s="307" t="s">
        <v>227</v>
      </c>
      <c r="E42" s="306">
        <v>4.1000000000000002E-2</v>
      </c>
      <c r="F42" s="331">
        <v>-0.22040000000000001</v>
      </c>
      <c r="G42" s="176">
        <v>0</v>
      </c>
      <c r="H42" s="176">
        <v>0</v>
      </c>
      <c r="I42" s="176">
        <v>0</v>
      </c>
      <c r="J42" s="176">
        <v>0</v>
      </c>
      <c r="K42" s="3"/>
      <c r="L42" s="3"/>
      <c r="M42" s="3"/>
      <c r="N42" s="3"/>
      <c r="O42" s="3"/>
      <c r="P42" s="3"/>
      <c r="Q42" s="3"/>
      <c r="R42" s="3"/>
      <c r="S42" s="3"/>
      <c r="T42" s="3"/>
      <c r="U42" s="3"/>
      <c r="V42" s="3"/>
      <c r="W42" s="3"/>
      <c r="X42" s="3"/>
      <c r="Y42" s="3"/>
      <c r="Z42" s="3"/>
    </row>
    <row r="43" spans="1:26" ht="12" customHeight="1">
      <c r="A43" s="52" t="s">
        <v>66</v>
      </c>
      <c r="B43" s="321" t="str">
        <f t="shared" si="5"/>
        <v>Sentinel Lights.DVA Disposition Rate Rider Group 1 -2025</v>
      </c>
      <c r="C43" s="321" t="s">
        <v>237</v>
      </c>
      <c r="D43" s="307" t="s">
        <v>228</v>
      </c>
      <c r="E43" s="306">
        <v>4.1399999999999999E-2</v>
      </c>
      <c r="F43" s="331">
        <v>-0.15359999999999999</v>
      </c>
      <c r="G43" s="176">
        <v>0</v>
      </c>
      <c r="H43" s="176">
        <v>0</v>
      </c>
      <c r="I43" s="176">
        <v>0</v>
      </c>
      <c r="J43" s="176">
        <v>0</v>
      </c>
      <c r="K43" s="3"/>
      <c r="L43" s="3"/>
      <c r="M43" s="3"/>
      <c r="N43" s="3"/>
      <c r="O43" s="3"/>
      <c r="P43" s="3"/>
      <c r="Q43" s="3"/>
      <c r="R43" s="3"/>
      <c r="S43" s="3"/>
      <c r="T43" s="3"/>
      <c r="U43" s="3"/>
      <c r="V43" s="3"/>
      <c r="W43" s="3"/>
      <c r="X43" s="3"/>
      <c r="Y43" s="3"/>
      <c r="Z43" s="3"/>
    </row>
    <row r="44" spans="1:26" ht="12" customHeight="1">
      <c r="A44" s="52" t="s">
        <v>46</v>
      </c>
      <c r="B44" s="321" t="str">
        <f t="shared" si="5"/>
        <v>Unmetered Scattered Load.DVA Disposition Rate Rider Group 1 -2025</v>
      </c>
      <c r="C44" s="321" t="s">
        <v>237</v>
      </c>
      <c r="D44" s="307" t="s">
        <v>229</v>
      </c>
      <c r="E44" s="306">
        <v>1E-4</v>
      </c>
      <c r="F44" s="331">
        <v>-5.0000000000000001E-4</v>
      </c>
      <c r="G44" s="176">
        <v>0</v>
      </c>
      <c r="H44" s="176">
        <v>0</v>
      </c>
      <c r="I44" s="176">
        <v>0</v>
      </c>
      <c r="J44" s="176">
        <v>0</v>
      </c>
      <c r="K44" s="3"/>
      <c r="L44" s="3"/>
      <c r="M44" s="3"/>
      <c r="N44" s="3"/>
      <c r="O44" s="3"/>
      <c r="P44" s="3"/>
      <c r="Q44" s="3"/>
      <c r="R44" s="3"/>
      <c r="S44" s="3"/>
      <c r="T44" s="3"/>
      <c r="U44" s="3"/>
      <c r="V44" s="3"/>
      <c r="W44" s="3"/>
      <c r="X44" s="3"/>
      <c r="Y44" s="3"/>
      <c r="Z44" s="3"/>
    </row>
    <row r="45" spans="1:26" ht="12" customHeight="1">
      <c r="A45" s="52" t="s">
        <v>66</v>
      </c>
      <c r="B45" s="321" t="str">
        <f t="shared" si="5"/>
        <v>Standby Power General Service 50 to 1,499 KW.DVA Disposition Rate Rider Group 1 -2025</v>
      </c>
      <c r="C45" s="321" t="s">
        <v>237</v>
      </c>
      <c r="D45" s="307" t="s">
        <v>230</v>
      </c>
      <c r="E45" s="3"/>
      <c r="F45" s="332"/>
      <c r="G45" s="3"/>
      <c r="H45" s="3"/>
      <c r="I45" s="3"/>
      <c r="J45" s="3"/>
      <c r="K45" s="3"/>
      <c r="L45" s="3"/>
      <c r="M45" s="3"/>
      <c r="N45" s="3"/>
      <c r="O45" s="3"/>
      <c r="P45" s="3"/>
      <c r="Q45" s="3"/>
      <c r="R45" s="3"/>
      <c r="S45" s="3"/>
      <c r="T45" s="3"/>
      <c r="U45" s="3"/>
      <c r="V45" s="3"/>
      <c r="W45" s="3"/>
      <c r="X45" s="3"/>
      <c r="Y45" s="3"/>
      <c r="Z45" s="3"/>
    </row>
    <row r="46" spans="1:26" ht="12" customHeight="1">
      <c r="A46" s="52" t="s">
        <v>66</v>
      </c>
      <c r="B46" s="321" t="str">
        <f t="shared" si="5"/>
        <v>Standby Power General Service 1,500 to 4,999 KW.DVA Disposition Rate Rider Group 1 -2025</v>
      </c>
      <c r="C46" s="321" t="s">
        <v>237</v>
      </c>
      <c r="D46" s="307" t="s">
        <v>231</v>
      </c>
      <c r="E46" s="3"/>
      <c r="F46" s="332"/>
      <c r="G46" s="3"/>
      <c r="H46" s="333"/>
      <c r="I46" s="3"/>
      <c r="J46" s="3"/>
      <c r="K46" s="3"/>
      <c r="L46" s="3"/>
      <c r="M46" s="3"/>
      <c r="N46" s="3"/>
      <c r="O46" s="3"/>
      <c r="P46" s="3"/>
      <c r="Q46" s="3"/>
      <c r="R46" s="3"/>
      <c r="S46" s="3"/>
      <c r="T46" s="3"/>
      <c r="U46" s="3"/>
      <c r="V46" s="3"/>
      <c r="W46" s="3"/>
      <c r="X46" s="3"/>
      <c r="Y46" s="3"/>
      <c r="Z46" s="3"/>
    </row>
    <row r="47" spans="1:26" ht="12" customHeight="1">
      <c r="A47" s="52" t="s">
        <v>66</v>
      </c>
      <c r="B47" s="321" t="str">
        <f t="shared" si="5"/>
        <v>Standby Power Large Use.DVA Disposition Rate Rider Group 1 -2025</v>
      </c>
      <c r="C47" s="321" t="s">
        <v>237</v>
      </c>
      <c r="D47" s="307" t="s">
        <v>232</v>
      </c>
      <c r="E47" s="3"/>
      <c r="F47" s="332"/>
      <c r="G47" s="3"/>
      <c r="H47" s="333"/>
      <c r="I47" s="3"/>
      <c r="J47" s="3"/>
      <c r="K47" s="3"/>
      <c r="L47" s="3"/>
      <c r="M47" s="3"/>
      <c r="N47" s="3"/>
      <c r="O47" s="3"/>
      <c r="P47" s="3"/>
      <c r="Q47" s="3"/>
      <c r="R47" s="3"/>
      <c r="S47" s="3"/>
      <c r="T47" s="3"/>
      <c r="U47" s="3"/>
      <c r="V47" s="3"/>
      <c r="W47" s="3"/>
      <c r="X47" s="3"/>
      <c r="Y47" s="3"/>
      <c r="Z47" s="3"/>
    </row>
    <row r="48" spans="1:26" ht="12" customHeight="1">
      <c r="A48" s="3"/>
      <c r="B48" s="307"/>
      <c r="C48" s="3"/>
      <c r="D48" s="3"/>
      <c r="E48" s="3"/>
      <c r="F48" s="3"/>
      <c r="G48" s="3"/>
      <c r="H48" s="3"/>
      <c r="I48" s="334"/>
      <c r="J48" s="3"/>
      <c r="K48" s="3"/>
      <c r="L48" s="3"/>
      <c r="M48" s="3"/>
      <c r="N48" s="3"/>
      <c r="O48" s="3"/>
      <c r="P48" s="3"/>
      <c r="Q48" s="3"/>
      <c r="R48" s="3"/>
      <c r="S48" s="3"/>
      <c r="T48" s="3"/>
      <c r="U48" s="3"/>
      <c r="V48" s="3"/>
      <c r="W48" s="3"/>
      <c r="X48" s="3"/>
      <c r="Y48" s="3"/>
      <c r="Z48" s="3"/>
    </row>
    <row r="49" spans="1:26" ht="12" customHeight="1">
      <c r="A49" s="3"/>
      <c r="B49" s="307"/>
      <c r="C49" s="318" t="s">
        <v>238</v>
      </c>
      <c r="D49" s="3"/>
      <c r="E49" s="3"/>
      <c r="F49" s="3"/>
      <c r="G49" s="3"/>
      <c r="H49" s="3"/>
      <c r="I49" s="3"/>
      <c r="J49" s="3"/>
      <c r="K49" s="3"/>
      <c r="L49" s="3"/>
      <c r="M49" s="3"/>
      <c r="N49" s="3"/>
      <c r="O49" s="3"/>
      <c r="P49" s="3"/>
      <c r="Q49" s="3"/>
      <c r="R49" s="3"/>
      <c r="S49" s="3"/>
      <c r="T49" s="3"/>
      <c r="U49" s="3"/>
      <c r="V49" s="3"/>
      <c r="W49" s="3"/>
      <c r="X49" s="3"/>
      <c r="Y49" s="3"/>
      <c r="Z49" s="3"/>
    </row>
    <row r="50" spans="1:26" ht="12" customHeight="1">
      <c r="A50" s="3"/>
      <c r="B50" s="52"/>
      <c r="C50" s="318" t="s">
        <v>236</v>
      </c>
      <c r="D50" s="3"/>
      <c r="E50" s="319" t="s">
        <v>218</v>
      </c>
      <c r="F50" s="320" t="str">
        <f t="shared" ref="F50:J50" si="6">F$4</f>
        <v>2026F</v>
      </c>
      <c r="G50" s="320" t="str">
        <f t="shared" si="6"/>
        <v>2027F</v>
      </c>
      <c r="H50" s="320" t="str">
        <f t="shared" si="6"/>
        <v>2028F</v>
      </c>
      <c r="I50" s="320" t="str">
        <f t="shared" si="6"/>
        <v>2029F</v>
      </c>
      <c r="J50" s="320" t="str">
        <f t="shared" si="6"/>
        <v>2030F</v>
      </c>
      <c r="K50" s="3"/>
      <c r="L50" s="3"/>
      <c r="M50" s="3"/>
      <c r="N50" s="3"/>
      <c r="O50" s="3"/>
      <c r="P50" s="3"/>
      <c r="Q50" s="3"/>
      <c r="R50" s="3"/>
      <c r="S50" s="3"/>
      <c r="T50" s="3"/>
      <c r="U50" s="3"/>
      <c r="V50" s="3"/>
      <c r="W50" s="3"/>
      <c r="X50" s="3"/>
      <c r="Y50" s="3"/>
      <c r="Z50" s="3"/>
    </row>
    <row r="51" spans="1:26" ht="12" customHeight="1">
      <c r="A51" s="52" t="s">
        <v>46</v>
      </c>
      <c r="B51" s="321" t="str">
        <f t="shared" ref="B51:B60" si="7">D51&amp;"."&amp;C51</f>
        <v>Residential.DVA Disposition Rate Rider Group 1 - 2024</v>
      </c>
      <c r="C51" s="321" t="s">
        <v>239</v>
      </c>
      <c r="D51" s="307" t="s">
        <v>222</v>
      </c>
      <c r="E51" s="306"/>
      <c r="F51" s="176">
        <v>0</v>
      </c>
      <c r="G51" s="176">
        <v>0</v>
      </c>
      <c r="H51" s="176">
        <v>0</v>
      </c>
      <c r="I51" s="176">
        <v>0</v>
      </c>
      <c r="J51" s="176">
        <v>0</v>
      </c>
      <c r="K51" s="3"/>
      <c r="L51" s="3"/>
      <c r="M51" s="3"/>
      <c r="N51" s="3"/>
      <c r="O51" s="3"/>
      <c r="P51" s="3"/>
      <c r="Q51" s="3"/>
      <c r="R51" s="3"/>
      <c r="S51" s="3"/>
      <c r="T51" s="3"/>
      <c r="U51" s="3"/>
      <c r="V51" s="3"/>
      <c r="W51" s="3"/>
      <c r="X51" s="3"/>
      <c r="Y51" s="3"/>
      <c r="Z51" s="3"/>
    </row>
    <row r="52" spans="1:26" ht="12" customHeight="1">
      <c r="A52" s="52" t="s">
        <v>46</v>
      </c>
      <c r="B52" s="321" t="str">
        <f t="shared" si="7"/>
        <v>General Service &lt; 50 kW.DVA Disposition Rate Rider Group 1 - 2024</v>
      </c>
      <c r="C52" s="321" t="s">
        <v>239</v>
      </c>
      <c r="D52" s="307" t="s">
        <v>223</v>
      </c>
      <c r="E52" s="306"/>
      <c r="F52" s="176">
        <v>0</v>
      </c>
      <c r="G52" s="176">
        <v>0</v>
      </c>
      <c r="H52" s="176">
        <v>0</v>
      </c>
      <c r="I52" s="176">
        <v>0</v>
      </c>
      <c r="J52" s="176">
        <v>0</v>
      </c>
      <c r="K52" s="3"/>
      <c r="L52" s="3"/>
      <c r="M52" s="3"/>
      <c r="N52" s="3"/>
      <c r="O52" s="3"/>
      <c r="P52" s="3"/>
      <c r="Q52" s="3"/>
      <c r="R52" s="3"/>
      <c r="S52" s="3"/>
      <c r="T52" s="3"/>
      <c r="U52" s="3"/>
      <c r="V52" s="3"/>
      <c r="W52" s="3"/>
      <c r="X52" s="3"/>
      <c r="Y52" s="3"/>
      <c r="Z52" s="3"/>
    </row>
    <row r="53" spans="1:26" ht="12" customHeight="1">
      <c r="A53" s="52" t="s">
        <v>66</v>
      </c>
      <c r="B53" s="321" t="str">
        <f t="shared" si="7"/>
        <v>General Service 50 to 1,499 KW.DVA Disposition Rate Rider Group 1 - 2024</v>
      </c>
      <c r="C53" s="321" t="s">
        <v>239</v>
      </c>
      <c r="D53" s="307" t="s">
        <v>224</v>
      </c>
      <c r="E53" s="306"/>
      <c r="F53" s="176">
        <v>0</v>
      </c>
      <c r="G53" s="176">
        <v>0</v>
      </c>
      <c r="H53" s="176">
        <v>0</v>
      </c>
      <c r="I53" s="176">
        <v>0</v>
      </c>
      <c r="J53" s="176">
        <v>0</v>
      </c>
      <c r="K53" s="3"/>
      <c r="L53" s="3"/>
      <c r="M53" s="3"/>
      <c r="N53" s="3"/>
      <c r="O53" s="3"/>
      <c r="P53" s="3"/>
      <c r="Q53" s="3"/>
      <c r="R53" s="3"/>
      <c r="S53" s="3"/>
      <c r="T53" s="3"/>
      <c r="U53" s="3"/>
      <c r="V53" s="3"/>
      <c r="W53" s="3"/>
      <c r="X53" s="3"/>
      <c r="Y53" s="3"/>
      <c r="Z53" s="3"/>
    </row>
    <row r="54" spans="1:26" ht="12" customHeight="1">
      <c r="A54" s="52" t="s">
        <v>66</v>
      </c>
      <c r="B54" s="321" t="str">
        <f t="shared" si="7"/>
        <v>General Service 1,500 to 4,999 KW.DVA Disposition Rate Rider Group 1 - 2024</v>
      </c>
      <c r="C54" s="321" t="s">
        <v>239</v>
      </c>
      <c r="D54" s="307" t="s">
        <v>225</v>
      </c>
      <c r="E54" s="306"/>
      <c r="F54" s="176">
        <v>0</v>
      </c>
      <c r="G54" s="176">
        <v>0</v>
      </c>
      <c r="H54" s="176">
        <v>0</v>
      </c>
      <c r="I54" s="176">
        <v>0</v>
      </c>
      <c r="J54" s="176">
        <v>0</v>
      </c>
      <c r="K54" s="3"/>
      <c r="L54" s="3"/>
      <c r="M54" s="3"/>
      <c r="N54" s="3"/>
      <c r="O54" s="3"/>
      <c r="P54" s="3"/>
      <c r="Q54" s="3"/>
      <c r="R54" s="3"/>
      <c r="S54" s="3"/>
      <c r="T54" s="3"/>
      <c r="U54" s="3"/>
      <c r="V54" s="3"/>
      <c r="W54" s="3"/>
      <c r="X54" s="3"/>
      <c r="Y54" s="3"/>
      <c r="Z54" s="3"/>
    </row>
    <row r="55" spans="1:26" ht="12" customHeight="1">
      <c r="A55" s="52" t="s">
        <v>66</v>
      </c>
      <c r="B55" s="321" t="str">
        <f t="shared" si="7"/>
        <v>Large User.DVA Disposition Rate Rider Group 1 - 2024</v>
      </c>
      <c r="C55" s="321" t="s">
        <v>239</v>
      </c>
      <c r="D55" s="307" t="s">
        <v>226</v>
      </c>
      <c r="E55" s="306"/>
      <c r="F55" s="176">
        <v>0</v>
      </c>
      <c r="G55" s="176">
        <v>0</v>
      </c>
      <c r="H55" s="176">
        <v>0</v>
      </c>
      <c r="I55" s="176">
        <v>0</v>
      </c>
      <c r="J55" s="176">
        <v>0</v>
      </c>
      <c r="K55" s="3"/>
      <c r="L55" s="3"/>
      <c r="M55" s="3"/>
      <c r="N55" s="3"/>
      <c r="O55" s="3"/>
      <c r="P55" s="3"/>
      <c r="Q55" s="3"/>
      <c r="R55" s="3"/>
      <c r="S55" s="3"/>
      <c r="T55" s="3"/>
      <c r="U55" s="3"/>
      <c r="V55" s="3"/>
      <c r="W55" s="3"/>
      <c r="X55" s="3"/>
      <c r="Y55" s="3"/>
      <c r="Z55" s="3"/>
    </row>
    <row r="56" spans="1:26" ht="12" customHeight="1">
      <c r="A56" s="52" t="s">
        <v>66</v>
      </c>
      <c r="B56" s="321" t="str">
        <f t="shared" si="7"/>
        <v>Street Light.DVA Disposition Rate Rider Group 1 - 2024</v>
      </c>
      <c r="C56" s="321" t="s">
        <v>239</v>
      </c>
      <c r="D56" s="307" t="s">
        <v>227</v>
      </c>
      <c r="E56" s="306"/>
      <c r="F56" s="176">
        <v>0</v>
      </c>
      <c r="G56" s="176">
        <v>0</v>
      </c>
      <c r="H56" s="176">
        <v>0</v>
      </c>
      <c r="I56" s="176">
        <v>0</v>
      </c>
      <c r="J56" s="176">
        <v>0</v>
      </c>
      <c r="K56" s="3"/>
      <c r="L56" s="3"/>
      <c r="M56" s="3"/>
      <c r="N56" s="3"/>
      <c r="O56" s="3"/>
      <c r="P56" s="3"/>
      <c r="Q56" s="3"/>
      <c r="R56" s="3"/>
      <c r="S56" s="3"/>
      <c r="T56" s="3"/>
      <c r="U56" s="3"/>
      <c r="V56" s="3"/>
      <c r="W56" s="3"/>
      <c r="X56" s="3"/>
      <c r="Y56" s="3"/>
      <c r="Z56" s="3"/>
    </row>
    <row r="57" spans="1:26" ht="12" customHeight="1">
      <c r="A57" s="52" t="s">
        <v>66</v>
      </c>
      <c r="B57" s="321" t="str">
        <f t="shared" si="7"/>
        <v>Sentinel Lights.DVA Disposition Rate Rider Group 1 - 2024</v>
      </c>
      <c r="C57" s="321" t="s">
        <v>239</v>
      </c>
      <c r="D57" s="307" t="s">
        <v>228</v>
      </c>
      <c r="E57" s="306"/>
      <c r="F57" s="176">
        <v>0</v>
      </c>
      <c r="G57" s="176">
        <v>0</v>
      </c>
      <c r="H57" s="176">
        <v>0</v>
      </c>
      <c r="I57" s="176">
        <v>0</v>
      </c>
      <c r="J57" s="176">
        <v>0</v>
      </c>
      <c r="K57" s="3"/>
      <c r="L57" s="3"/>
      <c r="M57" s="3"/>
      <c r="N57" s="3"/>
      <c r="O57" s="3"/>
      <c r="P57" s="3"/>
      <c r="Q57" s="3"/>
      <c r="R57" s="3"/>
      <c r="S57" s="3"/>
      <c r="T57" s="3"/>
      <c r="U57" s="3"/>
      <c r="V57" s="3"/>
      <c r="W57" s="3"/>
      <c r="X57" s="3"/>
      <c r="Y57" s="3"/>
      <c r="Z57" s="3"/>
    </row>
    <row r="58" spans="1:26" ht="12" customHeight="1">
      <c r="A58" s="52" t="s">
        <v>46</v>
      </c>
      <c r="B58" s="321" t="str">
        <f t="shared" si="7"/>
        <v>Unmetered Scattered Load.DVA Disposition Rate Rider Group 1 - 2024</v>
      </c>
      <c r="C58" s="321" t="s">
        <v>239</v>
      </c>
      <c r="D58" s="307" t="s">
        <v>229</v>
      </c>
      <c r="E58" s="306"/>
      <c r="F58" s="176">
        <v>0</v>
      </c>
      <c r="G58" s="176">
        <v>0</v>
      </c>
      <c r="H58" s="176">
        <v>0</v>
      </c>
      <c r="I58" s="176">
        <v>0</v>
      </c>
      <c r="J58" s="176">
        <v>0</v>
      </c>
      <c r="K58" s="3"/>
      <c r="L58" s="3"/>
      <c r="M58" s="3"/>
      <c r="N58" s="3"/>
      <c r="O58" s="3"/>
      <c r="P58" s="3"/>
      <c r="Q58" s="3"/>
      <c r="R58" s="3"/>
      <c r="S58" s="3"/>
      <c r="T58" s="3"/>
      <c r="U58" s="3"/>
      <c r="V58" s="3"/>
      <c r="W58" s="3"/>
      <c r="X58" s="3"/>
      <c r="Y58" s="3"/>
      <c r="Z58" s="3"/>
    </row>
    <row r="59" spans="1:26" ht="12" customHeight="1">
      <c r="A59" s="52" t="s">
        <v>66</v>
      </c>
      <c r="B59" s="321" t="str">
        <f t="shared" si="7"/>
        <v>Standby Power General Service 50 to 1,499 KW.DVA Disposition Rate Rider Group 1 - 2024</v>
      </c>
      <c r="C59" s="321" t="s">
        <v>239</v>
      </c>
      <c r="D59" s="307" t="s">
        <v>230</v>
      </c>
      <c r="E59" s="3"/>
      <c r="F59" s="176"/>
      <c r="G59" s="3"/>
      <c r="H59" s="3"/>
      <c r="I59" s="3"/>
      <c r="J59" s="3"/>
      <c r="K59" s="3"/>
      <c r="L59" s="3"/>
      <c r="M59" s="3"/>
      <c r="N59" s="3"/>
      <c r="O59" s="3"/>
      <c r="P59" s="3"/>
      <c r="Q59" s="3"/>
      <c r="R59" s="3"/>
      <c r="S59" s="3"/>
      <c r="T59" s="3"/>
      <c r="U59" s="3"/>
      <c r="V59" s="3"/>
      <c r="W59" s="3"/>
      <c r="X59" s="3"/>
      <c r="Y59" s="3"/>
      <c r="Z59" s="3"/>
    </row>
    <row r="60" spans="1:26" ht="12" customHeight="1">
      <c r="A60" s="52" t="s">
        <v>66</v>
      </c>
      <c r="B60" s="321" t="str">
        <f t="shared" si="7"/>
        <v>Standby Power General Service 1,500 to 4,999 KW.DVA Disposition Rate Rider Group 1 - 2024</v>
      </c>
      <c r="C60" s="321" t="s">
        <v>239</v>
      </c>
      <c r="D60" s="307" t="s">
        <v>231</v>
      </c>
      <c r="E60" s="3"/>
      <c r="F60" s="332"/>
      <c r="G60" s="3"/>
      <c r="H60" s="333"/>
      <c r="I60" s="3"/>
      <c r="J60" s="3"/>
      <c r="K60" s="3"/>
      <c r="L60" s="3"/>
      <c r="M60" s="3"/>
      <c r="N60" s="3"/>
      <c r="O60" s="3"/>
      <c r="P60" s="3"/>
      <c r="Q60" s="3"/>
      <c r="R60" s="3"/>
      <c r="S60" s="3"/>
      <c r="T60" s="3"/>
      <c r="U60" s="3"/>
      <c r="V60" s="3"/>
      <c r="W60" s="3"/>
      <c r="X60" s="3"/>
      <c r="Y60" s="3"/>
      <c r="Z60" s="3"/>
    </row>
    <row r="61" spans="1:26" ht="12" customHeight="1">
      <c r="A61" s="52" t="s">
        <v>66</v>
      </c>
      <c r="B61" s="321" t="s">
        <v>240</v>
      </c>
      <c r="C61" s="321" t="s">
        <v>239</v>
      </c>
      <c r="D61" s="307" t="s">
        <v>232</v>
      </c>
      <c r="E61" s="3"/>
      <c r="F61" s="332"/>
      <c r="G61" s="3"/>
      <c r="H61" s="333"/>
      <c r="I61" s="3"/>
      <c r="J61" s="3"/>
      <c r="K61" s="3"/>
      <c r="L61" s="3"/>
      <c r="M61" s="3"/>
      <c r="N61" s="3"/>
      <c r="O61" s="3"/>
      <c r="P61" s="3"/>
      <c r="Q61" s="3"/>
      <c r="R61" s="3"/>
      <c r="S61" s="3"/>
      <c r="T61" s="3"/>
      <c r="U61" s="3"/>
      <c r="V61" s="3"/>
      <c r="W61" s="3"/>
      <c r="X61" s="3"/>
      <c r="Y61" s="3"/>
      <c r="Z61" s="3"/>
    </row>
    <row r="62" spans="1:26" ht="12" customHeight="1">
      <c r="A62" s="52"/>
      <c r="B62" s="307"/>
      <c r="C62" s="3"/>
      <c r="D62" s="307"/>
      <c r="E62" s="3"/>
      <c r="F62" s="3"/>
      <c r="G62" s="307"/>
      <c r="H62" s="307"/>
      <c r="I62" s="307"/>
      <c r="J62" s="307"/>
      <c r="K62" s="3"/>
      <c r="L62" s="3"/>
      <c r="M62" s="3"/>
      <c r="N62" s="3"/>
      <c r="O62" s="3"/>
      <c r="P62" s="3"/>
      <c r="Q62" s="3"/>
      <c r="R62" s="3"/>
      <c r="S62" s="3"/>
      <c r="T62" s="3"/>
      <c r="U62" s="3"/>
      <c r="V62" s="3"/>
      <c r="W62" s="3"/>
      <c r="X62" s="3"/>
      <c r="Y62" s="3"/>
      <c r="Z62" s="3"/>
    </row>
    <row r="63" spans="1:26" ht="12" customHeight="1">
      <c r="A63" s="335"/>
      <c r="B63" s="321"/>
      <c r="C63" s="318" t="s">
        <v>241</v>
      </c>
      <c r="D63" s="307"/>
      <c r="E63" s="319" t="s">
        <v>218</v>
      </c>
      <c r="F63" s="320" t="str">
        <f t="shared" ref="F63:J63" si="8">F$4</f>
        <v>2026F</v>
      </c>
      <c r="G63" s="320" t="str">
        <f t="shared" si="8"/>
        <v>2027F</v>
      </c>
      <c r="H63" s="320" t="str">
        <f t="shared" si="8"/>
        <v>2028F</v>
      </c>
      <c r="I63" s="320" t="str">
        <f t="shared" si="8"/>
        <v>2029F</v>
      </c>
      <c r="J63" s="320" t="str">
        <f t="shared" si="8"/>
        <v>2030F</v>
      </c>
      <c r="K63" s="3"/>
      <c r="L63" s="3"/>
      <c r="M63" s="3"/>
      <c r="N63" s="3"/>
      <c r="O63" s="3"/>
      <c r="P63" s="3"/>
      <c r="Q63" s="3"/>
      <c r="R63" s="3"/>
      <c r="S63" s="3"/>
      <c r="T63" s="3"/>
      <c r="U63" s="3"/>
      <c r="V63" s="3"/>
      <c r="W63" s="3"/>
      <c r="X63" s="3"/>
      <c r="Y63" s="3"/>
      <c r="Z63" s="3"/>
    </row>
    <row r="64" spans="1:26" ht="12" customHeight="1">
      <c r="A64" s="52" t="s">
        <v>242</v>
      </c>
      <c r="B64" s="321" t="str">
        <f t="shared" ref="B64:B71" si="9">D64&amp;"."&amp;C64</f>
        <v>Residential.Deferral/Variance Account Disposition Rate Rider Group 2</v>
      </c>
      <c r="C64" s="321" t="s">
        <v>240</v>
      </c>
      <c r="D64" s="307" t="s">
        <v>222</v>
      </c>
      <c r="E64" s="306">
        <v>0</v>
      </c>
      <c r="F64" s="336">
        <v>-0.68</v>
      </c>
      <c r="G64" s="176">
        <v>0</v>
      </c>
      <c r="H64" s="176">
        <v>0</v>
      </c>
      <c r="I64" s="176">
        <v>0</v>
      </c>
      <c r="J64" s="176">
        <v>0</v>
      </c>
      <c r="K64" s="3"/>
      <c r="L64" s="3"/>
      <c r="M64" s="3"/>
      <c r="N64" s="3"/>
      <c r="O64" s="3"/>
      <c r="P64" s="3"/>
      <c r="Q64" s="3"/>
      <c r="R64" s="3"/>
      <c r="S64" s="3"/>
      <c r="T64" s="3"/>
      <c r="U64" s="3"/>
      <c r="V64" s="3"/>
      <c r="W64" s="3"/>
      <c r="X64" s="3"/>
      <c r="Y64" s="3"/>
      <c r="Z64" s="3"/>
    </row>
    <row r="65" spans="1:26" ht="12" customHeight="1">
      <c r="A65" s="52" t="s">
        <v>46</v>
      </c>
      <c r="B65" s="321" t="str">
        <f t="shared" si="9"/>
        <v>General Service &lt; 50 kW.Deferral/Variance Account Disposition Rate Rider Group 2</v>
      </c>
      <c r="C65" s="321" t="s">
        <v>240</v>
      </c>
      <c r="D65" s="307" t="s">
        <v>223</v>
      </c>
      <c r="E65" s="306">
        <v>0</v>
      </c>
      <c r="F65" s="336">
        <v>-8.0000000000000004E-4</v>
      </c>
      <c r="G65" s="176">
        <v>0</v>
      </c>
      <c r="H65" s="176">
        <v>0</v>
      </c>
      <c r="I65" s="176">
        <v>0</v>
      </c>
      <c r="J65" s="176">
        <v>0</v>
      </c>
      <c r="K65" s="3"/>
      <c r="L65" s="3"/>
      <c r="M65" s="3"/>
      <c r="N65" s="3"/>
      <c r="O65" s="3"/>
      <c r="P65" s="3"/>
      <c r="Q65" s="3"/>
      <c r="R65" s="3"/>
      <c r="S65" s="3"/>
      <c r="T65" s="3"/>
      <c r="U65" s="3"/>
      <c r="V65" s="3"/>
      <c r="W65" s="3"/>
      <c r="X65" s="3"/>
      <c r="Y65" s="3"/>
      <c r="Z65" s="3"/>
    </row>
    <row r="66" spans="1:26" ht="12" customHeight="1">
      <c r="A66" s="52" t="s">
        <v>66</v>
      </c>
      <c r="B66" s="321" t="str">
        <f t="shared" si="9"/>
        <v>General Service 50 to 1,499 KW.Deferral/Variance Account Disposition Rate Rider Group 2</v>
      </c>
      <c r="C66" s="321" t="s">
        <v>240</v>
      </c>
      <c r="D66" s="307" t="s">
        <v>224</v>
      </c>
      <c r="E66" s="306">
        <v>0</v>
      </c>
      <c r="F66" s="336">
        <v>-0.15229999999999999</v>
      </c>
      <c r="G66" s="176">
        <v>0</v>
      </c>
      <c r="H66" s="176">
        <v>0</v>
      </c>
      <c r="I66" s="176">
        <v>0</v>
      </c>
      <c r="J66" s="176">
        <v>0</v>
      </c>
      <c r="K66" s="3"/>
      <c r="L66" s="3"/>
      <c r="M66" s="3"/>
      <c r="N66" s="3"/>
      <c r="O66" s="3"/>
      <c r="P66" s="3"/>
      <c r="Q66" s="3"/>
      <c r="R66" s="3"/>
      <c r="S66" s="3"/>
      <c r="T66" s="3"/>
      <c r="U66" s="3"/>
      <c r="V66" s="3"/>
      <c r="W66" s="3"/>
      <c r="X66" s="3"/>
      <c r="Y66" s="3"/>
      <c r="Z66" s="3"/>
    </row>
    <row r="67" spans="1:26" ht="12" customHeight="1">
      <c r="A67" s="52" t="s">
        <v>66</v>
      </c>
      <c r="B67" s="321" t="str">
        <f t="shared" si="9"/>
        <v>General Service 1,500 to 4,999 KW.Deferral/Variance Account Disposition Rate Rider Group 2</v>
      </c>
      <c r="C67" s="321" t="s">
        <v>240</v>
      </c>
      <c r="D67" s="307" t="s">
        <v>225</v>
      </c>
      <c r="E67" s="306">
        <v>0</v>
      </c>
      <c r="F67" s="336">
        <v>-0.1694</v>
      </c>
      <c r="G67" s="176">
        <v>0</v>
      </c>
      <c r="H67" s="176">
        <v>0</v>
      </c>
      <c r="I67" s="176">
        <v>0</v>
      </c>
      <c r="J67" s="176">
        <v>0</v>
      </c>
      <c r="K67" s="3"/>
      <c r="L67" s="3"/>
      <c r="M67" s="3"/>
      <c r="N67" s="3"/>
      <c r="O67" s="3"/>
      <c r="P67" s="3"/>
      <c r="Q67" s="3"/>
      <c r="R67" s="3"/>
      <c r="S67" s="3"/>
      <c r="T67" s="3"/>
      <c r="U67" s="3"/>
      <c r="V67" s="3"/>
      <c r="W67" s="3"/>
      <c r="X67" s="3"/>
      <c r="Y67" s="3"/>
      <c r="Z67" s="3"/>
    </row>
    <row r="68" spans="1:26" ht="12" customHeight="1">
      <c r="A68" s="52" t="s">
        <v>66</v>
      </c>
      <c r="B68" s="321" t="str">
        <f t="shared" si="9"/>
        <v>Large User.Deferral/Variance Account Disposition Rate Rider Group 2</v>
      </c>
      <c r="C68" s="321" t="s">
        <v>240</v>
      </c>
      <c r="D68" s="307" t="s">
        <v>226</v>
      </c>
      <c r="E68" s="306">
        <v>0</v>
      </c>
      <c r="F68" s="336">
        <v>-0.1731</v>
      </c>
      <c r="G68" s="176">
        <v>0</v>
      </c>
      <c r="H68" s="176">
        <v>0</v>
      </c>
      <c r="I68" s="176">
        <v>0</v>
      </c>
      <c r="J68" s="176">
        <v>0</v>
      </c>
      <c r="K68" s="3"/>
      <c r="L68" s="3"/>
      <c r="M68" s="3"/>
      <c r="N68" s="3"/>
      <c r="O68" s="3"/>
      <c r="P68" s="3"/>
      <c r="Q68" s="3"/>
      <c r="R68" s="3"/>
      <c r="S68" s="3"/>
      <c r="T68" s="3"/>
      <c r="U68" s="3"/>
      <c r="V68" s="3"/>
      <c r="W68" s="3"/>
      <c r="X68" s="3"/>
      <c r="Y68" s="3"/>
      <c r="Z68" s="3"/>
    </row>
    <row r="69" spans="1:26" ht="12" customHeight="1">
      <c r="A69" s="52" t="s">
        <v>66</v>
      </c>
      <c r="B69" s="321" t="str">
        <f t="shared" si="9"/>
        <v>Street Light.Deferral/Variance Account Disposition Rate Rider Group 2</v>
      </c>
      <c r="C69" s="321" t="s">
        <v>240</v>
      </c>
      <c r="D69" s="307" t="s">
        <v>227</v>
      </c>
      <c r="E69" s="306">
        <v>0</v>
      </c>
      <c r="F69" s="336">
        <v>-0.4123</v>
      </c>
      <c r="G69" s="176">
        <v>0</v>
      </c>
      <c r="H69" s="176">
        <v>0</v>
      </c>
      <c r="I69" s="176">
        <v>0</v>
      </c>
      <c r="J69" s="176">
        <v>0</v>
      </c>
      <c r="K69" s="3"/>
      <c r="L69" s="3"/>
      <c r="M69" s="3"/>
      <c r="N69" s="3"/>
      <c r="O69" s="3"/>
      <c r="P69" s="3"/>
      <c r="Q69" s="3"/>
      <c r="R69" s="3"/>
      <c r="S69" s="3"/>
      <c r="T69" s="3"/>
      <c r="U69" s="3"/>
      <c r="V69" s="3"/>
      <c r="W69" s="3"/>
      <c r="X69" s="3"/>
      <c r="Y69" s="3"/>
      <c r="Z69" s="3"/>
    </row>
    <row r="70" spans="1:26" ht="12" customHeight="1">
      <c r="A70" s="52" t="s">
        <v>66</v>
      </c>
      <c r="B70" s="321" t="str">
        <f t="shared" si="9"/>
        <v>Sentinel Lights.Deferral/Variance Account Disposition Rate Rider Group 2</v>
      </c>
      <c r="C70" s="321" t="s">
        <v>240</v>
      </c>
      <c r="D70" s="307" t="s">
        <v>228</v>
      </c>
      <c r="E70" s="306">
        <v>0</v>
      </c>
      <c r="F70" s="336">
        <v>-1.3140000000000001</v>
      </c>
      <c r="G70" s="176">
        <v>0</v>
      </c>
      <c r="H70" s="176">
        <v>0</v>
      </c>
      <c r="I70" s="176">
        <v>0</v>
      </c>
      <c r="J70" s="176">
        <v>0</v>
      </c>
      <c r="K70" s="3"/>
      <c r="L70" s="3"/>
      <c r="M70" s="3"/>
      <c r="N70" s="3"/>
      <c r="O70" s="3"/>
      <c r="P70" s="3"/>
      <c r="Q70" s="3"/>
      <c r="R70" s="3"/>
      <c r="S70" s="3"/>
      <c r="T70" s="3"/>
      <c r="U70" s="3"/>
      <c r="V70" s="3"/>
      <c r="W70" s="3"/>
      <c r="X70" s="3"/>
      <c r="Y70" s="3"/>
      <c r="Z70" s="3"/>
    </row>
    <row r="71" spans="1:26" ht="12" customHeight="1">
      <c r="A71" s="52" t="s">
        <v>46</v>
      </c>
      <c r="B71" s="321" t="str">
        <f t="shared" si="9"/>
        <v>Unmetered Scattered Load.Deferral/Variance Account Disposition Rate Rider Group 2</v>
      </c>
      <c r="C71" s="321" t="s">
        <v>240</v>
      </c>
      <c r="D71" s="307" t="s">
        <v>229</v>
      </c>
      <c r="E71" s="306">
        <v>0</v>
      </c>
      <c r="F71" s="336">
        <v>-1.1999999999999999E-3</v>
      </c>
      <c r="G71" s="176">
        <v>0</v>
      </c>
      <c r="H71" s="176">
        <v>0</v>
      </c>
      <c r="I71" s="176">
        <v>0</v>
      </c>
      <c r="J71" s="176">
        <v>0</v>
      </c>
      <c r="K71" s="3"/>
      <c r="L71" s="3"/>
      <c r="M71" s="3"/>
      <c r="N71" s="3"/>
      <c r="O71" s="3"/>
      <c r="P71" s="3"/>
      <c r="Q71" s="3"/>
      <c r="R71" s="3"/>
      <c r="S71" s="3"/>
      <c r="T71" s="3"/>
      <c r="U71" s="3"/>
      <c r="V71" s="3"/>
      <c r="W71" s="3"/>
      <c r="X71" s="3"/>
      <c r="Y71" s="3"/>
      <c r="Z71" s="3"/>
    </row>
    <row r="72" spans="1:26" ht="12" customHeight="1">
      <c r="A72" s="52" t="s">
        <v>66</v>
      </c>
      <c r="B72" s="321"/>
      <c r="C72" s="321"/>
      <c r="D72" s="307" t="s">
        <v>230</v>
      </c>
      <c r="E72" s="306"/>
      <c r="F72" s="337"/>
      <c r="G72" s="337"/>
      <c r="H72" s="176"/>
      <c r="I72" s="176"/>
      <c r="J72" s="176"/>
      <c r="K72" s="3"/>
      <c r="L72" s="3"/>
      <c r="M72" s="3"/>
      <c r="N72" s="3"/>
      <c r="O72" s="3"/>
      <c r="P72" s="3"/>
      <c r="Q72" s="3"/>
      <c r="R72" s="3"/>
      <c r="S72" s="3"/>
      <c r="T72" s="3"/>
      <c r="U72" s="3"/>
      <c r="V72" s="3"/>
      <c r="W72" s="3"/>
      <c r="X72" s="3"/>
      <c r="Y72" s="3"/>
      <c r="Z72" s="3"/>
    </row>
    <row r="73" spans="1:26" ht="12" customHeight="1">
      <c r="A73" s="52" t="s">
        <v>66</v>
      </c>
      <c r="B73" s="321"/>
      <c r="C73" s="321"/>
      <c r="D73" s="307" t="s">
        <v>231</v>
      </c>
      <c r="E73" s="306"/>
      <c r="F73" s="337"/>
      <c r="G73" s="337"/>
      <c r="H73" s="176"/>
      <c r="I73" s="176"/>
      <c r="J73" s="176"/>
      <c r="K73" s="3"/>
      <c r="L73" s="3"/>
      <c r="M73" s="3"/>
      <c r="N73" s="3"/>
      <c r="O73" s="3"/>
      <c r="P73" s="3"/>
      <c r="Q73" s="3"/>
      <c r="R73" s="3"/>
      <c r="S73" s="3"/>
      <c r="T73" s="3"/>
      <c r="U73" s="3"/>
      <c r="V73" s="3"/>
      <c r="W73" s="3"/>
      <c r="X73" s="3"/>
      <c r="Y73" s="3"/>
      <c r="Z73" s="3"/>
    </row>
    <row r="74" spans="1:26" ht="12" customHeight="1">
      <c r="A74" s="52" t="s">
        <v>66</v>
      </c>
      <c r="B74" s="321"/>
      <c r="C74" s="52"/>
      <c r="D74" s="307" t="s">
        <v>232</v>
      </c>
      <c r="E74" s="306"/>
      <c r="F74" s="337"/>
      <c r="G74" s="337"/>
      <c r="H74" s="176"/>
      <c r="I74" s="176"/>
      <c r="J74" s="176"/>
      <c r="K74" s="3"/>
      <c r="L74" s="3"/>
      <c r="M74" s="3"/>
      <c r="N74" s="3"/>
      <c r="O74" s="3"/>
      <c r="P74" s="3"/>
      <c r="Q74" s="3"/>
      <c r="R74" s="3"/>
      <c r="S74" s="3"/>
      <c r="T74" s="3"/>
      <c r="U74" s="3"/>
      <c r="V74" s="3"/>
      <c r="W74" s="3"/>
      <c r="X74" s="3"/>
      <c r="Y74" s="3"/>
      <c r="Z74" s="3"/>
    </row>
    <row r="75" spans="1:26" ht="12" customHeight="1">
      <c r="A75" s="3"/>
      <c r="B75" s="307"/>
      <c r="C75" s="3"/>
      <c r="D75" s="307"/>
      <c r="E75" s="3"/>
      <c r="F75" s="338"/>
      <c r="G75" s="3"/>
      <c r="H75" s="52"/>
      <c r="I75" s="52"/>
      <c r="J75" s="3"/>
      <c r="K75" s="3"/>
      <c r="L75" s="3"/>
      <c r="M75" s="3"/>
      <c r="N75" s="3"/>
      <c r="O75" s="3"/>
      <c r="P75" s="3"/>
      <c r="Q75" s="3"/>
      <c r="R75" s="3"/>
      <c r="S75" s="3"/>
      <c r="T75" s="3"/>
      <c r="U75" s="3"/>
      <c r="V75" s="3"/>
      <c r="W75" s="3"/>
      <c r="X75" s="3"/>
      <c r="Y75" s="3"/>
      <c r="Z75" s="3"/>
    </row>
    <row r="76" spans="1:26" ht="12" customHeight="1">
      <c r="A76" s="52" t="s">
        <v>242</v>
      </c>
      <c r="B76" s="321" t="str">
        <f t="shared" ref="B76:B86" si="10">D76&amp;"."&amp;C76</f>
        <v>.Approved Rate Riders Year 2 for Accounts 1595 [1568] (2026)</v>
      </c>
      <c r="C76" s="318" t="s">
        <v>243</v>
      </c>
      <c r="D76" s="307"/>
      <c r="E76" s="3"/>
      <c r="F76" s="338"/>
      <c r="G76" s="3"/>
      <c r="H76" s="52"/>
      <c r="I76" s="52"/>
      <c r="J76" s="3"/>
      <c r="K76" s="3"/>
      <c r="L76" s="3"/>
      <c r="M76" s="3"/>
      <c r="N76" s="3"/>
      <c r="O76" s="3"/>
      <c r="P76" s="3"/>
      <c r="Q76" s="3"/>
      <c r="R76" s="3"/>
      <c r="S76" s="3"/>
      <c r="T76" s="3"/>
      <c r="U76" s="3"/>
      <c r="V76" s="3"/>
      <c r="W76" s="3"/>
      <c r="X76" s="3"/>
      <c r="Y76" s="3"/>
      <c r="Z76" s="3"/>
    </row>
    <row r="77" spans="1:26" ht="12" customHeight="1">
      <c r="A77" s="52" t="s">
        <v>46</v>
      </c>
      <c r="B77" s="321" t="str">
        <f t="shared" si="10"/>
        <v>Residential.LRAM Rate Rider</v>
      </c>
      <c r="C77" s="321" t="s">
        <v>244</v>
      </c>
      <c r="D77" s="307" t="s">
        <v>222</v>
      </c>
      <c r="E77" s="306">
        <v>0.25</v>
      </c>
      <c r="F77" s="176">
        <v>0</v>
      </c>
      <c r="G77" s="176">
        <v>0</v>
      </c>
      <c r="H77" s="176">
        <v>0</v>
      </c>
      <c r="I77" s="176">
        <v>0</v>
      </c>
      <c r="J77" s="176">
        <v>0</v>
      </c>
      <c r="K77" s="3"/>
      <c r="L77" s="3"/>
      <c r="M77" s="3"/>
      <c r="N77" s="3"/>
      <c r="O77" s="3"/>
      <c r="P77" s="3"/>
      <c r="Q77" s="3"/>
      <c r="R77" s="3"/>
      <c r="S77" s="3"/>
      <c r="T77" s="3"/>
      <c r="U77" s="3"/>
      <c r="V77" s="3"/>
      <c r="W77" s="3"/>
      <c r="X77" s="3"/>
      <c r="Y77" s="3"/>
      <c r="Z77" s="3"/>
    </row>
    <row r="78" spans="1:26" ht="12" customHeight="1">
      <c r="A78" s="52" t="s">
        <v>66</v>
      </c>
      <c r="B78" s="321" t="str">
        <f t="shared" si="10"/>
        <v>General Service &lt; 50 kW.LRAM Rate Rider</v>
      </c>
      <c r="C78" s="321" t="s">
        <v>244</v>
      </c>
      <c r="D78" s="307" t="s">
        <v>223</v>
      </c>
      <c r="E78" s="306">
        <v>6.9999999999999999E-4</v>
      </c>
      <c r="F78" s="176">
        <v>0</v>
      </c>
      <c r="G78" s="176">
        <v>0</v>
      </c>
      <c r="H78" s="176">
        <v>0</v>
      </c>
      <c r="I78" s="176">
        <v>0</v>
      </c>
      <c r="J78" s="176">
        <v>0</v>
      </c>
      <c r="K78" s="3"/>
      <c r="L78" s="3"/>
      <c r="M78" s="3"/>
      <c r="N78" s="3"/>
      <c r="O78" s="3"/>
      <c r="P78" s="3"/>
      <c r="Q78" s="3"/>
      <c r="R78" s="3"/>
      <c r="S78" s="3"/>
      <c r="T78" s="3"/>
      <c r="U78" s="3"/>
      <c r="V78" s="3"/>
      <c r="W78" s="3"/>
      <c r="X78" s="3"/>
      <c r="Y78" s="3"/>
      <c r="Z78" s="3"/>
    </row>
    <row r="79" spans="1:26" ht="12" customHeight="1">
      <c r="A79" s="52" t="s">
        <v>66</v>
      </c>
      <c r="B79" s="321" t="str">
        <f t="shared" si="10"/>
        <v>General Service 50 to 1,499 KW.LRAM Rate Rider</v>
      </c>
      <c r="C79" s="321" t="s">
        <v>244</v>
      </c>
      <c r="D79" s="307" t="s">
        <v>224</v>
      </c>
      <c r="E79" s="306">
        <v>-0.2477</v>
      </c>
      <c r="F79" s="176">
        <v>0</v>
      </c>
      <c r="G79" s="176">
        <v>0</v>
      </c>
      <c r="H79" s="176">
        <v>0</v>
      </c>
      <c r="I79" s="176">
        <v>0</v>
      </c>
      <c r="J79" s="176">
        <v>0</v>
      </c>
      <c r="K79" s="3"/>
      <c r="L79" s="3"/>
      <c r="M79" s="3"/>
      <c r="N79" s="3"/>
      <c r="O79" s="3"/>
      <c r="P79" s="3"/>
      <c r="Q79" s="3"/>
      <c r="R79" s="3"/>
      <c r="S79" s="3"/>
      <c r="T79" s="3"/>
      <c r="U79" s="3"/>
      <c r="V79" s="3"/>
      <c r="W79" s="3"/>
      <c r="X79" s="3"/>
      <c r="Y79" s="3"/>
      <c r="Z79" s="3"/>
    </row>
    <row r="80" spans="1:26" ht="12" customHeight="1">
      <c r="A80" s="52" t="s">
        <v>66</v>
      </c>
      <c r="B80" s="321" t="str">
        <f t="shared" si="10"/>
        <v>General Service 1,500 to 4,999 KW.LRAM Rate Rider</v>
      </c>
      <c r="C80" s="321" t="s">
        <v>244</v>
      </c>
      <c r="D80" s="307" t="s">
        <v>225</v>
      </c>
      <c r="E80" s="306">
        <v>0.2021</v>
      </c>
      <c r="F80" s="176">
        <v>0</v>
      </c>
      <c r="G80" s="176">
        <v>0</v>
      </c>
      <c r="H80" s="176">
        <v>0</v>
      </c>
      <c r="I80" s="176">
        <v>0</v>
      </c>
      <c r="J80" s="176">
        <v>0</v>
      </c>
      <c r="K80" s="3"/>
      <c r="L80" s="3"/>
      <c r="M80" s="3"/>
      <c r="N80" s="3"/>
      <c r="O80" s="3"/>
      <c r="P80" s="3"/>
      <c r="Q80" s="3"/>
      <c r="R80" s="3"/>
      <c r="S80" s="3"/>
      <c r="T80" s="3"/>
      <c r="U80" s="3"/>
      <c r="V80" s="3"/>
      <c r="W80" s="3"/>
      <c r="X80" s="3"/>
      <c r="Y80" s="3"/>
      <c r="Z80" s="3"/>
    </row>
    <row r="81" spans="1:26" ht="12" customHeight="1">
      <c r="A81" s="52" t="s">
        <v>66</v>
      </c>
      <c r="B81" s="321" t="str">
        <f t="shared" si="10"/>
        <v>Large User.LRAM Rate Rider</v>
      </c>
      <c r="C81" s="321" t="s">
        <v>244</v>
      </c>
      <c r="D81" s="307" t="s">
        <v>226</v>
      </c>
      <c r="E81" s="306">
        <v>0.2011</v>
      </c>
      <c r="F81" s="176">
        <v>0</v>
      </c>
      <c r="G81" s="176">
        <v>0</v>
      </c>
      <c r="H81" s="176">
        <v>0</v>
      </c>
      <c r="I81" s="176">
        <v>0</v>
      </c>
      <c r="J81" s="176">
        <v>0</v>
      </c>
      <c r="K81" s="3"/>
      <c r="L81" s="3"/>
      <c r="M81" s="3"/>
      <c r="N81" s="3"/>
      <c r="O81" s="3"/>
      <c r="P81" s="3"/>
      <c r="Q81" s="3"/>
      <c r="R81" s="3"/>
      <c r="S81" s="3"/>
      <c r="T81" s="3"/>
      <c r="U81" s="3"/>
      <c r="V81" s="3"/>
      <c r="W81" s="3"/>
      <c r="X81" s="3"/>
      <c r="Y81" s="3"/>
      <c r="Z81" s="3"/>
    </row>
    <row r="82" spans="1:26" ht="12" customHeight="1">
      <c r="A82" s="52" t="s">
        <v>66</v>
      </c>
      <c r="B82" s="321" t="str">
        <f t="shared" si="10"/>
        <v>Street Light.LRAM Rate Rider</v>
      </c>
      <c r="C82" s="321" t="s">
        <v>244</v>
      </c>
      <c r="D82" s="307" t="s">
        <v>227</v>
      </c>
      <c r="E82" s="306">
        <v>4.8925000000000001</v>
      </c>
      <c r="F82" s="176">
        <v>4.8925000000000001</v>
      </c>
      <c r="G82" s="176">
        <v>0</v>
      </c>
      <c r="H82" s="176">
        <v>0</v>
      </c>
      <c r="I82" s="176">
        <v>0</v>
      </c>
      <c r="J82" s="176">
        <v>0</v>
      </c>
      <c r="K82" s="3"/>
      <c r="L82" s="3"/>
      <c r="M82" s="3"/>
      <c r="N82" s="3"/>
      <c r="O82" s="3"/>
      <c r="P82" s="3"/>
      <c r="Q82" s="3"/>
      <c r="R82" s="3"/>
      <c r="S82" s="3"/>
      <c r="T82" s="3"/>
      <c r="U82" s="3"/>
      <c r="V82" s="3"/>
      <c r="W82" s="3"/>
      <c r="X82" s="3"/>
      <c r="Y82" s="3"/>
      <c r="Z82" s="3"/>
    </row>
    <row r="83" spans="1:26" ht="12" customHeight="1">
      <c r="A83" s="52" t="s">
        <v>46</v>
      </c>
      <c r="B83" s="321" t="str">
        <f t="shared" si="10"/>
        <v>Sentinel Lights.LRAM Rate Rider</v>
      </c>
      <c r="C83" s="321" t="s">
        <v>244</v>
      </c>
      <c r="D83" s="307" t="s">
        <v>228</v>
      </c>
      <c r="E83" s="306">
        <v>0</v>
      </c>
      <c r="F83" s="176"/>
      <c r="G83" s="176">
        <v>0</v>
      </c>
      <c r="H83" s="176">
        <v>0</v>
      </c>
      <c r="I83" s="176">
        <v>0</v>
      </c>
      <c r="J83" s="176">
        <v>0</v>
      </c>
      <c r="K83" s="3"/>
      <c r="L83" s="3"/>
      <c r="M83" s="3"/>
      <c r="N83" s="3"/>
      <c r="O83" s="3"/>
      <c r="P83" s="3"/>
      <c r="Q83" s="3"/>
      <c r="R83" s="3"/>
      <c r="S83" s="3"/>
      <c r="T83" s="3"/>
      <c r="U83" s="3"/>
      <c r="V83" s="3"/>
      <c r="W83" s="3"/>
      <c r="X83" s="3"/>
      <c r="Y83" s="3"/>
      <c r="Z83" s="3"/>
    </row>
    <row r="84" spans="1:26" ht="12" customHeight="1">
      <c r="A84" s="52" t="s">
        <v>66</v>
      </c>
      <c r="B84" s="321" t="str">
        <f t="shared" si="10"/>
        <v>Unmetered Scattered Load.LRAM Rate Rider</v>
      </c>
      <c r="C84" s="321" t="s">
        <v>244</v>
      </c>
      <c r="D84" s="307" t="s">
        <v>229</v>
      </c>
      <c r="E84" s="306">
        <v>0</v>
      </c>
      <c r="F84" s="176">
        <v>0</v>
      </c>
      <c r="G84" s="176">
        <v>0</v>
      </c>
      <c r="H84" s="176">
        <v>0</v>
      </c>
      <c r="I84" s="176">
        <v>0</v>
      </c>
      <c r="J84" s="176">
        <v>0</v>
      </c>
      <c r="K84" s="3"/>
      <c r="L84" s="3"/>
      <c r="M84" s="3"/>
      <c r="N84" s="3"/>
      <c r="O84" s="3"/>
      <c r="P84" s="3"/>
      <c r="Q84" s="3"/>
      <c r="R84" s="3"/>
      <c r="S84" s="3"/>
      <c r="T84" s="3"/>
      <c r="U84" s="3"/>
      <c r="V84" s="3"/>
      <c r="W84" s="3"/>
      <c r="X84" s="3"/>
      <c r="Y84" s="3"/>
      <c r="Z84" s="3"/>
    </row>
    <row r="85" spans="1:26" ht="12" customHeight="1">
      <c r="A85" s="52" t="s">
        <v>66</v>
      </c>
      <c r="B85" s="321" t="str">
        <f t="shared" si="10"/>
        <v>Standby Power General Service 50 to 1,499 KW.</v>
      </c>
      <c r="C85" s="321"/>
      <c r="D85" s="307" t="s">
        <v>230</v>
      </c>
      <c r="E85" s="306"/>
      <c r="F85" s="339"/>
      <c r="G85" s="3"/>
      <c r="H85" s="3"/>
      <c r="I85" s="3"/>
      <c r="J85" s="3"/>
      <c r="K85" s="3"/>
      <c r="L85" s="3"/>
      <c r="M85" s="3"/>
      <c r="N85" s="3"/>
      <c r="O85" s="3"/>
      <c r="P85" s="3"/>
      <c r="Q85" s="3"/>
      <c r="R85" s="3"/>
      <c r="S85" s="3"/>
      <c r="T85" s="3"/>
      <c r="U85" s="3"/>
      <c r="V85" s="3"/>
      <c r="W85" s="3"/>
      <c r="X85" s="3"/>
      <c r="Y85" s="3"/>
      <c r="Z85" s="3"/>
    </row>
    <row r="86" spans="1:26" ht="12" customHeight="1">
      <c r="A86" s="52" t="s">
        <v>66</v>
      </c>
      <c r="B86" s="321" t="str">
        <f t="shared" si="10"/>
        <v>Standby Power General Service 1,500 to 4,999 KW.</v>
      </c>
      <c r="C86" s="321"/>
      <c r="D86" s="307" t="s">
        <v>231</v>
      </c>
      <c r="E86" s="306"/>
      <c r="F86" s="339"/>
      <c r="G86" s="3"/>
      <c r="H86" s="3"/>
      <c r="I86" s="3"/>
      <c r="J86" s="3"/>
      <c r="K86" s="3"/>
      <c r="L86" s="3"/>
      <c r="M86" s="3"/>
      <c r="N86" s="3"/>
      <c r="O86" s="3"/>
      <c r="P86" s="3"/>
      <c r="Q86" s="3"/>
      <c r="R86" s="3"/>
      <c r="S86" s="3"/>
      <c r="T86" s="3"/>
      <c r="U86" s="3"/>
      <c r="V86" s="3"/>
      <c r="W86" s="3"/>
      <c r="X86" s="3"/>
      <c r="Y86" s="3"/>
      <c r="Z86" s="3"/>
    </row>
    <row r="87" spans="1:26" ht="12" customHeight="1">
      <c r="A87" s="3"/>
      <c r="B87" s="307"/>
      <c r="C87" s="321"/>
      <c r="D87" s="307" t="s">
        <v>232</v>
      </c>
      <c r="E87" s="306"/>
      <c r="F87" s="339"/>
      <c r="G87" s="3"/>
      <c r="H87" s="3"/>
      <c r="I87" s="3"/>
      <c r="J87" s="3"/>
      <c r="K87" s="3"/>
      <c r="L87" s="3"/>
      <c r="M87" s="3"/>
      <c r="N87" s="3"/>
      <c r="O87" s="3"/>
      <c r="P87" s="3"/>
      <c r="Q87" s="3"/>
      <c r="R87" s="3"/>
      <c r="S87" s="3"/>
      <c r="T87" s="3"/>
      <c r="U87" s="3"/>
      <c r="V87" s="3"/>
      <c r="W87" s="3"/>
      <c r="X87" s="3"/>
      <c r="Y87" s="3"/>
      <c r="Z87" s="3"/>
    </row>
    <row r="88" spans="1:26" ht="12" customHeight="1">
      <c r="A88" s="3"/>
      <c r="B88" s="307"/>
      <c r="C88" s="3"/>
      <c r="D88" s="307"/>
      <c r="E88" s="3"/>
      <c r="F88" s="338"/>
      <c r="G88" s="3"/>
      <c r="H88" s="52"/>
      <c r="I88" s="52"/>
      <c r="J88" s="3"/>
      <c r="K88" s="3"/>
      <c r="L88" s="3"/>
      <c r="M88" s="3"/>
      <c r="N88" s="3"/>
      <c r="O88" s="3"/>
      <c r="P88" s="3"/>
      <c r="Q88" s="3"/>
      <c r="R88" s="3"/>
      <c r="S88" s="3"/>
      <c r="T88" s="3"/>
      <c r="U88" s="3"/>
      <c r="V88" s="3"/>
      <c r="W88" s="3"/>
      <c r="X88" s="3"/>
      <c r="Y88" s="3"/>
      <c r="Z88" s="3"/>
    </row>
    <row r="89" spans="1:26" ht="12" customHeight="1">
      <c r="A89" s="3"/>
      <c r="B89" s="307"/>
      <c r="C89" s="340" t="s">
        <v>245</v>
      </c>
      <c r="D89" s="3"/>
      <c r="E89" s="319" t="s">
        <v>218</v>
      </c>
      <c r="F89" s="320" t="str">
        <f t="shared" ref="F89:J89" si="11">F$4</f>
        <v>2026F</v>
      </c>
      <c r="G89" s="320" t="str">
        <f t="shared" si="11"/>
        <v>2027F</v>
      </c>
      <c r="H89" s="320" t="str">
        <f t="shared" si="11"/>
        <v>2028F</v>
      </c>
      <c r="I89" s="320" t="str">
        <f t="shared" si="11"/>
        <v>2029F</v>
      </c>
      <c r="J89" s="320" t="str">
        <f t="shared" si="11"/>
        <v>2030F</v>
      </c>
      <c r="K89" s="3"/>
      <c r="L89" s="3"/>
      <c r="M89" s="3"/>
      <c r="N89" s="3"/>
      <c r="O89" s="3"/>
      <c r="P89" s="3"/>
      <c r="Q89" s="3"/>
      <c r="R89" s="3"/>
      <c r="S89" s="3"/>
      <c r="T89" s="3"/>
      <c r="U89" s="3"/>
      <c r="V89" s="3"/>
      <c r="W89" s="3"/>
      <c r="X89" s="3"/>
      <c r="Y89" s="3"/>
      <c r="Z89" s="3"/>
    </row>
    <row r="90" spans="1:26" ht="12" customHeight="1">
      <c r="A90" s="52" t="s">
        <v>242</v>
      </c>
      <c r="B90" s="321" t="str">
        <f t="shared" ref="B90:B100" si="12">D90&amp;"."&amp;C90&amp;"2"</f>
        <v>Residential.LRAM Rate Rider2</v>
      </c>
      <c r="C90" s="321" t="s">
        <v>244</v>
      </c>
      <c r="D90" s="307" t="s">
        <v>222</v>
      </c>
      <c r="E90" s="176">
        <v>0</v>
      </c>
      <c r="F90" s="176">
        <v>0</v>
      </c>
      <c r="G90" s="176">
        <v>0</v>
      </c>
      <c r="H90" s="176">
        <v>0</v>
      </c>
      <c r="I90" s="176">
        <v>0</v>
      </c>
      <c r="J90" s="176">
        <v>0</v>
      </c>
      <c r="K90" s="3"/>
      <c r="L90" s="3"/>
      <c r="M90" s="3"/>
      <c r="N90" s="3"/>
      <c r="O90" s="3"/>
      <c r="P90" s="3"/>
      <c r="Q90" s="3"/>
      <c r="R90" s="3"/>
      <c r="S90" s="3"/>
      <c r="T90" s="3"/>
      <c r="U90" s="3"/>
      <c r="V90" s="3"/>
      <c r="W90" s="3"/>
      <c r="X90" s="3"/>
      <c r="Y90" s="3"/>
      <c r="Z90" s="3"/>
    </row>
    <row r="91" spans="1:26" ht="12" customHeight="1">
      <c r="A91" s="52" t="s">
        <v>46</v>
      </c>
      <c r="B91" s="321" t="str">
        <f t="shared" si="12"/>
        <v>General Service &lt; 50 kW.LRAM Rate Rider2</v>
      </c>
      <c r="C91" s="321" t="s">
        <v>244</v>
      </c>
      <c r="D91" s="307" t="s">
        <v>223</v>
      </c>
      <c r="E91" s="176">
        <v>0</v>
      </c>
      <c r="F91" s="341">
        <v>4.0000000000000002E-4</v>
      </c>
      <c r="G91" s="176">
        <v>0</v>
      </c>
      <c r="H91" s="176">
        <v>0</v>
      </c>
      <c r="I91" s="176">
        <v>0</v>
      </c>
      <c r="J91" s="176">
        <v>0</v>
      </c>
      <c r="K91" s="3"/>
      <c r="L91" s="3"/>
      <c r="M91" s="3"/>
      <c r="N91" s="3"/>
      <c r="O91" s="3"/>
      <c r="P91" s="3"/>
      <c r="Q91" s="3"/>
      <c r="R91" s="3"/>
      <c r="S91" s="3"/>
      <c r="T91" s="3"/>
      <c r="U91" s="3"/>
      <c r="V91" s="3"/>
      <c r="W91" s="3"/>
      <c r="X91" s="3"/>
      <c r="Y91" s="3"/>
      <c r="Z91" s="3"/>
    </row>
    <row r="92" spans="1:26" ht="12" customHeight="1">
      <c r="A92" s="52" t="s">
        <v>66</v>
      </c>
      <c r="B92" s="321" t="str">
        <f t="shared" si="12"/>
        <v>General Service 50 to 1,499 KW.LRAM Rate Rider2</v>
      </c>
      <c r="C92" s="321" t="s">
        <v>244</v>
      </c>
      <c r="D92" s="307" t="s">
        <v>224</v>
      </c>
      <c r="E92" s="176">
        <v>0</v>
      </c>
      <c r="F92" s="176">
        <v>0</v>
      </c>
      <c r="G92" s="331">
        <v>2.7900000000000001E-2</v>
      </c>
      <c r="H92" s="176">
        <v>0</v>
      </c>
      <c r="I92" s="176">
        <v>0</v>
      </c>
      <c r="J92" s="176">
        <v>0</v>
      </c>
      <c r="K92" s="3"/>
      <c r="L92" s="3"/>
      <c r="M92" s="3"/>
      <c r="N92" s="3"/>
      <c r="O92" s="3"/>
      <c r="P92" s="3"/>
      <c r="Q92" s="3"/>
      <c r="R92" s="3"/>
      <c r="S92" s="3"/>
      <c r="T92" s="3"/>
      <c r="U92" s="3"/>
      <c r="V92" s="3"/>
      <c r="W92" s="3"/>
      <c r="X92" s="3"/>
      <c r="Y92" s="3"/>
      <c r="Z92" s="3"/>
    </row>
    <row r="93" spans="1:26" ht="12" customHeight="1">
      <c r="A93" s="52" t="s">
        <v>66</v>
      </c>
      <c r="B93" s="321" t="str">
        <f t="shared" si="12"/>
        <v>General Service 1,500 to 4,999 KW.LRAM Rate Rider2</v>
      </c>
      <c r="C93" s="321" t="s">
        <v>244</v>
      </c>
      <c r="D93" s="307" t="s">
        <v>225</v>
      </c>
      <c r="E93" s="176">
        <v>0</v>
      </c>
      <c r="F93" s="342">
        <v>-0.36930000000000002</v>
      </c>
      <c r="G93" s="176">
        <v>0</v>
      </c>
      <c r="H93" s="176">
        <v>0</v>
      </c>
      <c r="I93" s="176">
        <v>0</v>
      </c>
      <c r="J93" s="176">
        <v>0</v>
      </c>
      <c r="K93" s="3"/>
      <c r="L93" s="3"/>
      <c r="M93" s="3"/>
      <c r="N93" s="3"/>
      <c r="O93" s="3"/>
      <c r="P93" s="3"/>
      <c r="Q93" s="3"/>
      <c r="R93" s="3"/>
      <c r="S93" s="3"/>
      <c r="T93" s="3"/>
      <c r="U93" s="3"/>
      <c r="V93" s="3"/>
      <c r="W93" s="3"/>
      <c r="X93" s="3"/>
      <c r="Y93" s="3"/>
      <c r="Z93" s="3"/>
    </row>
    <row r="94" spans="1:26" ht="12" customHeight="1">
      <c r="A94" s="52" t="s">
        <v>66</v>
      </c>
      <c r="B94" s="321" t="str">
        <f t="shared" si="12"/>
        <v>Large User.LRAM Rate Rider2</v>
      </c>
      <c r="C94" s="321" t="s">
        <v>244</v>
      </c>
      <c r="D94" s="307" t="s">
        <v>226</v>
      </c>
      <c r="E94" s="176">
        <v>0</v>
      </c>
      <c r="F94" s="342">
        <v>-0.50439999999999996</v>
      </c>
      <c r="G94" s="176">
        <v>0</v>
      </c>
      <c r="H94" s="176">
        <v>0</v>
      </c>
      <c r="I94" s="176">
        <v>0</v>
      </c>
      <c r="J94" s="176">
        <v>0</v>
      </c>
      <c r="K94" s="3"/>
      <c r="L94" s="3"/>
      <c r="M94" s="3"/>
      <c r="N94" s="3"/>
      <c r="O94" s="3"/>
      <c r="P94" s="3"/>
      <c r="Q94" s="3"/>
      <c r="R94" s="3"/>
      <c r="S94" s="3"/>
      <c r="T94" s="3"/>
      <c r="U94" s="3"/>
      <c r="V94" s="3"/>
      <c r="W94" s="3"/>
      <c r="X94" s="3"/>
      <c r="Y94" s="3"/>
      <c r="Z94" s="3"/>
    </row>
    <row r="95" spans="1:26" ht="12" customHeight="1">
      <c r="A95" s="52" t="s">
        <v>66</v>
      </c>
      <c r="B95" s="321" t="str">
        <f t="shared" si="12"/>
        <v>Street Light.LRAM Rate Rider2</v>
      </c>
      <c r="C95" s="321" t="s">
        <v>244</v>
      </c>
      <c r="D95" s="307" t="s">
        <v>227</v>
      </c>
      <c r="E95" s="176">
        <v>0</v>
      </c>
      <c r="F95" s="343">
        <v>-0.59570000000000001</v>
      </c>
      <c r="G95" s="176">
        <v>0</v>
      </c>
      <c r="H95" s="176">
        <v>0</v>
      </c>
      <c r="I95" s="176">
        <v>0</v>
      </c>
      <c r="J95" s="176">
        <v>0</v>
      </c>
      <c r="K95" s="3"/>
      <c r="L95" s="3"/>
      <c r="M95" s="3"/>
      <c r="N95" s="3"/>
      <c r="O95" s="3"/>
      <c r="P95" s="3"/>
      <c r="Q95" s="3"/>
      <c r="R95" s="3"/>
      <c r="S95" s="3"/>
      <c r="T95" s="3"/>
      <c r="U95" s="3"/>
      <c r="V95" s="3"/>
      <c r="W95" s="3"/>
      <c r="X95" s="3"/>
      <c r="Y95" s="3"/>
      <c r="Z95" s="3"/>
    </row>
    <row r="96" spans="1:26" ht="12" customHeight="1">
      <c r="A96" s="52" t="s">
        <v>66</v>
      </c>
      <c r="B96" s="321" t="str">
        <f t="shared" si="12"/>
        <v>Sentinel Lights.LRAM Rate Rider2</v>
      </c>
      <c r="C96" s="321" t="s">
        <v>244</v>
      </c>
      <c r="D96" s="307" t="s">
        <v>228</v>
      </c>
      <c r="E96" s="176">
        <v>0</v>
      </c>
      <c r="F96" s="176"/>
      <c r="G96" s="176">
        <v>0</v>
      </c>
      <c r="H96" s="176">
        <v>0</v>
      </c>
      <c r="I96" s="176">
        <v>0</v>
      </c>
      <c r="J96" s="176">
        <v>0</v>
      </c>
      <c r="K96" s="3"/>
      <c r="L96" s="3"/>
      <c r="M96" s="3"/>
      <c r="N96" s="3"/>
      <c r="O96" s="3"/>
      <c r="P96" s="3"/>
      <c r="Q96" s="3"/>
      <c r="R96" s="3"/>
      <c r="S96" s="3"/>
      <c r="T96" s="3"/>
      <c r="U96" s="3"/>
      <c r="V96" s="3"/>
      <c r="W96" s="3"/>
      <c r="X96" s="3"/>
      <c r="Y96" s="3"/>
      <c r="Z96" s="3"/>
    </row>
    <row r="97" spans="1:26" ht="12" customHeight="1">
      <c r="A97" s="52" t="s">
        <v>46</v>
      </c>
      <c r="B97" s="321" t="str">
        <f t="shared" si="12"/>
        <v>Unmetered Scattered Load.LRAM Rate Rider2</v>
      </c>
      <c r="C97" s="321" t="s">
        <v>244</v>
      </c>
      <c r="D97" s="307" t="s">
        <v>229</v>
      </c>
      <c r="E97" s="176">
        <v>0</v>
      </c>
      <c r="F97" s="176">
        <v>-5.0000000000000001E-4</v>
      </c>
      <c r="G97" s="176">
        <v>0</v>
      </c>
      <c r="H97" s="176">
        <v>0</v>
      </c>
      <c r="I97" s="176">
        <v>0</v>
      </c>
      <c r="J97" s="176">
        <v>0</v>
      </c>
      <c r="K97" s="3"/>
      <c r="L97" s="3"/>
      <c r="M97" s="3"/>
      <c r="N97" s="3"/>
      <c r="O97" s="3"/>
      <c r="P97" s="3"/>
      <c r="Q97" s="3"/>
      <c r="R97" s="3"/>
      <c r="S97" s="3"/>
      <c r="T97" s="3"/>
      <c r="U97" s="3"/>
      <c r="V97" s="3"/>
      <c r="W97" s="3"/>
      <c r="X97" s="3"/>
      <c r="Y97" s="3"/>
      <c r="Z97" s="3"/>
    </row>
    <row r="98" spans="1:26" ht="12" customHeight="1">
      <c r="A98" s="52" t="s">
        <v>66</v>
      </c>
      <c r="B98" s="321" t="str">
        <f t="shared" si="12"/>
        <v>Standby Power General Service 50 to 1,499 KW.2</v>
      </c>
      <c r="C98" s="321"/>
      <c r="D98" s="307" t="s">
        <v>230</v>
      </c>
      <c r="E98" s="306"/>
      <c r="F98" s="339"/>
      <c r="G98" s="3"/>
      <c r="H98" s="3"/>
      <c r="I98" s="3"/>
      <c r="J98" s="3"/>
      <c r="K98" s="3"/>
      <c r="L98" s="3"/>
      <c r="M98" s="3"/>
      <c r="N98" s="3"/>
      <c r="O98" s="3"/>
      <c r="P98" s="3"/>
      <c r="Q98" s="3"/>
      <c r="R98" s="3"/>
      <c r="S98" s="3"/>
      <c r="T98" s="3"/>
      <c r="U98" s="3"/>
      <c r="V98" s="3"/>
      <c r="W98" s="3"/>
      <c r="X98" s="3"/>
      <c r="Y98" s="3"/>
      <c r="Z98" s="3"/>
    </row>
    <row r="99" spans="1:26" ht="12" customHeight="1">
      <c r="A99" s="52" t="s">
        <v>66</v>
      </c>
      <c r="B99" s="321" t="str">
        <f t="shared" si="12"/>
        <v>Standby Power General Service 1,500 to 4,999 KW.2</v>
      </c>
      <c r="C99" s="321"/>
      <c r="D99" s="307" t="s">
        <v>231</v>
      </c>
      <c r="E99" s="306"/>
      <c r="F99" s="339"/>
      <c r="G99" s="3"/>
      <c r="H99" s="3"/>
      <c r="I99" s="3"/>
      <c r="J99" s="3"/>
      <c r="K99" s="3"/>
      <c r="L99" s="3"/>
      <c r="M99" s="3"/>
      <c r="N99" s="3"/>
      <c r="O99" s="3"/>
      <c r="P99" s="3"/>
      <c r="Q99" s="3"/>
      <c r="R99" s="3"/>
      <c r="S99" s="3"/>
      <c r="T99" s="3"/>
      <c r="U99" s="3"/>
      <c r="V99" s="3"/>
      <c r="W99" s="3"/>
      <c r="X99" s="3"/>
      <c r="Y99" s="3"/>
      <c r="Z99" s="3"/>
    </row>
    <row r="100" spans="1:26" ht="12" customHeight="1">
      <c r="A100" s="52" t="s">
        <v>66</v>
      </c>
      <c r="B100" s="321" t="str">
        <f t="shared" si="12"/>
        <v>Standby Power Large Use.2</v>
      </c>
      <c r="C100" s="321"/>
      <c r="D100" s="307" t="s">
        <v>232</v>
      </c>
      <c r="E100" s="306"/>
      <c r="F100" s="339"/>
      <c r="G100" s="3"/>
      <c r="H100" s="3"/>
      <c r="I100" s="3"/>
      <c r="J100" s="3"/>
      <c r="K100" s="3"/>
      <c r="L100" s="3"/>
      <c r="M100" s="3"/>
      <c r="N100" s="3"/>
      <c r="O100" s="3"/>
      <c r="P100" s="3"/>
      <c r="Q100" s="3"/>
      <c r="R100" s="3"/>
      <c r="S100" s="3"/>
      <c r="T100" s="3"/>
      <c r="U100" s="3"/>
      <c r="V100" s="3"/>
      <c r="W100" s="3"/>
      <c r="X100" s="3"/>
      <c r="Y100" s="3"/>
      <c r="Z100" s="3"/>
    </row>
    <row r="101" spans="1:26" ht="12" customHeight="1">
      <c r="A101" s="3"/>
      <c r="B101" s="307"/>
      <c r="C101" s="3"/>
      <c r="D101" s="307"/>
      <c r="E101" s="344"/>
      <c r="F101" s="307"/>
      <c r="G101" s="3"/>
      <c r="H101" s="345"/>
      <c r="I101" s="345"/>
      <c r="J101" s="3"/>
      <c r="K101" s="3"/>
      <c r="L101" s="3"/>
      <c r="M101" s="3"/>
      <c r="N101" s="3"/>
      <c r="O101" s="3"/>
      <c r="P101" s="3"/>
      <c r="Q101" s="3"/>
      <c r="R101" s="3"/>
      <c r="S101" s="3"/>
      <c r="T101" s="3"/>
      <c r="U101" s="3"/>
      <c r="V101" s="3"/>
      <c r="W101" s="3"/>
      <c r="X101" s="3"/>
      <c r="Y101" s="3"/>
      <c r="Z101" s="3"/>
    </row>
    <row r="102" spans="1:26" ht="12" customHeight="1">
      <c r="A102" s="3"/>
      <c r="B102" s="307"/>
      <c r="C102" s="318" t="s">
        <v>246</v>
      </c>
      <c r="D102" s="3"/>
      <c r="E102" s="319" t="s">
        <v>218</v>
      </c>
      <c r="F102" s="320" t="str">
        <f t="shared" ref="F102:J102" si="13">F$4</f>
        <v>2026F</v>
      </c>
      <c r="G102" s="320" t="str">
        <f t="shared" si="13"/>
        <v>2027F</v>
      </c>
      <c r="H102" s="320" t="str">
        <f t="shared" si="13"/>
        <v>2028F</v>
      </c>
      <c r="I102" s="320" t="str">
        <f t="shared" si="13"/>
        <v>2029F</v>
      </c>
      <c r="J102" s="320" t="str">
        <f t="shared" si="13"/>
        <v>2030F</v>
      </c>
      <c r="K102" s="3"/>
      <c r="L102" s="3"/>
      <c r="M102" s="3"/>
      <c r="N102" s="3"/>
      <c r="O102" s="3"/>
      <c r="P102" s="3"/>
      <c r="Q102" s="3"/>
      <c r="R102" s="3"/>
      <c r="S102" s="3"/>
      <c r="T102" s="3"/>
      <c r="U102" s="3"/>
      <c r="V102" s="3"/>
      <c r="W102" s="3"/>
      <c r="X102" s="3"/>
      <c r="Y102" s="3"/>
      <c r="Z102" s="3"/>
    </row>
    <row r="103" spans="1:26" ht="12" customHeight="1">
      <c r="A103" s="52" t="s">
        <v>46</v>
      </c>
      <c r="B103" s="321" t="str">
        <f t="shared" ref="B103:B113" si="14">D103&amp;"."&amp;C103</f>
        <v>Residential.CBR Class B Rate Riders</v>
      </c>
      <c r="C103" s="321" t="s">
        <v>247</v>
      </c>
      <c r="D103" s="307" t="s">
        <v>222</v>
      </c>
      <c r="E103" s="306">
        <v>2.0000000000000001E-4</v>
      </c>
      <c r="F103" s="331">
        <v>4.0000000000000002E-4</v>
      </c>
      <c r="G103" s="176">
        <v>0</v>
      </c>
      <c r="H103" s="176">
        <v>0</v>
      </c>
      <c r="I103" s="176">
        <v>0</v>
      </c>
      <c r="J103" s="176">
        <v>0</v>
      </c>
      <c r="K103" s="3"/>
      <c r="L103" s="3"/>
      <c r="M103" s="3"/>
      <c r="N103" s="3"/>
      <c r="O103" s="3"/>
      <c r="P103" s="3"/>
      <c r="Q103" s="3"/>
      <c r="R103" s="3"/>
      <c r="S103" s="3"/>
      <c r="T103" s="3"/>
      <c r="U103" s="3"/>
      <c r="V103" s="3"/>
      <c r="W103" s="3"/>
      <c r="X103" s="3"/>
      <c r="Y103" s="3"/>
      <c r="Z103" s="3"/>
    </row>
    <row r="104" spans="1:26" ht="12" customHeight="1">
      <c r="A104" s="52" t="s">
        <v>46</v>
      </c>
      <c r="B104" s="321" t="str">
        <f t="shared" si="14"/>
        <v>General Service &lt; 50 kW.CBR Class B Rate Riders</v>
      </c>
      <c r="C104" s="321" t="s">
        <v>247</v>
      </c>
      <c r="D104" s="307" t="s">
        <v>223</v>
      </c>
      <c r="E104" s="306">
        <v>2.0000000000000001E-4</v>
      </c>
      <c r="F104" s="331">
        <v>4.0000000000000002E-4</v>
      </c>
      <c r="G104" s="176">
        <v>0</v>
      </c>
      <c r="H104" s="176">
        <v>0</v>
      </c>
      <c r="I104" s="176">
        <v>0</v>
      </c>
      <c r="J104" s="176">
        <v>0</v>
      </c>
      <c r="K104" s="3"/>
      <c r="L104" s="3"/>
      <c r="M104" s="3"/>
      <c r="N104" s="3"/>
      <c r="O104" s="3"/>
      <c r="P104" s="3"/>
      <c r="Q104" s="3"/>
      <c r="R104" s="3"/>
      <c r="S104" s="3"/>
      <c r="T104" s="3"/>
      <c r="U104" s="3"/>
      <c r="V104" s="3"/>
      <c r="W104" s="3"/>
      <c r="X104" s="3"/>
      <c r="Y104" s="3"/>
      <c r="Z104" s="3"/>
    </row>
    <row r="105" spans="1:26" ht="12" customHeight="1">
      <c r="A105" s="52" t="s">
        <v>46</v>
      </c>
      <c r="B105" s="321" t="str">
        <f t="shared" si="14"/>
        <v>General Service 50 to 1,499 KW.CBR Class B Rate Riders</v>
      </c>
      <c r="C105" s="321" t="s">
        <v>247</v>
      </c>
      <c r="D105" s="307" t="s">
        <v>224</v>
      </c>
      <c r="E105" s="306">
        <v>2.0000000000000001E-4</v>
      </c>
      <c r="F105" s="331">
        <v>4.0000000000000002E-4</v>
      </c>
      <c r="G105" s="176">
        <v>0</v>
      </c>
      <c r="H105" s="176">
        <v>0</v>
      </c>
      <c r="I105" s="176">
        <v>0</v>
      </c>
      <c r="J105" s="176">
        <v>0</v>
      </c>
      <c r="K105" s="3"/>
      <c r="L105" s="3"/>
      <c r="M105" s="3"/>
      <c r="N105" s="3"/>
      <c r="O105" s="3"/>
      <c r="P105" s="3"/>
      <c r="Q105" s="3"/>
      <c r="R105" s="3"/>
      <c r="S105" s="3"/>
      <c r="T105" s="3"/>
      <c r="U105" s="3"/>
      <c r="V105" s="3"/>
      <c r="W105" s="3"/>
      <c r="X105" s="3"/>
      <c r="Y105" s="3"/>
      <c r="Z105" s="3"/>
    </row>
    <row r="106" spans="1:26" ht="12" customHeight="1">
      <c r="A106" s="52" t="s">
        <v>46</v>
      </c>
      <c r="B106" s="321" t="str">
        <f t="shared" si="14"/>
        <v>General Service 1,500 to 4,999 KW.CBR Class B Rate Riders</v>
      </c>
      <c r="C106" s="321" t="s">
        <v>247</v>
      </c>
      <c r="D106" s="307" t="s">
        <v>225</v>
      </c>
      <c r="E106" s="306">
        <v>2.0000000000000001E-4</v>
      </c>
      <c r="F106" s="331">
        <v>4.0000000000000002E-4</v>
      </c>
      <c r="G106" s="176">
        <v>0</v>
      </c>
      <c r="H106" s="176">
        <v>0</v>
      </c>
      <c r="I106" s="176">
        <v>0</v>
      </c>
      <c r="J106" s="176">
        <v>0</v>
      </c>
      <c r="K106" s="3"/>
      <c r="L106" s="3"/>
      <c r="M106" s="3"/>
      <c r="N106" s="3"/>
      <c r="O106" s="3"/>
      <c r="P106" s="3"/>
      <c r="Q106" s="3"/>
      <c r="R106" s="3"/>
      <c r="S106" s="3"/>
      <c r="T106" s="3"/>
      <c r="U106" s="3"/>
      <c r="V106" s="3"/>
      <c r="W106" s="3"/>
      <c r="X106" s="3"/>
      <c r="Y106" s="3"/>
      <c r="Z106" s="3"/>
    </row>
    <row r="107" spans="1:26" ht="12" customHeight="1">
      <c r="A107" s="52" t="s">
        <v>46</v>
      </c>
      <c r="B107" s="321" t="str">
        <f t="shared" si="14"/>
        <v>Large User.CBR Class B Rate Riders</v>
      </c>
      <c r="C107" s="321" t="s">
        <v>247</v>
      </c>
      <c r="D107" s="307" t="s">
        <v>226</v>
      </c>
      <c r="E107" s="306">
        <v>2.0000000000000001E-4</v>
      </c>
      <c r="F107" s="331">
        <v>4.0000000000000002E-4</v>
      </c>
      <c r="G107" s="176">
        <v>0</v>
      </c>
      <c r="H107" s="176">
        <v>0</v>
      </c>
      <c r="I107" s="176">
        <v>0</v>
      </c>
      <c r="J107" s="176">
        <v>0</v>
      </c>
      <c r="K107" s="3"/>
      <c r="L107" s="3"/>
      <c r="M107" s="3"/>
      <c r="N107" s="3"/>
      <c r="O107" s="3"/>
      <c r="P107" s="3"/>
      <c r="Q107" s="3"/>
      <c r="R107" s="3"/>
      <c r="S107" s="3"/>
      <c r="T107" s="3"/>
      <c r="U107" s="3"/>
      <c r="V107" s="3"/>
      <c r="W107" s="3"/>
      <c r="X107" s="3"/>
      <c r="Y107" s="3"/>
      <c r="Z107" s="3"/>
    </row>
    <row r="108" spans="1:26" ht="12" customHeight="1">
      <c r="A108" s="52" t="s">
        <v>46</v>
      </c>
      <c r="B108" s="321" t="str">
        <f t="shared" si="14"/>
        <v>Street Light.CBR Class B Rate Riders</v>
      </c>
      <c r="C108" s="321" t="s">
        <v>247</v>
      </c>
      <c r="D108" s="307" t="s">
        <v>227</v>
      </c>
      <c r="E108" s="306">
        <v>2.0000000000000001E-4</v>
      </c>
      <c r="F108" s="331">
        <v>4.0000000000000002E-4</v>
      </c>
      <c r="G108" s="176">
        <v>0</v>
      </c>
      <c r="H108" s="176">
        <v>0</v>
      </c>
      <c r="I108" s="176">
        <v>0</v>
      </c>
      <c r="J108" s="176">
        <v>0</v>
      </c>
      <c r="K108" s="3"/>
      <c r="L108" s="3"/>
      <c r="M108" s="3"/>
      <c r="N108" s="3"/>
      <c r="O108" s="3"/>
      <c r="P108" s="3"/>
      <c r="Q108" s="3"/>
      <c r="R108" s="3"/>
      <c r="S108" s="3"/>
      <c r="T108" s="3"/>
      <c r="U108" s="3"/>
      <c r="V108" s="3"/>
      <c r="W108" s="3"/>
      <c r="X108" s="3"/>
      <c r="Y108" s="3"/>
      <c r="Z108" s="3"/>
    </row>
    <row r="109" spans="1:26" ht="12" customHeight="1">
      <c r="A109" s="52" t="s">
        <v>46</v>
      </c>
      <c r="B109" s="321" t="str">
        <f t="shared" si="14"/>
        <v>Sentinel Lights.CBR Class B Rate Riders</v>
      </c>
      <c r="C109" s="321" t="s">
        <v>247</v>
      </c>
      <c r="D109" s="307" t="s">
        <v>228</v>
      </c>
      <c r="E109" s="306">
        <v>2.0000000000000001E-4</v>
      </c>
      <c r="F109" s="331">
        <v>4.0000000000000002E-4</v>
      </c>
      <c r="G109" s="176">
        <v>0</v>
      </c>
      <c r="H109" s="176">
        <v>0</v>
      </c>
      <c r="I109" s="176">
        <v>0</v>
      </c>
      <c r="J109" s="176">
        <v>0</v>
      </c>
      <c r="K109" s="3"/>
      <c r="L109" s="3"/>
      <c r="M109" s="3"/>
      <c r="N109" s="3"/>
      <c r="O109" s="3"/>
      <c r="P109" s="3"/>
      <c r="Q109" s="3"/>
      <c r="R109" s="3"/>
      <c r="S109" s="3"/>
      <c r="T109" s="3"/>
      <c r="U109" s="3"/>
      <c r="V109" s="3"/>
      <c r="W109" s="3"/>
      <c r="X109" s="3"/>
      <c r="Y109" s="3"/>
      <c r="Z109" s="3"/>
    </row>
    <row r="110" spans="1:26" ht="12" customHeight="1">
      <c r="A110" s="52" t="s">
        <v>46</v>
      </c>
      <c r="B110" s="321" t="str">
        <f t="shared" si="14"/>
        <v>Unmetered Scattered Load.CBR Class B Rate Riders</v>
      </c>
      <c r="C110" s="321" t="s">
        <v>247</v>
      </c>
      <c r="D110" s="307" t="s">
        <v>229</v>
      </c>
      <c r="E110" s="306">
        <v>2.0000000000000001E-4</v>
      </c>
      <c r="F110" s="331">
        <v>4.0000000000000002E-4</v>
      </c>
      <c r="G110" s="176">
        <v>0</v>
      </c>
      <c r="H110" s="176">
        <v>0</v>
      </c>
      <c r="I110" s="176">
        <v>0</v>
      </c>
      <c r="J110" s="176">
        <v>0</v>
      </c>
      <c r="K110" s="3"/>
      <c r="L110" s="3"/>
      <c r="M110" s="3"/>
      <c r="N110" s="3"/>
      <c r="O110" s="3"/>
      <c r="P110" s="3"/>
      <c r="Q110" s="3"/>
      <c r="R110" s="3"/>
      <c r="S110" s="3"/>
      <c r="T110" s="3"/>
      <c r="U110" s="3"/>
      <c r="V110" s="3"/>
      <c r="W110" s="3"/>
      <c r="X110" s="3"/>
      <c r="Y110" s="3"/>
      <c r="Z110" s="3"/>
    </row>
    <row r="111" spans="1:26" ht="12" customHeight="1">
      <c r="A111" s="52" t="s">
        <v>46</v>
      </c>
      <c r="B111" s="321" t="str">
        <f t="shared" si="14"/>
        <v>Standby Power General Service 50 to 1,499 KW.</v>
      </c>
      <c r="C111" s="321"/>
      <c r="D111" s="307" t="s">
        <v>230</v>
      </c>
      <c r="E111" s="3"/>
      <c r="F111" s="339"/>
      <c r="G111" s="3"/>
      <c r="H111" s="3"/>
      <c r="I111" s="3"/>
      <c r="J111" s="132"/>
      <c r="K111" s="3"/>
      <c r="L111" s="3"/>
      <c r="M111" s="3"/>
      <c r="N111" s="3"/>
      <c r="O111" s="3"/>
      <c r="P111" s="3"/>
      <c r="Q111" s="3"/>
      <c r="R111" s="3"/>
      <c r="S111" s="3"/>
      <c r="T111" s="3"/>
      <c r="U111" s="3"/>
      <c r="V111" s="3"/>
      <c r="W111" s="3"/>
      <c r="X111" s="3"/>
      <c r="Y111" s="3"/>
      <c r="Z111" s="3"/>
    </row>
    <row r="112" spans="1:26" ht="12" customHeight="1">
      <c r="A112" s="52" t="s">
        <v>46</v>
      </c>
      <c r="B112" s="321" t="str">
        <f t="shared" si="14"/>
        <v>Standby Power General Service 1,500 to 4,999 KW.</v>
      </c>
      <c r="C112" s="321"/>
      <c r="D112" s="307" t="s">
        <v>231</v>
      </c>
      <c r="E112" s="3"/>
      <c r="F112" s="339"/>
      <c r="G112" s="3"/>
      <c r="H112" s="3"/>
      <c r="I112" s="3"/>
      <c r="J112" s="132"/>
      <c r="K112" s="3"/>
      <c r="L112" s="3"/>
      <c r="M112" s="3"/>
      <c r="N112" s="3"/>
      <c r="O112" s="3"/>
      <c r="P112" s="3"/>
      <c r="Q112" s="3"/>
      <c r="R112" s="3"/>
      <c r="S112" s="3"/>
      <c r="T112" s="3"/>
      <c r="U112" s="3"/>
      <c r="V112" s="3"/>
      <c r="W112" s="3"/>
      <c r="X112" s="3"/>
      <c r="Y112" s="3"/>
      <c r="Z112" s="3"/>
    </row>
    <row r="113" spans="1:26" ht="12" customHeight="1">
      <c r="A113" s="52" t="s">
        <v>46</v>
      </c>
      <c r="B113" s="321" t="str">
        <f t="shared" si="14"/>
        <v>Standby Power Large Use.</v>
      </c>
      <c r="C113" s="321"/>
      <c r="D113" s="307" t="s">
        <v>232</v>
      </c>
      <c r="E113" s="3"/>
      <c r="F113" s="339"/>
      <c r="G113" s="3"/>
      <c r="H113" s="3"/>
      <c r="I113" s="3"/>
      <c r="J113" s="132"/>
      <c r="K113" s="3"/>
      <c r="L113" s="3"/>
      <c r="M113" s="3"/>
      <c r="N113" s="3"/>
      <c r="O113" s="3"/>
      <c r="P113" s="3"/>
      <c r="Q113" s="3"/>
      <c r="R113" s="3"/>
      <c r="S113" s="3"/>
      <c r="T113" s="3"/>
      <c r="U113" s="3"/>
      <c r="V113" s="3"/>
      <c r="W113" s="3"/>
      <c r="X113" s="3"/>
      <c r="Y113" s="3"/>
      <c r="Z113" s="3"/>
    </row>
    <row r="114" spans="1:26" ht="12" customHeight="1">
      <c r="A114" s="3"/>
      <c r="B114" s="307"/>
      <c r="C114" s="3"/>
      <c r="D114" s="52"/>
      <c r="E114" s="3"/>
      <c r="F114" s="52" t="s">
        <v>248</v>
      </c>
      <c r="G114" s="3"/>
      <c r="H114" s="3"/>
      <c r="I114" s="3"/>
      <c r="J114" s="3"/>
      <c r="K114" s="3"/>
      <c r="L114" s="3"/>
      <c r="M114" s="3"/>
      <c r="N114" s="3"/>
      <c r="O114" s="3"/>
      <c r="P114" s="3"/>
      <c r="Q114" s="3"/>
      <c r="R114" s="3"/>
      <c r="S114" s="3"/>
      <c r="T114" s="3"/>
      <c r="U114" s="3"/>
      <c r="V114" s="3"/>
      <c r="W114" s="3"/>
      <c r="X114" s="3"/>
      <c r="Y114" s="3"/>
      <c r="Z114" s="3"/>
    </row>
    <row r="115" spans="1:26" ht="12" customHeight="1">
      <c r="A115" s="52"/>
      <c r="B115" s="52"/>
      <c r="C115" s="346" t="s">
        <v>249</v>
      </c>
      <c r="D115" s="347"/>
      <c r="E115" s="344">
        <v>2025</v>
      </c>
      <c r="F115" s="307">
        <v>2021</v>
      </c>
      <c r="G115" s="307">
        <v>2022</v>
      </c>
      <c r="H115" s="307">
        <v>2023</v>
      </c>
      <c r="I115" s="307">
        <v>2024</v>
      </c>
      <c r="J115" s="307">
        <v>2025</v>
      </c>
      <c r="K115" s="3"/>
      <c r="L115" s="3"/>
      <c r="M115" s="3"/>
      <c r="N115" s="3"/>
      <c r="O115" s="3"/>
      <c r="P115" s="3"/>
      <c r="Q115" s="3"/>
      <c r="R115" s="3"/>
      <c r="S115" s="3"/>
      <c r="T115" s="3"/>
      <c r="U115" s="3"/>
      <c r="V115" s="3"/>
      <c r="W115" s="3"/>
      <c r="X115" s="3"/>
      <c r="Y115" s="3"/>
      <c r="Z115" s="3"/>
    </row>
    <row r="116" spans="1:26" ht="12" customHeight="1">
      <c r="A116" s="52"/>
      <c r="B116" s="321" t="str">
        <f t="shared" ref="B116:B126" si="15">D116&amp;"."&amp;C116</f>
        <v>Residential.Rate Rider Calculation for PILs</v>
      </c>
      <c r="C116" s="321" t="str">
        <f t="shared" ref="C116:C126" si="16">C$115</f>
        <v>Rate Rider Calculation for PILs</v>
      </c>
      <c r="D116" s="307" t="s">
        <v>222</v>
      </c>
      <c r="E116" s="3"/>
      <c r="F116" s="339"/>
      <c r="G116" s="52"/>
      <c r="H116" s="52"/>
      <c r="I116" s="52"/>
      <c r="J116" s="52"/>
      <c r="K116" s="3"/>
      <c r="L116" s="3"/>
      <c r="M116" s="3"/>
      <c r="N116" s="3"/>
      <c r="O116" s="3"/>
      <c r="P116" s="3"/>
      <c r="Q116" s="3"/>
      <c r="R116" s="3"/>
      <c r="S116" s="3"/>
      <c r="T116" s="3"/>
      <c r="U116" s="3"/>
      <c r="V116" s="3"/>
      <c r="W116" s="3"/>
      <c r="X116" s="3"/>
      <c r="Y116" s="3"/>
      <c r="Z116" s="3"/>
    </row>
    <row r="117" spans="1:26" ht="12" customHeight="1">
      <c r="A117" s="52"/>
      <c r="B117" s="321" t="str">
        <f t="shared" si="15"/>
        <v>General Service &lt; 50 kW.Rate Rider Calculation for PILs</v>
      </c>
      <c r="C117" s="321" t="str">
        <f t="shared" si="16"/>
        <v>Rate Rider Calculation for PILs</v>
      </c>
      <c r="D117" s="307" t="s">
        <v>223</v>
      </c>
      <c r="E117" s="3"/>
      <c r="F117" s="339"/>
      <c r="G117" s="52"/>
      <c r="H117" s="52"/>
      <c r="I117" s="52"/>
      <c r="J117" s="52"/>
      <c r="K117" s="3"/>
      <c r="L117" s="3"/>
      <c r="M117" s="3"/>
      <c r="N117" s="3"/>
      <c r="O117" s="3"/>
      <c r="P117" s="3"/>
      <c r="Q117" s="3"/>
      <c r="R117" s="3"/>
      <c r="S117" s="3"/>
      <c r="T117" s="3"/>
      <c r="U117" s="3"/>
      <c r="V117" s="3"/>
      <c r="W117" s="3"/>
      <c r="X117" s="3"/>
      <c r="Y117" s="3"/>
      <c r="Z117" s="3"/>
    </row>
    <row r="118" spans="1:26" ht="12" customHeight="1">
      <c r="A118" s="52"/>
      <c r="B118" s="321" t="str">
        <f t="shared" si="15"/>
        <v>General Service 50 to 1,499 KW.Rate Rider Calculation for PILs</v>
      </c>
      <c r="C118" s="321" t="str">
        <f t="shared" si="16"/>
        <v>Rate Rider Calculation for PILs</v>
      </c>
      <c r="D118" s="307" t="s">
        <v>224</v>
      </c>
      <c r="E118" s="3"/>
      <c r="F118" s="339"/>
      <c r="G118" s="52"/>
      <c r="H118" s="52"/>
      <c r="I118" s="52"/>
      <c r="J118" s="52"/>
      <c r="K118" s="3"/>
      <c r="L118" s="3"/>
      <c r="M118" s="3"/>
      <c r="N118" s="3"/>
      <c r="O118" s="3"/>
      <c r="P118" s="3"/>
      <c r="Q118" s="3"/>
      <c r="R118" s="3"/>
      <c r="S118" s="3"/>
      <c r="T118" s="3"/>
      <c r="U118" s="3"/>
      <c r="V118" s="3"/>
      <c r="W118" s="3"/>
      <c r="X118" s="3"/>
      <c r="Y118" s="3"/>
      <c r="Z118" s="3"/>
    </row>
    <row r="119" spans="1:26" ht="12" customHeight="1">
      <c r="A119" s="52"/>
      <c r="B119" s="321" t="str">
        <f t="shared" si="15"/>
        <v>General Service 1,500 to 4,999 KW.Rate Rider Calculation for PILs</v>
      </c>
      <c r="C119" s="321" t="str">
        <f t="shared" si="16"/>
        <v>Rate Rider Calculation for PILs</v>
      </c>
      <c r="D119" s="307" t="s">
        <v>225</v>
      </c>
      <c r="E119" s="3"/>
      <c r="F119" s="339"/>
      <c r="G119" s="52"/>
      <c r="H119" s="52"/>
      <c r="I119" s="52"/>
      <c r="J119" s="52"/>
      <c r="K119" s="3"/>
      <c r="L119" s="3"/>
      <c r="M119" s="3"/>
      <c r="N119" s="3"/>
      <c r="O119" s="3"/>
      <c r="P119" s="3"/>
      <c r="Q119" s="3"/>
      <c r="R119" s="3"/>
      <c r="S119" s="3"/>
      <c r="T119" s="3"/>
      <c r="U119" s="3"/>
      <c r="V119" s="3"/>
      <c r="W119" s="3"/>
      <c r="X119" s="3"/>
      <c r="Y119" s="3"/>
      <c r="Z119" s="3"/>
    </row>
    <row r="120" spans="1:26" ht="12" customHeight="1">
      <c r="A120" s="52"/>
      <c r="B120" s="321" t="str">
        <f t="shared" si="15"/>
        <v>Large User.Rate Rider Calculation for PILs</v>
      </c>
      <c r="C120" s="321" t="str">
        <f t="shared" si="16"/>
        <v>Rate Rider Calculation for PILs</v>
      </c>
      <c r="D120" s="307" t="s">
        <v>226</v>
      </c>
      <c r="E120" s="3"/>
      <c r="F120" s="339"/>
      <c r="G120" s="52"/>
      <c r="H120" s="52"/>
      <c r="I120" s="52"/>
      <c r="J120" s="52"/>
      <c r="K120" s="3"/>
      <c r="L120" s="3"/>
      <c r="M120" s="3"/>
      <c r="N120" s="3"/>
      <c r="O120" s="3"/>
      <c r="P120" s="3"/>
      <c r="Q120" s="3"/>
      <c r="R120" s="3"/>
      <c r="S120" s="3"/>
      <c r="T120" s="3"/>
      <c r="U120" s="3"/>
      <c r="V120" s="3"/>
      <c r="W120" s="3"/>
      <c r="X120" s="3"/>
      <c r="Y120" s="3"/>
      <c r="Z120" s="3"/>
    </row>
    <row r="121" spans="1:26" ht="12" customHeight="1">
      <c r="A121" s="52"/>
      <c r="B121" s="321" t="str">
        <f t="shared" si="15"/>
        <v>Street Light.Rate Rider Calculation for PILs</v>
      </c>
      <c r="C121" s="321" t="str">
        <f t="shared" si="16"/>
        <v>Rate Rider Calculation for PILs</v>
      </c>
      <c r="D121" s="307" t="s">
        <v>227</v>
      </c>
      <c r="E121" s="3"/>
      <c r="F121" s="339"/>
      <c r="G121" s="52"/>
      <c r="H121" s="52"/>
      <c r="I121" s="52"/>
      <c r="J121" s="52"/>
      <c r="K121" s="3"/>
      <c r="L121" s="3"/>
      <c r="M121" s="3"/>
      <c r="N121" s="3"/>
      <c r="O121" s="3"/>
      <c r="P121" s="3"/>
      <c r="Q121" s="3"/>
      <c r="R121" s="3"/>
      <c r="S121" s="3"/>
      <c r="T121" s="3"/>
      <c r="U121" s="3"/>
      <c r="V121" s="3"/>
      <c r="W121" s="3"/>
      <c r="X121" s="3"/>
      <c r="Y121" s="3"/>
      <c r="Z121" s="3"/>
    </row>
    <row r="122" spans="1:26" ht="12" customHeight="1">
      <c r="A122" s="52"/>
      <c r="B122" s="321" t="str">
        <f t="shared" si="15"/>
        <v>Sentinel Lights.Rate Rider Calculation for PILs</v>
      </c>
      <c r="C122" s="321" t="str">
        <f t="shared" si="16"/>
        <v>Rate Rider Calculation for PILs</v>
      </c>
      <c r="D122" s="307" t="s">
        <v>228</v>
      </c>
      <c r="E122" s="3"/>
      <c r="F122" s="339"/>
      <c r="G122" s="52"/>
      <c r="H122" s="52"/>
      <c r="I122" s="52"/>
      <c r="J122" s="52"/>
      <c r="K122" s="3"/>
      <c r="L122" s="3"/>
      <c r="M122" s="3"/>
      <c r="N122" s="3"/>
      <c r="O122" s="3"/>
      <c r="P122" s="3"/>
      <c r="Q122" s="3"/>
      <c r="R122" s="3"/>
      <c r="S122" s="3"/>
      <c r="T122" s="3"/>
      <c r="U122" s="3"/>
      <c r="V122" s="3"/>
      <c r="W122" s="3"/>
      <c r="X122" s="3"/>
      <c r="Y122" s="3"/>
      <c r="Z122" s="3"/>
    </row>
    <row r="123" spans="1:26" ht="12" customHeight="1">
      <c r="A123" s="52"/>
      <c r="B123" s="321" t="str">
        <f t="shared" si="15"/>
        <v>Unmetered Scattered Load.Rate Rider Calculation for PILs</v>
      </c>
      <c r="C123" s="321" t="str">
        <f t="shared" si="16"/>
        <v>Rate Rider Calculation for PILs</v>
      </c>
      <c r="D123" s="307" t="s">
        <v>229</v>
      </c>
      <c r="E123" s="3"/>
      <c r="F123" s="339"/>
      <c r="G123" s="52"/>
      <c r="H123" s="52"/>
      <c r="I123" s="52"/>
      <c r="J123" s="52"/>
      <c r="K123" s="3"/>
      <c r="L123" s="3"/>
      <c r="M123" s="3"/>
      <c r="N123" s="3"/>
      <c r="O123" s="3"/>
      <c r="P123" s="3"/>
      <c r="Q123" s="3"/>
      <c r="R123" s="3"/>
      <c r="S123" s="3"/>
      <c r="T123" s="3"/>
      <c r="U123" s="3"/>
      <c r="V123" s="3"/>
      <c r="W123" s="3"/>
      <c r="X123" s="3"/>
      <c r="Y123" s="3"/>
      <c r="Z123" s="3"/>
    </row>
    <row r="124" spans="1:26" ht="12" customHeight="1">
      <c r="A124" s="52"/>
      <c r="B124" s="321" t="str">
        <f t="shared" si="15"/>
        <v>Standby Power General Service 50 to 1,499 KW.Rate Rider Calculation for PILs</v>
      </c>
      <c r="C124" s="321" t="str">
        <f t="shared" si="16"/>
        <v>Rate Rider Calculation for PILs</v>
      </c>
      <c r="D124" s="307" t="s">
        <v>230</v>
      </c>
      <c r="E124" s="3"/>
      <c r="F124" s="339"/>
      <c r="G124" s="52"/>
      <c r="H124" s="52"/>
      <c r="I124" s="52"/>
      <c r="J124" s="52"/>
      <c r="K124" s="3"/>
      <c r="L124" s="3"/>
      <c r="M124" s="3"/>
      <c r="N124" s="3"/>
      <c r="O124" s="3"/>
      <c r="P124" s="3"/>
      <c r="Q124" s="3"/>
      <c r="R124" s="3"/>
      <c r="S124" s="3"/>
      <c r="T124" s="3"/>
      <c r="U124" s="3"/>
      <c r="V124" s="3"/>
      <c r="W124" s="3"/>
      <c r="X124" s="3"/>
      <c r="Y124" s="3"/>
      <c r="Z124" s="3"/>
    </row>
    <row r="125" spans="1:26" ht="12" customHeight="1">
      <c r="A125" s="52"/>
      <c r="B125" s="321" t="str">
        <f t="shared" si="15"/>
        <v>Standby Power General Service 1,500 to 4,999 KW.Rate Rider Calculation for PILs</v>
      </c>
      <c r="C125" s="321" t="str">
        <f t="shared" si="16"/>
        <v>Rate Rider Calculation for PILs</v>
      </c>
      <c r="D125" s="307" t="s">
        <v>231</v>
      </c>
      <c r="E125" s="3"/>
      <c r="F125" s="339"/>
      <c r="G125" s="52"/>
      <c r="H125" s="52"/>
      <c r="I125" s="52"/>
      <c r="J125" s="52"/>
      <c r="K125" s="3"/>
      <c r="L125" s="3"/>
      <c r="M125" s="3"/>
      <c r="N125" s="3"/>
      <c r="O125" s="3"/>
      <c r="P125" s="3"/>
      <c r="Q125" s="3"/>
      <c r="R125" s="3"/>
      <c r="S125" s="3"/>
      <c r="T125" s="3"/>
      <c r="U125" s="3"/>
      <c r="V125" s="3"/>
      <c r="W125" s="3"/>
      <c r="X125" s="3"/>
      <c r="Y125" s="3"/>
      <c r="Z125" s="3"/>
    </row>
    <row r="126" spans="1:26" ht="12" customHeight="1">
      <c r="A126" s="52"/>
      <c r="B126" s="321" t="str">
        <f t="shared" si="15"/>
        <v>Standby Power Large Use.Rate Rider Calculation for PILs</v>
      </c>
      <c r="C126" s="321" t="str">
        <f t="shared" si="16"/>
        <v>Rate Rider Calculation for PILs</v>
      </c>
      <c r="D126" s="307" t="s">
        <v>232</v>
      </c>
      <c r="E126" s="3"/>
      <c r="F126" s="339"/>
      <c r="G126" s="52"/>
      <c r="H126" s="52"/>
      <c r="I126" s="52"/>
      <c r="J126" s="52"/>
      <c r="K126" s="3"/>
      <c r="L126" s="3"/>
      <c r="M126" s="3"/>
      <c r="N126" s="3"/>
      <c r="O126" s="3"/>
      <c r="P126" s="3"/>
      <c r="Q126" s="3"/>
      <c r="R126" s="3"/>
      <c r="S126" s="3"/>
      <c r="T126" s="3"/>
      <c r="U126" s="3"/>
      <c r="V126" s="3"/>
      <c r="W126" s="3"/>
      <c r="X126" s="3"/>
      <c r="Y126" s="3"/>
      <c r="Z126" s="3"/>
    </row>
    <row r="127" spans="1:26" ht="12" customHeight="1">
      <c r="A127" s="3"/>
      <c r="B127" s="307"/>
      <c r="C127" s="3"/>
      <c r="D127" s="52"/>
      <c r="E127" s="3"/>
      <c r="F127" s="52" t="s">
        <v>248</v>
      </c>
      <c r="G127" s="3"/>
      <c r="H127" s="3"/>
      <c r="I127" s="3"/>
      <c r="J127" s="3"/>
      <c r="K127" s="3"/>
      <c r="L127" s="3"/>
      <c r="M127" s="3"/>
      <c r="N127" s="3"/>
      <c r="O127" s="3"/>
      <c r="P127" s="3"/>
      <c r="Q127" s="3"/>
      <c r="R127" s="3"/>
      <c r="S127" s="3"/>
      <c r="T127" s="3"/>
      <c r="U127" s="3"/>
      <c r="V127" s="3"/>
      <c r="W127" s="3"/>
      <c r="X127" s="3"/>
      <c r="Y127" s="3"/>
      <c r="Z127" s="3"/>
    </row>
    <row r="128" spans="1:26" ht="12" customHeight="1">
      <c r="A128" s="3"/>
      <c r="B128" s="321"/>
      <c r="C128" s="346" t="s">
        <v>250</v>
      </c>
      <c r="D128" s="348"/>
      <c r="E128" s="319" t="s">
        <v>218</v>
      </c>
      <c r="F128" s="320" t="str">
        <f t="shared" ref="F128:J128" si="17">F$4</f>
        <v>2026F</v>
      </c>
      <c r="G128" s="320" t="str">
        <f t="shared" si="17"/>
        <v>2027F</v>
      </c>
      <c r="H128" s="320" t="str">
        <f t="shared" si="17"/>
        <v>2028F</v>
      </c>
      <c r="I128" s="320" t="str">
        <f t="shared" si="17"/>
        <v>2029F</v>
      </c>
      <c r="J128" s="320" t="str">
        <f t="shared" si="17"/>
        <v>2030F</v>
      </c>
      <c r="K128" s="3"/>
      <c r="L128" s="3"/>
      <c r="M128" s="3"/>
      <c r="N128" s="3"/>
      <c r="O128" s="3"/>
      <c r="P128" s="3"/>
      <c r="Q128" s="3"/>
      <c r="R128" s="3"/>
      <c r="S128" s="3"/>
      <c r="T128" s="3"/>
      <c r="U128" s="3"/>
      <c r="V128" s="3"/>
      <c r="W128" s="3"/>
      <c r="X128" s="3"/>
      <c r="Y128" s="3"/>
      <c r="Z128" s="3"/>
    </row>
    <row r="129" spans="1:26" ht="12" customHeight="1">
      <c r="A129" s="52"/>
      <c r="B129" s="321" t="str">
        <f t="shared" ref="B129:B139" si="18">D129&amp;"."&amp;C129</f>
        <v>Residential.Rate Rider Calculation for Generic</v>
      </c>
      <c r="C129" s="321" t="str">
        <f t="shared" ref="C129:C139" si="19">$C$128</f>
        <v>Rate Rider Calculation for Generic</v>
      </c>
      <c r="D129" s="307" t="s">
        <v>222</v>
      </c>
      <c r="E129" s="3"/>
      <c r="F129" s="339"/>
      <c r="G129" s="52"/>
      <c r="H129" s="52"/>
      <c r="I129" s="52"/>
      <c r="J129" s="52"/>
      <c r="K129" s="3"/>
      <c r="L129" s="3"/>
      <c r="M129" s="3"/>
      <c r="N129" s="3"/>
      <c r="O129" s="3"/>
      <c r="P129" s="3"/>
      <c r="Q129" s="3"/>
      <c r="R129" s="3"/>
      <c r="S129" s="3"/>
      <c r="T129" s="3"/>
      <c r="U129" s="3"/>
      <c r="V129" s="3"/>
      <c r="W129" s="3"/>
      <c r="X129" s="3"/>
      <c r="Y129" s="3"/>
      <c r="Z129" s="3"/>
    </row>
    <row r="130" spans="1:26" ht="12" customHeight="1">
      <c r="A130" s="52"/>
      <c r="B130" s="321" t="str">
        <f t="shared" si="18"/>
        <v>General Service &lt; 50 kW.Rate Rider Calculation for Generic</v>
      </c>
      <c r="C130" s="321" t="str">
        <f t="shared" si="19"/>
        <v>Rate Rider Calculation for Generic</v>
      </c>
      <c r="D130" s="307" t="s">
        <v>223</v>
      </c>
      <c r="E130" s="3"/>
      <c r="F130" s="339"/>
      <c r="G130" s="52"/>
      <c r="H130" s="52"/>
      <c r="I130" s="52"/>
      <c r="J130" s="52"/>
      <c r="K130" s="3"/>
      <c r="L130" s="3"/>
      <c r="M130" s="3"/>
      <c r="N130" s="3"/>
      <c r="O130" s="3"/>
      <c r="P130" s="3"/>
      <c r="Q130" s="3"/>
      <c r="R130" s="3"/>
      <c r="S130" s="3"/>
      <c r="T130" s="3"/>
      <c r="U130" s="3"/>
      <c r="V130" s="3"/>
      <c r="W130" s="3"/>
      <c r="X130" s="3"/>
      <c r="Y130" s="3"/>
      <c r="Z130" s="3"/>
    </row>
    <row r="131" spans="1:26" ht="12" customHeight="1">
      <c r="A131" s="52"/>
      <c r="B131" s="321" t="str">
        <f t="shared" si="18"/>
        <v>General Service 50 to 1,499 KW.Rate Rider Calculation for Generic</v>
      </c>
      <c r="C131" s="321" t="str">
        <f t="shared" si="19"/>
        <v>Rate Rider Calculation for Generic</v>
      </c>
      <c r="D131" s="307" t="s">
        <v>224</v>
      </c>
      <c r="E131" s="3"/>
      <c r="F131" s="339"/>
      <c r="G131" s="52"/>
      <c r="H131" s="52"/>
      <c r="I131" s="52"/>
      <c r="J131" s="52"/>
      <c r="K131" s="3"/>
      <c r="L131" s="3"/>
      <c r="M131" s="3"/>
      <c r="N131" s="3"/>
      <c r="O131" s="3"/>
      <c r="P131" s="3"/>
      <c r="Q131" s="3"/>
      <c r="R131" s="3"/>
      <c r="S131" s="3"/>
      <c r="T131" s="3"/>
      <c r="U131" s="3"/>
      <c r="V131" s="3"/>
      <c r="W131" s="3"/>
      <c r="X131" s="3"/>
      <c r="Y131" s="3"/>
      <c r="Z131" s="3"/>
    </row>
    <row r="132" spans="1:26" ht="12" customHeight="1">
      <c r="A132" s="52"/>
      <c r="B132" s="321" t="str">
        <f t="shared" si="18"/>
        <v>General Service 1,500 to 4,999 KW.Rate Rider Calculation for Generic</v>
      </c>
      <c r="C132" s="321" t="str">
        <f t="shared" si="19"/>
        <v>Rate Rider Calculation for Generic</v>
      </c>
      <c r="D132" s="307" t="s">
        <v>225</v>
      </c>
      <c r="E132" s="3"/>
      <c r="F132" s="339"/>
      <c r="G132" s="52"/>
      <c r="H132" s="52"/>
      <c r="I132" s="52"/>
      <c r="J132" s="52"/>
      <c r="K132" s="3"/>
      <c r="L132" s="3"/>
      <c r="M132" s="3"/>
      <c r="N132" s="3"/>
      <c r="O132" s="3"/>
      <c r="P132" s="3"/>
      <c r="Q132" s="3"/>
      <c r="R132" s="3"/>
      <c r="S132" s="3"/>
      <c r="T132" s="3"/>
      <c r="U132" s="3"/>
      <c r="V132" s="3"/>
      <c r="W132" s="3"/>
      <c r="X132" s="3"/>
      <c r="Y132" s="3"/>
      <c r="Z132" s="3"/>
    </row>
    <row r="133" spans="1:26" ht="12" customHeight="1">
      <c r="A133" s="52"/>
      <c r="B133" s="321" t="str">
        <f t="shared" si="18"/>
        <v>Large User.Rate Rider Calculation for Generic</v>
      </c>
      <c r="C133" s="321" t="str">
        <f t="shared" si="19"/>
        <v>Rate Rider Calculation for Generic</v>
      </c>
      <c r="D133" s="307" t="s">
        <v>226</v>
      </c>
      <c r="E133" s="3"/>
      <c r="F133" s="339"/>
      <c r="G133" s="52"/>
      <c r="H133" s="52"/>
      <c r="I133" s="52"/>
      <c r="J133" s="52"/>
      <c r="K133" s="3"/>
      <c r="L133" s="3"/>
      <c r="M133" s="3"/>
      <c r="N133" s="3"/>
      <c r="O133" s="3"/>
      <c r="P133" s="3"/>
      <c r="Q133" s="3"/>
      <c r="R133" s="3"/>
      <c r="S133" s="3"/>
      <c r="T133" s="3"/>
      <c r="U133" s="3"/>
      <c r="V133" s="3"/>
      <c r="W133" s="3"/>
      <c r="X133" s="3"/>
      <c r="Y133" s="3"/>
      <c r="Z133" s="3"/>
    </row>
    <row r="134" spans="1:26" ht="12" customHeight="1">
      <c r="A134" s="52"/>
      <c r="B134" s="321" t="str">
        <f t="shared" si="18"/>
        <v>Street Light.Rate Rider Calculation for Generic</v>
      </c>
      <c r="C134" s="321" t="str">
        <f t="shared" si="19"/>
        <v>Rate Rider Calculation for Generic</v>
      </c>
      <c r="D134" s="307" t="s">
        <v>227</v>
      </c>
      <c r="E134" s="3"/>
      <c r="F134" s="339"/>
      <c r="G134" s="52"/>
      <c r="H134" s="52"/>
      <c r="I134" s="52"/>
      <c r="J134" s="52"/>
      <c r="K134" s="3"/>
      <c r="L134" s="3"/>
      <c r="M134" s="3"/>
      <c r="N134" s="3"/>
      <c r="O134" s="3"/>
      <c r="P134" s="3"/>
      <c r="Q134" s="3"/>
      <c r="R134" s="3"/>
      <c r="S134" s="3"/>
      <c r="T134" s="3"/>
      <c r="U134" s="3"/>
      <c r="V134" s="3"/>
      <c r="W134" s="3"/>
      <c r="X134" s="3"/>
      <c r="Y134" s="3"/>
      <c r="Z134" s="3"/>
    </row>
    <row r="135" spans="1:26" ht="12" customHeight="1">
      <c r="A135" s="52"/>
      <c r="B135" s="321" t="str">
        <f t="shared" si="18"/>
        <v>Sentinel Lights.Rate Rider Calculation for Generic</v>
      </c>
      <c r="C135" s="321" t="str">
        <f t="shared" si="19"/>
        <v>Rate Rider Calculation for Generic</v>
      </c>
      <c r="D135" s="307" t="s">
        <v>228</v>
      </c>
      <c r="E135" s="3"/>
      <c r="F135" s="339"/>
      <c r="G135" s="52"/>
      <c r="H135" s="52"/>
      <c r="I135" s="52"/>
      <c r="J135" s="52"/>
      <c r="K135" s="3"/>
      <c r="L135" s="3"/>
      <c r="M135" s="3"/>
      <c r="N135" s="3"/>
      <c r="O135" s="3"/>
      <c r="P135" s="3"/>
      <c r="Q135" s="3"/>
      <c r="R135" s="3"/>
      <c r="S135" s="3"/>
      <c r="T135" s="3"/>
      <c r="U135" s="3"/>
      <c r="V135" s="3"/>
      <c r="W135" s="3"/>
      <c r="X135" s="3"/>
      <c r="Y135" s="3"/>
      <c r="Z135" s="3"/>
    </row>
    <row r="136" spans="1:26" ht="12" customHeight="1">
      <c r="A136" s="52"/>
      <c r="B136" s="321" t="str">
        <f t="shared" si="18"/>
        <v>Unmetered Scattered Load.Rate Rider Calculation for Generic</v>
      </c>
      <c r="C136" s="321" t="str">
        <f t="shared" si="19"/>
        <v>Rate Rider Calculation for Generic</v>
      </c>
      <c r="D136" s="307" t="s">
        <v>229</v>
      </c>
      <c r="E136" s="3"/>
      <c r="F136" s="339"/>
      <c r="G136" s="52"/>
      <c r="H136" s="52"/>
      <c r="I136" s="52"/>
      <c r="J136" s="52"/>
      <c r="K136" s="3"/>
      <c r="L136" s="3"/>
      <c r="M136" s="3"/>
      <c r="N136" s="3"/>
      <c r="O136" s="3"/>
      <c r="P136" s="3"/>
      <c r="Q136" s="3"/>
      <c r="R136" s="3"/>
      <c r="S136" s="3"/>
      <c r="T136" s="3"/>
      <c r="U136" s="3"/>
      <c r="V136" s="3"/>
      <c r="W136" s="3"/>
      <c r="X136" s="3"/>
      <c r="Y136" s="3"/>
      <c r="Z136" s="3"/>
    </row>
    <row r="137" spans="1:26" ht="12" customHeight="1">
      <c r="A137" s="52"/>
      <c r="B137" s="321" t="str">
        <f t="shared" si="18"/>
        <v>Standby Power General Service 50 to 1,499 KW.Rate Rider Calculation for Generic</v>
      </c>
      <c r="C137" s="321" t="str">
        <f t="shared" si="19"/>
        <v>Rate Rider Calculation for Generic</v>
      </c>
      <c r="D137" s="307" t="s">
        <v>230</v>
      </c>
      <c r="E137" s="3"/>
      <c r="F137" s="339"/>
      <c r="G137" s="52"/>
      <c r="H137" s="52"/>
      <c r="I137" s="52"/>
      <c r="J137" s="52"/>
      <c r="K137" s="3"/>
      <c r="L137" s="3"/>
      <c r="M137" s="3"/>
      <c r="N137" s="3"/>
      <c r="O137" s="3"/>
      <c r="P137" s="3"/>
      <c r="Q137" s="3"/>
      <c r="R137" s="3"/>
      <c r="S137" s="3"/>
      <c r="T137" s="3"/>
      <c r="U137" s="3"/>
      <c r="V137" s="3"/>
      <c r="W137" s="3"/>
      <c r="X137" s="3"/>
      <c r="Y137" s="3"/>
      <c r="Z137" s="3"/>
    </row>
    <row r="138" spans="1:26" ht="12" customHeight="1">
      <c r="A138" s="52"/>
      <c r="B138" s="321" t="str">
        <f t="shared" si="18"/>
        <v>Standby Power General Service 1,500 to 4,999 KW.Rate Rider Calculation for Generic</v>
      </c>
      <c r="C138" s="321" t="str">
        <f t="shared" si="19"/>
        <v>Rate Rider Calculation for Generic</v>
      </c>
      <c r="D138" s="307" t="s">
        <v>231</v>
      </c>
      <c r="E138" s="3"/>
      <c r="F138" s="339"/>
      <c r="G138" s="52"/>
      <c r="H138" s="52"/>
      <c r="I138" s="52"/>
      <c r="J138" s="52"/>
      <c r="K138" s="3"/>
      <c r="L138" s="3"/>
      <c r="M138" s="3"/>
      <c r="N138" s="3"/>
      <c r="O138" s="3"/>
      <c r="P138" s="3"/>
      <c r="Q138" s="3"/>
      <c r="R138" s="3"/>
      <c r="S138" s="3"/>
      <c r="T138" s="3"/>
      <c r="U138" s="3"/>
      <c r="V138" s="3"/>
      <c r="W138" s="3"/>
      <c r="X138" s="3"/>
      <c r="Y138" s="3"/>
      <c r="Z138" s="3"/>
    </row>
    <row r="139" spans="1:26" ht="12" customHeight="1">
      <c r="A139" s="52"/>
      <c r="B139" s="321" t="str">
        <f t="shared" si="18"/>
        <v>Standby Power Large Use.Rate Rider Calculation for Generic</v>
      </c>
      <c r="C139" s="321" t="str">
        <f t="shared" si="19"/>
        <v>Rate Rider Calculation for Generic</v>
      </c>
      <c r="D139" s="307" t="s">
        <v>232</v>
      </c>
      <c r="E139" s="3"/>
      <c r="F139" s="339"/>
      <c r="G139" s="52"/>
      <c r="H139" s="52"/>
      <c r="I139" s="52"/>
      <c r="J139" s="52"/>
      <c r="K139" s="3"/>
      <c r="L139" s="3"/>
      <c r="M139" s="3"/>
      <c r="N139" s="3"/>
      <c r="O139" s="3"/>
      <c r="P139" s="3"/>
      <c r="Q139" s="3"/>
      <c r="R139" s="3"/>
      <c r="S139" s="3"/>
      <c r="T139" s="3"/>
      <c r="U139" s="3"/>
      <c r="V139" s="3"/>
      <c r="W139" s="3"/>
      <c r="X139" s="3"/>
      <c r="Y139" s="3"/>
      <c r="Z139" s="3"/>
    </row>
    <row r="140" spans="1:26" ht="12" customHeight="1">
      <c r="A140" s="3"/>
      <c r="B140" s="307"/>
      <c r="C140" s="3"/>
      <c r="D140" s="3"/>
      <c r="E140" s="3"/>
      <c r="F140" s="3"/>
      <c r="G140" s="3"/>
      <c r="H140" s="345"/>
      <c r="I140" s="345"/>
      <c r="J140" s="3"/>
      <c r="K140" s="3"/>
      <c r="L140" s="3"/>
      <c r="M140" s="3"/>
      <c r="N140" s="3"/>
      <c r="O140" s="3"/>
      <c r="P140" s="3"/>
      <c r="Q140" s="3"/>
      <c r="R140" s="3"/>
      <c r="S140" s="3"/>
      <c r="T140" s="3"/>
      <c r="U140" s="3"/>
      <c r="V140" s="3"/>
      <c r="W140" s="3"/>
      <c r="X140" s="3"/>
      <c r="Y140" s="3"/>
      <c r="Z140" s="3"/>
    </row>
    <row r="141" spans="1:26" ht="12" customHeight="1">
      <c r="A141" s="3"/>
      <c r="B141" s="52"/>
      <c r="C141" s="318" t="s">
        <v>251</v>
      </c>
      <c r="D141" s="3"/>
      <c r="E141" s="319" t="s">
        <v>218</v>
      </c>
      <c r="F141" s="320" t="str">
        <f t="shared" ref="F141:J141" si="20">F$4</f>
        <v>2026F</v>
      </c>
      <c r="G141" s="320" t="str">
        <f t="shared" si="20"/>
        <v>2027F</v>
      </c>
      <c r="H141" s="320" t="str">
        <f t="shared" si="20"/>
        <v>2028F</v>
      </c>
      <c r="I141" s="320" t="str">
        <f t="shared" si="20"/>
        <v>2029F</v>
      </c>
      <c r="J141" s="320" t="str">
        <f t="shared" si="20"/>
        <v>2030F</v>
      </c>
      <c r="K141" s="3"/>
      <c r="L141" s="3"/>
      <c r="M141" s="3"/>
      <c r="N141" s="3"/>
      <c r="O141" s="3"/>
      <c r="P141" s="3"/>
      <c r="Q141" s="3"/>
      <c r="R141" s="3"/>
      <c r="S141" s="3"/>
      <c r="T141" s="3"/>
      <c r="U141" s="3"/>
      <c r="V141" s="3"/>
      <c r="W141" s="3"/>
      <c r="X141" s="3"/>
      <c r="Y141" s="3"/>
      <c r="Z141" s="3"/>
    </row>
    <row r="142" spans="1:26" ht="12" customHeight="1">
      <c r="A142" s="3"/>
      <c r="B142" s="321" t="str">
        <f t="shared" ref="B142:B152" si="21">D142&amp;"."&amp;C142</f>
        <v>Residential.GA Rate Riders</v>
      </c>
      <c r="C142" s="321" t="s">
        <v>252</v>
      </c>
      <c r="D142" s="307" t="s">
        <v>222</v>
      </c>
      <c r="E142" s="306">
        <v>3.8999999999999998E-3</v>
      </c>
      <c r="F142" s="331">
        <v>4.4000000000000003E-3</v>
      </c>
      <c r="G142" s="176">
        <v>0</v>
      </c>
      <c r="H142" s="176">
        <v>0</v>
      </c>
      <c r="I142" s="176">
        <v>0</v>
      </c>
      <c r="J142" s="176">
        <v>0</v>
      </c>
      <c r="K142" s="3"/>
      <c r="L142" s="3"/>
      <c r="M142" s="3"/>
      <c r="N142" s="3"/>
      <c r="O142" s="3"/>
      <c r="P142" s="3"/>
      <c r="Q142" s="3"/>
      <c r="R142" s="3"/>
      <c r="S142" s="3"/>
      <c r="T142" s="3"/>
      <c r="U142" s="3"/>
      <c r="V142" s="3"/>
      <c r="W142" s="3"/>
      <c r="X142" s="3"/>
      <c r="Y142" s="3"/>
      <c r="Z142" s="3"/>
    </row>
    <row r="143" spans="1:26" ht="12" customHeight="1">
      <c r="A143" s="3"/>
      <c r="B143" s="321" t="str">
        <f t="shared" si="21"/>
        <v>General Service &lt; 50 kW.GA Rate Riders</v>
      </c>
      <c r="C143" s="321" t="s">
        <v>252</v>
      </c>
      <c r="D143" s="307" t="s">
        <v>223</v>
      </c>
      <c r="E143" s="306">
        <v>3.8999999999999998E-3</v>
      </c>
      <c r="F143" s="331">
        <v>4.4000000000000003E-3</v>
      </c>
      <c r="G143" s="176">
        <v>0</v>
      </c>
      <c r="H143" s="176">
        <v>0</v>
      </c>
      <c r="I143" s="176">
        <v>0</v>
      </c>
      <c r="J143" s="176">
        <v>0</v>
      </c>
      <c r="K143" s="3"/>
      <c r="L143" s="3"/>
      <c r="M143" s="3"/>
      <c r="N143" s="3"/>
      <c r="O143" s="3"/>
      <c r="P143" s="3"/>
      <c r="Q143" s="3"/>
      <c r="R143" s="3"/>
      <c r="S143" s="3"/>
      <c r="T143" s="3"/>
      <c r="U143" s="3"/>
      <c r="V143" s="3"/>
      <c r="W143" s="3"/>
      <c r="X143" s="3"/>
      <c r="Y143" s="3"/>
      <c r="Z143" s="3"/>
    </row>
    <row r="144" spans="1:26" ht="12" customHeight="1">
      <c r="A144" s="3"/>
      <c r="B144" s="321" t="str">
        <f t="shared" si="21"/>
        <v>General Service 50 to 1,499 KW.GA Rate Riders</v>
      </c>
      <c r="C144" s="321" t="s">
        <v>252</v>
      </c>
      <c r="D144" s="307" t="s">
        <v>224</v>
      </c>
      <c r="E144" s="306">
        <v>3.8999999999999998E-3</v>
      </c>
      <c r="F144" s="331">
        <v>4.4000000000000003E-3</v>
      </c>
      <c r="G144" s="176">
        <v>0</v>
      </c>
      <c r="H144" s="176">
        <v>0</v>
      </c>
      <c r="I144" s="176">
        <v>0</v>
      </c>
      <c r="J144" s="176">
        <v>0</v>
      </c>
      <c r="K144" s="3"/>
      <c r="L144" s="3"/>
      <c r="M144" s="3"/>
      <c r="N144" s="3"/>
      <c r="O144" s="3"/>
      <c r="P144" s="3"/>
      <c r="Q144" s="3"/>
      <c r="R144" s="3"/>
      <c r="S144" s="3"/>
      <c r="T144" s="3"/>
      <c r="U144" s="3"/>
      <c r="V144" s="3"/>
      <c r="W144" s="3"/>
      <c r="X144" s="3"/>
      <c r="Y144" s="3"/>
      <c r="Z144" s="3"/>
    </row>
    <row r="145" spans="1:26" ht="12" customHeight="1">
      <c r="A145" s="3"/>
      <c r="B145" s="321" t="str">
        <f t="shared" si="21"/>
        <v>General Service 1,500 to 4,999 KW.GA Rate Riders</v>
      </c>
      <c r="C145" s="321" t="s">
        <v>252</v>
      </c>
      <c r="D145" s="307" t="s">
        <v>225</v>
      </c>
      <c r="E145" s="306">
        <v>3.8999999999999998E-3</v>
      </c>
      <c r="F145" s="331">
        <v>4.4000000000000003E-3</v>
      </c>
      <c r="G145" s="176">
        <v>0</v>
      </c>
      <c r="H145" s="176">
        <v>0</v>
      </c>
      <c r="I145" s="176">
        <v>0</v>
      </c>
      <c r="J145" s="176">
        <v>0</v>
      </c>
      <c r="K145" s="3"/>
      <c r="L145" s="3"/>
      <c r="M145" s="3"/>
      <c r="N145" s="3"/>
      <c r="O145" s="3"/>
      <c r="P145" s="3"/>
      <c r="Q145" s="3"/>
      <c r="R145" s="3"/>
      <c r="S145" s="3"/>
      <c r="T145" s="3"/>
      <c r="U145" s="3"/>
      <c r="V145" s="3"/>
      <c r="W145" s="3"/>
      <c r="X145" s="3"/>
      <c r="Y145" s="3"/>
      <c r="Z145" s="3"/>
    </row>
    <row r="146" spans="1:26" ht="12" customHeight="1">
      <c r="A146" s="3"/>
      <c r="B146" s="321" t="str">
        <f t="shared" si="21"/>
        <v>Large User.GA Rate Riders</v>
      </c>
      <c r="C146" s="321" t="s">
        <v>252</v>
      </c>
      <c r="D146" s="307" t="s">
        <v>226</v>
      </c>
      <c r="E146" s="306">
        <v>3.8999999999999998E-3</v>
      </c>
      <c r="F146" s="331">
        <v>4.4000000000000003E-3</v>
      </c>
      <c r="G146" s="176">
        <v>0</v>
      </c>
      <c r="H146" s="176">
        <v>0</v>
      </c>
      <c r="I146" s="176">
        <v>0</v>
      </c>
      <c r="J146" s="176">
        <v>0</v>
      </c>
      <c r="K146" s="3"/>
      <c r="L146" s="3"/>
      <c r="M146" s="3"/>
      <c r="N146" s="3"/>
      <c r="O146" s="3"/>
      <c r="P146" s="3"/>
      <c r="Q146" s="3"/>
      <c r="R146" s="3"/>
      <c r="S146" s="3"/>
      <c r="T146" s="3"/>
      <c r="U146" s="3"/>
      <c r="V146" s="3"/>
      <c r="W146" s="3"/>
      <c r="X146" s="3"/>
      <c r="Y146" s="3"/>
      <c r="Z146" s="3"/>
    </row>
    <row r="147" spans="1:26" ht="12" customHeight="1">
      <c r="A147" s="3"/>
      <c r="B147" s="321" t="str">
        <f t="shared" si="21"/>
        <v>Street Light.GA Rate Riders</v>
      </c>
      <c r="C147" s="321" t="s">
        <v>252</v>
      </c>
      <c r="D147" s="307" t="s">
        <v>227</v>
      </c>
      <c r="E147" s="306">
        <v>3.8999999999999998E-3</v>
      </c>
      <c r="F147" s="331">
        <v>4.4000000000000003E-3</v>
      </c>
      <c r="G147" s="176">
        <v>0</v>
      </c>
      <c r="H147" s="176">
        <v>0</v>
      </c>
      <c r="I147" s="176">
        <v>0</v>
      </c>
      <c r="J147" s="176">
        <v>0</v>
      </c>
      <c r="K147" s="3"/>
      <c r="L147" s="3"/>
      <c r="M147" s="3"/>
      <c r="N147" s="3"/>
      <c r="O147" s="3"/>
      <c r="P147" s="3"/>
      <c r="Q147" s="3"/>
      <c r="R147" s="3"/>
      <c r="S147" s="3"/>
      <c r="T147" s="3"/>
      <c r="U147" s="3"/>
      <c r="V147" s="3"/>
      <c r="W147" s="3"/>
      <c r="X147" s="3"/>
      <c r="Y147" s="3"/>
      <c r="Z147" s="3"/>
    </row>
    <row r="148" spans="1:26" ht="12" customHeight="1">
      <c r="A148" s="3"/>
      <c r="B148" s="321" t="str">
        <f t="shared" si="21"/>
        <v>Sentinel Lights.GA Rate Riders</v>
      </c>
      <c r="C148" s="321" t="s">
        <v>252</v>
      </c>
      <c r="D148" s="307" t="s">
        <v>228</v>
      </c>
      <c r="E148" s="306">
        <v>0</v>
      </c>
      <c r="F148" s="341">
        <v>0</v>
      </c>
      <c r="G148" s="176">
        <v>0</v>
      </c>
      <c r="H148" s="176">
        <v>0</v>
      </c>
      <c r="I148" s="176">
        <v>0</v>
      </c>
      <c r="J148" s="176">
        <v>0</v>
      </c>
      <c r="K148" s="3"/>
      <c r="L148" s="3"/>
      <c r="M148" s="3"/>
      <c r="N148" s="3"/>
      <c r="O148" s="3"/>
      <c r="P148" s="3"/>
      <c r="Q148" s="3"/>
      <c r="R148" s="3"/>
      <c r="S148" s="3"/>
      <c r="T148" s="3"/>
      <c r="U148" s="3"/>
      <c r="V148" s="3"/>
      <c r="W148" s="3"/>
      <c r="X148" s="3"/>
      <c r="Y148" s="3"/>
      <c r="Z148" s="3"/>
    </row>
    <row r="149" spans="1:26" ht="12" customHeight="1">
      <c r="A149" s="3"/>
      <c r="B149" s="321" t="str">
        <f t="shared" si="21"/>
        <v>Unmetered Scattered Load.GA Rate Riders</v>
      </c>
      <c r="C149" s="321" t="s">
        <v>252</v>
      </c>
      <c r="D149" s="307" t="s">
        <v>229</v>
      </c>
      <c r="E149" s="306">
        <v>0</v>
      </c>
      <c r="F149" s="341">
        <v>0</v>
      </c>
      <c r="G149" s="176">
        <v>0</v>
      </c>
      <c r="H149" s="176">
        <v>0</v>
      </c>
      <c r="I149" s="176">
        <v>0</v>
      </c>
      <c r="J149" s="176">
        <v>0</v>
      </c>
      <c r="K149" s="3"/>
      <c r="L149" s="3"/>
      <c r="M149" s="3"/>
      <c r="N149" s="3"/>
      <c r="O149" s="3"/>
      <c r="P149" s="3"/>
      <c r="Q149" s="3"/>
      <c r="R149" s="3"/>
      <c r="S149" s="3"/>
      <c r="T149" s="3"/>
      <c r="U149" s="3"/>
      <c r="V149" s="3"/>
      <c r="W149" s="3"/>
      <c r="X149" s="3"/>
      <c r="Y149" s="3"/>
      <c r="Z149" s="3"/>
    </row>
    <row r="150" spans="1:26" ht="12" customHeight="1">
      <c r="A150" s="3"/>
      <c r="B150" s="321" t="str">
        <f t="shared" si="21"/>
        <v>Standby Power General Service 50 to 1,499 KW.</v>
      </c>
      <c r="C150" s="321"/>
      <c r="D150" s="307" t="s">
        <v>230</v>
      </c>
      <c r="E150" s="3"/>
      <c r="F150" s="339"/>
      <c r="G150" s="3"/>
      <c r="H150" s="3"/>
      <c r="I150" s="349"/>
      <c r="J150" s="3"/>
      <c r="K150" s="3"/>
      <c r="L150" s="3"/>
      <c r="M150" s="3"/>
      <c r="N150" s="3"/>
      <c r="O150" s="3"/>
      <c r="P150" s="3"/>
      <c r="Q150" s="3"/>
      <c r="R150" s="3"/>
      <c r="S150" s="3"/>
      <c r="T150" s="3"/>
      <c r="U150" s="3"/>
      <c r="V150" s="3"/>
      <c r="W150" s="3"/>
      <c r="X150" s="3"/>
      <c r="Y150" s="3"/>
      <c r="Z150" s="3"/>
    </row>
    <row r="151" spans="1:26" ht="12" customHeight="1">
      <c r="A151" s="3"/>
      <c r="B151" s="321" t="str">
        <f t="shared" si="21"/>
        <v>Standby Power General Service 1,500 to 4,999 KW.</v>
      </c>
      <c r="C151" s="321"/>
      <c r="D151" s="307" t="s">
        <v>231</v>
      </c>
      <c r="E151" s="3"/>
      <c r="F151" s="339"/>
      <c r="G151" s="3"/>
      <c r="H151" s="3"/>
      <c r="I151" s="349"/>
      <c r="J151" s="3"/>
      <c r="K151" s="3"/>
      <c r="L151" s="3"/>
      <c r="M151" s="3"/>
      <c r="N151" s="3"/>
      <c r="O151" s="3"/>
      <c r="P151" s="3"/>
      <c r="Q151" s="3"/>
      <c r="R151" s="3"/>
      <c r="S151" s="3"/>
      <c r="T151" s="3"/>
      <c r="U151" s="3"/>
      <c r="V151" s="3"/>
      <c r="W151" s="3"/>
      <c r="X151" s="3"/>
      <c r="Y151" s="3"/>
      <c r="Z151" s="3"/>
    </row>
    <row r="152" spans="1:26" ht="12" customHeight="1">
      <c r="A152" s="3"/>
      <c r="B152" s="321" t="str">
        <f t="shared" si="21"/>
        <v>Standby Power Large Use.</v>
      </c>
      <c r="C152" s="321"/>
      <c r="D152" s="307" t="s">
        <v>232</v>
      </c>
      <c r="E152" s="3"/>
      <c r="F152" s="339"/>
      <c r="G152" s="3"/>
      <c r="H152" s="3"/>
      <c r="I152" s="349"/>
      <c r="J152" s="3"/>
      <c r="K152" s="3"/>
      <c r="L152" s="3"/>
      <c r="M152" s="3"/>
      <c r="N152" s="3"/>
      <c r="O152" s="3"/>
      <c r="P152" s="3"/>
      <c r="Q152" s="3"/>
      <c r="R152" s="3"/>
      <c r="S152" s="3"/>
      <c r="T152" s="3"/>
      <c r="U152" s="3"/>
      <c r="V152" s="3"/>
      <c r="W152" s="3"/>
      <c r="X152" s="3"/>
      <c r="Y152" s="3"/>
      <c r="Z152" s="3"/>
    </row>
    <row r="153" spans="1:26" ht="12" customHeight="1">
      <c r="A153" s="3"/>
      <c r="B153" s="307"/>
      <c r="C153" s="3"/>
      <c r="D153" s="307"/>
      <c r="E153" s="3"/>
      <c r="F153" s="307"/>
      <c r="G153" s="307"/>
      <c r="H153" s="345"/>
      <c r="I153" s="52"/>
      <c r="J153" s="307"/>
      <c r="K153" s="3"/>
      <c r="L153" s="3"/>
      <c r="M153" s="3"/>
      <c r="N153" s="3"/>
      <c r="O153" s="3"/>
      <c r="P153" s="3"/>
      <c r="Q153" s="3"/>
      <c r="R153" s="3"/>
      <c r="S153" s="3"/>
      <c r="T153" s="3"/>
      <c r="U153" s="3"/>
      <c r="V153" s="3"/>
      <c r="W153" s="3"/>
      <c r="X153" s="3"/>
      <c r="Y153" s="3"/>
      <c r="Z153" s="3"/>
    </row>
    <row r="154" spans="1:26" ht="12" customHeight="1">
      <c r="A154" s="3"/>
      <c r="B154" s="307"/>
      <c r="C154" s="318" t="s">
        <v>253</v>
      </c>
      <c r="D154" s="307"/>
      <c r="E154" s="3"/>
      <c r="F154" s="307"/>
      <c r="G154" s="307"/>
      <c r="H154" s="307"/>
      <c r="I154" s="307"/>
      <c r="J154" s="307"/>
      <c r="K154" s="3"/>
      <c r="L154" s="3"/>
      <c r="M154" s="3"/>
      <c r="N154" s="3"/>
      <c r="O154" s="3"/>
      <c r="P154" s="3"/>
      <c r="Q154" s="3"/>
      <c r="R154" s="3"/>
      <c r="S154" s="3"/>
      <c r="T154" s="3"/>
      <c r="U154" s="3"/>
      <c r="V154" s="3"/>
      <c r="W154" s="3"/>
      <c r="X154" s="3"/>
      <c r="Y154" s="3"/>
      <c r="Z154" s="3"/>
    </row>
    <row r="155" spans="1:26" ht="12" customHeight="1">
      <c r="A155" s="3"/>
      <c r="B155" s="52"/>
      <c r="C155" s="318" t="s">
        <v>254</v>
      </c>
      <c r="D155" s="3"/>
      <c r="E155" s="319" t="s">
        <v>218</v>
      </c>
      <c r="F155" s="320" t="str">
        <f t="shared" ref="F155:J155" si="22">F$4</f>
        <v>2026F</v>
      </c>
      <c r="G155" s="320" t="str">
        <f t="shared" si="22"/>
        <v>2027F</v>
      </c>
      <c r="H155" s="320" t="str">
        <f t="shared" si="22"/>
        <v>2028F</v>
      </c>
      <c r="I155" s="320" t="str">
        <f t="shared" si="22"/>
        <v>2029F</v>
      </c>
      <c r="J155" s="320" t="str">
        <f t="shared" si="22"/>
        <v>2030F</v>
      </c>
      <c r="K155" s="3"/>
      <c r="L155" s="3"/>
      <c r="M155" s="3"/>
      <c r="N155" s="3"/>
      <c r="O155" s="3"/>
      <c r="P155" s="3"/>
      <c r="Q155" s="3"/>
      <c r="R155" s="3"/>
      <c r="S155" s="3"/>
      <c r="T155" s="3"/>
      <c r="U155" s="3"/>
      <c r="V155" s="3"/>
      <c r="W155" s="3"/>
      <c r="X155" s="3"/>
      <c r="Y155" s="3"/>
      <c r="Z155" s="3"/>
    </row>
    <row r="156" spans="1:26" ht="12" customHeight="1">
      <c r="A156" s="3"/>
      <c r="B156" s="321" t="str">
        <f t="shared" ref="B156:B166" si="23">D156&amp;"."&amp;C156</f>
        <v>Residential.Total Deferral/Variance Account Rate RidersYr2</v>
      </c>
      <c r="C156" s="321" t="s">
        <v>255</v>
      </c>
      <c r="D156" s="307" t="s">
        <v>222</v>
      </c>
      <c r="E156" s="350"/>
      <c r="F156" s="332"/>
      <c r="G156" s="332"/>
      <c r="H156" s="332"/>
      <c r="I156" s="332"/>
      <c r="J156" s="332"/>
      <c r="K156" s="3"/>
      <c r="L156" s="3"/>
      <c r="M156" s="3"/>
      <c r="N156" s="3"/>
      <c r="O156" s="3"/>
      <c r="P156" s="3"/>
      <c r="Q156" s="3"/>
      <c r="R156" s="3"/>
      <c r="S156" s="3"/>
      <c r="T156" s="3"/>
      <c r="U156" s="3"/>
      <c r="V156" s="3"/>
      <c r="W156" s="3"/>
      <c r="X156" s="3"/>
      <c r="Y156" s="3"/>
      <c r="Z156" s="3"/>
    </row>
    <row r="157" spans="1:26" ht="12" customHeight="1">
      <c r="A157" s="3"/>
      <c r="B157" s="321" t="str">
        <f t="shared" si="23"/>
        <v>General Service &lt; 50 kW.Total Deferral/Variance Account Rate RidersYr2</v>
      </c>
      <c r="C157" s="321" t="s">
        <v>255</v>
      </c>
      <c r="D157" s="307" t="s">
        <v>223</v>
      </c>
      <c r="E157" s="350"/>
      <c r="F157" s="332"/>
      <c r="G157" s="332"/>
      <c r="H157" s="332"/>
      <c r="I157" s="332"/>
      <c r="J157" s="332"/>
      <c r="K157" s="3"/>
      <c r="L157" s="3"/>
      <c r="M157" s="3"/>
      <c r="N157" s="3"/>
      <c r="O157" s="3"/>
      <c r="P157" s="3"/>
      <c r="Q157" s="3"/>
      <c r="R157" s="3"/>
      <c r="S157" s="3"/>
      <c r="T157" s="3"/>
      <c r="U157" s="3"/>
      <c r="V157" s="3"/>
      <c r="W157" s="3"/>
      <c r="X157" s="3"/>
      <c r="Y157" s="3"/>
      <c r="Z157" s="3"/>
    </row>
    <row r="158" spans="1:26" ht="12" customHeight="1">
      <c r="A158" s="3"/>
      <c r="B158" s="321" t="str">
        <f t="shared" si="23"/>
        <v>General Service 50 to 1,499 KW.Total Deferral/Variance Account Rate RidersYr2</v>
      </c>
      <c r="C158" s="321" t="s">
        <v>255</v>
      </c>
      <c r="D158" s="307" t="s">
        <v>224</v>
      </c>
      <c r="E158" s="306">
        <v>-0.30499999999999999</v>
      </c>
      <c r="F158" s="331">
        <v>-0.21779999999999999</v>
      </c>
      <c r="G158" s="176">
        <v>0</v>
      </c>
      <c r="H158" s="176">
        <v>0</v>
      </c>
      <c r="I158" s="176">
        <v>0</v>
      </c>
      <c r="J158" s="176">
        <v>0</v>
      </c>
      <c r="K158" s="3"/>
      <c r="L158" s="3"/>
      <c r="M158" s="3"/>
      <c r="N158" s="3"/>
      <c r="O158" s="3"/>
      <c r="P158" s="3"/>
      <c r="Q158" s="3"/>
      <c r="R158" s="3"/>
      <c r="S158" s="3"/>
      <c r="T158" s="3"/>
      <c r="U158" s="3"/>
      <c r="V158" s="3"/>
      <c r="W158" s="3"/>
      <c r="X158" s="3"/>
      <c r="Y158" s="3"/>
      <c r="Z158" s="3"/>
    </row>
    <row r="159" spans="1:26" ht="12" customHeight="1">
      <c r="A159" s="3"/>
      <c r="B159" s="321" t="str">
        <f t="shared" si="23"/>
        <v>General Service 1,500 to 4,999 KW.Total Deferral/Variance Account Rate RidersYr2</v>
      </c>
      <c r="C159" s="321" t="s">
        <v>255</v>
      </c>
      <c r="D159" s="307" t="s">
        <v>225</v>
      </c>
      <c r="E159" s="350"/>
      <c r="F159" s="176"/>
      <c r="G159" s="176"/>
      <c r="H159" s="176"/>
      <c r="I159" s="332"/>
      <c r="J159" s="332"/>
      <c r="K159" s="3"/>
      <c r="L159" s="3"/>
      <c r="M159" s="3"/>
      <c r="N159" s="3"/>
      <c r="O159" s="3"/>
      <c r="P159" s="3"/>
      <c r="Q159" s="3"/>
      <c r="R159" s="3"/>
      <c r="S159" s="3"/>
      <c r="T159" s="3"/>
      <c r="U159" s="3"/>
      <c r="V159" s="3"/>
      <c r="W159" s="3"/>
      <c r="X159" s="3"/>
      <c r="Y159" s="3"/>
      <c r="Z159" s="3"/>
    </row>
    <row r="160" spans="1:26" ht="12" customHeight="1">
      <c r="A160" s="3"/>
      <c r="B160" s="321" t="str">
        <f t="shared" si="23"/>
        <v>Large User.Total Deferral/Variance Account Rate RidersYr2</v>
      </c>
      <c r="C160" s="321" t="s">
        <v>255</v>
      </c>
      <c r="D160" s="307" t="s">
        <v>226</v>
      </c>
      <c r="E160" s="350"/>
      <c r="F160" s="332"/>
      <c r="G160" s="332"/>
      <c r="H160" s="332"/>
      <c r="I160" s="332"/>
      <c r="J160" s="332"/>
      <c r="K160" s="3"/>
      <c r="L160" s="3"/>
      <c r="M160" s="3"/>
      <c r="N160" s="3"/>
      <c r="O160" s="3"/>
      <c r="P160" s="3"/>
      <c r="Q160" s="3"/>
      <c r="R160" s="3"/>
      <c r="S160" s="3"/>
      <c r="T160" s="3"/>
      <c r="U160" s="3"/>
      <c r="V160" s="3"/>
      <c r="W160" s="3"/>
      <c r="X160" s="3"/>
      <c r="Y160" s="3"/>
      <c r="Z160" s="3"/>
    </row>
    <row r="161" spans="1:26" ht="12" customHeight="1">
      <c r="A161" s="3"/>
      <c r="B161" s="321" t="str">
        <f t="shared" si="23"/>
        <v>Street Light.Total Deferral/Variance Account Rate RidersYr2</v>
      </c>
      <c r="C161" s="321" t="s">
        <v>255</v>
      </c>
      <c r="D161" s="307" t="s">
        <v>227</v>
      </c>
      <c r="E161" s="350"/>
      <c r="F161" s="332"/>
      <c r="G161" s="332"/>
      <c r="H161" s="332"/>
      <c r="I161" s="332"/>
      <c r="J161" s="332"/>
      <c r="K161" s="3"/>
      <c r="L161" s="3"/>
      <c r="M161" s="3"/>
      <c r="N161" s="3"/>
      <c r="O161" s="3"/>
      <c r="P161" s="3"/>
      <c r="Q161" s="3"/>
      <c r="R161" s="3"/>
      <c r="S161" s="3"/>
      <c r="T161" s="3"/>
      <c r="U161" s="3"/>
      <c r="V161" s="3"/>
      <c r="W161" s="3"/>
      <c r="X161" s="3"/>
      <c r="Y161" s="3"/>
      <c r="Z161" s="3"/>
    </row>
    <row r="162" spans="1:26" ht="12" customHeight="1">
      <c r="A162" s="3"/>
      <c r="B162" s="321" t="str">
        <f t="shared" si="23"/>
        <v>Sentinel Lights.Total Deferral/Variance Account Rate RidersYr2</v>
      </c>
      <c r="C162" s="321" t="s">
        <v>255</v>
      </c>
      <c r="D162" s="307" t="s">
        <v>228</v>
      </c>
      <c r="E162" s="350"/>
      <c r="F162" s="332"/>
      <c r="G162" s="332"/>
      <c r="H162" s="332"/>
      <c r="I162" s="332"/>
      <c r="J162" s="332"/>
      <c r="K162" s="3"/>
      <c r="L162" s="3"/>
      <c r="M162" s="3"/>
      <c r="N162" s="3"/>
      <c r="O162" s="3"/>
      <c r="P162" s="3"/>
      <c r="Q162" s="3"/>
      <c r="R162" s="3"/>
      <c r="S162" s="3"/>
      <c r="T162" s="3"/>
      <c r="U162" s="3"/>
      <c r="V162" s="3"/>
      <c r="W162" s="3"/>
      <c r="X162" s="3"/>
      <c r="Y162" s="3"/>
      <c r="Z162" s="3"/>
    </row>
    <row r="163" spans="1:26" ht="12" customHeight="1">
      <c r="A163" s="3"/>
      <c r="B163" s="321" t="str">
        <f t="shared" si="23"/>
        <v>Unmetered Scattered Load.Total Deferral/Variance Account Rate RidersYr2</v>
      </c>
      <c r="C163" s="321" t="s">
        <v>255</v>
      </c>
      <c r="D163" s="307" t="s">
        <v>229</v>
      </c>
      <c r="E163" s="350"/>
      <c r="F163" s="332"/>
      <c r="G163" s="332"/>
      <c r="H163" s="332"/>
      <c r="I163" s="332"/>
      <c r="J163" s="332"/>
      <c r="K163" s="3"/>
      <c r="L163" s="3"/>
      <c r="M163" s="3"/>
      <c r="N163" s="3"/>
      <c r="O163" s="3"/>
      <c r="P163" s="3"/>
      <c r="Q163" s="3"/>
      <c r="R163" s="3"/>
      <c r="S163" s="3"/>
      <c r="T163" s="3"/>
      <c r="U163" s="3"/>
      <c r="V163" s="3"/>
      <c r="W163" s="3"/>
      <c r="X163" s="3"/>
      <c r="Y163" s="3"/>
      <c r="Z163" s="3"/>
    </row>
    <row r="164" spans="1:26" ht="12" customHeight="1">
      <c r="A164" s="3"/>
      <c r="B164" s="321" t="str">
        <f t="shared" si="23"/>
        <v>Standby Power General Service 50 to 1,499 KW.Total Deferral/Variance Account Rate RidersYr2</v>
      </c>
      <c r="C164" s="321" t="s">
        <v>255</v>
      </c>
      <c r="D164" s="307" t="s">
        <v>230</v>
      </c>
      <c r="E164" s="350"/>
      <c r="F164" s="332"/>
      <c r="G164" s="332"/>
      <c r="H164" s="332"/>
      <c r="I164" s="332"/>
      <c r="J164" s="332"/>
      <c r="K164" s="3"/>
      <c r="L164" s="3"/>
      <c r="M164" s="3"/>
      <c r="N164" s="3"/>
      <c r="O164" s="3"/>
      <c r="P164" s="3"/>
      <c r="Q164" s="3"/>
      <c r="R164" s="3"/>
      <c r="S164" s="3"/>
      <c r="T164" s="3"/>
      <c r="U164" s="3"/>
      <c r="V164" s="3"/>
      <c r="W164" s="3"/>
      <c r="X164" s="3"/>
      <c r="Y164" s="3"/>
      <c r="Z164" s="3"/>
    </row>
    <row r="165" spans="1:26" ht="12" customHeight="1">
      <c r="A165" s="3"/>
      <c r="B165" s="321" t="str">
        <f t="shared" si="23"/>
        <v>Standby Power General Service 1,500 to 4,999 KW.Total Deferral/Variance Account Rate RidersYr2</v>
      </c>
      <c r="C165" s="321" t="s">
        <v>255</v>
      </c>
      <c r="D165" s="307" t="s">
        <v>231</v>
      </c>
      <c r="E165" s="350"/>
      <c r="F165" s="332"/>
      <c r="G165" s="332"/>
      <c r="H165" s="332"/>
      <c r="I165" s="332"/>
      <c r="J165" s="332"/>
      <c r="K165" s="3"/>
      <c r="L165" s="3"/>
      <c r="M165" s="3"/>
      <c r="N165" s="3"/>
      <c r="O165" s="3"/>
      <c r="P165" s="3"/>
      <c r="Q165" s="3"/>
      <c r="R165" s="3"/>
      <c r="S165" s="3"/>
      <c r="T165" s="3"/>
      <c r="U165" s="3"/>
      <c r="V165" s="3"/>
      <c r="W165" s="3"/>
      <c r="X165" s="3"/>
      <c r="Y165" s="3"/>
      <c r="Z165" s="3"/>
    </row>
    <row r="166" spans="1:26" ht="12" customHeight="1">
      <c r="A166" s="3"/>
      <c r="B166" s="321" t="str">
        <f t="shared" si="23"/>
        <v>Standby Power Large Use.Total Deferral/Variance Account Rate RidersYr2</v>
      </c>
      <c r="C166" s="321" t="s">
        <v>255</v>
      </c>
      <c r="D166" s="307" t="s">
        <v>232</v>
      </c>
      <c r="E166" s="350"/>
      <c r="F166" s="332"/>
      <c r="G166" s="332"/>
      <c r="H166" s="332"/>
      <c r="I166" s="332"/>
      <c r="J166" s="332"/>
      <c r="K166" s="3"/>
      <c r="L166" s="3"/>
      <c r="M166" s="3"/>
      <c r="N166" s="3"/>
      <c r="O166" s="3"/>
      <c r="P166" s="3"/>
      <c r="Q166" s="3"/>
      <c r="R166" s="3"/>
      <c r="S166" s="3"/>
      <c r="T166" s="3"/>
      <c r="U166" s="3"/>
      <c r="V166" s="3"/>
      <c r="W166" s="3"/>
      <c r="X166" s="3"/>
      <c r="Y166" s="3"/>
      <c r="Z166" s="3"/>
    </row>
    <row r="167" spans="1:26" ht="12" customHeight="1">
      <c r="A167" s="3"/>
      <c r="B167" s="307"/>
      <c r="C167" s="3"/>
      <c r="D167" s="307"/>
      <c r="E167" s="3"/>
      <c r="F167" s="307"/>
      <c r="G167" s="307"/>
      <c r="H167" s="345"/>
      <c r="I167" s="307"/>
      <c r="J167" s="307"/>
      <c r="K167" s="3"/>
      <c r="L167" s="3"/>
      <c r="M167" s="3"/>
      <c r="N167" s="3"/>
      <c r="O167" s="3"/>
      <c r="P167" s="3"/>
      <c r="Q167" s="3"/>
      <c r="R167" s="3"/>
      <c r="S167" s="3"/>
      <c r="T167" s="3"/>
      <c r="U167" s="3"/>
      <c r="V167" s="3"/>
      <c r="W167" s="3"/>
      <c r="X167" s="3"/>
      <c r="Y167" s="3"/>
      <c r="Z167" s="3"/>
    </row>
    <row r="168" spans="1:26" ht="12" customHeight="1">
      <c r="A168" s="3"/>
      <c r="B168" s="307"/>
      <c r="C168" s="318" t="s">
        <v>256</v>
      </c>
      <c r="D168" s="307"/>
      <c r="E168" s="3"/>
      <c r="F168" s="307"/>
      <c r="G168" s="307"/>
      <c r="H168" s="307"/>
      <c r="I168" s="345"/>
      <c r="J168" s="307"/>
      <c r="K168" s="3"/>
      <c r="L168" s="3"/>
      <c r="M168" s="3"/>
      <c r="N168" s="3"/>
      <c r="O168" s="3"/>
      <c r="P168" s="3"/>
      <c r="Q168" s="3"/>
      <c r="R168" s="3"/>
      <c r="S168" s="3"/>
      <c r="T168" s="3"/>
      <c r="U168" s="3"/>
      <c r="V168" s="3"/>
      <c r="W168" s="3"/>
      <c r="X168" s="3"/>
      <c r="Y168" s="3"/>
      <c r="Z168" s="3"/>
    </row>
    <row r="169" spans="1:26" ht="12" customHeight="1">
      <c r="A169" s="3"/>
      <c r="B169" s="52"/>
      <c r="C169" s="318" t="s">
        <v>254</v>
      </c>
      <c r="D169" s="3"/>
      <c r="E169" s="319" t="s">
        <v>218</v>
      </c>
      <c r="F169" s="320" t="str">
        <f t="shared" ref="F169:J169" si="24">F$4</f>
        <v>2026F</v>
      </c>
      <c r="G169" s="320" t="str">
        <f t="shared" si="24"/>
        <v>2027F</v>
      </c>
      <c r="H169" s="320" t="str">
        <f t="shared" si="24"/>
        <v>2028F</v>
      </c>
      <c r="I169" s="320" t="str">
        <f t="shared" si="24"/>
        <v>2029F</v>
      </c>
      <c r="J169" s="320" t="str">
        <f t="shared" si="24"/>
        <v>2030F</v>
      </c>
      <c r="K169" s="3"/>
      <c r="L169" s="3"/>
      <c r="M169" s="3"/>
      <c r="N169" s="3"/>
      <c r="O169" s="3"/>
      <c r="P169" s="3"/>
      <c r="Q169" s="3"/>
      <c r="R169" s="3"/>
      <c r="S169" s="3"/>
      <c r="T169" s="3"/>
      <c r="U169" s="3"/>
      <c r="V169" s="3"/>
      <c r="W169" s="3"/>
      <c r="X169" s="3"/>
      <c r="Y169" s="3"/>
      <c r="Z169" s="3"/>
    </row>
    <row r="170" spans="1:26" ht="12" customHeight="1">
      <c r="A170" s="52" t="s">
        <v>46</v>
      </c>
      <c r="B170" s="321" t="str">
        <f t="shared" ref="B170:B180" si="25">D170&amp;"."&amp;C170</f>
        <v>Residential.Total Deferral/Variance Account Rate Riders</v>
      </c>
      <c r="C170" s="321" t="s">
        <v>257</v>
      </c>
      <c r="D170" s="307" t="s">
        <v>222</v>
      </c>
      <c r="E170" s="3"/>
      <c r="F170" s="52"/>
      <c r="G170" s="52"/>
      <c r="H170" s="52"/>
      <c r="I170" s="52"/>
      <c r="J170" s="52"/>
      <c r="K170" s="3"/>
      <c r="L170" s="3"/>
      <c r="M170" s="3"/>
      <c r="N170" s="3"/>
      <c r="O170" s="3"/>
      <c r="P170" s="3"/>
      <c r="Q170" s="3"/>
      <c r="R170" s="3"/>
      <c r="S170" s="3"/>
      <c r="T170" s="3"/>
      <c r="U170" s="3"/>
      <c r="V170" s="3"/>
      <c r="W170" s="3"/>
      <c r="X170" s="3"/>
      <c r="Y170" s="3"/>
      <c r="Z170" s="3"/>
    </row>
    <row r="171" spans="1:26" ht="12" customHeight="1">
      <c r="A171" s="52" t="s">
        <v>46</v>
      </c>
      <c r="B171" s="321" t="str">
        <f t="shared" si="25"/>
        <v>General Service &lt; 50 kW.Total Deferral/Variance Account Rate Riders</v>
      </c>
      <c r="C171" s="321" t="s">
        <v>257</v>
      </c>
      <c r="D171" s="307" t="s">
        <v>223</v>
      </c>
      <c r="E171" s="3"/>
      <c r="F171" s="52"/>
      <c r="G171" s="52"/>
      <c r="H171" s="52"/>
      <c r="I171" s="52"/>
      <c r="J171" s="52"/>
      <c r="K171" s="3"/>
      <c r="L171" s="3"/>
      <c r="M171" s="3"/>
      <c r="N171" s="3"/>
      <c r="O171" s="3"/>
      <c r="P171" s="3"/>
      <c r="Q171" s="3"/>
      <c r="R171" s="3"/>
      <c r="S171" s="3"/>
      <c r="T171" s="3"/>
      <c r="U171" s="3"/>
      <c r="V171" s="3"/>
      <c r="W171" s="3"/>
      <c r="X171" s="3"/>
      <c r="Y171" s="3"/>
      <c r="Z171" s="3"/>
    </row>
    <row r="172" spans="1:26" ht="12" customHeight="1">
      <c r="A172" s="52" t="s">
        <v>66</v>
      </c>
      <c r="B172" s="321" t="str">
        <f t="shared" si="25"/>
        <v>General Service 50 to 1,499 KW.Total Deferral/Variance Account Rate Riders</v>
      </c>
      <c r="C172" s="321" t="s">
        <v>257</v>
      </c>
      <c r="D172" s="307" t="s">
        <v>224</v>
      </c>
      <c r="E172" s="306"/>
      <c r="F172" s="351">
        <v>0</v>
      </c>
      <c r="G172" s="351">
        <v>0</v>
      </c>
      <c r="H172" s="351">
        <v>0</v>
      </c>
      <c r="I172" s="351">
        <v>0</v>
      </c>
      <c r="J172" s="351">
        <v>0</v>
      </c>
      <c r="K172" s="3"/>
      <c r="L172" s="3"/>
      <c r="M172" s="3"/>
      <c r="N172" s="3"/>
      <c r="O172" s="3"/>
      <c r="P172" s="3"/>
      <c r="Q172" s="3"/>
      <c r="R172" s="3"/>
      <c r="S172" s="3"/>
      <c r="T172" s="3"/>
      <c r="U172" s="3"/>
      <c r="V172" s="3"/>
      <c r="W172" s="3"/>
      <c r="X172" s="3"/>
      <c r="Y172" s="3"/>
      <c r="Z172" s="3"/>
    </row>
    <row r="173" spans="1:26" ht="12" customHeight="1">
      <c r="A173" s="52" t="s">
        <v>66</v>
      </c>
      <c r="B173" s="321" t="str">
        <f t="shared" si="25"/>
        <v>General Service 1,500 to 4,999 KW.Total Deferral/Variance Account Rate Riders</v>
      </c>
      <c r="C173" s="321" t="s">
        <v>257</v>
      </c>
      <c r="D173" s="307" t="s">
        <v>225</v>
      </c>
      <c r="E173" s="3"/>
      <c r="F173" s="176"/>
      <c r="G173" s="176"/>
      <c r="H173" s="52"/>
      <c r="I173" s="52"/>
      <c r="J173" s="52"/>
      <c r="K173" s="3"/>
      <c r="L173" s="3"/>
      <c r="M173" s="3"/>
      <c r="N173" s="3"/>
      <c r="O173" s="3"/>
      <c r="P173" s="3"/>
      <c r="Q173" s="3"/>
      <c r="R173" s="3"/>
      <c r="S173" s="3"/>
      <c r="T173" s="3"/>
      <c r="U173" s="3"/>
      <c r="V173" s="3"/>
      <c r="W173" s="3"/>
      <c r="X173" s="3"/>
      <c r="Y173" s="3"/>
      <c r="Z173" s="3"/>
    </row>
    <row r="174" spans="1:26" ht="12" customHeight="1">
      <c r="A174" s="52" t="s">
        <v>66</v>
      </c>
      <c r="B174" s="321" t="str">
        <f t="shared" si="25"/>
        <v>Large User.Total Deferral/Variance Account Rate Riders</v>
      </c>
      <c r="C174" s="321" t="s">
        <v>257</v>
      </c>
      <c r="D174" s="307" t="s">
        <v>226</v>
      </c>
      <c r="E174" s="3"/>
      <c r="F174" s="52"/>
      <c r="G174" s="176"/>
      <c r="H174" s="52"/>
      <c r="I174" s="52"/>
      <c r="J174" s="52"/>
      <c r="K174" s="3"/>
      <c r="L174" s="3"/>
      <c r="M174" s="3"/>
      <c r="N174" s="3"/>
      <c r="O174" s="3"/>
      <c r="P174" s="3"/>
      <c r="Q174" s="3"/>
      <c r="R174" s="3"/>
      <c r="S174" s="3"/>
      <c r="T174" s="3"/>
      <c r="U174" s="3"/>
      <c r="V174" s="3"/>
      <c r="W174" s="3"/>
      <c r="X174" s="3"/>
      <c r="Y174" s="3"/>
      <c r="Z174" s="3"/>
    </row>
    <row r="175" spans="1:26" ht="12" customHeight="1">
      <c r="A175" s="52" t="s">
        <v>66</v>
      </c>
      <c r="B175" s="321" t="str">
        <f t="shared" si="25"/>
        <v>Street Light.Total Deferral/Variance Account Rate Riders</v>
      </c>
      <c r="C175" s="321" t="s">
        <v>257</v>
      </c>
      <c r="D175" s="307" t="s">
        <v>227</v>
      </c>
      <c r="E175" s="3"/>
      <c r="F175" s="52"/>
      <c r="G175" s="52"/>
      <c r="H175" s="52"/>
      <c r="I175" s="52"/>
      <c r="J175" s="52"/>
      <c r="K175" s="3"/>
      <c r="L175" s="3"/>
      <c r="M175" s="3"/>
      <c r="N175" s="3"/>
      <c r="O175" s="3"/>
      <c r="P175" s="3"/>
      <c r="Q175" s="3"/>
      <c r="R175" s="3"/>
      <c r="S175" s="3"/>
      <c r="T175" s="3"/>
      <c r="U175" s="3"/>
      <c r="V175" s="3"/>
      <c r="W175" s="3"/>
      <c r="X175" s="3"/>
      <c r="Y175" s="3"/>
      <c r="Z175" s="3"/>
    </row>
    <row r="176" spans="1:26" ht="12" customHeight="1">
      <c r="A176" s="52" t="s">
        <v>66</v>
      </c>
      <c r="B176" s="321" t="str">
        <f t="shared" si="25"/>
        <v>Sentinel Lights.Total Deferral/Variance Account Rate Riders</v>
      </c>
      <c r="C176" s="321" t="s">
        <v>257</v>
      </c>
      <c r="D176" s="307" t="s">
        <v>228</v>
      </c>
      <c r="E176" s="3"/>
      <c r="F176" s="52"/>
      <c r="G176" s="52"/>
      <c r="H176" s="52"/>
      <c r="I176" s="52"/>
      <c r="J176" s="52"/>
      <c r="K176" s="3"/>
      <c r="L176" s="3"/>
      <c r="M176" s="3"/>
      <c r="N176" s="3"/>
      <c r="O176" s="3"/>
      <c r="P176" s="3"/>
      <c r="Q176" s="3"/>
      <c r="R176" s="3"/>
      <c r="S176" s="3"/>
      <c r="T176" s="3"/>
      <c r="U176" s="3"/>
      <c r="V176" s="3"/>
      <c r="W176" s="3"/>
      <c r="X176" s="3"/>
      <c r="Y176" s="3"/>
      <c r="Z176" s="3"/>
    </row>
    <row r="177" spans="1:26" ht="12" customHeight="1">
      <c r="A177" s="52" t="s">
        <v>46</v>
      </c>
      <c r="B177" s="321" t="str">
        <f t="shared" si="25"/>
        <v>Unmetered Scattered Load.Total Deferral/Variance Account Rate Riders</v>
      </c>
      <c r="C177" s="321" t="s">
        <v>257</v>
      </c>
      <c r="D177" s="307" t="s">
        <v>229</v>
      </c>
      <c r="E177" s="3"/>
      <c r="F177" s="52"/>
      <c r="G177" s="52"/>
      <c r="H177" s="52"/>
      <c r="I177" s="52"/>
      <c r="J177" s="52"/>
      <c r="K177" s="3"/>
      <c r="L177" s="3"/>
      <c r="M177" s="3"/>
      <c r="N177" s="3"/>
      <c r="O177" s="3"/>
      <c r="P177" s="3"/>
      <c r="Q177" s="3"/>
      <c r="R177" s="3"/>
      <c r="S177" s="3"/>
      <c r="T177" s="3"/>
      <c r="U177" s="3"/>
      <c r="V177" s="3"/>
      <c r="W177" s="3"/>
      <c r="X177" s="3"/>
      <c r="Y177" s="3"/>
      <c r="Z177" s="3"/>
    </row>
    <row r="178" spans="1:26" ht="12" customHeight="1">
      <c r="A178" s="52" t="s">
        <v>66</v>
      </c>
      <c r="B178" s="321" t="str">
        <f t="shared" si="25"/>
        <v>Standby Power General Service 50 to 1,499 KW.Total Deferral/Variance Account Rate Riders</v>
      </c>
      <c r="C178" s="321" t="s">
        <v>257</v>
      </c>
      <c r="D178" s="307" t="s">
        <v>230</v>
      </c>
      <c r="E178" s="350"/>
      <c r="F178" s="332"/>
      <c r="G178" s="332"/>
      <c r="H178" s="332"/>
      <c r="I178" s="332"/>
      <c r="J178" s="332"/>
      <c r="K178" s="3"/>
      <c r="L178" s="3"/>
      <c r="M178" s="3"/>
      <c r="N178" s="3"/>
      <c r="O178" s="3"/>
      <c r="P178" s="3"/>
      <c r="Q178" s="3"/>
      <c r="R178" s="3"/>
      <c r="S178" s="3"/>
      <c r="T178" s="3"/>
      <c r="U178" s="3"/>
      <c r="V178" s="3"/>
      <c r="W178" s="3"/>
      <c r="X178" s="3"/>
      <c r="Y178" s="3"/>
      <c r="Z178" s="3"/>
    </row>
    <row r="179" spans="1:26" ht="12" customHeight="1">
      <c r="A179" s="52" t="s">
        <v>66</v>
      </c>
      <c r="B179" s="321" t="str">
        <f t="shared" si="25"/>
        <v>Standby Power General Service 1,500 to 4,999 KW.Total Deferral/Variance Account Rate Riders</v>
      </c>
      <c r="C179" s="321" t="s">
        <v>257</v>
      </c>
      <c r="D179" s="307" t="s">
        <v>231</v>
      </c>
      <c r="E179" s="350"/>
      <c r="F179" s="332"/>
      <c r="G179" s="332"/>
      <c r="H179" s="332"/>
      <c r="I179" s="332"/>
      <c r="J179" s="332"/>
      <c r="K179" s="3"/>
      <c r="L179" s="3"/>
      <c r="M179" s="3"/>
      <c r="N179" s="3"/>
      <c r="O179" s="3"/>
      <c r="P179" s="3"/>
      <c r="Q179" s="3"/>
      <c r="R179" s="3"/>
      <c r="S179" s="3"/>
      <c r="T179" s="3"/>
      <c r="U179" s="3"/>
      <c r="V179" s="3"/>
      <c r="W179" s="3"/>
      <c r="X179" s="3"/>
      <c r="Y179" s="3"/>
      <c r="Z179" s="3"/>
    </row>
    <row r="180" spans="1:26" ht="12" customHeight="1">
      <c r="A180" s="52" t="s">
        <v>66</v>
      </c>
      <c r="B180" s="321" t="str">
        <f t="shared" si="25"/>
        <v>Standby Power Large Use.Total Deferral/Variance Account Rate Riders</v>
      </c>
      <c r="C180" s="321" t="s">
        <v>257</v>
      </c>
      <c r="D180" s="307" t="s">
        <v>232</v>
      </c>
      <c r="E180" s="350"/>
      <c r="F180" s="332"/>
      <c r="G180" s="332"/>
      <c r="H180" s="332"/>
      <c r="I180" s="332"/>
      <c r="J180" s="332"/>
      <c r="K180" s="3"/>
      <c r="L180" s="3"/>
      <c r="M180" s="3"/>
      <c r="N180" s="3"/>
      <c r="O180" s="3"/>
      <c r="P180" s="3"/>
      <c r="Q180" s="3"/>
      <c r="R180" s="3"/>
      <c r="S180" s="3"/>
      <c r="T180" s="3"/>
      <c r="U180" s="3"/>
      <c r="V180" s="3"/>
      <c r="W180" s="3"/>
      <c r="X180" s="3"/>
      <c r="Y180" s="3"/>
      <c r="Z180" s="3"/>
    </row>
    <row r="181" spans="1:26" ht="12" customHeight="1">
      <c r="A181" s="3"/>
      <c r="B181" s="307"/>
      <c r="C181" s="3"/>
      <c r="D181" s="3"/>
      <c r="E181" s="3"/>
      <c r="F181" s="352"/>
      <c r="G181" s="3"/>
      <c r="H181" s="3"/>
      <c r="I181" s="3"/>
      <c r="J181" s="3"/>
      <c r="K181" s="3"/>
      <c r="L181" s="3"/>
      <c r="M181" s="3"/>
      <c r="N181" s="3"/>
      <c r="O181" s="3"/>
      <c r="P181" s="3"/>
      <c r="Q181" s="3"/>
      <c r="R181" s="3"/>
      <c r="S181" s="3"/>
      <c r="T181" s="3"/>
      <c r="U181" s="3"/>
      <c r="V181" s="3"/>
      <c r="W181" s="3"/>
      <c r="X181" s="3"/>
      <c r="Y181" s="3"/>
      <c r="Z181" s="3"/>
    </row>
    <row r="182" spans="1:26" ht="12" customHeight="1">
      <c r="A182" s="3"/>
      <c r="B182" s="52"/>
      <c r="C182" s="318" t="s">
        <v>258</v>
      </c>
      <c r="D182" s="3"/>
      <c r="E182" s="319" t="s">
        <v>218</v>
      </c>
      <c r="F182" s="320" t="str">
        <f t="shared" ref="F182:J182" si="26">F$4</f>
        <v>2026F</v>
      </c>
      <c r="G182" s="320" t="str">
        <f t="shared" si="26"/>
        <v>2027F</v>
      </c>
      <c r="H182" s="320" t="str">
        <f t="shared" si="26"/>
        <v>2028F</v>
      </c>
      <c r="I182" s="320" t="str">
        <f t="shared" si="26"/>
        <v>2029F</v>
      </c>
      <c r="J182" s="320" t="str">
        <f t="shared" si="26"/>
        <v>2030F</v>
      </c>
      <c r="K182" s="3"/>
      <c r="L182" s="3"/>
      <c r="M182" s="3"/>
      <c r="N182" s="3"/>
      <c r="O182" s="3"/>
      <c r="P182" s="3"/>
      <c r="Q182" s="3"/>
      <c r="R182" s="3"/>
      <c r="S182" s="3"/>
      <c r="T182" s="3"/>
      <c r="U182" s="3"/>
      <c r="V182" s="3"/>
      <c r="W182" s="3"/>
      <c r="X182" s="3"/>
      <c r="Y182" s="3"/>
      <c r="Z182" s="3"/>
    </row>
    <row r="183" spans="1:26" ht="12" customHeight="1">
      <c r="A183" s="52" t="s">
        <v>46</v>
      </c>
      <c r="B183" s="321" t="str">
        <f t="shared" ref="B183:B185" si="27">D183&amp;"."&amp;C183</f>
        <v>Residential.RTSR - Network</v>
      </c>
      <c r="C183" s="321" t="s">
        <v>258</v>
      </c>
      <c r="D183" s="307" t="s">
        <v>222</v>
      </c>
      <c r="E183" s="306">
        <v>1.26E-2</v>
      </c>
      <c r="F183" s="353">
        <v>1.38E-2</v>
      </c>
      <c r="G183" s="353">
        <v>1.38E-2</v>
      </c>
      <c r="H183" s="353">
        <v>1.38E-2</v>
      </c>
      <c r="I183" s="353">
        <v>1.38E-2</v>
      </c>
      <c r="J183" s="353">
        <v>1.38E-2</v>
      </c>
      <c r="K183" s="3"/>
      <c r="Q183" s="3"/>
      <c r="R183" s="3"/>
      <c r="S183" s="3"/>
      <c r="T183" s="3"/>
      <c r="U183" s="3"/>
      <c r="V183" s="3"/>
      <c r="W183" s="3"/>
      <c r="X183" s="3"/>
      <c r="Y183" s="3"/>
      <c r="Z183" s="3"/>
    </row>
    <row r="184" spans="1:26" ht="12" customHeight="1">
      <c r="A184" s="52" t="s">
        <v>46</v>
      </c>
      <c r="B184" s="321" t="str">
        <f t="shared" si="27"/>
        <v>General Service &lt; 50 kW.RTSR - Network</v>
      </c>
      <c r="C184" s="321" t="s">
        <v>258</v>
      </c>
      <c r="D184" s="307" t="s">
        <v>223</v>
      </c>
      <c r="E184" s="306">
        <v>1.18E-2</v>
      </c>
      <c r="F184" s="353">
        <v>1.0699999999999999E-2</v>
      </c>
      <c r="G184" s="353">
        <v>1.0699999999999999E-2</v>
      </c>
      <c r="H184" s="353">
        <v>1.0699999999999999E-2</v>
      </c>
      <c r="I184" s="353">
        <v>1.0699999999999999E-2</v>
      </c>
      <c r="J184" s="353">
        <v>1.0699999999999999E-2</v>
      </c>
      <c r="K184" s="3"/>
      <c r="Q184" s="3"/>
      <c r="R184" s="3"/>
      <c r="S184" s="3"/>
      <c r="T184" s="3"/>
      <c r="U184" s="3"/>
      <c r="V184" s="3"/>
      <c r="W184" s="3"/>
      <c r="X184" s="3"/>
      <c r="Y184" s="3"/>
      <c r="Z184" s="3"/>
    </row>
    <row r="185" spans="1:26" ht="12" customHeight="1">
      <c r="A185" s="52" t="s">
        <v>66</v>
      </c>
      <c r="B185" s="321" t="str">
        <f t="shared" si="27"/>
        <v>General Service 50 to 1,499 KW.RTSR - Network</v>
      </c>
      <c r="C185" s="321" t="s">
        <v>258</v>
      </c>
      <c r="D185" s="307" t="s">
        <v>224</v>
      </c>
      <c r="E185" s="306">
        <v>4.8479999999999999</v>
      </c>
      <c r="F185" s="353">
        <v>4.5787000000000004</v>
      </c>
      <c r="G185" s="353">
        <v>4.5787000000000004</v>
      </c>
      <c r="H185" s="353">
        <v>4.5787000000000004</v>
      </c>
      <c r="I185" s="353">
        <v>4.5787000000000004</v>
      </c>
      <c r="J185" s="353">
        <v>4.5787000000000004</v>
      </c>
      <c r="K185" s="3"/>
      <c r="Q185" s="3"/>
      <c r="R185" s="3"/>
      <c r="S185" s="3"/>
      <c r="T185" s="3"/>
      <c r="U185" s="3"/>
      <c r="V185" s="3"/>
      <c r="W185" s="3"/>
      <c r="X185" s="3"/>
      <c r="Y185" s="3"/>
      <c r="Z185" s="3"/>
    </row>
    <row r="186" spans="1:26" ht="12" customHeight="1">
      <c r="A186" s="52"/>
      <c r="B186" s="321"/>
      <c r="C186" s="321"/>
      <c r="D186" s="307" t="s">
        <v>259</v>
      </c>
      <c r="E186" s="306">
        <v>0</v>
      </c>
      <c r="F186" s="353">
        <v>0.77839999999999998</v>
      </c>
      <c r="G186" s="353">
        <v>0.77839999999999998</v>
      </c>
      <c r="H186" s="353">
        <v>0.77839999999999998</v>
      </c>
      <c r="I186" s="353">
        <v>0.77839999999999998</v>
      </c>
      <c r="J186" s="353">
        <v>0.77839999999999998</v>
      </c>
      <c r="K186" s="3"/>
      <c r="Q186" s="3"/>
      <c r="R186" s="3"/>
      <c r="S186" s="3"/>
      <c r="T186" s="3"/>
      <c r="U186" s="3"/>
      <c r="V186" s="3"/>
      <c r="W186" s="3"/>
      <c r="X186" s="3"/>
      <c r="Y186" s="3"/>
      <c r="Z186" s="3"/>
    </row>
    <row r="187" spans="1:26" ht="12" customHeight="1">
      <c r="A187" s="52" t="s">
        <v>66</v>
      </c>
      <c r="B187" s="321" t="str">
        <f>D187&amp;"."&amp;C187</f>
        <v>General Service 1,500 to 4,999 KW.RTSR - Network</v>
      </c>
      <c r="C187" s="321" t="s">
        <v>258</v>
      </c>
      <c r="D187" s="307" t="s">
        <v>225</v>
      </c>
      <c r="E187" s="306">
        <v>5.0336999999999996</v>
      </c>
      <c r="F187" s="353">
        <v>4.5423999999999998</v>
      </c>
      <c r="G187" s="353">
        <v>4.5423999999999998</v>
      </c>
      <c r="H187" s="353">
        <v>4.5423999999999998</v>
      </c>
      <c r="I187" s="353">
        <v>4.5423999999999998</v>
      </c>
      <c r="J187" s="353">
        <v>4.5423999999999998</v>
      </c>
      <c r="K187" s="3"/>
      <c r="Q187" s="3"/>
      <c r="R187" s="3"/>
      <c r="S187" s="3"/>
      <c r="T187" s="3"/>
      <c r="U187" s="3"/>
      <c r="V187" s="3"/>
      <c r="W187" s="3"/>
      <c r="X187" s="3"/>
      <c r="Y187" s="3"/>
      <c r="Z187" s="3"/>
    </row>
    <row r="188" spans="1:26" ht="12" customHeight="1">
      <c r="A188" s="52"/>
      <c r="B188" s="321"/>
      <c r="C188" s="321"/>
      <c r="D188" s="307" t="s">
        <v>260</v>
      </c>
      <c r="E188" s="306">
        <v>0</v>
      </c>
      <c r="F188" s="353">
        <v>0.7722</v>
      </c>
      <c r="G188" s="353">
        <v>0.7722</v>
      </c>
      <c r="H188" s="353">
        <v>0.7722</v>
      </c>
      <c r="I188" s="353">
        <v>0.7722</v>
      </c>
      <c r="J188" s="353">
        <v>0.7722</v>
      </c>
      <c r="K188" s="3"/>
      <c r="Q188" s="3"/>
      <c r="R188" s="3"/>
      <c r="S188" s="3"/>
      <c r="T188" s="3"/>
      <c r="U188" s="3"/>
      <c r="V188" s="3"/>
      <c r="W188" s="3"/>
      <c r="X188" s="3"/>
      <c r="Y188" s="3"/>
      <c r="Z188" s="3"/>
    </row>
    <row r="189" spans="1:26" ht="12" customHeight="1">
      <c r="A189" s="52" t="s">
        <v>66</v>
      </c>
      <c r="B189" s="321" t="str">
        <f t="shared" ref="B189:B195" si="28">D189&amp;"."&amp;C189</f>
        <v>Large User.RTSR - Network</v>
      </c>
      <c r="C189" s="321" t="s">
        <v>258</v>
      </c>
      <c r="D189" s="307" t="s">
        <v>226</v>
      </c>
      <c r="E189" s="306">
        <v>5.5801999999999996</v>
      </c>
      <c r="F189" s="353">
        <v>5.3339999999999996</v>
      </c>
      <c r="G189" s="353">
        <v>5.3339999999999996</v>
      </c>
      <c r="H189" s="353">
        <v>5.3339999999999996</v>
      </c>
      <c r="I189" s="353">
        <v>5.3339999999999996</v>
      </c>
      <c r="J189" s="353">
        <v>5.3339999999999996</v>
      </c>
      <c r="K189" s="3"/>
      <c r="Q189" s="3"/>
      <c r="R189" s="3"/>
      <c r="S189" s="3"/>
      <c r="T189" s="3"/>
      <c r="U189" s="3"/>
      <c r="V189" s="3"/>
      <c r="W189" s="3"/>
      <c r="X189" s="3"/>
      <c r="Y189" s="3"/>
      <c r="Z189" s="3"/>
    </row>
    <row r="190" spans="1:26" ht="12" customHeight="1">
      <c r="A190" s="52" t="s">
        <v>66</v>
      </c>
      <c r="B190" s="321" t="str">
        <f t="shared" si="28"/>
        <v>Street Light.RTSR - Network</v>
      </c>
      <c r="C190" s="321" t="s">
        <v>258</v>
      </c>
      <c r="D190" s="307" t="s">
        <v>227</v>
      </c>
      <c r="E190" s="306">
        <v>3.597</v>
      </c>
      <c r="F190" s="353">
        <v>2.1576</v>
      </c>
      <c r="G190" s="353">
        <v>2.1576</v>
      </c>
      <c r="H190" s="353">
        <v>2.1576</v>
      </c>
      <c r="I190" s="353">
        <v>2.1576</v>
      </c>
      <c r="J190" s="353">
        <v>2.1576</v>
      </c>
      <c r="K190" s="3"/>
      <c r="Q190" s="3"/>
      <c r="R190" s="3"/>
      <c r="S190" s="3"/>
      <c r="T190" s="3"/>
      <c r="U190" s="3"/>
      <c r="V190" s="3"/>
      <c r="W190" s="3"/>
      <c r="X190" s="3"/>
      <c r="Y190" s="3"/>
      <c r="Z190" s="3"/>
    </row>
    <row r="191" spans="1:26" ht="12" customHeight="1">
      <c r="A191" s="52" t="s">
        <v>66</v>
      </c>
      <c r="B191" s="321" t="str">
        <f t="shared" si="28"/>
        <v>Sentinel Lights.RTSR - Network</v>
      </c>
      <c r="C191" s="321" t="s">
        <v>258</v>
      </c>
      <c r="D191" s="307" t="s">
        <v>228</v>
      </c>
      <c r="E191" s="306">
        <v>3.5788000000000002</v>
      </c>
      <c r="F191" s="353">
        <v>0.85450000000000004</v>
      </c>
      <c r="G191" s="353">
        <v>0.85450000000000004</v>
      </c>
      <c r="H191" s="353">
        <v>0.85450000000000004</v>
      </c>
      <c r="I191" s="353">
        <v>0.85450000000000004</v>
      </c>
      <c r="J191" s="353">
        <v>0.85450000000000004</v>
      </c>
      <c r="K191" s="3"/>
      <c r="Q191" s="3"/>
      <c r="R191" s="3"/>
      <c r="S191" s="3"/>
      <c r="T191" s="3"/>
      <c r="U191" s="3"/>
      <c r="V191" s="3"/>
      <c r="W191" s="3"/>
      <c r="X191" s="3"/>
      <c r="Y191" s="3"/>
      <c r="Z191" s="3"/>
    </row>
    <row r="192" spans="1:26" ht="12" customHeight="1">
      <c r="A192" s="52" t="s">
        <v>66</v>
      </c>
      <c r="B192" s="321" t="str">
        <f t="shared" si="28"/>
        <v>Unmetered Scattered Load.RTSR - Network</v>
      </c>
      <c r="C192" s="321" t="s">
        <v>258</v>
      </c>
      <c r="D192" s="307" t="s">
        <v>229</v>
      </c>
      <c r="E192" s="306">
        <v>1.18E-2</v>
      </c>
      <c r="F192" s="353">
        <v>7.4999999999999997E-3</v>
      </c>
      <c r="G192" s="353">
        <v>7.4999999999999997E-3</v>
      </c>
      <c r="H192" s="353">
        <v>7.4999999999999997E-3</v>
      </c>
      <c r="I192" s="353">
        <v>7.4999999999999997E-3</v>
      </c>
      <c r="J192" s="353">
        <v>7.4999999999999997E-3</v>
      </c>
      <c r="K192" s="3"/>
      <c r="Q192" s="3"/>
      <c r="R192" s="3"/>
      <c r="S192" s="3"/>
      <c r="T192" s="3"/>
      <c r="U192" s="3"/>
      <c r="V192" s="3"/>
      <c r="W192" s="3"/>
      <c r="X192" s="3"/>
      <c r="Y192" s="3"/>
      <c r="Z192" s="3"/>
    </row>
    <row r="193" spans="1:26" ht="12" customHeight="1">
      <c r="A193" s="52" t="s">
        <v>66</v>
      </c>
      <c r="B193" s="321" t="str">
        <f t="shared" si="28"/>
        <v>Standby Power General Service 50 to 1,499 KW.</v>
      </c>
      <c r="C193" s="321"/>
      <c r="D193" s="307" t="s">
        <v>230</v>
      </c>
      <c r="E193" s="3"/>
      <c r="F193" s="332"/>
      <c r="G193" s="332"/>
      <c r="H193" s="332"/>
      <c r="I193" s="332"/>
      <c r="J193" s="332"/>
      <c r="K193" s="3"/>
      <c r="L193" s="3"/>
      <c r="M193" s="3"/>
      <c r="N193" s="3"/>
      <c r="O193" s="3"/>
      <c r="P193" s="3"/>
      <c r="Q193" s="3"/>
      <c r="R193" s="3"/>
      <c r="S193" s="3"/>
      <c r="T193" s="3"/>
      <c r="U193" s="3"/>
      <c r="V193" s="3"/>
      <c r="W193" s="3"/>
      <c r="X193" s="3"/>
      <c r="Y193" s="3"/>
      <c r="Z193" s="3"/>
    </row>
    <row r="194" spans="1:26" ht="12" customHeight="1">
      <c r="A194" s="52" t="s">
        <v>66</v>
      </c>
      <c r="B194" s="321" t="str">
        <f t="shared" si="28"/>
        <v>Standby Power General Service 1,500 to 4,999 KW.</v>
      </c>
      <c r="C194" s="321"/>
      <c r="D194" s="307" t="s">
        <v>231</v>
      </c>
      <c r="E194" s="3"/>
      <c r="F194" s="332"/>
      <c r="G194" s="332"/>
      <c r="H194" s="332"/>
      <c r="I194" s="332"/>
      <c r="J194" s="332"/>
      <c r="K194" s="3"/>
      <c r="L194" s="3"/>
      <c r="M194" s="3"/>
      <c r="N194" s="3"/>
      <c r="O194" s="3"/>
      <c r="P194" s="3"/>
      <c r="Q194" s="3"/>
      <c r="R194" s="3"/>
      <c r="S194" s="3"/>
      <c r="T194" s="3"/>
      <c r="U194" s="3"/>
      <c r="V194" s="3"/>
      <c r="W194" s="3"/>
      <c r="X194" s="3"/>
      <c r="Y194" s="3"/>
      <c r="Z194" s="3"/>
    </row>
    <row r="195" spans="1:26" ht="12" customHeight="1">
      <c r="A195" s="52" t="s">
        <v>66</v>
      </c>
      <c r="B195" s="321" t="str">
        <f t="shared" si="28"/>
        <v>Standby Power Large Use.</v>
      </c>
      <c r="C195" s="321"/>
      <c r="D195" s="307" t="s">
        <v>232</v>
      </c>
      <c r="E195" s="3"/>
      <c r="F195" s="332"/>
      <c r="G195" s="332"/>
      <c r="H195" s="332"/>
      <c r="I195" s="332"/>
      <c r="J195" s="332"/>
      <c r="K195" s="3"/>
      <c r="L195" s="3"/>
      <c r="M195" s="3"/>
      <c r="N195" s="3"/>
      <c r="O195" s="3"/>
      <c r="P195" s="3"/>
      <c r="Q195" s="3"/>
      <c r="R195" s="3"/>
      <c r="S195" s="3"/>
      <c r="T195" s="3"/>
      <c r="U195" s="3"/>
      <c r="V195" s="3"/>
      <c r="W195" s="3"/>
      <c r="X195" s="3"/>
      <c r="Y195" s="3"/>
      <c r="Z195" s="3"/>
    </row>
    <row r="196" spans="1:26" ht="12" customHeight="1">
      <c r="A196" s="3"/>
      <c r="B196" s="307"/>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 customHeight="1">
      <c r="A197" s="3"/>
      <c r="B197" s="52"/>
      <c r="C197" s="318" t="s">
        <v>261</v>
      </c>
      <c r="D197" s="3"/>
      <c r="E197" s="319" t="s">
        <v>218</v>
      </c>
      <c r="F197" s="320" t="str">
        <f t="shared" ref="F197:J197" si="29">F$4</f>
        <v>2026F</v>
      </c>
      <c r="G197" s="320" t="str">
        <f t="shared" si="29"/>
        <v>2027F</v>
      </c>
      <c r="H197" s="320" t="str">
        <f t="shared" si="29"/>
        <v>2028F</v>
      </c>
      <c r="I197" s="320" t="str">
        <f t="shared" si="29"/>
        <v>2029F</v>
      </c>
      <c r="J197" s="320" t="str">
        <f t="shared" si="29"/>
        <v>2030F</v>
      </c>
      <c r="K197" s="3"/>
      <c r="L197" s="3"/>
      <c r="M197" s="3"/>
      <c r="N197" s="3"/>
      <c r="O197" s="3"/>
      <c r="P197" s="3"/>
      <c r="Q197" s="3"/>
      <c r="R197" s="3"/>
      <c r="S197" s="3"/>
      <c r="T197" s="3"/>
      <c r="U197" s="3"/>
      <c r="V197" s="3"/>
      <c r="W197" s="3"/>
      <c r="X197" s="3"/>
      <c r="Y197" s="3"/>
      <c r="Z197" s="3"/>
    </row>
    <row r="198" spans="1:26" ht="12" customHeight="1">
      <c r="A198" s="52" t="s">
        <v>46</v>
      </c>
      <c r="B198" s="321" t="str">
        <f t="shared" ref="B198:B200" si="30">D198&amp;"."&amp;C198</f>
        <v>Residential.RTSR - Line and Transformation Connection</v>
      </c>
      <c r="C198" s="321" t="s">
        <v>261</v>
      </c>
      <c r="D198" s="307" t="s">
        <v>222</v>
      </c>
      <c r="E198" s="306">
        <v>7.1999999999999998E-3</v>
      </c>
      <c r="F198" s="353">
        <v>7.7999999999999996E-3</v>
      </c>
      <c r="G198" s="353">
        <v>7.7999999999999996E-3</v>
      </c>
      <c r="H198" s="353">
        <v>7.7999999999999996E-3</v>
      </c>
      <c r="I198" s="353">
        <v>7.7999999999999996E-3</v>
      </c>
      <c r="J198" s="353">
        <v>7.7999999999999996E-3</v>
      </c>
      <c r="K198" s="3"/>
      <c r="Q198" s="3"/>
      <c r="R198" s="3"/>
      <c r="S198" s="3"/>
      <c r="T198" s="3"/>
      <c r="U198" s="3"/>
      <c r="V198" s="3"/>
      <c r="W198" s="3"/>
      <c r="X198" s="3"/>
      <c r="Y198" s="3"/>
      <c r="Z198" s="3"/>
    </row>
    <row r="199" spans="1:26" ht="12" customHeight="1">
      <c r="A199" s="52" t="s">
        <v>46</v>
      </c>
      <c r="B199" s="321" t="str">
        <f t="shared" si="30"/>
        <v>General Service &lt; 50 kW.RTSR - Line and Transformation Connection</v>
      </c>
      <c r="C199" s="321" t="s">
        <v>261</v>
      </c>
      <c r="D199" s="307" t="s">
        <v>223</v>
      </c>
      <c r="E199" s="306">
        <v>7.0000000000000001E-3</v>
      </c>
      <c r="F199" s="353">
        <v>6.1000000000000004E-3</v>
      </c>
      <c r="G199" s="353">
        <v>6.1000000000000004E-3</v>
      </c>
      <c r="H199" s="353">
        <v>6.1000000000000004E-3</v>
      </c>
      <c r="I199" s="353">
        <v>6.1000000000000004E-3</v>
      </c>
      <c r="J199" s="353">
        <v>6.1000000000000004E-3</v>
      </c>
      <c r="K199" s="3"/>
      <c r="Q199" s="3"/>
      <c r="R199" s="3"/>
      <c r="S199" s="3"/>
      <c r="T199" s="3"/>
      <c r="U199" s="3"/>
      <c r="V199" s="3"/>
      <c r="W199" s="3"/>
      <c r="X199" s="3"/>
      <c r="Y199" s="3"/>
      <c r="Z199" s="3"/>
    </row>
    <row r="200" spans="1:26" ht="12" customHeight="1">
      <c r="A200" s="52" t="s">
        <v>66</v>
      </c>
      <c r="B200" s="321" t="str">
        <f t="shared" si="30"/>
        <v>General Service 50 to 1,499 KW.RTSR - Line and Transformation Connection</v>
      </c>
      <c r="C200" s="321" t="s">
        <v>261</v>
      </c>
      <c r="D200" s="307" t="s">
        <v>224</v>
      </c>
      <c r="E200" s="306">
        <v>2.8187000000000002</v>
      </c>
      <c r="F200" s="353">
        <v>2.5918000000000001</v>
      </c>
      <c r="G200" s="353">
        <v>2.5918000000000001</v>
      </c>
      <c r="H200" s="353">
        <v>2.5918000000000001</v>
      </c>
      <c r="I200" s="353">
        <v>2.5918000000000001</v>
      </c>
      <c r="J200" s="353">
        <v>2.5918000000000001</v>
      </c>
      <c r="K200" s="3"/>
      <c r="Q200" s="3"/>
      <c r="R200" s="3"/>
      <c r="S200" s="3"/>
      <c r="T200" s="3"/>
      <c r="U200" s="3"/>
      <c r="V200" s="3"/>
      <c r="W200" s="3"/>
      <c r="X200" s="3"/>
      <c r="Y200" s="3"/>
      <c r="Z200" s="3"/>
    </row>
    <row r="201" spans="1:26" ht="12" customHeight="1">
      <c r="A201" s="52"/>
      <c r="B201" s="321"/>
      <c r="C201" s="321"/>
      <c r="D201" s="307" t="s">
        <v>259</v>
      </c>
      <c r="E201" s="306">
        <v>0</v>
      </c>
      <c r="F201" s="353">
        <v>0.44059999999999999</v>
      </c>
      <c r="G201" s="353">
        <v>0.44059999999999999</v>
      </c>
      <c r="H201" s="353">
        <v>0.44059999999999999</v>
      </c>
      <c r="I201" s="353">
        <v>0.44059999999999999</v>
      </c>
      <c r="J201" s="353">
        <v>0.44059999999999999</v>
      </c>
      <c r="K201" s="3"/>
      <c r="Q201" s="3"/>
      <c r="R201" s="3"/>
      <c r="S201" s="3"/>
      <c r="T201" s="3"/>
      <c r="U201" s="3"/>
      <c r="V201" s="3"/>
      <c r="W201" s="3"/>
      <c r="X201" s="3"/>
      <c r="Y201" s="3"/>
      <c r="Z201" s="3"/>
    </row>
    <row r="202" spans="1:26" ht="12" customHeight="1">
      <c r="A202" s="52" t="s">
        <v>66</v>
      </c>
      <c r="B202" s="321" t="str">
        <f>D202&amp;"."&amp;C202</f>
        <v>General Service 1,500 to 4,999 KW.RTSR - Line and Transformation Connection</v>
      </c>
      <c r="C202" s="321" t="s">
        <v>261</v>
      </c>
      <c r="D202" s="307" t="s">
        <v>225</v>
      </c>
      <c r="E202" s="306">
        <v>3.0125999999999999</v>
      </c>
      <c r="F202" s="353">
        <v>2.5712000000000002</v>
      </c>
      <c r="G202" s="353">
        <v>2.5712000000000002</v>
      </c>
      <c r="H202" s="353">
        <v>2.5712000000000002</v>
      </c>
      <c r="I202" s="353">
        <v>2.5712000000000002</v>
      </c>
      <c r="J202" s="353">
        <v>2.5712000000000002</v>
      </c>
      <c r="K202" s="3"/>
      <c r="Q202" s="3"/>
      <c r="R202" s="3"/>
      <c r="S202" s="3"/>
      <c r="T202" s="3"/>
      <c r="U202" s="3"/>
      <c r="V202" s="3"/>
      <c r="W202" s="3"/>
      <c r="X202" s="3"/>
      <c r="Y202" s="3"/>
      <c r="Z202" s="3"/>
    </row>
    <row r="203" spans="1:26" ht="12" customHeight="1">
      <c r="A203" s="52"/>
      <c r="B203" s="321"/>
      <c r="C203" s="321"/>
      <c r="D203" s="307" t="s">
        <v>260</v>
      </c>
      <c r="E203" s="306">
        <v>0</v>
      </c>
      <c r="F203" s="353">
        <v>0.43709999999999999</v>
      </c>
      <c r="G203" s="353">
        <v>0.43709999999999999</v>
      </c>
      <c r="H203" s="353">
        <v>0.43709999999999999</v>
      </c>
      <c r="I203" s="353">
        <v>0.43709999999999999</v>
      </c>
      <c r="J203" s="353">
        <v>0.43709999999999999</v>
      </c>
      <c r="K203" s="3"/>
      <c r="Q203" s="3"/>
      <c r="R203" s="3"/>
      <c r="S203" s="3"/>
      <c r="T203" s="3"/>
      <c r="U203" s="3"/>
      <c r="V203" s="3"/>
      <c r="W203" s="3"/>
      <c r="X203" s="3"/>
      <c r="Y203" s="3"/>
      <c r="Z203" s="3"/>
    </row>
    <row r="204" spans="1:26" ht="12" customHeight="1">
      <c r="A204" s="52" t="s">
        <v>66</v>
      </c>
      <c r="B204" s="321" t="str">
        <f t="shared" ref="B204:B210" si="31">D204&amp;"."&amp;C204</f>
        <v>Large User.RTSR - Line and Transformation Connection</v>
      </c>
      <c r="C204" s="321" t="s">
        <v>261</v>
      </c>
      <c r="D204" s="307" t="s">
        <v>226</v>
      </c>
      <c r="E204" s="306">
        <v>3.3923999999999999</v>
      </c>
      <c r="F204" s="353">
        <v>3.0192999999999999</v>
      </c>
      <c r="G204" s="353">
        <v>3.0192999999999999</v>
      </c>
      <c r="H204" s="353">
        <v>3.0192999999999999</v>
      </c>
      <c r="I204" s="353">
        <v>3.0192999999999999</v>
      </c>
      <c r="J204" s="353">
        <v>3.0192999999999999</v>
      </c>
      <c r="K204" s="3"/>
      <c r="Q204" s="3"/>
      <c r="R204" s="3"/>
      <c r="S204" s="3"/>
      <c r="T204" s="3"/>
      <c r="U204" s="3"/>
      <c r="V204" s="3"/>
      <c r="W204" s="3"/>
      <c r="X204" s="3"/>
      <c r="Y204" s="3"/>
      <c r="Z204" s="3"/>
    </row>
    <row r="205" spans="1:26" ht="12" customHeight="1">
      <c r="A205" s="52" t="s">
        <v>66</v>
      </c>
      <c r="B205" s="321" t="str">
        <f t="shared" si="31"/>
        <v>Street Light.RTSR - Line and Transformation Connection</v>
      </c>
      <c r="C205" s="321" t="s">
        <v>261</v>
      </c>
      <c r="D205" s="307" t="s">
        <v>227</v>
      </c>
      <c r="E205" s="306">
        <v>2.1377000000000002</v>
      </c>
      <c r="F205" s="353">
        <v>1.2213000000000001</v>
      </c>
      <c r="G205" s="353">
        <v>1.2213000000000001</v>
      </c>
      <c r="H205" s="353">
        <v>1.2213000000000001</v>
      </c>
      <c r="I205" s="353">
        <v>1.2213000000000001</v>
      </c>
      <c r="J205" s="353">
        <v>1.2213000000000001</v>
      </c>
      <c r="K205" s="3"/>
      <c r="Q205" s="3"/>
      <c r="R205" s="3"/>
      <c r="S205" s="3"/>
      <c r="T205" s="3"/>
      <c r="U205" s="3"/>
      <c r="V205" s="3"/>
      <c r="W205" s="3"/>
      <c r="X205" s="3"/>
      <c r="Y205" s="3"/>
      <c r="Z205" s="3"/>
    </row>
    <row r="206" spans="1:26" ht="12" customHeight="1">
      <c r="A206" s="52" t="s">
        <v>66</v>
      </c>
      <c r="B206" s="321" t="str">
        <f t="shared" si="31"/>
        <v>Sentinel Lights.RTSR - Line and Transformation Connection</v>
      </c>
      <c r="C206" s="321" t="s">
        <v>261</v>
      </c>
      <c r="D206" s="307" t="s">
        <v>228</v>
      </c>
      <c r="E206" s="306">
        <v>2.0941999999999998</v>
      </c>
      <c r="F206" s="353">
        <v>0.48370000000000002</v>
      </c>
      <c r="G206" s="353">
        <v>0.48370000000000002</v>
      </c>
      <c r="H206" s="353">
        <v>0.48370000000000002</v>
      </c>
      <c r="I206" s="353">
        <v>0.48370000000000002</v>
      </c>
      <c r="J206" s="353">
        <v>0.48370000000000002</v>
      </c>
      <c r="K206" s="3"/>
      <c r="Q206" s="3"/>
      <c r="R206" s="3"/>
      <c r="S206" s="3"/>
      <c r="T206" s="3"/>
      <c r="U206" s="3"/>
      <c r="V206" s="3"/>
      <c r="W206" s="3"/>
      <c r="X206" s="3"/>
      <c r="Y206" s="3"/>
      <c r="Z206" s="3"/>
    </row>
    <row r="207" spans="1:26" ht="12" customHeight="1">
      <c r="A207" s="52" t="s">
        <v>66</v>
      </c>
      <c r="B207" s="321" t="str">
        <f t="shared" si="31"/>
        <v>Unmetered Scattered Load.RTSR - Line and Transformation Connection</v>
      </c>
      <c r="C207" s="321" t="s">
        <v>261</v>
      </c>
      <c r="D207" s="307" t="s">
        <v>229</v>
      </c>
      <c r="E207" s="306">
        <v>7.0000000000000001E-3</v>
      </c>
      <c r="F207" s="353">
        <v>4.3E-3</v>
      </c>
      <c r="G207" s="353">
        <v>4.3E-3</v>
      </c>
      <c r="H207" s="353">
        <v>4.3E-3</v>
      </c>
      <c r="I207" s="353">
        <v>4.3E-3</v>
      </c>
      <c r="J207" s="353">
        <v>4.3E-3</v>
      </c>
      <c r="K207" s="3"/>
      <c r="Q207" s="3"/>
      <c r="R207" s="3"/>
      <c r="S207" s="3"/>
      <c r="T207" s="3"/>
      <c r="U207" s="3"/>
      <c r="V207" s="3"/>
      <c r="W207" s="3"/>
      <c r="X207" s="3"/>
      <c r="Y207" s="3"/>
      <c r="Z207" s="3"/>
    </row>
    <row r="208" spans="1:26" ht="12" customHeight="1">
      <c r="A208" s="52" t="s">
        <v>66</v>
      </c>
      <c r="B208" s="321" t="str">
        <f t="shared" si="31"/>
        <v>Standby Power General Service 50 to 1,499 KW.RTSR - Line and Transformation Connection</v>
      </c>
      <c r="C208" s="321" t="s">
        <v>261</v>
      </c>
      <c r="D208" s="307" t="s">
        <v>230</v>
      </c>
      <c r="E208" s="3"/>
      <c r="F208" s="3"/>
      <c r="G208" s="3"/>
      <c r="H208" s="3"/>
      <c r="I208" s="3"/>
      <c r="J208" s="3"/>
      <c r="K208" s="3"/>
      <c r="L208" s="3"/>
      <c r="M208" s="3"/>
      <c r="N208" s="3"/>
      <c r="O208" s="3"/>
      <c r="P208" s="3"/>
      <c r="Q208" s="3"/>
      <c r="R208" s="3"/>
      <c r="S208" s="3"/>
      <c r="T208" s="3"/>
      <c r="U208" s="3"/>
      <c r="V208" s="3"/>
      <c r="W208" s="3"/>
      <c r="X208" s="3"/>
      <c r="Y208" s="3"/>
      <c r="Z208" s="3"/>
    </row>
    <row r="209" spans="1:26" ht="12" customHeight="1">
      <c r="A209" s="52" t="s">
        <v>66</v>
      </c>
      <c r="B209" s="321" t="str">
        <f t="shared" si="31"/>
        <v>Standby Power General Service 1,500 to 4,999 KW.RTSR - Line and Transformation Connection</v>
      </c>
      <c r="C209" s="321" t="s">
        <v>261</v>
      </c>
      <c r="D209" s="307" t="s">
        <v>231</v>
      </c>
      <c r="E209" s="3"/>
      <c r="F209" s="332"/>
      <c r="G209" s="3"/>
      <c r="H209" s="3"/>
      <c r="I209" s="3"/>
      <c r="J209" s="3"/>
      <c r="K209" s="3"/>
      <c r="L209" s="3"/>
      <c r="M209" s="3"/>
      <c r="N209" s="3"/>
      <c r="O209" s="3"/>
      <c r="P209" s="3"/>
      <c r="Q209" s="3"/>
      <c r="R209" s="3"/>
      <c r="S209" s="3"/>
      <c r="T209" s="3"/>
      <c r="U209" s="3"/>
      <c r="V209" s="3"/>
      <c r="W209" s="3"/>
      <c r="X209" s="3"/>
      <c r="Y209" s="3"/>
      <c r="Z209" s="3"/>
    </row>
    <row r="210" spans="1:26" ht="12" customHeight="1">
      <c r="A210" s="52" t="s">
        <v>66</v>
      </c>
      <c r="B210" s="321" t="str">
        <f t="shared" si="31"/>
        <v>Standby Power Large Use.RTSR - Line and Transformation Connection</v>
      </c>
      <c r="C210" s="321" t="s">
        <v>261</v>
      </c>
      <c r="D210" s="307" t="s">
        <v>232</v>
      </c>
      <c r="E210" s="3"/>
      <c r="F210" s="332"/>
      <c r="G210" s="3"/>
      <c r="H210" s="3"/>
      <c r="I210" s="3"/>
      <c r="J210" s="3"/>
      <c r="K210" s="3"/>
      <c r="L210" s="3"/>
      <c r="M210" s="3"/>
      <c r="N210" s="3"/>
      <c r="O210" s="3"/>
      <c r="P210" s="3"/>
      <c r="Q210" s="3"/>
      <c r="R210" s="3"/>
      <c r="S210" s="3"/>
      <c r="T210" s="3"/>
      <c r="U210" s="3"/>
      <c r="V210" s="3"/>
      <c r="W210" s="3"/>
      <c r="X210" s="3"/>
      <c r="Y210" s="3"/>
      <c r="Z210" s="3"/>
    </row>
    <row r="211" spans="1:26" ht="12" customHeight="1">
      <c r="A211" s="3"/>
      <c r="B211" s="307"/>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c r="A212" s="3"/>
      <c r="B212" s="52"/>
      <c r="C212" s="318" t="s">
        <v>262</v>
      </c>
      <c r="D212" s="3"/>
      <c r="E212" s="319" t="s">
        <v>218</v>
      </c>
      <c r="F212" s="320" t="str">
        <f t="shared" ref="F212:J212" si="32">F$4</f>
        <v>2026F</v>
      </c>
      <c r="G212" s="320" t="str">
        <f t="shared" si="32"/>
        <v>2027F</v>
      </c>
      <c r="H212" s="320" t="str">
        <f t="shared" si="32"/>
        <v>2028F</v>
      </c>
      <c r="I212" s="320" t="str">
        <f t="shared" si="32"/>
        <v>2029F</v>
      </c>
      <c r="J212" s="320" t="str">
        <f t="shared" si="32"/>
        <v>2030F</v>
      </c>
      <c r="K212" s="3"/>
      <c r="L212" s="3"/>
      <c r="M212" s="3"/>
      <c r="N212" s="3"/>
      <c r="O212" s="3"/>
      <c r="P212" s="3"/>
      <c r="Q212" s="3"/>
      <c r="R212" s="3"/>
      <c r="S212" s="3"/>
      <c r="T212" s="3"/>
      <c r="U212" s="3"/>
      <c r="V212" s="3"/>
      <c r="W212" s="3"/>
      <c r="X212" s="3"/>
      <c r="Y212" s="3"/>
      <c r="Z212" s="3"/>
    </row>
    <row r="213" spans="1:26" ht="12" customHeight="1">
      <c r="A213" s="52" t="s">
        <v>46</v>
      </c>
      <c r="B213" s="321" t="str">
        <f t="shared" ref="B213:B223" si="33">D213&amp;"."&amp;C213</f>
        <v>Residential.Wholesale Market Service Charge (WMSC)</v>
      </c>
      <c r="C213" s="321" t="s">
        <v>262</v>
      </c>
      <c r="D213" s="307" t="s">
        <v>222</v>
      </c>
      <c r="E213" s="306">
        <v>4.4999999999999997E-3</v>
      </c>
      <c r="F213" s="354">
        <v>4.7000000000000002E-3</v>
      </c>
      <c r="G213" s="354">
        <v>4.7000000000000002E-3</v>
      </c>
      <c r="H213" s="354">
        <v>4.7000000000000002E-3</v>
      </c>
      <c r="I213" s="354">
        <v>4.7000000000000002E-3</v>
      </c>
      <c r="J213" s="354">
        <v>4.7000000000000002E-3</v>
      </c>
      <c r="K213" s="3"/>
      <c r="L213" s="3"/>
      <c r="M213" s="3"/>
      <c r="N213" s="3"/>
      <c r="O213" s="3"/>
      <c r="P213" s="3"/>
      <c r="Q213" s="3"/>
      <c r="R213" s="3"/>
      <c r="S213" s="3"/>
      <c r="T213" s="3"/>
      <c r="U213" s="3"/>
      <c r="V213" s="3"/>
      <c r="W213" s="3"/>
      <c r="X213" s="3"/>
      <c r="Y213" s="3"/>
      <c r="Z213" s="3"/>
    </row>
    <row r="214" spans="1:26" ht="12" customHeight="1">
      <c r="A214" s="52" t="s">
        <v>46</v>
      </c>
      <c r="B214" s="321" t="str">
        <f t="shared" si="33"/>
        <v>General Service &lt; 50 kW.Wholesale Market Service Charge (WMSC)</v>
      </c>
      <c r="C214" s="321" t="s">
        <v>262</v>
      </c>
      <c r="D214" s="307" t="s">
        <v>223</v>
      </c>
      <c r="E214" s="306">
        <v>4.4999999999999997E-3</v>
      </c>
      <c r="F214" s="354">
        <v>4.7000000000000002E-3</v>
      </c>
      <c r="G214" s="354">
        <v>4.7000000000000002E-3</v>
      </c>
      <c r="H214" s="354">
        <v>4.7000000000000002E-3</v>
      </c>
      <c r="I214" s="354">
        <v>4.7000000000000002E-3</v>
      </c>
      <c r="J214" s="354">
        <v>4.7000000000000002E-3</v>
      </c>
      <c r="K214" s="3"/>
      <c r="L214" s="3"/>
      <c r="M214" s="3"/>
      <c r="N214" s="3"/>
      <c r="O214" s="3"/>
      <c r="P214" s="3"/>
      <c r="Q214" s="3"/>
      <c r="R214" s="3"/>
      <c r="S214" s="3"/>
      <c r="T214" s="3"/>
      <c r="U214" s="3"/>
      <c r="V214" s="3"/>
      <c r="W214" s="3"/>
      <c r="X214" s="3"/>
      <c r="Y214" s="3"/>
      <c r="Z214" s="3"/>
    </row>
    <row r="215" spans="1:26" ht="12" customHeight="1">
      <c r="A215" s="52" t="s">
        <v>46</v>
      </c>
      <c r="B215" s="321" t="str">
        <f t="shared" si="33"/>
        <v>General Service 50 to 1,499 KW.Wholesale Market Service Charge (WMSC)</v>
      </c>
      <c r="C215" s="321" t="s">
        <v>262</v>
      </c>
      <c r="D215" s="307" t="s">
        <v>224</v>
      </c>
      <c r="E215" s="306">
        <v>4.4999999999999997E-3</v>
      </c>
      <c r="F215" s="354">
        <v>4.7000000000000002E-3</v>
      </c>
      <c r="G215" s="354">
        <v>4.7000000000000002E-3</v>
      </c>
      <c r="H215" s="354">
        <v>4.7000000000000002E-3</v>
      </c>
      <c r="I215" s="354">
        <v>4.7000000000000002E-3</v>
      </c>
      <c r="J215" s="354">
        <v>4.7000000000000002E-3</v>
      </c>
      <c r="K215" s="3"/>
      <c r="L215" s="3"/>
      <c r="M215" s="3"/>
      <c r="N215" s="3"/>
      <c r="O215" s="3"/>
      <c r="P215" s="3"/>
      <c r="Q215" s="3"/>
      <c r="R215" s="3"/>
      <c r="S215" s="3"/>
      <c r="T215" s="3"/>
      <c r="U215" s="3"/>
      <c r="V215" s="3"/>
      <c r="W215" s="3"/>
      <c r="X215" s="3"/>
      <c r="Y215" s="3"/>
      <c r="Z215" s="3"/>
    </row>
    <row r="216" spans="1:26" ht="12" customHeight="1">
      <c r="A216" s="52" t="s">
        <v>46</v>
      </c>
      <c r="B216" s="321" t="str">
        <f t="shared" si="33"/>
        <v>General Service 1,500 to 4,999 KW.Wholesale Market Service Charge (WMSC)</v>
      </c>
      <c r="C216" s="321" t="s">
        <v>262</v>
      </c>
      <c r="D216" s="307" t="s">
        <v>225</v>
      </c>
      <c r="E216" s="306">
        <v>4.4999999999999997E-3</v>
      </c>
      <c r="F216" s="354">
        <v>4.7000000000000002E-3</v>
      </c>
      <c r="G216" s="354">
        <v>4.7000000000000002E-3</v>
      </c>
      <c r="H216" s="354">
        <v>4.7000000000000002E-3</v>
      </c>
      <c r="I216" s="354">
        <v>4.7000000000000002E-3</v>
      </c>
      <c r="J216" s="354">
        <v>4.7000000000000002E-3</v>
      </c>
      <c r="K216" s="3"/>
      <c r="L216" s="3"/>
      <c r="M216" s="3"/>
      <c r="N216" s="3"/>
      <c r="O216" s="3"/>
      <c r="P216" s="3"/>
      <c r="Q216" s="3"/>
      <c r="R216" s="3"/>
      <c r="S216" s="3"/>
      <c r="T216" s="3"/>
      <c r="U216" s="3"/>
      <c r="V216" s="3"/>
      <c r="W216" s="3"/>
      <c r="X216" s="3"/>
      <c r="Y216" s="3"/>
      <c r="Z216" s="3"/>
    </row>
    <row r="217" spans="1:26" ht="12" customHeight="1">
      <c r="A217" s="52" t="s">
        <v>46</v>
      </c>
      <c r="B217" s="321" t="str">
        <f t="shared" si="33"/>
        <v>Large User.Wholesale Market Service Charge (WMSC)</v>
      </c>
      <c r="C217" s="321" t="s">
        <v>262</v>
      </c>
      <c r="D217" s="307" t="s">
        <v>226</v>
      </c>
      <c r="E217" s="306">
        <v>4.4999999999999997E-3</v>
      </c>
      <c r="F217" s="354">
        <v>4.7000000000000002E-3</v>
      </c>
      <c r="G217" s="354">
        <v>4.7000000000000002E-3</v>
      </c>
      <c r="H217" s="354">
        <v>4.7000000000000002E-3</v>
      </c>
      <c r="I217" s="354">
        <v>4.7000000000000002E-3</v>
      </c>
      <c r="J217" s="354">
        <v>4.7000000000000002E-3</v>
      </c>
      <c r="K217" s="3"/>
      <c r="L217" s="3"/>
      <c r="M217" s="3"/>
      <c r="N217" s="3"/>
      <c r="O217" s="3"/>
      <c r="P217" s="3"/>
      <c r="Q217" s="3"/>
      <c r="R217" s="3"/>
      <c r="S217" s="3"/>
      <c r="T217" s="3"/>
      <c r="U217" s="3"/>
      <c r="V217" s="3"/>
      <c r="W217" s="3"/>
      <c r="X217" s="3"/>
      <c r="Y217" s="3"/>
      <c r="Z217" s="3"/>
    </row>
    <row r="218" spans="1:26" ht="12" customHeight="1">
      <c r="A218" s="52" t="s">
        <v>46</v>
      </c>
      <c r="B218" s="321" t="str">
        <f t="shared" si="33"/>
        <v>Street Light.Wholesale Market Service Charge (WMSC)</v>
      </c>
      <c r="C218" s="321" t="s">
        <v>262</v>
      </c>
      <c r="D218" s="307" t="s">
        <v>227</v>
      </c>
      <c r="E218" s="306">
        <v>4.4999999999999997E-3</v>
      </c>
      <c r="F218" s="354">
        <v>4.7000000000000002E-3</v>
      </c>
      <c r="G218" s="354">
        <v>4.7000000000000002E-3</v>
      </c>
      <c r="H218" s="354">
        <v>4.7000000000000002E-3</v>
      </c>
      <c r="I218" s="354">
        <v>4.7000000000000002E-3</v>
      </c>
      <c r="J218" s="354">
        <v>4.7000000000000002E-3</v>
      </c>
      <c r="K218" s="3"/>
      <c r="L218" s="3"/>
      <c r="M218" s="3"/>
      <c r="N218" s="3"/>
      <c r="O218" s="3"/>
      <c r="P218" s="3"/>
      <c r="Q218" s="3"/>
      <c r="R218" s="3"/>
      <c r="S218" s="3"/>
      <c r="T218" s="3"/>
      <c r="U218" s="3"/>
      <c r="V218" s="3"/>
      <c r="W218" s="3"/>
      <c r="X218" s="3"/>
      <c r="Y218" s="3"/>
      <c r="Z218" s="3"/>
    </row>
    <row r="219" spans="1:26" ht="12" customHeight="1">
      <c r="A219" s="52" t="s">
        <v>46</v>
      </c>
      <c r="B219" s="321" t="str">
        <f t="shared" si="33"/>
        <v>Sentinel Lights.Wholesale Market Service Charge (WMSC)</v>
      </c>
      <c r="C219" s="321" t="s">
        <v>262</v>
      </c>
      <c r="D219" s="307" t="s">
        <v>228</v>
      </c>
      <c r="E219" s="306">
        <v>4.4999999999999997E-3</v>
      </c>
      <c r="F219" s="354">
        <v>4.7000000000000002E-3</v>
      </c>
      <c r="G219" s="354">
        <v>4.7000000000000002E-3</v>
      </c>
      <c r="H219" s="354">
        <v>4.7000000000000002E-3</v>
      </c>
      <c r="I219" s="354">
        <v>4.7000000000000002E-3</v>
      </c>
      <c r="J219" s="354">
        <v>4.7000000000000002E-3</v>
      </c>
      <c r="K219" s="3"/>
      <c r="L219" s="3"/>
      <c r="M219" s="3"/>
      <c r="N219" s="3"/>
      <c r="O219" s="3"/>
      <c r="P219" s="3"/>
      <c r="Q219" s="3"/>
      <c r="R219" s="3"/>
      <c r="S219" s="3"/>
      <c r="T219" s="3"/>
      <c r="U219" s="3"/>
      <c r="V219" s="3"/>
      <c r="W219" s="3"/>
      <c r="X219" s="3"/>
      <c r="Y219" s="3"/>
      <c r="Z219" s="3"/>
    </row>
    <row r="220" spans="1:26" ht="12" customHeight="1">
      <c r="A220" s="52" t="s">
        <v>46</v>
      </c>
      <c r="B220" s="321" t="str">
        <f t="shared" si="33"/>
        <v>Unmetered Scattered Load.Wholesale Market Service Charge (WMSC)</v>
      </c>
      <c r="C220" s="321" t="s">
        <v>262</v>
      </c>
      <c r="D220" s="307" t="s">
        <v>229</v>
      </c>
      <c r="E220" s="306">
        <v>4.4999999999999997E-3</v>
      </c>
      <c r="F220" s="354">
        <v>4.7000000000000002E-3</v>
      </c>
      <c r="G220" s="354">
        <v>4.7000000000000002E-3</v>
      </c>
      <c r="H220" s="354">
        <v>4.7000000000000002E-3</v>
      </c>
      <c r="I220" s="354">
        <v>4.7000000000000002E-3</v>
      </c>
      <c r="J220" s="354">
        <v>4.7000000000000002E-3</v>
      </c>
      <c r="K220" s="3"/>
      <c r="L220" s="3"/>
      <c r="M220" s="3"/>
      <c r="N220" s="3"/>
      <c r="O220" s="3"/>
      <c r="P220" s="3"/>
      <c r="Q220" s="3"/>
      <c r="R220" s="3"/>
      <c r="S220" s="3"/>
      <c r="T220" s="3"/>
      <c r="U220" s="3"/>
      <c r="V220" s="3"/>
      <c r="W220" s="3"/>
      <c r="X220" s="3"/>
      <c r="Y220" s="3"/>
      <c r="Z220" s="3"/>
    </row>
    <row r="221" spans="1:26" ht="12" customHeight="1">
      <c r="A221" s="52" t="s">
        <v>46</v>
      </c>
      <c r="B221" s="321" t="str">
        <f t="shared" si="33"/>
        <v>Standby Power General Service 50 to 1,499 KW.Wholesale Market Service Charge (WMSC)</v>
      </c>
      <c r="C221" s="321" t="s">
        <v>262</v>
      </c>
      <c r="D221" s="307" t="s">
        <v>230</v>
      </c>
      <c r="E221" s="306">
        <v>4.4999999999999997E-3</v>
      </c>
      <c r="F221" s="354">
        <v>4.7000000000000002E-3</v>
      </c>
      <c r="G221" s="354">
        <v>4.7000000000000002E-3</v>
      </c>
      <c r="H221" s="354">
        <v>4.7000000000000002E-3</v>
      </c>
      <c r="I221" s="354">
        <v>4.7000000000000002E-3</v>
      </c>
      <c r="J221" s="354">
        <v>4.7000000000000002E-3</v>
      </c>
      <c r="K221" s="3"/>
      <c r="L221" s="3"/>
      <c r="M221" s="3"/>
      <c r="N221" s="3"/>
      <c r="O221" s="3"/>
      <c r="P221" s="3"/>
      <c r="Q221" s="3"/>
      <c r="R221" s="3"/>
      <c r="S221" s="3"/>
      <c r="T221" s="3"/>
      <c r="U221" s="3"/>
      <c r="V221" s="3"/>
      <c r="W221" s="3"/>
      <c r="X221" s="3"/>
      <c r="Y221" s="3"/>
      <c r="Z221" s="3"/>
    </row>
    <row r="222" spans="1:26" ht="12" customHeight="1">
      <c r="A222" s="52" t="s">
        <v>46</v>
      </c>
      <c r="B222" s="321" t="str">
        <f t="shared" si="33"/>
        <v>Standby Power General Service 1,500 to 4,999 KW.Wholesale Market Service Charge (WMSC)</v>
      </c>
      <c r="C222" s="321" t="s">
        <v>262</v>
      </c>
      <c r="D222" s="307" t="s">
        <v>231</v>
      </c>
      <c r="E222" s="306">
        <v>4.4999999999999997E-3</v>
      </c>
      <c r="F222" s="354">
        <v>4.7000000000000002E-3</v>
      </c>
      <c r="G222" s="354">
        <v>4.7000000000000002E-3</v>
      </c>
      <c r="H222" s="354">
        <v>4.7000000000000002E-3</v>
      </c>
      <c r="I222" s="354">
        <v>4.7000000000000002E-3</v>
      </c>
      <c r="J222" s="354">
        <v>4.7000000000000002E-3</v>
      </c>
      <c r="K222" s="3"/>
      <c r="L222" s="3"/>
      <c r="M222" s="3"/>
      <c r="N222" s="3"/>
      <c r="O222" s="3"/>
      <c r="P222" s="3"/>
      <c r="Q222" s="3"/>
      <c r="R222" s="3"/>
      <c r="S222" s="3"/>
      <c r="T222" s="3"/>
      <c r="U222" s="3"/>
      <c r="V222" s="3"/>
      <c r="W222" s="3"/>
      <c r="X222" s="3"/>
      <c r="Y222" s="3"/>
      <c r="Z222" s="3"/>
    </row>
    <row r="223" spans="1:26" ht="12" customHeight="1">
      <c r="A223" s="52" t="s">
        <v>46</v>
      </c>
      <c r="B223" s="321" t="str">
        <f t="shared" si="33"/>
        <v>Standby Power Large Use.Wholesale Market Service Charge (WMSC)</v>
      </c>
      <c r="C223" s="321" t="s">
        <v>262</v>
      </c>
      <c r="D223" s="307" t="s">
        <v>232</v>
      </c>
      <c r="E223" s="306">
        <v>4.4999999999999997E-3</v>
      </c>
      <c r="F223" s="354">
        <v>4.7000000000000002E-3</v>
      </c>
      <c r="G223" s="354">
        <v>4.7000000000000002E-3</v>
      </c>
      <c r="H223" s="354">
        <v>4.7000000000000002E-3</v>
      </c>
      <c r="I223" s="354">
        <v>4.7000000000000002E-3</v>
      </c>
      <c r="J223" s="354">
        <v>4.7000000000000002E-3</v>
      </c>
      <c r="K223" s="3"/>
      <c r="L223" s="3"/>
      <c r="M223" s="3"/>
      <c r="N223" s="3"/>
      <c r="O223" s="3"/>
      <c r="P223" s="3"/>
      <c r="Q223" s="3"/>
      <c r="R223" s="3"/>
      <c r="S223" s="3"/>
      <c r="T223" s="3"/>
      <c r="U223" s="3"/>
      <c r="V223" s="3"/>
      <c r="W223" s="3"/>
      <c r="X223" s="3"/>
      <c r="Y223" s="3"/>
      <c r="Z223" s="3"/>
    </row>
    <row r="224" spans="1:26" ht="12" customHeight="1">
      <c r="A224" s="3"/>
      <c r="B224" s="307"/>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 customHeight="1">
      <c r="A225" s="3"/>
      <c r="B225" s="52"/>
      <c r="C225" s="318" t="s">
        <v>263</v>
      </c>
      <c r="D225" s="3"/>
      <c r="E225" s="319" t="s">
        <v>218</v>
      </c>
      <c r="F225" s="320" t="str">
        <f t="shared" ref="F225:J225" si="34">F$4</f>
        <v>2026F</v>
      </c>
      <c r="G225" s="320" t="str">
        <f t="shared" si="34"/>
        <v>2027F</v>
      </c>
      <c r="H225" s="320" t="str">
        <f t="shared" si="34"/>
        <v>2028F</v>
      </c>
      <c r="I225" s="320" t="str">
        <f t="shared" si="34"/>
        <v>2029F</v>
      </c>
      <c r="J225" s="320" t="str">
        <f t="shared" si="34"/>
        <v>2030F</v>
      </c>
      <c r="K225" s="3"/>
      <c r="L225" s="3"/>
      <c r="M225" s="3"/>
      <c r="N225" s="3"/>
      <c r="O225" s="3"/>
      <c r="P225" s="3"/>
      <c r="Q225" s="3"/>
      <c r="R225" s="3"/>
      <c r="S225" s="3"/>
      <c r="T225" s="3"/>
      <c r="U225" s="3"/>
      <c r="V225" s="3"/>
      <c r="W225" s="3"/>
      <c r="X225" s="3"/>
      <c r="Y225" s="3"/>
      <c r="Z225" s="3"/>
    </row>
    <row r="226" spans="1:26" ht="12" customHeight="1">
      <c r="A226" s="52" t="s">
        <v>46</v>
      </c>
      <c r="B226" s="321" t="str">
        <f t="shared" ref="B226:B236" si="35">D226&amp;"."&amp;C226</f>
        <v>Residential.Rural and Remote Rate Protection (RRRP)</v>
      </c>
      <c r="C226" s="321" t="s">
        <v>263</v>
      </c>
      <c r="D226" s="307" t="s">
        <v>222</v>
      </c>
      <c r="E226" s="306">
        <v>1.5E-3</v>
      </c>
      <c r="F226" s="355">
        <v>5.9999999999999995E-4</v>
      </c>
      <c r="G226" s="355">
        <v>5.9999999999999995E-4</v>
      </c>
      <c r="H226" s="355">
        <v>5.9999999999999995E-4</v>
      </c>
      <c r="I226" s="355">
        <v>5.9999999999999995E-4</v>
      </c>
      <c r="J226" s="355">
        <v>5.9999999999999995E-4</v>
      </c>
      <c r="K226" s="3"/>
      <c r="L226" s="3"/>
      <c r="M226" s="3"/>
      <c r="N226" s="3"/>
      <c r="O226" s="3"/>
      <c r="P226" s="3"/>
      <c r="Q226" s="3"/>
      <c r="R226" s="3"/>
      <c r="S226" s="3"/>
      <c r="T226" s="3"/>
      <c r="U226" s="3"/>
      <c r="V226" s="3"/>
      <c r="W226" s="3"/>
      <c r="X226" s="3"/>
      <c r="Y226" s="3"/>
      <c r="Z226" s="3"/>
    </row>
    <row r="227" spans="1:26" ht="12" customHeight="1">
      <c r="A227" s="52" t="s">
        <v>46</v>
      </c>
      <c r="B227" s="321" t="str">
        <f t="shared" si="35"/>
        <v>General Service &lt; 50 kW.Rural and Remote Rate Protection (RRRP)</v>
      </c>
      <c r="C227" s="321" t="s">
        <v>263</v>
      </c>
      <c r="D227" s="307" t="s">
        <v>223</v>
      </c>
      <c r="E227" s="306">
        <v>1.5E-3</v>
      </c>
      <c r="F227" s="355">
        <v>5.9999999999999995E-4</v>
      </c>
      <c r="G227" s="355">
        <v>5.9999999999999995E-4</v>
      </c>
      <c r="H227" s="355">
        <v>5.9999999999999995E-4</v>
      </c>
      <c r="I227" s="355">
        <v>5.9999999999999995E-4</v>
      </c>
      <c r="J227" s="355">
        <v>5.9999999999999995E-4</v>
      </c>
      <c r="K227" s="3"/>
      <c r="L227" s="3"/>
      <c r="M227" s="3"/>
      <c r="N227" s="3"/>
      <c r="O227" s="3"/>
      <c r="P227" s="3"/>
      <c r="Q227" s="3"/>
      <c r="R227" s="3"/>
      <c r="S227" s="3"/>
      <c r="T227" s="3"/>
      <c r="U227" s="3"/>
      <c r="V227" s="3"/>
      <c r="W227" s="3"/>
      <c r="X227" s="3"/>
      <c r="Y227" s="3"/>
      <c r="Z227" s="3"/>
    </row>
    <row r="228" spans="1:26" ht="12" customHeight="1">
      <c r="A228" s="52" t="s">
        <v>46</v>
      </c>
      <c r="B228" s="321" t="str">
        <f t="shared" si="35"/>
        <v>General Service 50 to 1,499 KW.Rural and Remote Rate Protection (RRRP)</v>
      </c>
      <c r="C228" s="321" t="s">
        <v>263</v>
      </c>
      <c r="D228" s="307" t="s">
        <v>224</v>
      </c>
      <c r="E228" s="306">
        <v>1.5E-3</v>
      </c>
      <c r="F228" s="355">
        <v>5.9999999999999995E-4</v>
      </c>
      <c r="G228" s="355">
        <v>5.9999999999999995E-4</v>
      </c>
      <c r="H228" s="355">
        <v>5.9999999999999995E-4</v>
      </c>
      <c r="I228" s="355">
        <v>5.9999999999999995E-4</v>
      </c>
      <c r="J228" s="355">
        <v>5.9999999999999995E-4</v>
      </c>
      <c r="K228" s="3"/>
      <c r="L228" s="3"/>
      <c r="M228" s="3"/>
      <c r="N228" s="3"/>
      <c r="O228" s="3"/>
      <c r="P228" s="3"/>
      <c r="Q228" s="3"/>
      <c r="R228" s="3"/>
      <c r="S228" s="3"/>
      <c r="T228" s="3"/>
      <c r="U228" s="3"/>
      <c r="V228" s="3"/>
      <c r="W228" s="3"/>
      <c r="X228" s="3"/>
      <c r="Y228" s="3"/>
      <c r="Z228" s="3"/>
    </row>
    <row r="229" spans="1:26" ht="12" customHeight="1">
      <c r="A229" s="52" t="s">
        <v>46</v>
      </c>
      <c r="B229" s="321" t="str">
        <f t="shared" si="35"/>
        <v>General Service 1,500 to 4,999 KW.Rural and Remote Rate Protection (RRRP)</v>
      </c>
      <c r="C229" s="321" t="s">
        <v>263</v>
      </c>
      <c r="D229" s="307" t="s">
        <v>225</v>
      </c>
      <c r="E229" s="306">
        <v>1.5E-3</v>
      </c>
      <c r="F229" s="355">
        <v>5.9999999999999995E-4</v>
      </c>
      <c r="G229" s="355">
        <v>5.9999999999999995E-4</v>
      </c>
      <c r="H229" s="355">
        <v>5.9999999999999995E-4</v>
      </c>
      <c r="I229" s="355">
        <v>5.9999999999999995E-4</v>
      </c>
      <c r="J229" s="355">
        <v>5.9999999999999995E-4</v>
      </c>
      <c r="K229" s="3"/>
      <c r="L229" s="3"/>
      <c r="M229" s="3"/>
      <c r="N229" s="3"/>
      <c r="O229" s="3"/>
      <c r="P229" s="3"/>
      <c r="Q229" s="3"/>
      <c r="R229" s="3"/>
      <c r="S229" s="3"/>
      <c r="T229" s="3"/>
      <c r="U229" s="3"/>
      <c r="V229" s="3"/>
      <c r="W229" s="3"/>
      <c r="X229" s="3"/>
      <c r="Y229" s="3"/>
      <c r="Z229" s="3"/>
    </row>
    <row r="230" spans="1:26" ht="12" customHeight="1">
      <c r="A230" s="52" t="s">
        <v>46</v>
      </c>
      <c r="B230" s="321" t="str">
        <f t="shared" si="35"/>
        <v>Large User.Rural and Remote Rate Protection (RRRP)</v>
      </c>
      <c r="C230" s="321" t="s">
        <v>263</v>
      </c>
      <c r="D230" s="307" t="s">
        <v>226</v>
      </c>
      <c r="E230" s="306">
        <v>1.5E-3</v>
      </c>
      <c r="F230" s="355">
        <v>5.9999999999999995E-4</v>
      </c>
      <c r="G230" s="355">
        <v>5.9999999999999995E-4</v>
      </c>
      <c r="H230" s="355">
        <v>5.9999999999999995E-4</v>
      </c>
      <c r="I230" s="355">
        <v>5.9999999999999995E-4</v>
      </c>
      <c r="J230" s="355">
        <v>5.9999999999999995E-4</v>
      </c>
      <c r="K230" s="3"/>
      <c r="L230" s="3"/>
      <c r="M230" s="3"/>
      <c r="N230" s="3"/>
      <c r="O230" s="3"/>
      <c r="P230" s="3"/>
      <c r="Q230" s="3"/>
      <c r="R230" s="3"/>
      <c r="S230" s="3"/>
      <c r="T230" s="3"/>
      <c r="U230" s="3"/>
      <c r="V230" s="3"/>
      <c r="W230" s="3"/>
      <c r="X230" s="3"/>
      <c r="Y230" s="3"/>
      <c r="Z230" s="3"/>
    </row>
    <row r="231" spans="1:26" ht="12" customHeight="1">
      <c r="A231" s="52" t="s">
        <v>46</v>
      </c>
      <c r="B231" s="321" t="str">
        <f t="shared" si="35"/>
        <v>Street Light.Rural and Remote Rate Protection (RRRP)</v>
      </c>
      <c r="C231" s="321" t="s">
        <v>263</v>
      </c>
      <c r="D231" s="307" t="s">
        <v>227</v>
      </c>
      <c r="E231" s="306">
        <v>1.5E-3</v>
      </c>
      <c r="F231" s="355">
        <v>5.9999999999999995E-4</v>
      </c>
      <c r="G231" s="355">
        <v>5.9999999999999995E-4</v>
      </c>
      <c r="H231" s="355">
        <v>5.9999999999999995E-4</v>
      </c>
      <c r="I231" s="355">
        <v>5.9999999999999995E-4</v>
      </c>
      <c r="J231" s="355">
        <v>5.9999999999999995E-4</v>
      </c>
      <c r="K231" s="3"/>
      <c r="L231" s="3"/>
      <c r="M231" s="3"/>
      <c r="N231" s="3"/>
      <c r="O231" s="3"/>
      <c r="P231" s="3"/>
      <c r="Q231" s="3"/>
      <c r="R231" s="3"/>
      <c r="S231" s="3"/>
      <c r="T231" s="3"/>
      <c r="U231" s="3"/>
      <c r="V231" s="3"/>
      <c r="W231" s="3"/>
      <c r="X231" s="3"/>
      <c r="Y231" s="3"/>
      <c r="Z231" s="3"/>
    </row>
    <row r="232" spans="1:26" ht="12" customHeight="1">
      <c r="A232" s="52" t="s">
        <v>46</v>
      </c>
      <c r="B232" s="321" t="str">
        <f t="shared" si="35"/>
        <v>Sentinel Lights.Rural and Remote Rate Protection (RRRP)</v>
      </c>
      <c r="C232" s="321" t="s">
        <v>263</v>
      </c>
      <c r="D232" s="307" t="s">
        <v>228</v>
      </c>
      <c r="E232" s="306">
        <v>1.5E-3</v>
      </c>
      <c r="F232" s="355">
        <v>5.9999999999999995E-4</v>
      </c>
      <c r="G232" s="355">
        <v>5.9999999999999995E-4</v>
      </c>
      <c r="H232" s="355">
        <v>5.9999999999999995E-4</v>
      </c>
      <c r="I232" s="355">
        <v>5.9999999999999995E-4</v>
      </c>
      <c r="J232" s="355">
        <v>5.9999999999999995E-4</v>
      </c>
      <c r="K232" s="3"/>
      <c r="L232" s="3"/>
      <c r="M232" s="3"/>
      <c r="N232" s="3"/>
      <c r="O232" s="3"/>
      <c r="P232" s="3"/>
      <c r="Q232" s="3"/>
      <c r="R232" s="3"/>
      <c r="S232" s="3"/>
      <c r="T232" s="3"/>
      <c r="U232" s="3"/>
      <c r="V232" s="3"/>
      <c r="W232" s="3"/>
      <c r="X232" s="3"/>
      <c r="Y232" s="3"/>
      <c r="Z232" s="3"/>
    </row>
    <row r="233" spans="1:26" ht="12" customHeight="1">
      <c r="A233" s="52" t="s">
        <v>46</v>
      </c>
      <c r="B233" s="321" t="str">
        <f t="shared" si="35"/>
        <v>Unmetered Scattered Load.Rural and Remote Rate Protection (RRRP)</v>
      </c>
      <c r="C233" s="321" t="s">
        <v>263</v>
      </c>
      <c r="D233" s="307" t="s">
        <v>229</v>
      </c>
      <c r="E233" s="306">
        <v>1.5E-3</v>
      </c>
      <c r="F233" s="355">
        <v>5.9999999999999995E-4</v>
      </c>
      <c r="G233" s="355">
        <v>5.9999999999999995E-4</v>
      </c>
      <c r="H233" s="355">
        <v>5.9999999999999995E-4</v>
      </c>
      <c r="I233" s="355">
        <v>5.9999999999999995E-4</v>
      </c>
      <c r="J233" s="355">
        <v>5.9999999999999995E-4</v>
      </c>
      <c r="K233" s="3"/>
      <c r="L233" s="3"/>
      <c r="M233" s="3"/>
      <c r="N233" s="3"/>
      <c r="O233" s="3"/>
      <c r="P233" s="3"/>
      <c r="Q233" s="3"/>
      <c r="R233" s="3"/>
      <c r="S233" s="3"/>
      <c r="T233" s="3"/>
      <c r="U233" s="3"/>
      <c r="V233" s="3"/>
      <c r="W233" s="3"/>
      <c r="X233" s="3"/>
      <c r="Y233" s="3"/>
      <c r="Z233" s="3"/>
    </row>
    <row r="234" spans="1:26" ht="12" customHeight="1">
      <c r="A234" s="52" t="s">
        <v>46</v>
      </c>
      <c r="B234" s="321" t="str">
        <f t="shared" si="35"/>
        <v>Standby Power General Service 50 to 1,499 KW.Rural and Remote Rate Protection (RRRP)</v>
      </c>
      <c r="C234" s="321" t="s">
        <v>263</v>
      </c>
      <c r="D234" s="307" t="s">
        <v>230</v>
      </c>
      <c r="E234" s="306">
        <v>1.5E-3</v>
      </c>
      <c r="F234" s="355">
        <v>5.9999999999999995E-4</v>
      </c>
      <c r="G234" s="355">
        <v>5.9999999999999995E-4</v>
      </c>
      <c r="H234" s="355">
        <v>5.9999999999999995E-4</v>
      </c>
      <c r="I234" s="355">
        <v>5.9999999999999995E-4</v>
      </c>
      <c r="J234" s="355">
        <v>5.9999999999999995E-4</v>
      </c>
      <c r="K234" s="3"/>
      <c r="L234" s="3"/>
      <c r="M234" s="3"/>
      <c r="N234" s="3"/>
      <c r="O234" s="3"/>
      <c r="P234" s="3"/>
      <c r="Q234" s="3"/>
      <c r="R234" s="3"/>
      <c r="S234" s="3"/>
      <c r="T234" s="3"/>
      <c r="U234" s="3"/>
      <c r="V234" s="3"/>
      <c r="W234" s="3"/>
      <c r="X234" s="3"/>
      <c r="Y234" s="3"/>
      <c r="Z234" s="3"/>
    </row>
    <row r="235" spans="1:26" ht="12" customHeight="1">
      <c r="A235" s="52" t="s">
        <v>46</v>
      </c>
      <c r="B235" s="321" t="str">
        <f t="shared" si="35"/>
        <v>Standby Power General Service 1,500 to 4,999 KW.Rural and Remote Rate Protection (RRRP)</v>
      </c>
      <c r="C235" s="321" t="s">
        <v>263</v>
      </c>
      <c r="D235" s="307" t="s">
        <v>231</v>
      </c>
      <c r="E235" s="306">
        <v>1.5E-3</v>
      </c>
      <c r="F235" s="355">
        <v>5.9999999999999995E-4</v>
      </c>
      <c r="G235" s="355">
        <v>5.9999999999999995E-4</v>
      </c>
      <c r="H235" s="355">
        <v>5.9999999999999995E-4</v>
      </c>
      <c r="I235" s="355">
        <v>5.9999999999999995E-4</v>
      </c>
      <c r="J235" s="355">
        <v>5.9999999999999995E-4</v>
      </c>
      <c r="K235" s="3"/>
      <c r="L235" s="3"/>
      <c r="M235" s="3"/>
      <c r="N235" s="3"/>
      <c r="O235" s="3"/>
      <c r="P235" s="3"/>
      <c r="Q235" s="3"/>
      <c r="R235" s="3"/>
      <c r="S235" s="3"/>
      <c r="T235" s="3"/>
      <c r="U235" s="3"/>
      <c r="V235" s="3"/>
      <c r="W235" s="3"/>
      <c r="X235" s="3"/>
      <c r="Y235" s="3"/>
      <c r="Z235" s="3"/>
    </row>
    <row r="236" spans="1:26" ht="12" customHeight="1">
      <c r="A236" s="52" t="s">
        <v>46</v>
      </c>
      <c r="B236" s="321" t="str">
        <f t="shared" si="35"/>
        <v>Standby Power Large Use.Rural and Remote Rate Protection (RRRP)</v>
      </c>
      <c r="C236" s="321" t="s">
        <v>263</v>
      </c>
      <c r="D236" s="307" t="s">
        <v>232</v>
      </c>
      <c r="E236" s="306">
        <v>1.5E-3</v>
      </c>
      <c r="F236" s="355">
        <v>5.9999999999999995E-4</v>
      </c>
      <c r="G236" s="355">
        <v>5.9999999999999995E-4</v>
      </c>
      <c r="H236" s="355">
        <v>5.9999999999999995E-4</v>
      </c>
      <c r="I236" s="355">
        <v>5.9999999999999995E-4</v>
      </c>
      <c r="J236" s="355">
        <v>5.9999999999999995E-4</v>
      </c>
      <c r="K236" s="3"/>
      <c r="L236" s="3"/>
      <c r="M236" s="3"/>
      <c r="N236" s="3"/>
      <c r="O236" s="3"/>
      <c r="P236" s="3"/>
      <c r="Q236" s="3"/>
      <c r="R236" s="3"/>
      <c r="S236" s="3"/>
      <c r="T236" s="3"/>
      <c r="U236" s="3"/>
      <c r="V236" s="3"/>
      <c r="W236" s="3"/>
      <c r="X236" s="3"/>
      <c r="Y236" s="3"/>
      <c r="Z236" s="3"/>
    </row>
    <row r="237" spans="1:26" ht="12" customHeight="1">
      <c r="A237" s="52"/>
      <c r="B237" s="321"/>
      <c r="C237" s="321"/>
      <c r="D237" s="307"/>
      <c r="E237" s="306"/>
      <c r="F237" s="176"/>
      <c r="G237" s="176"/>
      <c r="H237" s="176"/>
      <c r="I237" s="176"/>
      <c r="J237" s="176"/>
      <c r="K237" s="3"/>
      <c r="L237" s="3"/>
      <c r="M237" s="3"/>
      <c r="N237" s="3"/>
      <c r="O237" s="3"/>
      <c r="P237" s="3"/>
      <c r="Q237" s="3"/>
      <c r="R237" s="3"/>
      <c r="S237" s="3"/>
      <c r="T237" s="3"/>
      <c r="U237" s="3"/>
      <c r="V237" s="3"/>
      <c r="W237" s="3"/>
      <c r="X237" s="3"/>
      <c r="Y237" s="3"/>
      <c r="Z237" s="3"/>
    </row>
    <row r="238" spans="1:26" ht="12" customHeight="1">
      <c r="A238" s="3"/>
      <c r="B238" s="307"/>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 customHeight="1">
      <c r="A239" s="3"/>
      <c r="B239" s="52"/>
      <c r="C239" s="318" t="s">
        <v>264</v>
      </c>
      <c r="D239" s="3"/>
      <c r="E239" s="319" t="s">
        <v>218</v>
      </c>
      <c r="F239" s="320" t="str">
        <f t="shared" ref="F239:J239" si="36">F$4</f>
        <v>2026F</v>
      </c>
      <c r="G239" s="320" t="str">
        <f t="shared" si="36"/>
        <v>2027F</v>
      </c>
      <c r="H239" s="320" t="str">
        <f t="shared" si="36"/>
        <v>2028F</v>
      </c>
      <c r="I239" s="320" t="str">
        <f t="shared" si="36"/>
        <v>2029F</v>
      </c>
      <c r="J239" s="320" t="str">
        <f t="shared" si="36"/>
        <v>2030F</v>
      </c>
      <c r="K239" s="3"/>
      <c r="L239" s="3"/>
      <c r="M239" s="3"/>
      <c r="N239" s="3"/>
      <c r="O239" s="3"/>
      <c r="P239" s="3"/>
      <c r="Q239" s="3"/>
      <c r="R239" s="3"/>
      <c r="S239" s="3"/>
      <c r="T239" s="3"/>
      <c r="U239" s="3"/>
      <c r="V239" s="3"/>
      <c r="W239" s="3"/>
      <c r="X239" s="3"/>
      <c r="Y239" s="3"/>
      <c r="Z239" s="3"/>
    </row>
    <row r="240" spans="1:26" ht="12" customHeight="1">
      <c r="A240" s="52" t="s">
        <v>242</v>
      </c>
      <c r="B240" s="321" t="str">
        <f t="shared" ref="B240:B250" si="37">D240&amp;"."&amp;C240</f>
        <v>Residential.Standard Supply Service Charge</v>
      </c>
      <c r="C240" s="321" t="s">
        <v>264</v>
      </c>
      <c r="D240" s="307" t="s">
        <v>222</v>
      </c>
      <c r="E240" s="306">
        <v>0.25</v>
      </c>
      <c r="F240" s="306">
        <v>0.25</v>
      </c>
      <c r="G240" s="306">
        <v>0.25</v>
      </c>
      <c r="H240" s="306">
        <v>0.25</v>
      </c>
      <c r="I240" s="306">
        <v>0.25</v>
      </c>
      <c r="J240" s="306">
        <v>0.25</v>
      </c>
      <c r="K240" s="3"/>
      <c r="L240" s="3"/>
      <c r="M240" s="3"/>
      <c r="N240" s="3"/>
      <c r="O240" s="3"/>
      <c r="P240" s="3"/>
      <c r="Q240" s="3"/>
      <c r="R240" s="3"/>
      <c r="S240" s="3"/>
      <c r="T240" s="3"/>
      <c r="U240" s="3"/>
      <c r="V240" s="3"/>
      <c r="W240" s="3"/>
      <c r="X240" s="3"/>
      <c r="Y240" s="3"/>
      <c r="Z240" s="3"/>
    </row>
    <row r="241" spans="1:26" ht="12" customHeight="1">
      <c r="A241" s="52" t="s">
        <v>242</v>
      </c>
      <c r="B241" s="321" t="str">
        <f t="shared" si="37"/>
        <v>General Service &lt; 50 kW.Standard Supply Service Charge</v>
      </c>
      <c r="C241" s="321" t="s">
        <v>264</v>
      </c>
      <c r="D241" s="307" t="s">
        <v>223</v>
      </c>
      <c r="E241" s="306">
        <v>0.25</v>
      </c>
      <c r="F241" s="306">
        <v>0.25</v>
      </c>
      <c r="G241" s="306">
        <v>0.25</v>
      </c>
      <c r="H241" s="306">
        <v>0.25</v>
      </c>
      <c r="I241" s="306">
        <v>0.25</v>
      </c>
      <c r="J241" s="306">
        <v>0.25</v>
      </c>
      <c r="K241" s="3"/>
      <c r="L241" s="3"/>
      <c r="M241" s="3"/>
      <c r="N241" s="3"/>
      <c r="O241" s="3"/>
      <c r="P241" s="3"/>
      <c r="Q241" s="3"/>
      <c r="R241" s="3"/>
      <c r="S241" s="3"/>
      <c r="T241" s="3"/>
      <c r="U241" s="3"/>
      <c r="V241" s="3"/>
      <c r="W241" s="3"/>
      <c r="X241" s="3"/>
      <c r="Y241" s="3"/>
      <c r="Z241" s="3"/>
    </row>
    <row r="242" spans="1:26" ht="12" customHeight="1">
      <c r="A242" s="52" t="s">
        <v>242</v>
      </c>
      <c r="B242" s="321" t="str">
        <f t="shared" si="37"/>
        <v>General Service 50 to 1,499 KW.Standard Supply Service Charge</v>
      </c>
      <c r="C242" s="321" t="s">
        <v>264</v>
      </c>
      <c r="D242" s="307" t="s">
        <v>224</v>
      </c>
      <c r="E242" s="306">
        <v>0.25</v>
      </c>
      <c r="F242" s="306">
        <v>0.25</v>
      </c>
      <c r="G242" s="306">
        <v>0.25</v>
      </c>
      <c r="H242" s="306">
        <v>0.25</v>
      </c>
      <c r="I242" s="306">
        <v>0.25</v>
      </c>
      <c r="J242" s="306">
        <v>0.25</v>
      </c>
      <c r="K242" s="3"/>
      <c r="L242" s="3"/>
      <c r="M242" s="3"/>
      <c r="N242" s="3"/>
      <c r="O242" s="3"/>
      <c r="P242" s="3"/>
      <c r="Q242" s="3"/>
      <c r="R242" s="3"/>
      <c r="S242" s="3"/>
      <c r="T242" s="3"/>
      <c r="U242" s="3"/>
      <c r="V242" s="3"/>
      <c r="W242" s="3"/>
      <c r="X242" s="3"/>
      <c r="Y242" s="3"/>
      <c r="Z242" s="3"/>
    </row>
    <row r="243" spans="1:26" ht="12" customHeight="1">
      <c r="A243" s="52" t="s">
        <v>242</v>
      </c>
      <c r="B243" s="321" t="str">
        <f t="shared" si="37"/>
        <v>General Service 1,500 to 4,999 KW.Standard Supply Service Charge</v>
      </c>
      <c r="C243" s="321" t="s">
        <v>264</v>
      </c>
      <c r="D243" s="307" t="s">
        <v>225</v>
      </c>
      <c r="E243" s="306">
        <v>0.25</v>
      </c>
      <c r="F243" s="306">
        <v>0.25</v>
      </c>
      <c r="G243" s="306">
        <v>0.25</v>
      </c>
      <c r="H243" s="306">
        <v>0.25</v>
      </c>
      <c r="I243" s="306">
        <v>0.25</v>
      </c>
      <c r="J243" s="306">
        <v>0.25</v>
      </c>
      <c r="K243" s="3"/>
      <c r="L243" s="3"/>
      <c r="M243" s="3"/>
      <c r="N243" s="3"/>
      <c r="O243" s="3"/>
      <c r="P243" s="3"/>
      <c r="Q243" s="3"/>
      <c r="R243" s="3"/>
      <c r="S243" s="3"/>
      <c r="T243" s="3"/>
      <c r="U243" s="3"/>
      <c r="V243" s="3"/>
      <c r="W243" s="3"/>
      <c r="X243" s="3"/>
      <c r="Y243" s="3"/>
      <c r="Z243" s="3"/>
    </row>
    <row r="244" spans="1:26" ht="12" customHeight="1">
      <c r="A244" s="52" t="s">
        <v>242</v>
      </c>
      <c r="B244" s="321" t="str">
        <f t="shared" si="37"/>
        <v>Large User.Standard Supply Service Charge</v>
      </c>
      <c r="C244" s="321" t="s">
        <v>264</v>
      </c>
      <c r="D244" s="307" t="s">
        <v>226</v>
      </c>
      <c r="E244" s="306">
        <v>0.25</v>
      </c>
      <c r="F244" s="306">
        <v>0.25</v>
      </c>
      <c r="G244" s="306">
        <v>0.25</v>
      </c>
      <c r="H244" s="306">
        <v>0.25</v>
      </c>
      <c r="I244" s="306">
        <v>0.25</v>
      </c>
      <c r="J244" s="306">
        <v>0.25</v>
      </c>
      <c r="K244" s="3"/>
      <c r="L244" s="3"/>
      <c r="M244" s="3"/>
      <c r="N244" s="3"/>
      <c r="O244" s="3"/>
      <c r="P244" s="3"/>
      <c r="Q244" s="3"/>
      <c r="R244" s="3"/>
      <c r="S244" s="3"/>
      <c r="T244" s="3"/>
      <c r="U244" s="3"/>
      <c r="V244" s="3"/>
      <c r="W244" s="3"/>
      <c r="X244" s="3"/>
      <c r="Y244" s="3"/>
      <c r="Z244" s="3"/>
    </row>
    <row r="245" spans="1:26" ht="12" customHeight="1">
      <c r="A245" s="52" t="s">
        <v>242</v>
      </c>
      <c r="B245" s="321" t="str">
        <f t="shared" si="37"/>
        <v>Street Light.Standard Supply Service Charge</v>
      </c>
      <c r="C245" s="321" t="s">
        <v>264</v>
      </c>
      <c r="D245" s="307" t="s">
        <v>227</v>
      </c>
      <c r="E245" s="306">
        <v>0.25</v>
      </c>
      <c r="F245" s="306">
        <v>0.25</v>
      </c>
      <c r="G245" s="306">
        <v>0.25</v>
      </c>
      <c r="H245" s="306">
        <v>0.25</v>
      </c>
      <c r="I245" s="306">
        <v>0.25</v>
      </c>
      <c r="J245" s="306">
        <v>0.25</v>
      </c>
      <c r="K245" s="3"/>
      <c r="L245" s="3"/>
      <c r="M245" s="3"/>
      <c r="N245" s="3"/>
      <c r="O245" s="3"/>
      <c r="P245" s="3"/>
      <c r="Q245" s="3"/>
      <c r="R245" s="3"/>
      <c r="S245" s="3"/>
      <c r="T245" s="3"/>
      <c r="U245" s="3"/>
      <c r="V245" s="3"/>
      <c r="W245" s="3"/>
      <c r="X245" s="3"/>
      <c r="Y245" s="3"/>
      <c r="Z245" s="3"/>
    </row>
    <row r="246" spans="1:26" ht="12" customHeight="1">
      <c r="A246" s="52" t="s">
        <v>242</v>
      </c>
      <c r="B246" s="321" t="str">
        <f t="shared" si="37"/>
        <v>Sentinel Lights.Standard Supply Service Charge</v>
      </c>
      <c r="C246" s="321" t="s">
        <v>264</v>
      </c>
      <c r="D246" s="307" t="s">
        <v>228</v>
      </c>
      <c r="E246" s="306">
        <v>0.25</v>
      </c>
      <c r="F246" s="306">
        <v>0.25</v>
      </c>
      <c r="G246" s="306">
        <v>0.25</v>
      </c>
      <c r="H246" s="306">
        <v>0.25</v>
      </c>
      <c r="I246" s="306">
        <v>0.25</v>
      </c>
      <c r="J246" s="306">
        <v>0.25</v>
      </c>
      <c r="K246" s="3"/>
      <c r="L246" s="3"/>
      <c r="M246" s="3"/>
      <c r="N246" s="3"/>
      <c r="O246" s="3"/>
      <c r="P246" s="3"/>
      <c r="Q246" s="3"/>
      <c r="R246" s="3"/>
      <c r="S246" s="3"/>
      <c r="T246" s="3"/>
      <c r="U246" s="3"/>
      <c r="V246" s="3"/>
      <c r="W246" s="3"/>
      <c r="X246" s="3"/>
      <c r="Y246" s="3"/>
      <c r="Z246" s="3"/>
    </row>
    <row r="247" spans="1:26" ht="12" customHeight="1">
      <c r="A247" s="52" t="s">
        <v>242</v>
      </c>
      <c r="B247" s="321" t="str">
        <f t="shared" si="37"/>
        <v>Unmetered Scattered Load.Standard Supply Service Charge</v>
      </c>
      <c r="C247" s="321" t="s">
        <v>264</v>
      </c>
      <c r="D247" s="307" t="s">
        <v>229</v>
      </c>
      <c r="E247" s="306">
        <v>0.25</v>
      </c>
      <c r="F247" s="306">
        <v>0.25</v>
      </c>
      <c r="G247" s="306">
        <v>0.25</v>
      </c>
      <c r="H247" s="306">
        <v>0.25</v>
      </c>
      <c r="I247" s="306">
        <v>0.25</v>
      </c>
      <c r="J247" s="306">
        <v>0.25</v>
      </c>
      <c r="K247" s="3"/>
      <c r="L247" s="3"/>
      <c r="M247" s="3"/>
      <c r="N247" s="3"/>
      <c r="O247" s="3"/>
      <c r="P247" s="3"/>
      <c r="Q247" s="3"/>
      <c r="R247" s="3"/>
      <c r="S247" s="3"/>
      <c r="T247" s="3"/>
      <c r="U247" s="3"/>
      <c r="V247" s="3"/>
      <c r="W247" s="3"/>
      <c r="X247" s="3"/>
      <c r="Y247" s="3"/>
      <c r="Z247" s="3"/>
    </row>
    <row r="248" spans="1:26" ht="12" customHeight="1">
      <c r="A248" s="52" t="s">
        <v>242</v>
      </c>
      <c r="B248" s="321" t="str">
        <f t="shared" si="37"/>
        <v>Standby Power General Service 50 to 1,499 KW.Standard Supply Service Charge</v>
      </c>
      <c r="C248" s="321" t="s">
        <v>264</v>
      </c>
      <c r="D248" s="307" t="s">
        <v>230</v>
      </c>
      <c r="E248" s="306">
        <v>0.25</v>
      </c>
      <c r="F248" s="306">
        <v>0.25</v>
      </c>
      <c r="G248" s="306">
        <v>0.25</v>
      </c>
      <c r="H248" s="306">
        <v>0.25</v>
      </c>
      <c r="I248" s="306">
        <v>0.25</v>
      </c>
      <c r="J248" s="306">
        <v>0.25</v>
      </c>
      <c r="K248" s="3"/>
      <c r="L248" s="3"/>
      <c r="M248" s="3"/>
      <c r="N248" s="3"/>
      <c r="O248" s="3"/>
      <c r="P248" s="3"/>
      <c r="Q248" s="3"/>
      <c r="R248" s="3"/>
      <c r="S248" s="3"/>
      <c r="T248" s="3"/>
      <c r="U248" s="3"/>
      <c r="V248" s="3"/>
      <c r="W248" s="3"/>
      <c r="X248" s="3"/>
      <c r="Y248" s="3"/>
      <c r="Z248" s="3"/>
    </row>
    <row r="249" spans="1:26" ht="12" customHeight="1">
      <c r="A249" s="52" t="s">
        <v>242</v>
      </c>
      <c r="B249" s="321" t="str">
        <f t="shared" si="37"/>
        <v>Standby Power General Service 1,500 to 4,999 KW.Standard Supply Service Charge</v>
      </c>
      <c r="C249" s="321" t="s">
        <v>264</v>
      </c>
      <c r="D249" s="307" t="s">
        <v>231</v>
      </c>
      <c r="E249" s="306">
        <v>0.25</v>
      </c>
      <c r="F249" s="306">
        <v>0.25</v>
      </c>
      <c r="G249" s="306">
        <v>0.25</v>
      </c>
      <c r="H249" s="306">
        <v>0.25</v>
      </c>
      <c r="I249" s="306">
        <v>0.25</v>
      </c>
      <c r="J249" s="306">
        <v>0.25</v>
      </c>
      <c r="K249" s="3"/>
      <c r="L249" s="3"/>
      <c r="M249" s="3"/>
      <c r="N249" s="3"/>
      <c r="O249" s="3"/>
      <c r="P249" s="3"/>
      <c r="Q249" s="3"/>
      <c r="R249" s="3"/>
      <c r="S249" s="3"/>
      <c r="T249" s="3"/>
      <c r="U249" s="3"/>
      <c r="V249" s="3"/>
      <c r="W249" s="3"/>
      <c r="X249" s="3"/>
      <c r="Y249" s="3"/>
      <c r="Z249" s="3"/>
    </row>
    <row r="250" spans="1:26" ht="12" customHeight="1">
      <c r="A250" s="52" t="s">
        <v>242</v>
      </c>
      <c r="B250" s="321" t="str">
        <f t="shared" si="37"/>
        <v>Standby Power Large Use.Standard Supply Service Charge</v>
      </c>
      <c r="C250" s="321" t="s">
        <v>264</v>
      </c>
      <c r="D250" s="307" t="s">
        <v>232</v>
      </c>
      <c r="E250" s="306">
        <v>0.25</v>
      </c>
      <c r="F250" s="306">
        <v>0.25</v>
      </c>
      <c r="G250" s="306">
        <v>0.25</v>
      </c>
      <c r="H250" s="306">
        <v>0.25</v>
      </c>
      <c r="I250" s="306">
        <v>0.25</v>
      </c>
      <c r="J250" s="306">
        <v>0.25</v>
      </c>
      <c r="K250" s="3"/>
      <c r="L250" s="3"/>
      <c r="M250" s="3"/>
      <c r="N250" s="3"/>
      <c r="O250" s="3"/>
      <c r="P250" s="3"/>
      <c r="Q250" s="3"/>
      <c r="R250" s="3"/>
      <c r="S250" s="3"/>
      <c r="T250" s="3"/>
      <c r="U250" s="3"/>
      <c r="V250" s="3"/>
      <c r="W250" s="3"/>
      <c r="X250" s="3"/>
      <c r="Y250" s="3"/>
      <c r="Z250" s="3"/>
    </row>
    <row r="251" spans="1:26" ht="12" customHeight="1">
      <c r="A251" s="52"/>
      <c r="B251" s="52"/>
      <c r="C251" s="52"/>
      <c r="D251" s="307"/>
      <c r="E251" s="356"/>
      <c r="F251" s="339"/>
      <c r="G251" s="357"/>
      <c r="H251" s="339"/>
      <c r="I251" s="339"/>
      <c r="J251" s="339"/>
      <c r="K251" s="3"/>
      <c r="L251" s="3"/>
      <c r="M251" s="3"/>
      <c r="N251" s="3"/>
      <c r="O251" s="3"/>
      <c r="P251" s="3"/>
      <c r="Q251" s="3"/>
      <c r="R251" s="3"/>
      <c r="S251" s="3"/>
      <c r="T251" s="3"/>
      <c r="U251" s="3"/>
      <c r="V251" s="3"/>
      <c r="W251" s="3"/>
      <c r="X251" s="3"/>
      <c r="Y251" s="3"/>
      <c r="Z251" s="3"/>
    </row>
    <row r="252" spans="1:26" ht="12" customHeight="1">
      <c r="A252" s="52"/>
      <c r="B252" s="307"/>
      <c r="C252" s="318" t="s">
        <v>265</v>
      </c>
      <c r="D252" s="3"/>
      <c r="E252" s="319" t="s">
        <v>218</v>
      </c>
      <c r="F252" s="320" t="str">
        <f t="shared" ref="F252:J252" si="38">F$4</f>
        <v>2026F</v>
      </c>
      <c r="G252" s="320" t="str">
        <f t="shared" si="38"/>
        <v>2027F</v>
      </c>
      <c r="H252" s="320" t="str">
        <f t="shared" si="38"/>
        <v>2028F</v>
      </c>
      <c r="I252" s="320" t="str">
        <f t="shared" si="38"/>
        <v>2029F</v>
      </c>
      <c r="J252" s="320" t="str">
        <f t="shared" si="38"/>
        <v>2030F</v>
      </c>
      <c r="K252" s="358" t="s">
        <v>104</v>
      </c>
      <c r="L252" s="3"/>
      <c r="M252" s="3"/>
      <c r="N252" s="3"/>
      <c r="O252" s="3"/>
      <c r="P252" s="3"/>
      <c r="Q252" s="3"/>
      <c r="R252" s="3"/>
      <c r="S252" s="3"/>
      <c r="T252" s="3"/>
      <c r="U252" s="3"/>
      <c r="V252" s="3"/>
      <c r="W252" s="3"/>
      <c r="X252" s="3"/>
      <c r="Y252" s="3"/>
      <c r="Z252" s="3"/>
    </row>
    <row r="253" spans="1:26" ht="12" customHeight="1">
      <c r="A253" s="52"/>
      <c r="B253" s="321" t="str">
        <f t="shared" ref="B253:B259" si="39">D253&amp;"."&amp;C253</f>
        <v>TOU - Off Peak.TOU - Off Peak</v>
      </c>
      <c r="C253" s="321" t="s">
        <v>266</v>
      </c>
      <c r="D253" s="307" t="s">
        <v>266</v>
      </c>
      <c r="E253" s="306">
        <v>9.8000000000000004E-2</v>
      </c>
      <c r="F253" s="176">
        <v>9.8000000000000004E-2</v>
      </c>
      <c r="G253" s="176">
        <v>9.8000000000000004E-2</v>
      </c>
      <c r="H253" s="176">
        <v>9.8000000000000004E-2</v>
      </c>
      <c r="I253" s="176">
        <v>9.8000000000000004E-2</v>
      </c>
      <c r="J253" s="176">
        <v>9.8000000000000004E-2</v>
      </c>
      <c r="K253" s="359">
        <v>0.64</v>
      </c>
      <c r="L253" s="3"/>
      <c r="M253" s="3"/>
      <c r="N253" s="3"/>
      <c r="O253" s="3"/>
      <c r="P253" s="3"/>
      <c r="Q253" s="3"/>
      <c r="R253" s="3"/>
      <c r="S253" s="3"/>
      <c r="T253" s="3"/>
      <c r="U253" s="3"/>
      <c r="V253" s="3"/>
      <c r="W253" s="3"/>
      <c r="X253" s="3"/>
      <c r="Y253" s="3"/>
      <c r="Z253" s="3"/>
    </row>
    <row r="254" spans="1:26" ht="12" customHeight="1">
      <c r="A254" s="52"/>
      <c r="B254" s="321" t="str">
        <f t="shared" si="39"/>
        <v>TOU - Mid Peak.TOU - Mid Peak</v>
      </c>
      <c r="C254" s="321" t="s">
        <v>267</v>
      </c>
      <c r="D254" s="307" t="s">
        <v>267</v>
      </c>
      <c r="E254" s="306">
        <v>0.157</v>
      </c>
      <c r="F254" s="176">
        <v>0.157</v>
      </c>
      <c r="G254" s="176">
        <v>0.157</v>
      </c>
      <c r="H254" s="176">
        <v>0.157</v>
      </c>
      <c r="I254" s="176">
        <v>0.157</v>
      </c>
      <c r="J254" s="176">
        <v>0.157</v>
      </c>
      <c r="K254" s="359">
        <v>0.18</v>
      </c>
      <c r="L254" s="3"/>
      <c r="M254" s="3"/>
      <c r="N254" s="3"/>
      <c r="O254" s="3"/>
      <c r="P254" s="3"/>
      <c r="Q254" s="3"/>
      <c r="R254" s="3"/>
      <c r="S254" s="3"/>
      <c r="T254" s="3"/>
      <c r="U254" s="3"/>
      <c r="V254" s="3"/>
      <c r="W254" s="3"/>
      <c r="X254" s="3"/>
      <c r="Y254" s="3"/>
      <c r="Z254" s="3"/>
    </row>
    <row r="255" spans="1:26" ht="12" customHeight="1">
      <c r="A255" s="52"/>
      <c r="B255" s="321" t="str">
        <f t="shared" si="39"/>
        <v>TOU - On Peak.TOU - On Peak</v>
      </c>
      <c r="C255" s="321" t="s">
        <v>268</v>
      </c>
      <c r="D255" s="307" t="s">
        <v>268</v>
      </c>
      <c r="E255" s="306">
        <v>0.20300000000000001</v>
      </c>
      <c r="F255" s="176">
        <v>0.20300000000000001</v>
      </c>
      <c r="G255" s="176">
        <v>0.20300000000000001</v>
      </c>
      <c r="H255" s="176">
        <v>0.20300000000000001</v>
      </c>
      <c r="I255" s="176">
        <v>0.20300000000000001</v>
      </c>
      <c r="J255" s="176">
        <v>0.20300000000000001</v>
      </c>
      <c r="K255" s="359">
        <v>0.18</v>
      </c>
      <c r="L255" s="3"/>
      <c r="M255" s="3"/>
      <c r="N255" s="3"/>
      <c r="O255" s="3"/>
      <c r="P255" s="3"/>
      <c r="Q255" s="3"/>
      <c r="R255" s="3"/>
      <c r="S255" s="3"/>
      <c r="T255" s="3"/>
      <c r="U255" s="3"/>
      <c r="V255" s="3"/>
      <c r="W255" s="3"/>
      <c r="X255" s="3"/>
      <c r="Y255" s="3"/>
      <c r="Z255" s="3"/>
    </row>
    <row r="256" spans="1:26" ht="12" customHeight="1">
      <c r="A256" s="52"/>
      <c r="B256" s="321" t="str">
        <f t="shared" si="39"/>
        <v>.</v>
      </c>
      <c r="C256" s="321"/>
      <c r="D256" s="307"/>
      <c r="E256" s="3"/>
      <c r="F256" s="52"/>
      <c r="G256" s="52"/>
      <c r="H256" s="52"/>
      <c r="I256" s="52"/>
      <c r="J256" s="52"/>
      <c r="K256" s="3"/>
      <c r="L256" s="3"/>
      <c r="M256" s="3"/>
      <c r="N256" s="3"/>
      <c r="O256" s="3"/>
      <c r="P256" s="3"/>
      <c r="Q256" s="3"/>
      <c r="R256" s="3"/>
      <c r="S256" s="3"/>
      <c r="T256" s="3"/>
      <c r="U256" s="3"/>
      <c r="V256" s="3"/>
      <c r="W256" s="3"/>
      <c r="X256" s="3"/>
      <c r="Y256" s="3"/>
      <c r="Z256" s="3"/>
    </row>
    <row r="257" spans="1:26" ht="12" customHeight="1">
      <c r="A257" s="52"/>
      <c r="B257" s="321" t="str">
        <f t="shared" si="39"/>
        <v>Energy - RPP - Tier 1.</v>
      </c>
      <c r="C257" s="321"/>
      <c r="D257" s="307" t="s">
        <v>269</v>
      </c>
      <c r="E257" s="306">
        <v>0.12</v>
      </c>
      <c r="F257" s="176">
        <v>0.12</v>
      </c>
      <c r="G257" s="176">
        <v>0.12</v>
      </c>
      <c r="H257" s="176">
        <v>0.12</v>
      </c>
      <c r="I257" s="176">
        <v>0.12</v>
      </c>
      <c r="J257" s="176">
        <v>0.12</v>
      </c>
      <c r="K257" s="3"/>
      <c r="L257" s="3"/>
      <c r="M257" s="3"/>
      <c r="N257" s="3"/>
      <c r="O257" s="3"/>
      <c r="P257" s="3"/>
      <c r="Q257" s="3"/>
      <c r="R257" s="3"/>
      <c r="S257" s="3"/>
      <c r="T257" s="3"/>
      <c r="U257" s="3"/>
      <c r="V257" s="3"/>
      <c r="W257" s="3"/>
      <c r="X257" s="3"/>
      <c r="Y257" s="3"/>
      <c r="Z257" s="3"/>
    </row>
    <row r="258" spans="1:26" ht="12" customHeight="1">
      <c r="A258" s="52"/>
      <c r="B258" s="321" t="str">
        <f t="shared" si="39"/>
        <v>Energy - RPP - Tier 2.</v>
      </c>
      <c r="C258" s="321"/>
      <c r="D258" s="307" t="s">
        <v>270</v>
      </c>
      <c r="E258" s="306">
        <v>0.14199999999999999</v>
      </c>
      <c r="F258" s="176">
        <v>0.14199999999999999</v>
      </c>
      <c r="G258" s="176">
        <v>0.14199999999999999</v>
      </c>
      <c r="H258" s="176">
        <v>0.14199999999999999</v>
      </c>
      <c r="I258" s="176">
        <v>0.14199999999999999</v>
      </c>
      <c r="J258" s="176">
        <v>0.14199999999999999</v>
      </c>
      <c r="K258" s="3"/>
      <c r="L258" s="3"/>
      <c r="M258" s="3"/>
      <c r="N258" s="3"/>
      <c r="O258" s="3"/>
      <c r="P258" s="3"/>
      <c r="Q258" s="3"/>
      <c r="R258" s="3"/>
      <c r="S258" s="3"/>
      <c r="T258" s="3"/>
      <c r="U258" s="3"/>
      <c r="V258" s="3"/>
      <c r="W258" s="3"/>
      <c r="X258" s="3"/>
      <c r="Y258" s="3"/>
      <c r="Z258" s="3"/>
    </row>
    <row r="259" spans="1:26" ht="12" customHeight="1">
      <c r="A259" s="52"/>
      <c r="B259" s="321" t="str">
        <f t="shared" si="39"/>
        <v>.</v>
      </c>
      <c r="C259" s="321"/>
      <c r="D259" s="307"/>
      <c r="E259" s="3"/>
      <c r="F259" s="52"/>
      <c r="G259" s="52"/>
      <c r="H259" s="52"/>
      <c r="I259" s="52"/>
      <c r="J259" s="52"/>
      <c r="K259" s="3"/>
      <c r="L259" s="3"/>
      <c r="M259" s="3"/>
      <c r="N259" s="3"/>
      <c r="O259" s="3"/>
      <c r="P259" s="3"/>
      <c r="Q259" s="3"/>
      <c r="R259" s="3"/>
      <c r="S259" s="3"/>
      <c r="T259" s="3"/>
      <c r="U259" s="3"/>
      <c r="V259" s="3"/>
      <c r="W259" s="3"/>
      <c r="X259" s="3"/>
      <c r="Y259" s="3"/>
      <c r="Z259" s="3"/>
    </row>
    <row r="260" spans="1:26" ht="12" customHeight="1">
      <c r="A260" s="52"/>
      <c r="B260" s="321" t="s">
        <v>271</v>
      </c>
      <c r="C260" s="321" t="s">
        <v>271</v>
      </c>
      <c r="D260" s="307" t="s">
        <v>271</v>
      </c>
      <c r="E260" s="360">
        <v>0.10453</v>
      </c>
      <c r="F260" s="360">
        <v>0.10453</v>
      </c>
      <c r="G260" s="360">
        <v>0.10453</v>
      </c>
      <c r="H260" s="360">
        <v>0.10453</v>
      </c>
      <c r="I260" s="360">
        <v>0.10453</v>
      </c>
      <c r="J260" s="360">
        <v>0.10453</v>
      </c>
      <c r="K260" s="3"/>
      <c r="L260" s="3"/>
      <c r="M260" s="3"/>
      <c r="N260" s="3"/>
      <c r="O260" s="3"/>
      <c r="P260" s="3"/>
      <c r="Q260" s="3"/>
      <c r="R260" s="3"/>
      <c r="S260" s="3"/>
      <c r="T260" s="3"/>
      <c r="U260" s="3"/>
      <c r="V260" s="3"/>
      <c r="W260" s="3"/>
      <c r="X260" s="3"/>
      <c r="Y260" s="3"/>
      <c r="Z260" s="3"/>
    </row>
    <row r="261" spans="1:26" ht="12" customHeight="1">
      <c r="A261" s="52"/>
      <c r="B261" s="361"/>
      <c r="C261" s="52"/>
      <c r="D261" s="307"/>
      <c r="E261" s="3"/>
      <c r="F261" s="3"/>
      <c r="G261" s="3"/>
      <c r="H261" s="3"/>
      <c r="I261" s="3"/>
      <c r="J261" s="3"/>
      <c r="K261" s="3"/>
      <c r="L261" s="3"/>
      <c r="M261" s="3"/>
      <c r="N261" s="3"/>
      <c r="O261" s="3"/>
      <c r="P261" s="3"/>
      <c r="Q261" s="3"/>
      <c r="R261" s="3"/>
      <c r="S261" s="3"/>
      <c r="T261" s="3"/>
      <c r="U261" s="3"/>
      <c r="V261" s="3"/>
      <c r="W261" s="3"/>
      <c r="X261" s="3"/>
      <c r="Y261" s="3"/>
      <c r="Z261" s="3"/>
    </row>
    <row r="262" spans="1:26" ht="12" customHeight="1">
      <c r="A262" s="52"/>
      <c r="B262" s="307"/>
      <c r="C262" s="3"/>
      <c r="D262" s="3"/>
      <c r="E262" s="3"/>
      <c r="F262" s="352"/>
      <c r="G262" s="3"/>
      <c r="H262" s="352"/>
      <c r="I262" s="52"/>
      <c r="J262" s="52"/>
      <c r="K262" s="52"/>
      <c r="L262" s="3"/>
      <c r="M262" s="3"/>
      <c r="N262" s="3"/>
      <c r="O262" s="3"/>
      <c r="P262" s="3"/>
      <c r="Q262" s="3"/>
      <c r="R262" s="3"/>
      <c r="S262" s="3"/>
      <c r="T262" s="3"/>
      <c r="U262" s="3"/>
      <c r="V262" s="3"/>
      <c r="W262" s="3"/>
      <c r="X262" s="3"/>
      <c r="Y262" s="3"/>
      <c r="Z262" s="3"/>
    </row>
    <row r="263" spans="1:26" ht="12" customHeight="1">
      <c r="A263" s="52"/>
      <c r="B263" s="52"/>
      <c r="C263" s="318" t="s">
        <v>272</v>
      </c>
      <c r="D263" s="3"/>
      <c r="E263" s="319" t="s">
        <v>218</v>
      </c>
      <c r="F263" s="320" t="str">
        <f t="shared" ref="F263:J263" si="40">F$4</f>
        <v>2026F</v>
      </c>
      <c r="G263" s="320" t="str">
        <f t="shared" si="40"/>
        <v>2027F</v>
      </c>
      <c r="H263" s="320" t="str">
        <f t="shared" si="40"/>
        <v>2028F</v>
      </c>
      <c r="I263" s="320" t="str">
        <f t="shared" si="40"/>
        <v>2029F</v>
      </c>
      <c r="J263" s="320" t="str">
        <f t="shared" si="40"/>
        <v>2030F</v>
      </c>
      <c r="K263" s="3"/>
      <c r="L263" s="3"/>
      <c r="M263" s="3"/>
      <c r="N263" s="3"/>
      <c r="O263" s="3"/>
      <c r="P263" s="3"/>
      <c r="Q263" s="3"/>
      <c r="R263" s="3"/>
      <c r="S263" s="3"/>
      <c r="T263" s="3"/>
      <c r="U263" s="3"/>
      <c r="V263" s="3"/>
      <c r="W263" s="3"/>
      <c r="X263" s="3"/>
      <c r="Y263" s="3"/>
      <c r="Z263" s="3"/>
    </row>
    <row r="264" spans="1:26" ht="12" customHeight="1">
      <c r="A264" s="52"/>
      <c r="B264" s="321" t="str">
        <f t="shared" ref="B264:B274" si="41">D264&amp;"."&amp;C264</f>
        <v>Residential.Low Voltage Service Charge</v>
      </c>
      <c r="C264" s="321" t="s">
        <v>273</v>
      </c>
      <c r="D264" s="307" t="s">
        <v>222</v>
      </c>
      <c r="E264" s="356">
        <v>5.0000000000000002E-5</v>
      </c>
      <c r="F264" s="342">
        <v>6.9999999999999994E-5</v>
      </c>
      <c r="G264" s="342">
        <v>6.9999999999999994E-5</v>
      </c>
      <c r="H264" s="342">
        <v>8.0000000000000007E-5</v>
      </c>
      <c r="I264" s="342">
        <v>8.0000000000000007E-5</v>
      </c>
      <c r="J264" s="342">
        <v>8.0000000000000007E-5</v>
      </c>
      <c r="K264" s="3"/>
      <c r="Q264" s="3"/>
      <c r="R264" s="3"/>
      <c r="S264" s="3"/>
      <c r="T264" s="3"/>
      <c r="U264" s="3"/>
      <c r="V264" s="3"/>
      <c r="W264" s="3"/>
      <c r="X264" s="3"/>
      <c r="Y264" s="3"/>
      <c r="Z264" s="3"/>
    </row>
    <row r="265" spans="1:26" ht="12" customHeight="1">
      <c r="A265" s="52"/>
      <c r="B265" s="321" t="str">
        <f t="shared" si="41"/>
        <v>General Service &lt; 50 kW.Low Voltage Service Charge</v>
      </c>
      <c r="C265" s="321" t="s">
        <v>273</v>
      </c>
      <c r="D265" s="307" t="s">
        <v>223</v>
      </c>
      <c r="E265" s="356">
        <v>5.0000000000000002E-5</v>
      </c>
      <c r="F265" s="362">
        <v>6.0000000000000002E-5</v>
      </c>
      <c r="G265" s="362">
        <v>6.0000000000000002E-5</v>
      </c>
      <c r="H265" s="342">
        <v>6.0000000000000002E-5</v>
      </c>
      <c r="I265" s="342">
        <v>6.0000000000000002E-5</v>
      </c>
      <c r="J265" s="342">
        <v>6.0000000000000002E-5</v>
      </c>
      <c r="K265" s="363"/>
      <c r="Q265" s="3"/>
      <c r="R265" s="3"/>
      <c r="S265" s="3"/>
      <c r="T265" s="3"/>
      <c r="U265" s="3"/>
      <c r="V265" s="3"/>
      <c r="W265" s="3"/>
      <c r="X265" s="3"/>
      <c r="Y265" s="3"/>
      <c r="Z265" s="3"/>
    </row>
    <row r="266" spans="1:26" ht="12" customHeight="1">
      <c r="A266" s="52"/>
      <c r="B266" s="321" t="str">
        <f t="shared" si="41"/>
        <v>General Service 50 to 1,499 KW.Low Voltage Service Charge</v>
      </c>
      <c r="C266" s="321" t="s">
        <v>273</v>
      </c>
      <c r="D266" s="307" t="s">
        <v>224</v>
      </c>
      <c r="E266" s="356">
        <v>2.0629999999999999E-2</v>
      </c>
      <c r="F266" s="342">
        <v>2.332E-2</v>
      </c>
      <c r="G266" s="342">
        <v>2.392E-2</v>
      </c>
      <c r="H266" s="342">
        <v>2.4209999999999999E-2</v>
      </c>
      <c r="I266" s="342">
        <v>2.46E-2</v>
      </c>
      <c r="J266" s="342">
        <v>2.504E-2</v>
      </c>
      <c r="K266" s="363"/>
      <c r="Q266" s="3"/>
      <c r="R266" s="3"/>
      <c r="S266" s="3"/>
      <c r="T266" s="3"/>
      <c r="U266" s="3"/>
      <c r="V266" s="3"/>
      <c r="W266" s="3"/>
      <c r="X266" s="3"/>
      <c r="Y266" s="3"/>
      <c r="Z266" s="3"/>
    </row>
    <row r="267" spans="1:26" ht="12" customHeight="1">
      <c r="A267" s="52"/>
      <c r="B267" s="321" t="str">
        <f t="shared" si="41"/>
        <v>General Service 1,500 to 4,999 KW.Low Voltage Service Charge</v>
      </c>
      <c r="C267" s="321" t="s">
        <v>273</v>
      </c>
      <c r="D267" s="307" t="s">
        <v>225</v>
      </c>
      <c r="E267" s="356">
        <v>2.2040000000000001E-2</v>
      </c>
      <c r="F267" s="342">
        <v>2.3130000000000001E-2</v>
      </c>
      <c r="G267" s="342">
        <v>2.3730000000000001E-2</v>
      </c>
      <c r="H267" s="342">
        <v>2.402E-2</v>
      </c>
      <c r="I267" s="342">
        <v>2.4410000000000001E-2</v>
      </c>
      <c r="J267" s="342">
        <v>2.4840000000000001E-2</v>
      </c>
      <c r="K267" s="363"/>
      <c r="Q267" s="3"/>
      <c r="R267" s="3"/>
      <c r="S267" s="3"/>
      <c r="T267" s="3"/>
      <c r="U267" s="3"/>
      <c r="V267" s="3"/>
      <c r="W267" s="3"/>
      <c r="X267" s="3"/>
      <c r="Y267" s="3"/>
      <c r="Z267" s="3"/>
    </row>
    <row r="268" spans="1:26" ht="12" customHeight="1">
      <c r="A268" s="52"/>
      <c r="B268" s="321" t="str">
        <f t="shared" si="41"/>
        <v>Large User.Low Voltage Service Charge</v>
      </c>
      <c r="C268" s="321" t="s">
        <v>273</v>
      </c>
      <c r="D268" s="307" t="s">
        <v>226</v>
      </c>
      <c r="E268" s="356">
        <v>2.4819999999999998E-2</v>
      </c>
      <c r="F268" s="342">
        <v>2.716E-2</v>
      </c>
      <c r="G268" s="342">
        <v>2.7869999999999999E-2</v>
      </c>
      <c r="H268" s="342">
        <v>2.8209999999999999E-2</v>
      </c>
      <c r="I268" s="342">
        <v>2.8660000000000001E-2</v>
      </c>
      <c r="J268" s="342">
        <v>2.9170000000000001E-2</v>
      </c>
      <c r="K268" s="363"/>
      <c r="Q268" s="3"/>
      <c r="R268" s="3"/>
      <c r="S268" s="3"/>
      <c r="T268" s="3"/>
      <c r="U268" s="3"/>
      <c r="V268" s="3"/>
      <c r="W268" s="3"/>
      <c r="X268" s="3"/>
      <c r="Y268" s="3"/>
      <c r="Z268" s="3"/>
    </row>
    <row r="269" spans="1:26" ht="12" customHeight="1">
      <c r="A269" s="52"/>
      <c r="B269" s="321" t="str">
        <f t="shared" si="41"/>
        <v>Street Light.Low Voltage Service Charge</v>
      </c>
      <c r="C269" s="321" t="s">
        <v>273</v>
      </c>
      <c r="D269" s="307" t="s">
        <v>227</v>
      </c>
      <c r="E269" s="356">
        <v>1.5640000000000001E-2</v>
      </c>
      <c r="F269" s="342">
        <v>1.099E-2</v>
      </c>
      <c r="G269" s="342">
        <v>1.1270000000000001E-2</v>
      </c>
      <c r="H269" s="342">
        <v>1.141E-2</v>
      </c>
      <c r="I269" s="342">
        <v>1.159E-2</v>
      </c>
      <c r="J269" s="342">
        <v>1.18E-2</v>
      </c>
      <c r="K269" s="363"/>
      <c r="Q269" s="3"/>
      <c r="R269" s="3"/>
      <c r="S269" s="3"/>
      <c r="T269" s="3"/>
      <c r="U269" s="3"/>
      <c r="V269" s="3"/>
      <c r="W269" s="3"/>
      <c r="X269" s="3"/>
      <c r="Y269" s="3"/>
      <c r="Z269" s="3"/>
    </row>
    <row r="270" spans="1:26" ht="12" customHeight="1">
      <c r="A270" s="52"/>
      <c r="B270" s="321" t="str">
        <f t="shared" si="41"/>
        <v>Sentinel Lights.Low Voltage Service Charge</v>
      </c>
      <c r="C270" s="321" t="s">
        <v>273</v>
      </c>
      <c r="D270" s="307" t="s">
        <v>228</v>
      </c>
      <c r="E270" s="356">
        <v>1.532E-2</v>
      </c>
      <c r="F270" s="342">
        <v>4.3499999999999997E-3</v>
      </c>
      <c r="G270" s="342">
        <v>4.4600000000000004E-3</v>
      </c>
      <c r="H270" s="342">
        <v>4.5199999999999997E-3</v>
      </c>
      <c r="I270" s="342">
        <v>4.5900000000000003E-3</v>
      </c>
      <c r="J270" s="342">
        <v>4.6699999999999997E-3</v>
      </c>
      <c r="K270" s="363"/>
      <c r="Q270" s="3"/>
      <c r="R270" s="3"/>
      <c r="S270" s="3"/>
      <c r="T270" s="3"/>
      <c r="U270" s="3"/>
      <c r="V270" s="3"/>
      <c r="W270" s="3"/>
      <c r="X270" s="3"/>
      <c r="Y270" s="3"/>
      <c r="Z270" s="3"/>
    </row>
    <row r="271" spans="1:26" ht="12" customHeight="1">
      <c r="A271" s="52"/>
      <c r="B271" s="321" t="str">
        <f t="shared" si="41"/>
        <v>Unmetered Scattered Load.Low Voltage Service Charge</v>
      </c>
      <c r="C271" s="321" t="s">
        <v>273</v>
      </c>
      <c r="D271" s="307" t="s">
        <v>229</v>
      </c>
      <c r="E271" s="356">
        <v>5.0000000000000002E-5</v>
      </c>
      <c r="F271" s="342">
        <v>4.0000000000000003E-5</v>
      </c>
      <c r="G271" s="342">
        <v>4.0000000000000003E-5</v>
      </c>
      <c r="H271" s="342">
        <v>4.0000000000000003E-5</v>
      </c>
      <c r="I271" s="342">
        <v>4.0000000000000003E-5</v>
      </c>
      <c r="J271" s="342">
        <v>4.0000000000000003E-5</v>
      </c>
      <c r="K271" s="363"/>
      <c r="Q271" s="3"/>
      <c r="R271" s="3"/>
      <c r="S271" s="3"/>
      <c r="T271" s="3"/>
      <c r="U271" s="3"/>
      <c r="V271" s="3"/>
      <c r="W271" s="3"/>
      <c r="X271" s="3"/>
      <c r="Y271" s="3"/>
      <c r="Z271" s="3"/>
    </row>
    <row r="272" spans="1:26" ht="12" customHeight="1">
      <c r="A272" s="52"/>
      <c r="B272" s="321" t="str">
        <f t="shared" si="41"/>
        <v>Standby Power General Service 50 to 1,499 KW.Low Voltage Service Charge</v>
      </c>
      <c r="C272" s="321" t="s">
        <v>273</v>
      </c>
      <c r="D272" s="307" t="s">
        <v>230</v>
      </c>
      <c r="E272" s="3"/>
      <c r="F272" s="339"/>
      <c r="G272" s="339"/>
      <c r="H272" s="3"/>
      <c r="I272" s="3"/>
      <c r="J272" s="3"/>
      <c r="K272" s="363"/>
      <c r="L272" s="3"/>
      <c r="M272" s="3"/>
      <c r="N272" s="3"/>
      <c r="O272" s="3"/>
      <c r="P272" s="3"/>
      <c r="Q272" s="3"/>
      <c r="R272" s="3"/>
      <c r="S272" s="3"/>
      <c r="T272" s="3"/>
      <c r="U272" s="3"/>
      <c r="V272" s="3"/>
      <c r="W272" s="3"/>
      <c r="X272" s="3"/>
      <c r="Y272" s="3"/>
      <c r="Z272" s="3"/>
    </row>
    <row r="273" spans="1:26" ht="12" customHeight="1">
      <c r="A273" s="52"/>
      <c r="B273" s="321" t="str">
        <f t="shared" si="41"/>
        <v>Standby Power General Service 1,500 to 4,999 KW.</v>
      </c>
      <c r="C273" s="321"/>
      <c r="D273" s="307" t="s">
        <v>231</v>
      </c>
      <c r="E273" s="3"/>
      <c r="F273" s="339"/>
      <c r="G273" s="3"/>
      <c r="H273" s="3"/>
      <c r="I273" s="3"/>
      <c r="J273" s="3"/>
      <c r="K273" s="363"/>
      <c r="L273" s="3"/>
      <c r="M273" s="3"/>
      <c r="N273" s="3"/>
      <c r="O273" s="3"/>
      <c r="P273" s="3"/>
      <c r="Q273" s="3"/>
      <c r="R273" s="3"/>
      <c r="S273" s="3"/>
      <c r="T273" s="3"/>
      <c r="U273" s="3"/>
      <c r="V273" s="3"/>
      <c r="W273" s="3"/>
      <c r="X273" s="3"/>
      <c r="Y273" s="3"/>
      <c r="Z273" s="3"/>
    </row>
    <row r="274" spans="1:26" ht="12" customHeight="1">
      <c r="A274" s="52"/>
      <c r="B274" s="321" t="str">
        <f t="shared" si="41"/>
        <v>Standby Power Large Use.</v>
      </c>
      <c r="C274" s="321"/>
      <c r="D274" s="307" t="s">
        <v>232</v>
      </c>
      <c r="E274" s="3"/>
      <c r="F274" s="339"/>
      <c r="G274" s="3"/>
      <c r="H274" s="3"/>
      <c r="I274" s="3"/>
      <c r="J274" s="3"/>
      <c r="K274" s="363"/>
      <c r="L274" s="3"/>
      <c r="M274" s="3"/>
      <c r="N274" s="3"/>
      <c r="O274" s="3"/>
      <c r="P274" s="3"/>
      <c r="Q274" s="3"/>
      <c r="R274" s="3"/>
      <c r="S274" s="3"/>
      <c r="T274" s="3"/>
      <c r="U274" s="3"/>
      <c r="V274" s="3"/>
      <c r="W274" s="3"/>
      <c r="X274" s="3"/>
      <c r="Y274" s="3"/>
      <c r="Z274" s="3"/>
    </row>
    <row r="275" spans="1:26" ht="12" customHeight="1">
      <c r="A275" s="52"/>
      <c r="B275" s="307"/>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 customHeight="1">
      <c r="A276" s="52"/>
      <c r="B276" s="52"/>
      <c r="C276" s="318" t="s">
        <v>274</v>
      </c>
      <c r="D276" s="3"/>
      <c r="E276" s="319" t="s">
        <v>218</v>
      </c>
      <c r="F276" s="320" t="str">
        <f t="shared" ref="F276:J276" si="42">F$4</f>
        <v>2026F</v>
      </c>
      <c r="G276" s="320" t="str">
        <f t="shared" si="42"/>
        <v>2027F</v>
      </c>
      <c r="H276" s="320" t="str">
        <f t="shared" si="42"/>
        <v>2028F</v>
      </c>
      <c r="I276" s="320" t="str">
        <f t="shared" si="42"/>
        <v>2029F</v>
      </c>
      <c r="J276" s="320" t="str">
        <f t="shared" si="42"/>
        <v>2030F</v>
      </c>
      <c r="K276" s="3"/>
      <c r="L276" s="3"/>
      <c r="M276" s="3"/>
      <c r="N276" s="3"/>
      <c r="O276" s="3"/>
      <c r="P276" s="3"/>
      <c r="Q276" s="3"/>
      <c r="R276" s="3"/>
      <c r="S276" s="3"/>
      <c r="T276" s="3"/>
      <c r="U276" s="3"/>
      <c r="V276" s="3"/>
      <c r="W276" s="3"/>
      <c r="X276" s="3"/>
      <c r="Y276" s="3"/>
      <c r="Z276" s="3"/>
    </row>
    <row r="277" spans="1:26" ht="12" customHeight="1">
      <c r="A277" s="52"/>
      <c r="B277" s="321" t="str">
        <f t="shared" ref="B277:B284" si="43">D277&amp;"."&amp;C277</f>
        <v>Residential.Smart Meter Entity Charge</v>
      </c>
      <c r="C277" s="321" t="s">
        <v>275</v>
      </c>
      <c r="D277" s="307" t="s">
        <v>222</v>
      </c>
      <c r="E277" s="364">
        <v>0.42</v>
      </c>
      <c r="F277" s="337">
        <v>0.42</v>
      </c>
      <c r="G277" s="337">
        <v>0.42</v>
      </c>
      <c r="H277" s="337">
        <v>0.43</v>
      </c>
      <c r="I277" s="337">
        <v>0.44</v>
      </c>
      <c r="J277" s="337">
        <v>0.45</v>
      </c>
      <c r="K277" s="3"/>
      <c r="L277" s="3"/>
      <c r="M277" s="3"/>
      <c r="N277" s="3"/>
      <c r="O277" s="3"/>
      <c r="P277" s="3"/>
      <c r="Q277" s="3"/>
      <c r="R277" s="3"/>
      <c r="S277" s="3"/>
      <c r="T277" s="3"/>
      <c r="U277" s="3"/>
      <c r="V277" s="3"/>
      <c r="W277" s="3"/>
      <c r="X277" s="3"/>
      <c r="Y277" s="3"/>
      <c r="Z277" s="3"/>
    </row>
    <row r="278" spans="1:26" ht="12" customHeight="1">
      <c r="A278" s="52"/>
      <c r="B278" s="321" t="str">
        <f t="shared" si="43"/>
        <v>General Service &lt; 50 kW.Smart Meter Entity Charge</v>
      </c>
      <c r="C278" s="321" t="s">
        <v>275</v>
      </c>
      <c r="D278" s="307" t="s">
        <v>223</v>
      </c>
      <c r="E278" s="364">
        <v>0.42</v>
      </c>
      <c r="F278" s="337">
        <v>0.42</v>
      </c>
      <c r="G278" s="337">
        <v>0.42</v>
      </c>
      <c r="H278" s="337">
        <v>0.43</v>
      </c>
      <c r="I278" s="337">
        <v>0.44</v>
      </c>
      <c r="J278" s="337">
        <v>0.45</v>
      </c>
      <c r="K278" s="3"/>
      <c r="L278" s="3"/>
      <c r="M278" s="3"/>
      <c r="N278" s="3"/>
      <c r="O278" s="3"/>
      <c r="P278" s="3"/>
      <c r="Q278" s="3"/>
      <c r="R278" s="3"/>
      <c r="S278" s="3"/>
      <c r="T278" s="3"/>
      <c r="U278" s="3"/>
      <c r="V278" s="3"/>
      <c r="W278" s="3"/>
      <c r="X278" s="3"/>
      <c r="Y278" s="3"/>
      <c r="Z278" s="3"/>
    </row>
    <row r="279" spans="1:26" ht="12" customHeight="1">
      <c r="A279" s="52"/>
      <c r="B279" s="321" t="str">
        <f t="shared" si="43"/>
        <v>General Service 50 to 1,499 KW.Smart Meter Entity Charge</v>
      </c>
      <c r="C279" s="321" t="s">
        <v>275</v>
      </c>
      <c r="D279" s="307" t="s">
        <v>224</v>
      </c>
      <c r="E279" s="3">
        <v>0</v>
      </c>
      <c r="F279" s="52">
        <v>0</v>
      </c>
      <c r="G279" s="52">
        <v>0</v>
      </c>
      <c r="H279" s="52">
        <v>0</v>
      </c>
      <c r="I279" s="52">
        <v>0</v>
      </c>
      <c r="J279" s="52">
        <v>0</v>
      </c>
      <c r="K279" s="3"/>
      <c r="L279" s="3"/>
      <c r="M279" s="3"/>
      <c r="N279" s="3"/>
      <c r="O279" s="3"/>
      <c r="P279" s="3"/>
      <c r="Q279" s="3"/>
      <c r="R279" s="3"/>
      <c r="S279" s="3"/>
      <c r="T279" s="3"/>
      <c r="U279" s="3"/>
      <c r="V279" s="3"/>
      <c r="W279" s="3"/>
      <c r="X279" s="3"/>
      <c r="Y279" s="3"/>
      <c r="Z279" s="3"/>
    </row>
    <row r="280" spans="1:26" ht="12" customHeight="1">
      <c r="A280" s="52"/>
      <c r="B280" s="321" t="str">
        <f t="shared" si="43"/>
        <v>General Service 1,500 to 4,999 KW.Smart Meter Entity Charge</v>
      </c>
      <c r="C280" s="321" t="s">
        <v>275</v>
      </c>
      <c r="D280" s="307" t="s">
        <v>225</v>
      </c>
      <c r="E280" s="3">
        <v>0</v>
      </c>
      <c r="F280" s="52">
        <v>0</v>
      </c>
      <c r="G280" s="52">
        <v>0</v>
      </c>
      <c r="H280" s="52">
        <v>0</v>
      </c>
      <c r="I280" s="52">
        <v>0</v>
      </c>
      <c r="J280" s="52">
        <v>0</v>
      </c>
      <c r="K280" s="3"/>
      <c r="L280" s="3"/>
      <c r="M280" s="3"/>
      <c r="N280" s="3"/>
      <c r="O280" s="3"/>
      <c r="P280" s="3"/>
      <c r="Q280" s="3"/>
      <c r="R280" s="3"/>
      <c r="S280" s="3"/>
      <c r="T280" s="3"/>
      <c r="U280" s="3"/>
      <c r="V280" s="3"/>
      <c r="W280" s="3"/>
      <c r="X280" s="3"/>
      <c r="Y280" s="3"/>
      <c r="Z280" s="3"/>
    </row>
    <row r="281" spans="1:26" ht="12" customHeight="1">
      <c r="A281" s="52"/>
      <c r="B281" s="321" t="str">
        <f t="shared" si="43"/>
        <v>Large User.Smart Meter Entity Charge</v>
      </c>
      <c r="C281" s="321" t="s">
        <v>275</v>
      </c>
      <c r="D281" s="307" t="s">
        <v>226</v>
      </c>
      <c r="E281" s="3">
        <v>0</v>
      </c>
      <c r="F281" s="52">
        <v>0</v>
      </c>
      <c r="G281" s="52">
        <v>0</v>
      </c>
      <c r="H281" s="52">
        <v>0</v>
      </c>
      <c r="I281" s="52">
        <v>0</v>
      </c>
      <c r="J281" s="52">
        <v>0</v>
      </c>
      <c r="K281" s="3"/>
      <c r="L281" s="3"/>
      <c r="M281" s="3"/>
      <c r="N281" s="3"/>
      <c r="O281" s="3"/>
      <c r="P281" s="3"/>
      <c r="Q281" s="3"/>
      <c r="R281" s="3"/>
      <c r="S281" s="3"/>
      <c r="T281" s="3"/>
      <c r="U281" s="3"/>
      <c r="V281" s="3"/>
      <c r="W281" s="3"/>
      <c r="X281" s="3"/>
      <c r="Y281" s="3"/>
      <c r="Z281" s="3"/>
    </row>
    <row r="282" spans="1:26" ht="12" customHeight="1">
      <c r="A282" s="52"/>
      <c r="B282" s="321" t="str">
        <f t="shared" si="43"/>
        <v>Street Light.Smart Meter Entity Charge</v>
      </c>
      <c r="C282" s="321" t="s">
        <v>275</v>
      </c>
      <c r="D282" s="307" t="s">
        <v>227</v>
      </c>
      <c r="E282" s="3">
        <v>0</v>
      </c>
      <c r="F282" s="52">
        <v>0</v>
      </c>
      <c r="G282" s="52">
        <v>0</v>
      </c>
      <c r="H282" s="52">
        <v>0</v>
      </c>
      <c r="I282" s="52">
        <v>0</v>
      </c>
      <c r="J282" s="52">
        <v>0</v>
      </c>
      <c r="K282" s="3"/>
      <c r="L282" s="3"/>
      <c r="M282" s="3"/>
      <c r="N282" s="3"/>
      <c r="O282" s="3"/>
      <c r="P282" s="3"/>
      <c r="Q282" s="3"/>
      <c r="R282" s="3"/>
      <c r="S282" s="3"/>
      <c r="T282" s="3"/>
      <c r="U282" s="3"/>
      <c r="V282" s="3"/>
      <c r="W282" s="3"/>
      <c r="X282" s="3"/>
      <c r="Y282" s="3"/>
      <c r="Z282" s="3"/>
    </row>
    <row r="283" spans="1:26" ht="12" customHeight="1">
      <c r="A283" s="52"/>
      <c r="B283" s="321" t="str">
        <f t="shared" si="43"/>
        <v>Sentinel Lights.Smart Meter Entity Charge</v>
      </c>
      <c r="C283" s="321" t="s">
        <v>275</v>
      </c>
      <c r="D283" s="307" t="s">
        <v>228</v>
      </c>
      <c r="E283" s="3">
        <v>0</v>
      </c>
      <c r="F283" s="52">
        <v>0</v>
      </c>
      <c r="G283" s="52">
        <v>0</v>
      </c>
      <c r="H283" s="52">
        <v>0</v>
      </c>
      <c r="I283" s="52">
        <v>0</v>
      </c>
      <c r="J283" s="52">
        <v>0</v>
      </c>
      <c r="K283" s="3"/>
      <c r="L283" s="3"/>
      <c r="M283" s="3"/>
      <c r="N283" s="3"/>
      <c r="O283" s="3"/>
      <c r="P283" s="3"/>
      <c r="Q283" s="3"/>
      <c r="R283" s="3"/>
      <c r="S283" s="3"/>
      <c r="T283" s="3"/>
      <c r="U283" s="3"/>
      <c r="V283" s="3"/>
      <c r="W283" s="3"/>
      <c r="X283" s="3"/>
      <c r="Y283" s="3"/>
      <c r="Z283" s="3"/>
    </row>
    <row r="284" spans="1:26" ht="12" customHeight="1">
      <c r="A284" s="52"/>
      <c r="B284" s="321" t="str">
        <f t="shared" si="43"/>
        <v>Unmetered Scattered Load.Smart Meter Entity Charge</v>
      </c>
      <c r="C284" s="321" t="s">
        <v>275</v>
      </c>
      <c r="D284" s="307" t="s">
        <v>229</v>
      </c>
      <c r="E284" s="3">
        <v>0</v>
      </c>
      <c r="F284" s="52">
        <v>0</v>
      </c>
      <c r="G284" s="52">
        <v>0</v>
      </c>
      <c r="H284" s="52">
        <v>0</v>
      </c>
      <c r="I284" s="52">
        <v>0</v>
      </c>
      <c r="J284" s="52">
        <v>0</v>
      </c>
      <c r="K284" s="3"/>
      <c r="L284" s="3"/>
      <c r="M284" s="3"/>
      <c r="N284" s="3"/>
      <c r="O284" s="3"/>
      <c r="P284" s="3"/>
      <c r="Q284" s="3"/>
      <c r="R284" s="3"/>
      <c r="S284" s="3"/>
      <c r="T284" s="3"/>
      <c r="U284" s="3"/>
      <c r="V284" s="3"/>
      <c r="W284" s="3"/>
      <c r="X284" s="3"/>
      <c r="Y284" s="3"/>
      <c r="Z284" s="3"/>
    </row>
    <row r="285" spans="1:26" ht="12" customHeight="1">
      <c r="A285" s="52"/>
      <c r="B285" s="321"/>
      <c r="C285" s="321"/>
      <c r="D285" s="307" t="s">
        <v>230</v>
      </c>
      <c r="E285" s="3">
        <v>0</v>
      </c>
      <c r="F285" s="52">
        <v>0</v>
      </c>
      <c r="G285" s="52">
        <v>0</v>
      </c>
      <c r="H285" s="52">
        <v>0</v>
      </c>
      <c r="I285" s="52">
        <v>0</v>
      </c>
      <c r="J285" s="52">
        <v>0</v>
      </c>
      <c r="K285" s="3"/>
      <c r="L285" s="3"/>
      <c r="M285" s="3"/>
      <c r="N285" s="3"/>
      <c r="O285" s="3"/>
      <c r="P285" s="3"/>
      <c r="Q285" s="3"/>
      <c r="R285" s="3"/>
      <c r="S285" s="3"/>
      <c r="T285" s="3"/>
      <c r="U285" s="3"/>
      <c r="V285" s="3"/>
      <c r="W285" s="3"/>
      <c r="X285" s="3"/>
      <c r="Y285" s="3"/>
      <c r="Z285" s="3"/>
    </row>
    <row r="286" spans="1:26" ht="12" customHeight="1">
      <c r="A286" s="52"/>
      <c r="B286" s="52"/>
      <c r="C286" s="52"/>
      <c r="D286" s="307" t="s">
        <v>231</v>
      </c>
      <c r="E286" s="3">
        <v>0</v>
      </c>
      <c r="F286" s="52">
        <v>0</v>
      </c>
      <c r="G286" s="52">
        <v>0</v>
      </c>
      <c r="H286" s="52">
        <v>0</v>
      </c>
      <c r="I286" s="52">
        <v>0</v>
      </c>
      <c r="J286" s="52">
        <v>0</v>
      </c>
      <c r="K286" s="3"/>
      <c r="L286" s="3"/>
      <c r="M286" s="3"/>
      <c r="N286" s="3"/>
      <c r="O286" s="3"/>
      <c r="P286" s="3"/>
      <c r="Q286" s="3"/>
      <c r="R286" s="3"/>
      <c r="S286" s="3"/>
      <c r="T286" s="3"/>
      <c r="U286" s="3"/>
      <c r="V286" s="3"/>
      <c r="W286" s="3"/>
      <c r="X286" s="3"/>
      <c r="Y286" s="3"/>
      <c r="Z286" s="3"/>
    </row>
    <row r="287" spans="1:26" ht="12" customHeight="1">
      <c r="A287" s="52"/>
      <c r="B287" s="52"/>
      <c r="C287" s="52"/>
      <c r="D287" s="307" t="s">
        <v>232</v>
      </c>
      <c r="E287" s="3">
        <v>0</v>
      </c>
      <c r="F287" s="52">
        <v>0</v>
      </c>
      <c r="G287" s="52">
        <v>0</v>
      </c>
      <c r="H287" s="52">
        <v>0</v>
      </c>
      <c r="I287" s="52">
        <v>0</v>
      </c>
      <c r="J287" s="52">
        <v>0</v>
      </c>
      <c r="K287" s="3"/>
      <c r="L287" s="3"/>
      <c r="M287" s="3"/>
      <c r="N287" s="3"/>
      <c r="O287" s="3"/>
      <c r="P287" s="3"/>
      <c r="Q287" s="3"/>
      <c r="R287" s="3"/>
      <c r="S287" s="3"/>
      <c r="T287" s="3"/>
      <c r="U287" s="3"/>
      <c r="V287" s="3"/>
      <c r="W287" s="3"/>
      <c r="X287" s="3"/>
      <c r="Y287" s="3"/>
      <c r="Z287" s="3"/>
    </row>
    <row r="288" spans="1:26" ht="12" customHeight="1">
      <c r="A288" s="52"/>
      <c r="B288" s="307"/>
      <c r="C288" s="3"/>
      <c r="D288" s="3"/>
      <c r="E288" s="3"/>
      <c r="F288" s="3"/>
      <c r="G288" s="357"/>
      <c r="H288" s="357"/>
      <c r="I288" s="3"/>
      <c r="J288" s="3"/>
      <c r="K288" s="3"/>
      <c r="L288" s="3"/>
      <c r="M288" s="3"/>
      <c r="N288" s="3"/>
      <c r="O288" s="3"/>
      <c r="P288" s="3"/>
      <c r="Q288" s="3"/>
      <c r="R288" s="3"/>
      <c r="S288" s="3"/>
      <c r="T288" s="3"/>
      <c r="U288" s="3"/>
      <c r="V288" s="3"/>
      <c r="W288" s="3"/>
      <c r="X288" s="3"/>
      <c r="Y288" s="3"/>
      <c r="Z288" s="3"/>
    </row>
    <row r="289" spans="1:26" ht="12" customHeight="1">
      <c r="A289" s="52"/>
      <c r="B289" s="52"/>
      <c r="C289" s="318" t="s">
        <v>276</v>
      </c>
      <c r="D289" s="3"/>
      <c r="E289" s="319" t="s">
        <v>218</v>
      </c>
      <c r="F289" s="320" t="str">
        <f t="shared" ref="F289:J289" si="44">F$4</f>
        <v>2026F</v>
      </c>
      <c r="G289" s="320" t="str">
        <f t="shared" si="44"/>
        <v>2027F</v>
      </c>
      <c r="H289" s="320" t="str">
        <f t="shared" si="44"/>
        <v>2028F</v>
      </c>
      <c r="I289" s="320" t="str">
        <f t="shared" si="44"/>
        <v>2029F</v>
      </c>
      <c r="J289" s="320" t="str">
        <f t="shared" si="44"/>
        <v>2030F</v>
      </c>
      <c r="K289" s="3"/>
      <c r="L289" s="3"/>
      <c r="M289" s="3"/>
      <c r="N289" s="3"/>
      <c r="O289" s="3"/>
      <c r="P289" s="3"/>
      <c r="Q289" s="3"/>
      <c r="R289" s="3"/>
      <c r="S289" s="3"/>
      <c r="T289" s="3"/>
      <c r="U289" s="3"/>
      <c r="V289" s="3"/>
      <c r="W289" s="3"/>
      <c r="X289" s="3"/>
      <c r="Y289" s="3"/>
      <c r="Z289" s="3"/>
    </row>
    <row r="290" spans="1:26" ht="12" customHeight="1">
      <c r="A290" s="52"/>
      <c r="B290" s="321" t="str">
        <f t="shared" ref="B290:B300" si="45">D290&amp;"."&amp;C290</f>
        <v>Residential.Provincial Rebate</v>
      </c>
      <c r="C290" s="321" t="s">
        <v>277</v>
      </c>
      <c r="D290" s="307" t="s">
        <v>222</v>
      </c>
      <c r="E290" s="365">
        <v>0.23499999999999999</v>
      </c>
      <c r="F290" s="366">
        <v>0.23499999999999999</v>
      </c>
      <c r="G290" s="366">
        <v>0.23499999999999999</v>
      </c>
      <c r="H290" s="366">
        <v>0.23499999999999999</v>
      </c>
      <c r="I290" s="366">
        <v>0.23499999999999999</v>
      </c>
      <c r="J290" s="366">
        <v>0.23499999999999999</v>
      </c>
      <c r="K290" s="3"/>
      <c r="L290" s="3"/>
      <c r="M290" s="3"/>
      <c r="N290" s="3"/>
      <c r="O290" s="3"/>
      <c r="P290" s="3"/>
      <c r="Q290" s="3"/>
      <c r="R290" s="3"/>
      <c r="S290" s="3"/>
      <c r="T290" s="3"/>
      <c r="U290" s="3"/>
      <c r="V290" s="3"/>
      <c r="W290" s="3"/>
      <c r="X290" s="3"/>
      <c r="Y290" s="3"/>
      <c r="Z290" s="3"/>
    </row>
    <row r="291" spans="1:26" ht="12" customHeight="1">
      <c r="A291" s="52"/>
      <c r="B291" s="321" t="str">
        <f t="shared" si="45"/>
        <v>General Service &lt; 50 kW.Provincial Rebate</v>
      </c>
      <c r="C291" s="321" t="s">
        <v>277</v>
      </c>
      <c r="D291" s="367" t="s">
        <v>223</v>
      </c>
      <c r="E291" s="365">
        <v>0.23499999999999999</v>
      </c>
      <c r="F291" s="366">
        <v>0.23499999999999999</v>
      </c>
      <c r="G291" s="366">
        <v>0.23499999999999999</v>
      </c>
      <c r="H291" s="366">
        <v>0.23499999999999999</v>
      </c>
      <c r="I291" s="366">
        <v>0.23499999999999999</v>
      </c>
      <c r="J291" s="366">
        <v>0.23499999999999999</v>
      </c>
      <c r="K291" s="3"/>
      <c r="L291" s="3"/>
      <c r="M291" s="3"/>
      <c r="N291" s="3"/>
      <c r="O291" s="3"/>
      <c r="P291" s="3"/>
      <c r="Q291" s="3"/>
      <c r="R291" s="3"/>
      <c r="S291" s="3"/>
      <c r="T291" s="3"/>
      <c r="U291" s="3"/>
      <c r="V291" s="3"/>
      <c r="W291" s="3"/>
      <c r="X291" s="3"/>
      <c r="Y291" s="3"/>
      <c r="Z291" s="3"/>
    </row>
    <row r="292" spans="1:26" ht="12" customHeight="1">
      <c r="A292" s="52"/>
      <c r="B292" s="321" t="str">
        <f t="shared" si="45"/>
        <v>General Service 50 to 1,499 KW.Provincial Rebate</v>
      </c>
      <c r="C292" s="321" t="s">
        <v>277</v>
      </c>
      <c r="D292" s="307" t="s">
        <v>224</v>
      </c>
      <c r="E292" s="368"/>
      <c r="F292" s="369"/>
      <c r="G292" s="369"/>
      <c r="H292" s="369"/>
      <c r="I292" s="369"/>
      <c r="J292" s="369"/>
      <c r="K292" s="3"/>
      <c r="L292" s="3"/>
      <c r="M292" s="3"/>
      <c r="N292" s="3"/>
      <c r="O292" s="3"/>
      <c r="P292" s="3"/>
      <c r="Q292" s="3"/>
      <c r="R292" s="3"/>
      <c r="S292" s="3"/>
      <c r="T292" s="3"/>
      <c r="U292" s="3"/>
      <c r="V292" s="3"/>
      <c r="W292" s="3"/>
      <c r="X292" s="3"/>
      <c r="Y292" s="3"/>
      <c r="Z292" s="3"/>
    </row>
    <row r="293" spans="1:26" ht="12" customHeight="1">
      <c r="A293" s="52"/>
      <c r="B293" s="321" t="str">
        <f t="shared" si="45"/>
        <v>General Service 1,500 to 4,999 KW.Provincial Rebate</v>
      </c>
      <c r="C293" s="321" t="s">
        <v>277</v>
      </c>
      <c r="D293" s="307" t="s">
        <v>225</v>
      </c>
      <c r="E293" s="368"/>
      <c r="F293" s="369"/>
      <c r="G293" s="369"/>
      <c r="H293" s="369"/>
      <c r="I293" s="369"/>
      <c r="J293" s="369"/>
      <c r="K293" s="3"/>
      <c r="L293" s="3"/>
      <c r="M293" s="3"/>
      <c r="N293" s="3"/>
      <c r="O293" s="3"/>
      <c r="P293" s="3"/>
      <c r="Q293" s="3"/>
      <c r="R293" s="3"/>
      <c r="S293" s="3"/>
      <c r="T293" s="3"/>
      <c r="U293" s="3"/>
      <c r="V293" s="3"/>
      <c r="W293" s="3"/>
      <c r="X293" s="3"/>
      <c r="Y293" s="3"/>
      <c r="Z293" s="3"/>
    </row>
    <row r="294" spans="1:26" ht="12" customHeight="1">
      <c r="A294" s="52"/>
      <c r="B294" s="321" t="str">
        <f t="shared" si="45"/>
        <v>Large User.Provincial Rebate</v>
      </c>
      <c r="C294" s="321" t="s">
        <v>277</v>
      </c>
      <c r="D294" s="307" t="s">
        <v>226</v>
      </c>
      <c r="E294" s="368"/>
      <c r="F294" s="369"/>
      <c r="G294" s="369"/>
      <c r="H294" s="369"/>
      <c r="I294" s="369"/>
      <c r="J294" s="369"/>
      <c r="K294" s="3"/>
      <c r="L294" s="3"/>
      <c r="M294" s="3"/>
      <c r="N294" s="3"/>
      <c r="O294" s="3"/>
      <c r="P294" s="3"/>
      <c r="Q294" s="3"/>
      <c r="R294" s="3"/>
      <c r="S294" s="3"/>
      <c r="T294" s="3"/>
      <c r="U294" s="3"/>
      <c r="V294" s="3"/>
      <c r="W294" s="3"/>
      <c r="X294" s="3"/>
      <c r="Y294" s="3"/>
      <c r="Z294" s="3"/>
    </row>
    <row r="295" spans="1:26" ht="12" customHeight="1">
      <c r="A295" s="52"/>
      <c r="B295" s="321" t="str">
        <f t="shared" si="45"/>
        <v>Street Light.Provincial Rebate</v>
      </c>
      <c r="C295" s="321" t="s">
        <v>277</v>
      </c>
      <c r="D295" s="307" t="s">
        <v>227</v>
      </c>
      <c r="E295" s="365">
        <v>0.23499999999999999</v>
      </c>
      <c r="F295" s="366">
        <v>0.23499999999999999</v>
      </c>
      <c r="G295" s="366">
        <v>0.23499999999999999</v>
      </c>
      <c r="H295" s="366">
        <v>0.23499999999999999</v>
      </c>
      <c r="I295" s="366">
        <v>0.23499999999999999</v>
      </c>
      <c r="J295" s="366">
        <v>0.23499999999999999</v>
      </c>
      <c r="K295" s="3"/>
      <c r="L295" s="3"/>
      <c r="M295" s="3"/>
      <c r="N295" s="3"/>
      <c r="O295" s="3"/>
      <c r="P295" s="3"/>
      <c r="Q295" s="3"/>
      <c r="R295" s="3"/>
      <c r="S295" s="3"/>
      <c r="T295" s="3"/>
      <c r="U295" s="3"/>
      <c r="V295" s="3"/>
      <c r="W295" s="3"/>
      <c r="X295" s="3"/>
      <c r="Y295" s="3"/>
      <c r="Z295" s="3"/>
    </row>
    <row r="296" spans="1:26" ht="12" customHeight="1">
      <c r="A296" s="52"/>
      <c r="B296" s="321" t="str">
        <f t="shared" si="45"/>
        <v>Sentinel Lights.Provincial Rebate</v>
      </c>
      <c r="C296" s="321" t="s">
        <v>277</v>
      </c>
      <c r="D296" s="307" t="s">
        <v>228</v>
      </c>
      <c r="E296" s="365">
        <v>0.23499999999999999</v>
      </c>
      <c r="F296" s="366">
        <v>0.23499999999999999</v>
      </c>
      <c r="G296" s="366">
        <v>0.23499999999999999</v>
      </c>
      <c r="H296" s="366">
        <v>0.23499999999999999</v>
      </c>
      <c r="I296" s="366">
        <v>0.23499999999999999</v>
      </c>
      <c r="J296" s="366">
        <v>0.23499999999999999</v>
      </c>
      <c r="K296" s="3"/>
      <c r="L296" s="3"/>
      <c r="M296" s="3"/>
      <c r="N296" s="3"/>
      <c r="O296" s="3"/>
      <c r="P296" s="3"/>
      <c r="Q296" s="3"/>
      <c r="R296" s="3"/>
      <c r="S296" s="3"/>
      <c r="T296" s="3"/>
      <c r="U296" s="3"/>
      <c r="V296" s="3"/>
      <c r="W296" s="3"/>
      <c r="X296" s="3"/>
      <c r="Y296" s="3"/>
      <c r="Z296" s="3"/>
    </row>
    <row r="297" spans="1:26" ht="12" customHeight="1">
      <c r="A297" s="52"/>
      <c r="B297" s="321" t="str">
        <f t="shared" si="45"/>
        <v>Unmetered Scattered Load.Provincial Rebate</v>
      </c>
      <c r="C297" s="321" t="s">
        <v>277</v>
      </c>
      <c r="D297" s="307" t="s">
        <v>229</v>
      </c>
      <c r="E297" s="365">
        <v>0.23499999999999999</v>
      </c>
      <c r="F297" s="366">
        <v>0.23499999999999999</v>
      </c>
      <c r="G297" s="366">
        <v>0.23499999999999999</v>
      </c>
      <c r="H297" s="366">
        <v>0.23499999999999999</v>
      </c>
      <c r="I297" s="366">
        <v>0.23499999999999999</v>
      </c>
      <c r="J297" s="366">
        <v>0.23499999999999999</v>
      </c>
      <c r="K297" s="3"/>
      <c r="L297" s="3"/>
      <c r="M297" s="3"/>
      <c r="N297" s="3"/>
      <c r="O297" s="3"/>
      <c r="P297" s="3"/>
      <c r="Q297" s="3"/>
      <c r="R297" s="3"/>
      <c r="S297" s="3"/>
      <c r="T297" s="3"/>
      <c r="U297" s="3"/>
      <c r="V297" s="3"/>
      <c r="W297" s="3"/>
      <c r="X297" s="3"/>
      <c r="Y297" s="3"/>
      <c r="Z297" s="3"/>
    </row>
    <row r="298" spans="1:26" ht="12" customHeight="1">
      <c r="A298" s="52"/>
      <c r="B298" s="321" t="str">
        <f t="shared" si="45"/>
        <v>Standby Power General Service 50 to 1,499 KW.Provincial Rebate</v>
      </c>
      <c r="C298" s="321" t="s">
        <v>277</v>
      </c>
      <c r="D298" s="307" t="s">
        <v>230</v>
      </c>
      <c r="E298" s="368"/>
      <c r="F298" s="369"/>
      <c r="G298" s="369"/>
      <c r="H298" s="369"/>
      <c r="I298" s="369"/>
      <c r="J298" s="369"/>
      <c r="K298" s="3"/>
      <c r="L298" s="3"/>
      <c r="M298" s="3"/>
      <c r="N298" s="3"/>
      <c r="O298" s="3"/>
      <c r="P298" s="3"/>
      <c r="Q298" s="3"/>
      <c r="R298" s="3"/>
      <c r="S298" s="3"/>
      <c r="T298" s="3"/>
      <c r="U298" s="3"/>
      <c r="V298" s="3"/>
      <c r="W298" s="3"/>
      <c r="X298" s="3"/>
      <c r="Y298" s="3"/>
      <c r="Z298" s="3"/>
    </row>
    <row r="299" spans="1:26" ht="12" customHeight="1">
      <c r="A299" s="52"/>
      <c r="B299" s="321" t="str">
        <f t="shared" si="45"/>
        <v>Standby Power General Service 1,500 to 4,999 KW.Provincial Rebate</v>
      </c>
      <c r="C299" s="321" t="s">
        <v>277</v>
      </c>
      <c r="D299" s="307" t="s">
        <v>231</v>
      </c>
      <c r="E299" s="368"/>
      <c r="F299" s="369"/>
      <c r="G299" s="369"/>
      <c r="H299" s="369"/>
      <c r="I299" s="369"/>
      <c r="J299" s="369"/>
      <c r="K299" s="3"/>
      <c r="L299" s="3"/>
      <c r="M299" s="3"/>
      <c r="N299" s="3"/>
      <c r="O299" s="3"/>
      <c r="P299" s="3"/>
      <c r="Q299" s="3"/>
      <c r="R299" s="3"/>
      <c r="S299" s="3"/>
      <c r="T299" s="3"/>
      <c r="U299" s="3"/>
      <c r="V299" s="3"/>
      <c r="W299" s="3"/>
      <c r="X299" s="3"/>
      <c r="Y299" s="3"/>
      <c r="Z299" s="3"/>
    </row>
    <row r="300" spans="1:26" ht="12" customHeight="1">
      <c r="A300" s="52"/>
      <c r="B300" s="321" t="str">
        <f t="shared" si="45"/>
        <v>Standby Power Large Use.Provincial Rebate</v>
      </c>
      <c r="C300" s="321" t="s">
        <v>277</v>
      </c>
      <c r="D300" s="307" t="s">
        <v>232</v>
      </c>
      <c r="E300" s="3"/>
      <c r="F300" s="3"/>
      <c r="G300" s="3"/>
      <c r="H300" s="3"/>
      <c r="I300" s="3"/>
      <c r="J300" s="3"/>
      <c r="K300" s="3"/>
      <c r="L300" s="3"/>
      <c r="M300" s="3"/>
      <c r="N300" s="3"/>
      <c r="O300" s="3"/>
      <c r="P300" s="3"/>
      <c r="Q300" s="3"/>
      <c r="R300" s="3"/>
      <c r="S300" s="3"/>
      <c r="T300" s="3"/>
      <c r="U300" s="3"/>
      <c r="V300" s="3"/>
      <c r="W300" s="3"/>
      <c r="X300" s="3"/>
      <c r="Y300" s="3"/>
      <c r="Z300" s="3"/>
    </row>
    <row r="301" spans="1:26" ht="12" customHeight="1">
      <c r="A301" s="52"/>
      <c r="B301" s="307"/>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 customHeight="1">
      <c r="A302" s="52"/>
      <c r="B302" s="52"/>
      <c r="C302" s="318" t="s">
        <v>278</v>
      </c>
      <c r="D302" s="3"/>
      <c r="E302" s="319" t="s">
        <v>218</v>
      </c>
      <c r="F302" s="320" t="str">
        <f t="shared" ref="F302:J302" si="46">F$4</f>
        <v>2026F</v>
      </c>
      <c r="G302" s="320" t="str">
        <f t="shared" si="46"/>
        <v>2027F</v>
      </c>
      <c r="H302" s="320" t="str">
        <f t="shared" si="46"/>
        <v>2028F</v>
      </c>
      <c r="I302" s="320" t="str">
        <f t="shared" si="46"/>
        <v>2029F</v>
      </c>
      <c r="J302" s="320" t="str">
        <f t="shared" si="46"/>
        <v>2030F</v>
      </c>
      <c r="K302" s="3"/>
      <c r="L302" s="3"/>
      <c r="M302" s="3"/>
      <c r="N302" s="3"/>
      <c r="O302" s="3"/>
      <c r="P302" s="3"/>
      <c r="Q302" s="3"/>
      <c r="R302" s="3"/>
      <c r="S302" s="3"/>
      <c r="T302" s="3"/>
      <c r="U302" s="3"/>
      <c r="V302" s="3"/>
      <c r="W302" s="3"/>
      <c r="X302" s="3"/>
      <c r="Y302" s="3"/>
      <c r="Z302" s="3"/>
    </row>
    <row r="303" spans="1:26" ht="12" customHeight="1">
      <c r="A303" s="52"/>
      <c r="B303" s="321"/>
      <c r="C303" s="52"/>
      <c r="D303" s="307" t="s">
        <v>222</v>
      </c>
      <c r="E303" s="31">
        <v>3.3799999999999997E-2</v>
      </c>
      <c r="F303" s="329">
        <v>3.32E-2</v>
      </c>
      <c r="G303" s="329">
        <v>3.32E-2</v>
      </c>
      <c r="H303" s="329">
        <v>3.32E-2</v>
      </c>
      <c r="I303" s="329">
        <v>3.32E-2</v>
      </c>
      <c r="J303" s="329">
        <v>3.32E-2</v>
      </c>
      <c r="K303" s="3"/>
      <c r="L303" s="3"/>
      <c r="M303" s="3"/>
      <c r="N303" s="3"/>
      <c r="O303" s="3"/>
      <c r="P303" s="3"/>
      <c r="Q303" s="3"/>
      <c r="R303" s="3"/>
      <c r="S303" s="3"/>
      <c r="T303" s="3"/>
      <c r="U303" s="3"/>
      <c r="V303" s="3"/>
      <c r="W303" s="3"/>
      <c r="X303" s="3"/>
      <c r="Y303" s="3"/>
      <c r="Z303" s="3"/>
    </row>
    <row r="304" spans="1:26" ht="12" customHeight="1">
      <c r="A304" s="52"/>
      <c r="B304" s="321"/>
      <c r="C304" s="52"/>
      <c r="D304" s="307" t="s">
        <v>223</v>
      </c>
      <c r="E304" s="31">
        <v>3.3799999999999997E-2</v>
      </c>
      <c r="F304" s="329">
        <v>3.32E-2</v>
      </c>
      <c r="G304" s="329">
        <v>3.32E-2</v>
      </c>
      <c r="H304" s="329">
        <v>3.32E-2</v>
      </c>
      <c r="I304" s="329">
        <v>3.32E-2</v>
      </c>
      <c r="J304" s="329">
        <v>3.32E-2</v>
      </c>
      <c r="K304" s="3"/>
      <c r="L304" s="3"/>
      <c r="M304" s="3"/>
      <c r="N304" s="3"/>
      <c r="O304" s="3"/>
      <c r="P304" s="3"/>
      <c r="Q304" s="3"/>
      <c r="R304" s="3"/>
      <c r="S304" s="3"/>
      <c r="T304" s="3"/>
      <c r="U304" s="3"/>
      <c r="V304" s="3"/>
      <c r="W304" s="3"/>
      <c r="X304" s="3"/>
      <c r="Y304" s="3"/>
      <c r="Z304" s="3"/>
    </row>
    <row r="305" spans="1:26" ht="12" customHeight="1">
      <c r="A305" s="52"/>
      <c r="B305" s="321"/>
      <c r="C305" s="52"/>
      <c r="D305" s="307" t="s">
        <v>224</v>
      </c>
      <c r="E305" s="31">
        <v>3.3799999999999997E-2</v>
      </c>
      <c r="F305" s="329">
        <v>3.32E-2</v>
      </c>
      <c r="G305" s="329">
        <v>3.32E-2</v>
      </c>
      <c r="H305" s="329">
        <v>3.32E-2</v>
      </c>
      <c r="I305" s="329">
        <v>3.32E-2</v>
      </c>
      <c r="J305" s="329">
        <v>3.32E-2</v>
      </c>
      <c r="K305" s="3"/>
      <c r="L305" s="3"/>
      <c r="M305" s="3"/>
      <c r="N305" s="3"/>
      <c r="O305" s="3"/>
      <c r="P305" s="3"/>
      <c r="Q305" s="3"/>
      <c r="R305" s="3"/>
      <c r="S305" s="3"/>
      <c r="T305" s="3"/>
      <c r="U305" s="3"/>
      <c r="V305" s="3"/>
      <c r="W305" s="3"/>
      <c r="X305" s="3"/>
      <c r="Y305" s="3"/>
      <c r="Z305" s="3"/>
    </row>
    <row r="306" spans="1:26" ht="12" customHeight="1">
      <c r="A306" s="52"/>
      <c r="B306" s="321"/>
      <c r="C306" s="52"/>
      <c r="D306" s="307" t="s">
        <v>225</v>
      </c>
      <c r="E306" s="31">
        <v>3.3799999999999997E-2</v>
      </c>
      <c r="F306" s="329">
        <v>3.32E-2</v>
      </c>
      <c r="G306" s="329">
        <v>3.32E-2</v>
      </c>
      <c r="H306" s="329">
        <v>3.32E-2</v>
      </c>
      <c r="I306" s="329">
        <v>3.32E-2</v>
      </c>
      <c r="J306" s="329">
        <v>3.32E-2</v>
      </c>
      <c r="K306" s="3"/>
      <c r="L306" s="3"/>
      <c r="M306" s="3"/>
      <c r="N306" s="3"/>
      <c r="O306" s="3"/>
      <c r="P306" s="3"/>
      <c r="Q306" s="3"/>
      <c r="R306" s="3"/>
      <c r="S306" s="3"/>
      <c r="T306" s="3"/>
      <c r="U306" s="3"/>
      <c r="V306" s="3"/>
      <c r="W306" s="3"/>
      <c r="X306" s="3"/>
      <c r="Y306" s="3"/>
      <c r="Z306" s="3"/>
    </row>
    <row r="307" spans="1:26" ht="12" customHeight="1">
      <c r="A307" s="52"/>
      <c r="B307" s="321"/>
      <c r="C307" s="52"/>
      <c r="D307" s="307" t="s">
        <v>226</v>
      </c>
      <c r="E307" s="31">
        <v>5.1000000000000004E-3</v>
      </c>
      <c r="F307" s="329">
        <v>4.7999999999999996E-3</v>
      </c>
      <c r="G307" s="329">
        <v>4.7999999999999996E-3</v>
      </c>
      <c r="H307" s="329">
        <v>4.7999999999999996E-3</v>
      </c>
      <c r="I307" s="329">
        <v>4.7999999999999996E-3</v>
      </c>
      <c r="J307" s="329">
        <v>4.7999999999999996E-3</v>
      </c>
      <c r="K307" s="3"/>
      <c r="L307" s="3"/>
      <c r="M307" s="3"/>
      <c r="N307" s="3"/>
      <c r="O307" s="3"/>
      <c r="P307" s="3"/>
      <c r="Q307" s="3"/>
      <c r="R307" s="3"/>
      <c r="S307" s="3"/>
      <c r="T307" s="3"/>
      <c r="U307" s="3"/>
      <c r="V307" s="3"/>
      <c r="W307" s="3"/>
      <c r="X307" s="3"/>
      <c r="Y307" s="3"/>
      <c r="Z307" s="3"/>
    </row>
    <row r="308" spans="1:26" ht="12" customHeight="1">
      <c r="A308" s="52"/>
      <c r="B308" s="321"/>
      <c r="C308" s="52"/>
      <c r="D308" s="307" t="s">
        <v>227</v>
      </c>
      <c r="E308" s="31">
        <v>3.3799999999999997E-2</v>
      </c>
      <c r="F308" s="329">
        <v>3.32E-2</v>
      </c>
      <c r="G308" s="329">
        <v>3.32E-2</v>
      </c>
      <c r="H308" s="329">
        <v>3.32E-2</v>
      </c>
      <c r="I308" s="329">
        <v>3.32E-2</v>
      </c>
      <c r="J308" s="329">
        <v>3.32E-2</v>
      </c>
      <c r="K308" s="3"/>
      <c r="L308" s="3"/>
      <c r="M308" s="3"/>
      <c r="N308" s="3"/>
      <c r="O308" s="3"/>
      <c r="P308" s="3"/>
      <c r="Q308" s="3"/>
      <c r="R308" s="3"/>
      <c r="S308" s="3"/>
      <c r="T308" s="3"/>
      <c r="U308" s="3"/>
      <c r="V308" s="3"/>
      <c r="W308" s="3"/>
      <c r="X308" s="3"/>
      <c r="Y308" s="3"/>
      <c r="Z308" s="3"/>
    </row>
    <row r="309" spans="1:26" ht="12" customHeight="1">
      <c r="A309" s="52"/>
      <c r="B309" s="321"/>
      <c r="C309" s="52"/>
      <c r="D309" s="307" t="s">
        <v>228</v>
      </c>
      <c r="E309" s="31">
        <v>3.3799999999999997E-2</v>
      </c>
      <c r="F309" s="329">
        <v>3.32E-2</v>
      </c>
      <c r="G309" s="329">
        <v>3.32E-2</v>
      </c>
      <c r="H309" s="329">
        <v>3.32E-2</v>
      </c>
      <c r="I309" s="329">
        <v>3.32E-2</v>
      </c>
      <c r="J309" s="329">
        <v>3.32E-2</v>
      </c>
      <c r="K309" s="3"/>
      <c r="L309" s="3"/>
      <c r="M309" s="3"/>
      <c r="N309" s="3"/>
      <c r="O309" s="3"/>
      <c r="P309" s="3"/>
      <c r="Q309" s="3"/>
      <c r="R309" s="3"/>
      <c r="S309" s="3"/>
      <c r="T309" s="3"/>
      <c r="U309" s="3"/>
      <c r="V309" s="3"/>
      <c r="W309" s="3"/>
      <c r="X309" s="3"/>
      <c r="Y309" s="3"/>
      <c r="Z309" s="3"/>
    </row>
    <row r="310" spans="1:26" ht="12" customHeight="1">
      <c r="A310" s="52"/>
      <c r="B310" s="321"/>
      <c r="C310" s="52"/>
      <c r="D310" s="307" t="s">
        <v>229</v>
      </c>
      <c r="E310" s="31">
        <v>3.3799999999999997E-2</v>
      </c>
      <c r="F310" s="329">
        <v>3.32E-2</v>
      </c>
      <c r="G310" s="329">
        <v>3.32E-2</v>
      </c>
      <c r="H310" s="329">
        <v>3.32E-2</v>
      </c>
      <c r="I310" s="329">
        <v>3.32E-2</v>
      </c>
      <c r="J310" s="329">
        <v>3.32E-2</v>
      </c>
      <c r="K310" s="3"/>
      <c r="L310" s="3"/>
      <c r="M310" s="3"/>
      <c r="N310" s="3"/>
      <c r="O310" s="3"/>
      <c r="P310" s="3"/>
      <c r="Q310" s="3"/>
      <c r="R310" s="3"/>
      <c r="S310" s="3"/>
      <c r="T310" s="3"/>
      <c r="U310" s="3"/>
      <c r="V310" s="3"/>
      <c r="W310" s="3"/>
      <c r="X310" s="3"/>
      <c r="Y310" s="3"/>
      <c r="Z310" s="3"/>
    </row>
    <row r="311" spans="1:26" ht="12" customHeight="1">
      <c r="A311" s="52"/>
      <c r="B311" s="321"/>
      <c r="C311" s="52"/>
      <c r="D311" s="307" t="s">
        <v>230</v>
      </c>
      <c r="E311" s="3"/>
      <c r="F311" s="3"/>
      <c r="G311" s="3"/>
      <c r="H311" s="3"/>
      <c r="I311" s="3"/>
      <c r="J311" s="3"/>
      <c r="K311" s="3"/>
      <c r="L311" s="3"/>
      <c r="M311" s="3"/>
      <c r="N311" s="3"/>
      <c r="O311" s="3"/>
      <c r="P311" s="3"/>
      <c r="Q311" s="3"/>
      <c r="R311" s="3"/>
      <c r="S311" s="3"/>
      <c r="T311" s="3"/>
      <c r="U311" s="3"/>
      <c r="V311" s="3"/>
      <c r="W311" s="3"/>
      <c r="X311" s="3"/>
      <c r="Y311" s="3"/>
      <c r="Z311" s="3"/>
    </row>
    <row r="312" spans="1:26" ht="12" customHeight="1">
      <c r="A312" s="52"/>
      <c r="B312" s="321"/>
      <c r="C312" s="52"/>
      <c r="D312" s="307" t="s">
        <v>231</v>
      </c>
      <c r="E312" s="3"/>
      <c r="F312" s="3"/>
      <c r="G312" s="3"/>
      <c r="H312" s="3"/>
      <c r="I312" s="3"/>
      <c r="J312" s="3"/>
      <c r="K312" s="3"/>
      <c r="L312" s="3"/>
      <c r="M312" s="3"/>
      <c r="N312" s="3"/>
      <c r="O312" s="3"/>
      <c r="P312" s="3"/>
      <c r="Q312" s="3"/>
      <c r="R312" s="3"/>
      <c r="S312" s="3"/>
      <c r="T312" s="3"/>
      <c r="U312" s="3"/>
      <c r="V312" s="3"/>
      <c r="W312" s="3"/>
      <c r="X312" s="3"/>
      <c r="Y312" s="3"/>
      <c r="Z312" s="3"/>
    </row>
    <row r="313" spans="1:26" ht="12" customHeight="1">
      <c r="A313" s="52"/>
      <c r="B313" s="321"/>
      <c r="C313" s="52"/>
      <c r="D313" s="307" t="s">
        <v>232</v>
      </c>
      <c r="E313" s="3"/>
      <c r="F313" s="3"/>
      <c r="G313" s="3"/>
      <c r="H313" s="3"/>
      <c r="I313" s="3"/>
      <c r="J313" s="3"/>
      <c r="K313" s="3"/>
      <c r="L313" s="3"/>
      <c r="M313" s="3"/>
      <c r="N313" s="3"/>
      <c r="O313" s="3"/>
      <c r="P313" s="3"/>
      <c r="Q313" s="3"/>
      <c r="R313" s="3"/>
      <c r="S313" s="3"/>
      <c r="T313" s="3"/>
      <c r="U313" s="3"/>
      <c r="V313" s="3"/>
      <c r="W313" s="3"/>
      <c r="X313" s="3"/>
      <c r="Y313" s="3"/>
      <c r="Z313" s="3"/>
    </row>
    <row r="314" spans="1:26" ht="12" customHeight="1">
      <c r="A314" s="52"/>
      <c r="B314" s="52"/>
      <c r="C314" s="52"/>
      <c r="D314" s="307"/>
      <c r="E314" s="3"/>
      <c r="F314" s="52"/>
      <c r="G314" s="52"/>
      <c r="H314" s="52"/>
      <c r="I314" s="52"/>
      <c r="J314" s="52"/>
      <c r="K314" s="3"/>
      <c r="L314" s="3"/>
      <c r="M314" s="3"/>
      <c r="N314" s="3"/>
      <c r="O314" s="3"/>
      <c r="P314" s="3"/>
      <c r="Q314" s="3"/>
      <c r="R314" s="3"/>
      <c r="S314" s="3"/>
      <c r="T314" s="3"/>
      <c r="U314" s="3"/>
      <c r="V314" s="3"/>
      <c r="W314" s="3"/>
      <c r="X314" s="3"/>
      <c r="Y314" s="3"/>
      <c r="Z314" s="3"/>
    </row>
    <row r="315" spans="1:26" ht="12" customHeight="1">
      <c r="A315" s="52"/>
      <c r="B315" s="307"/>
      <c r="C315" s="318" t="s">
        <v>279</v>
      </c>
      <c r="D315" s="307"/>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c r="A316" s="52"/>
      <c r="B316" s="52"/>
      <c r="C316" s="52"/>
      <c r="D316" s="307" t="s">
        <v>151</v>
      </c>
      <c r="E316" s="3">
        <v>1.0338000000000001</v>
      </c>
      <c r="F316" s="52">
        <v>1.0331999999999999</v>
      </c>
      <c r="G316" s="52">
        <v>1.0331999999999999</v>
      </c>
      <c r="H316" s="52">
        <v>1.0331999999999999</v>
      </c>
      <c r="I316" s="52">
        <v>1.0331999999999999</v>
      </c>
      <c r="J316" s="52">
        <v>1.0331999999999999</v>
      </c>
      <c r="K316" s="3"/>
      <c r="L316" s="3"/>
      <c r="M316" s="3"/>
      <c r="N316" s="3"/>
      <c r="O316" s="3"/>
      <c r="P316" s="3"/>
      <c r="Q316" s="3"/>
      <c r="R316" s="3"/>
      <c r="S316" s="3"/>
      <c r="T316" s="3"/>
      <c r="U316" s="3"/>
      <c r="V316" s="3"/>
      <c r="W316" s="3"/>
      <c r="X316" s="3"/>
      <c r="Y316" s="3"/>
      <c r="Z316" s="3"/>
    </row>
    <row r="317" spans="1:26" ht="12" customHeight="1">
      <c r="A317" s="52"/>
      <c r="B317" s="52"/>
      <c r="C317" s="52"/>
      <c r="D317" s="307" t="s">
        <v>152</v>
      </c>
      <c r="E317" s="3">
        <v>1.0152000000000001</v>
      </c>
      <c r="F317" s="52">
        <v>1.0149999999999999</v>
      </c>
      <c r="G317" s="52">
        <v>1.0149999999999999</v>
      </c>
      <c r="H317" s="52">
        <v>1.0149999999999999</v>
      </c>
      <c r="I317" s="52">
        <v>1.0149999999999999</v>
      </c>
      <c r="J317" s="52">
        <v>1.0149999999999999</v>
      </c>
      <c r="K317" s="3"/>
      <c r="L317" s="3"/>
      <c r="M317" s="3"/>
      <c r="N317" s="3"/>
      <c r="O317" s="3"/>
      <c r="P317" s="3"/>
      <c r="Q317" s="3"/>
      <c r="R317" s="3"/>
      <c r="S317" s="3"/>
      <c r="T317" s="3"/>
      <c r="U317" s="3"/>
      <c r="V317" s="3"/>
      <c r="W317" s="3"/>
      <c r="X317" s="3"/>
      <c r="Y317" s="3"/>
      <c r="Z317" s="3"/>
    </row>
    <row r="318" spans="1:26" ht="12" customHeight="1">
      <c r="A318" s="52"/>
      <c r="B318" s="52"/>
      <c r="C318" s="52"/>
      <c r="D318" s="307" t="s">
        <v>153</v>
      </c>
      <c r="E318" s="3">
        <v>1.0234000000000001</v>
      </c>
      <c r="F318" s="52">
        <v>1.0230999999999999</v>
      </c>
      <c r="G318" s="52">
        <v>1.0230999999999999</v>
      </c>
      <c r="H318" s="52">
        <v>1.0230999999999999</v>
      </c>
      <c r="I318" s="52">
        <v>1.0230999999999999</v>
      </c>
      <c r="J318" s="52">
        <v>1.0230999999999999</v>
      </c>
      <c r="K318" s="3"/>
      <c r="L318" s="3"/>
      <c r="M318" s="3"/>
      <c r="N318" s="3"/>
      <c r="O318" s="3"/>
      <c r="P318" s="3"/>
      <c r="Q318" s="3"/>
      <c r="R318" s="3"/>
      <c r="S318" s="3"/>
      <c r="T318" s="3"/>
      <c r="U318" s="3"/>
      <c r="V318" s="3"/>
      <c r="W318" s="3"/>
      <c r="X318" s="3"/>
      <c r="Y318" s="3"/>
      <c r="Z318" s="3"/>
    </row>
    <row r="319" spans="1:26" ht="12" customHeight="1">
      <c r="A319" s="52"/>
      <c r="B319" s="52"/>
      <c r="C319" s="52"/>
      <c r="D319" s="307" t="s">
        <v>154</v>
      </c>
      <c r="E319" s="3">
        <v>1.0051000000000001</v>
      </c>
      <c r="F319" s="52">
        <v>1.0047999999999999</v>
      </c>
      <c r="G319" s="52">
        <v>1.0047999999999999</v>
      </c>
      <c r="H319" s="52">
        <v>1.0047999999999999</v>
      </c>
      <c r="I319" s="52">
        <v>1.0047999999999999</v>
      </c>
      <c r="J319" s="52">
        <v>1.0047999999999999</v>
      </c>
      <c r="K319" s="3"/>
      <c r="L319" s="3"/>
      <c r="M319" s="3"/>
      <c r="N319" s="3"/>
      <c r="O319" s="3"/>
      <c r="P319" s="3"/>
      <c r="Q319" s="3"/>
      <c r="R319" s="3"/>
      <c r="S319" s="3"/>
      <c r="T319" s="3"/>
      <c r="U319" s="3"/>
      <c r="V319" s="3"/>
      <c r="W319" s="3"/>
      <c r="X319" s="3"/>
      <c r="Y319" s="3"/>
      <c r="Z319" s="3"/>
    </row>
    <row r="320" spans="1:26" ht="12" customHeight="1">
      <c r="A320" s="52"/>
      <c r="B320" s="52"/>
      <c r="C320" s="52"/>
      <c r="D320" s="307"/>
      <c r="E320" s="3"/>
      <c r="F320" s="3"/>
      <c r="G320" s="3"/>
      <c r="H320" s="3"/>
      <c r="I320" s="3"/>
      <c r="J320" s="3"/>
      <c r="K320" s="3"/>
      <c r="L320" s="3"/>
      <c r="M320" s="3"/>
      <c r="N320" s="3"/>
      <c r="O320" s="3"/>
      <c r="P320" s="3"/>
      <c r="Q320" s="3"/>
      <c r="R320" s="3"/>
      <c r="S320" s="3"/>
      <c r="T320" s="3"/>
      <c r="U320" s="3"/>
      <c r="V320" s="3"/>
      <c r="W320" s="3"/>
      <c r="X320" s="3"/>
      <c r="Y320" s="3"/>
      <c r="Z320" s="3"/>
    </row>
    <row r="321" spans="1:26" ht="12" customHeight="1">
      <c r="A321" s="52"/>
      <c r="B321" s="52"/>
      <c r="C321" s="52"/>
      <c r="D321" s="307"/>
      <c r="E321" s="3"/>
      <c r="F321" s="3"/>
      <c r="G321" s="3"/>
      <c r="H321" s="3"/>
      <c r="I321" s="3"/>
      <c r="J321" s="3"/>
      <c r="K321" s="3"/>
      <c r="L321" s="3"/>
      <c r="M321" s="3"/>
      <c r="N321" s="3"/>
      <c r="O321" s="3"/>
      <c r="P321" s="3"/>
      <c r="Q321" s="3"/>
      <c r="R321" s="3"/>
      <c r="S321" s="3"/>
      <c r="T321" s="3"/>
      <c r="U321" s="3"/>
      <c r="V321" s="3"/>
      <c r="W321" s="3"/>
      <c r="X321" s="3"/>
      <c r="Y321" s="3"/>
      <c r="Z321" s="3"/>
    </row>
    <row r="322" spans="1:26" ht="12" customHeight="1">
      <c r="A322" s="52"/>
      <c r="B322" s="307"/>
      <c r="C322" s="318" t="s">
        <v>107</v>
      </c>
      <c r="D322" s="3"/>
      <c r="E322" s="319" t="s">
        <v>218</v>
      </c>
      <c r="F322" s="320" t="str">
        <f t="shared" ref="F322:J322" si="47">F$4</f>
        <v>2026F</v>
      </c>
      <c r="G322" s="320" t="str">
        <f t="shared" si="47"/>
        <v>2027F</v>
      </c>
      <c r="H322" s="320" t="str">
        <f t="shared" si="47"/>
        <v>2028F</v>
      </c>
      <c r="I322" s="320" t="str">
        <f t="shared" si="47"/>
        <v>2029F</v>
      </c>
      <c r="J322" s="320" t="str">
        <f t="shared" si="47"/>
        <v>2030F</v>
      </c>
      <c r="K322" s="3"/>
      <c r="L322" s="3"/>
      <c r="M322" s="3"/>
      <c r="N322" s="3"/>
      <c r="O322" s="3"/>
      <c r="P322" s="3"/>
      <c r="Q322" s="3"/>
      <c r="R322" s="3"/>
      <c r="S322" s="3"/>
      <c r="T322" s="3"/>
      <c r="U322" s="3"/>
      <c r="V322" s="3"/>
      <c r="W322" s="3"/>
      <c r="X322" s="3"/>
      <c r="Y322" s="3"/>
      <c r="Z322" s="3"/>
    </row>
    <row r="323" spans="1:26" ht="12" customHeight="1">
      <c r="A323" s="52"/>
      <c r="B323" s="52"/>
      <c r="C323" s="52"/>
      <c r="D323" s="307" t="s">
        <v>108</v>
      </c>
      <c r="E323" s="370">
        <v>18</v>
      </c>
      <c r="F323" s="370">
        <v>0</v>
      </c>
      <c r="G323" s="370">
        <v>0</v>
      </c>
      <c r="H323" s="370">
        <v>0</v>
      </c>
      <c r="I323" s="370">
        <v>0</v>
      </c>
      <c r="J323" s="370">
        <v>0</v>
      </c>
      <c r="K323" s="52"/>
      <c r="L323" s="52"/>
      <c r="M323" s="52"/>
      <c r="N323" s="52"/>
      <c r="O323" s="52"/>
      <c r="P323" s="52"/>
      <c r="Q323" s="52"/>
      <c r="R323" s="52"/>
      <c r="S323" s="52"/>
      <c r="T323" s="52"/>
      <c r="U323" s="52"/>
      <c r="V323" s="52"/>
      <c r="W323" s="52"/>
      <c r="X323" s="52"/>
      <c r="Y323" s="52"/>
      <c r="Z323" s="52"/>
    </row>
    <row r="324" spans="1:26" ht="12" customHeight="1">
      <c r="A324" s="52"/>
      <c r="B324" s="52"/>
      <c r="C324" s="52"/>
      <c r="D324" s="307" t="s">
        <v>109</v>
      </c>
      <c r="E324" s="370">
        <v>29</v>
      </c>
      <c r="F324" s="370">
        <v>30</v>
      </c>
      <c r="G324" s="370">
        <v>30</v>
      </c>
      <c r="H324" s="370">
        <v>30</v>
      </c>
      <c r="I324" s="370">
        <v>30</v>
      </c>
      <c r="J324" s="370">
        <v>30</v>
      </c>
      <c r="K324" s="52"/>
      <c r="L324" s="52"/>
      <c r="M324" s="52"/>
      <c r="N324" s="52"/>
      <c r="O324" s="52"/>
      <c r="P324" s="52"/>
      <c r="Q324" s="52"/>
      <c r="R324" s="52"/>
      <c r="S324" s="52"/>
      <c r="T324" s="52"/>
      <c r="U324" s="52"/>
      <c r="V324" s="52"/>
      <c r="W324" s="52"/>
      <c r="X324" s="52"/>
      <c r="Y324" s="52"/>
      <c r="Z324" s="52"/>
    </row>
    <row r="325" spans="1:26" ht="12" customHeight="1">
      <c r="A325" s="52"/>
      <c r="B325" s="52"/>
      <c r="C325" s="52"/>
      <c r="D325" s="307" t="s">
        <v>110</v>
      </c>
      <c r="E325" s="370">
        <v>6</v>
      </c>
      <c r="F325" s="370">
        <v>7</v>
      </c>
      <c r="G325" s="370">
        <v>7</v>
      </c>
      <c r="H325" s="370">
        <v>7</v>
      </c>
      <c r="I325" s="370">
        <v>7</v>
      </c>
      <c r="J325" s="370">
        <v>7</v>
      </c>
      <c r="K325" s="52"/>
      <c r="L325" s="52"/>
      <c r="M325" s="52"/>
      <c r="N325" s="52"/>
      <c r="O325" s="52"/>
      <c r="P325" s="52"/>
      <c r="Q325" s="52"/>
      <c r="R325" s="52"/>
      <c r="S325" s="52"/>
      <c r="T325" s="52"/>
      <c r="U325" s="52"/>
      <c r="V325" s="52"/>
      <c r="W325" s="52"/>
      <c r="X325" s="52"/>
      <c r="Y325" s="52"/>
      <c r="Z325" s="52"/>
    </row>
    <row r="326" spans="1:26" ht="12" customHeight="1">
      <c r="A326" s="52"/>
      <c r="B326" s="52"/>
      <c r="C326" s="52"/>
      <c r="D326" s="307" t="s">
        <v>111</v>
      </c>
      <c r="E326" s="370">
        <v>140</v>
      </c>
      <c r="F326" s="370">
        <v>141</v>
      </c>
      <c r="G326" s="370">
        <v>144</v>
      </c>
      <c r="H326" s="370">
        <v>147</v>
      </c>
      <c r="I326" s="370">
        <v>151</v>
      </c>
      <c r="J326" s="370">
        <v>154</v>
      </c>
      <c r="K326" s="52"/>
      <c r="L326" s="52"/>
      <c r="M326" s="52"/>
      <c r="N326" s="52"/>
      <c r="O326" s="52"/>
      <c r="P326" s="52"/>
      <c r="Q326" s="52"/>
      <c r="R326" s="52"/>
      <c r="S326" s="52"/>
      <c r="T326" s="52"/>
      <c r="U326" s="52"/>
      <c r="V326" s="52"/>
      <c r="W326" s="52"/>
      <c r="X326" s="52"/>
      <c r="Y326" s="52"/>
      <c r="Z326" s="52"/>
    </row>
    <row r="327" spans="1:26" ht="12" customHeight="1">
      <c r="A327" s="52"/>
      <c r="B327" s="52"/>
      <c r="C327" s="52"/>
      <c r="D327" s="307" t="s">
        <v>112</v>
      </c>
      <c r="E327" s="370">
        <v>18</v>
      </c>
      <c r="F327" s="370">
        <v>20</v>
      </c>
      <c r="G327" s="370">
        <v>20</v>
      </c>
      <c r="H327" s="370">
        <v>20</v>
      </c>
      <c r="I327" s="370">
        <v>20</v>
      </c>
      <c r="J327" s="370">
        <v>20</v>
      </c>
      <c r="K327" s="52"/>
      <c r="L327" s="52"/>
      <c r="M327" s="52"/>
      <c r="N327" s="52"/>
      <c r="O327" s="52"/>
      <c r="P327" s="52"/>
      <c r="Q327" s="52"/>
      <c r="R327" s="52"/>
      <c r="S327" s="52"/>
      <c r="T327" s="52"/>
      <c r="U327" s="52"/>
      <c r="V327" s="52"/>
      <c r="W327" s="52"/>
      <c r="X327" s="52"/>
      <c r="Y327" s="52"/>
      <c r="Z327" s="52"/>
    </row>
    <row r="328" spans="1:26" ht="12" customHeight="1">
      <c r="A328" s="52"/>
      <c r="B328" s="52"/>
      <c r="C328" s="52"/>
      <c r="D328" s="307" t="s">
        <v>113</v>
      </c>
      <c r="E328" s="370">
        <v>29</v>
      </c>
      <c r="F328" s="370">
        <v>25</v>
      </c>
      <c r="G328" s="370">
        <v>25</v>
      </c>
      <c r="H328" s="370">
        <v>25</v>
      </c>
      <c r="I328" s="370">
        <v>25</v>
      </c>
      <c r="J328" s="370">
        <v>25</v>
      </c>
      <c r="K328" s="52"/>
      <c r="L328" s="52"/>
      <c r="M328" s="52"/>
      <c r="N328" s="52"/>
      <c r="O328" s="52"/>
      <c r="P328" s="52"/>
      <c r="Q328" s="52"/>
      <c r="R328" s="52"/>
      <c r="S328" s="52"/>
      <c r="T328" s="52"/>
      <c r="U328" s="52"/>
      <c r="V328" s="52"/>
      <c r="W328" s="52"/>
      <c r="X328" s="52"/>
      <c r="Y328" s="52"/>
      <c r="Z328" s="52"/>
    </row>
    <row r="329" spans="1:26" ht="12" customHeight="1">
      <c r="A329" s="52"/>
      <c r="B329" s="52"/>
      <c r="C329" s="52"/>
      <c r="D329" s="307" t="s">
        <v>114</v>
      </c>
      <c r="E329" s="370">
        <v>29</v>
      </c>
      <c r="F329" s="370">
        <v>10</v>
      </c>
      <c r="G329" s="370">
        <v>10</v>
      </c>
      <c r="H329" s="370">
        <v>10</v>
      </c>
      <c r="I329" s="370">
        <v>10</v>
      </c>
      <c r="J329" s="370">
        <v>10</v>
      </c>
      <c r="K329" s="52"/>
      <c r="L329" s="52"/>
      <c r="M329" s="52"/>
      <c r="N329" s="52"/>
      <c r="O329" s="52"/>
      <c r="P329" s="52"/>
      <c r="Q329" s="52"/>
      <c r="R329" s="52"/>
      <c r="S329" s="52"/>
      <c r="T329" s="52"/>
      <c r="U329" s="52"/>
      <c r="V329" s="52"/>
      <c r="W329" s="52"/>
      <c r="X329" s="52"/>
      <c r="Y329" s="52"/>
      <c r="Z329" s="52"/>
    </row>
    <row r="330" spans="1:26" ht="12" customHeight="1">
      <c r="A330" s="52"/>
      <c r="B330" s="52"/>
      <c r="C330" s="52"/>
      <c r="D330" s="307" t="s">
        <v>280</v>
      </c>
      <c r="E330" s="370">
        <v>0</v>
      </c>
      <c r="F330" s="370">
        <v>0</v>
      </c>
      <c r="G330" s="370">
        <v>0</v>
      </c>
      <c r="H330" s="370">
        <v>0</v>
      </c>
      <c r="I330" s="370">
        <v>0</v>
      </c>
      <c r="J330" s="370">
        <v>0</v>
      </c>
      <c r="K330" s="52"/>
      <c r="L330" s="52"/>
      <c r="M330" s="52"/>
      <c r="N330" s="52"/>
      <c r="O330" s="52"/>
      <c r="P330" s="52"/>
      <c r="Q330" s="52"/>
      <c r="R330" s="52"/>
      <c r="S330" s="52"/>
      <c r="T330" s="52"/>
      <c r="U330" s="52"/>
      <c r="V330" s="52"/>
      <c r="W330" s="52"/>
      <c r="X330" s="52"/>
      <c r="Y330" s="52"/>
      <c r="Z330" s="52"/>
    </row>
    <row r="331" spans="1:26" ht="12" customHeight="1">
      <c r="A331" s="52"/>
      <c r="B331" s="52"/>
      <c r="C331" s="52"/>
      <c r="D331" s="307" t="s">
        <v>281</v>
      </c>
      <c r="E331" s="370">
        <v>0</v>
      </c>
      <c r="F331" s="370">
        <v>0</v>
      </c>
      <c r="G331" s="370">
        <v>0</v>
      </c>
      <c r="H331" s="370">
        <v>0</v>
      </c>
      <c r="I331" s="370">
        <v>0</v>
      </c>
      <c r="J331" s="370">
        <v>0</v>
      </c>
      <c r="K331" s="52"/>
      <c r="L331" s="52"/>
      <c r="M331" s="52"/>
      <c r="N331" s="52"/>
      <c r="O331" s="52"/>
      <c r="P331" s="52"/>
      <c r="Q331" s="52"/>
      <c r="R331" s="52"/>
      <c r="S331" s="52"/>
      <c r="T331" s="52"/>
      <c r="U331" s="52"/>
      <c r="V331" s="52"/>
      <c r="W331" s="52"/>
      <c r="X331" s="52"/>
      <c r="Y331" s="52"/>
      <c r="Z331" s="52"/>
    </row>
    <row r="332" spans="1:26" ht="12" customHeight="1">
      <c r="A332" s="52"/>
      <c r="B332" s="52"/>
      <c r="C332" s="52"/>
      <c r="D332" s="307" t="s">
        <v>115</v>
      </c>
      <c r="E332" s="370">
        <v>359</v>
      </c>
      <c r="F332" s="370">
        <v>366</v>
      </c>
      <c r="G332" s="370">
        <v>374</v>
      </c>
      <c r="H332" s="370">
        <v>382</v>
      </c>
      <c r="I332" s="370">
        <v>390</v>
      </c>
      <c r="J332" s="370">
        <v>398</v>
      </c>
      <c r="K332" s="52"/>
      <c r="L332" s="52"/>
      <c r="M332" s="52"/>
      <c r="N332" s="52"/>
      <c r="O332" s="52"/>
      <c r="P332" s="52"/>
      <c r="Q332" s="52"/>
      <c r="R332" s="52"/>
      <c r="S332" s="52"/>
      <c r="T332" s="52"/>
      <c r="U332" s="52"/>
      <c r="V332" s="52"/>
      <c r="W332" s="52"/>
      <c r="X332" s="52"/>
      <c r="Y332" s="52"/>
      <c r="Z332" s="52"/>
    </row>
    <row r="333" spans="1:26" ht="12" customHeight="1">
      <c r="A333" s="52"/>
      <c r="B333" s="52"/>
      <c r="C333" s="52"/>
      <c r="D333" s="307" t="s">
        <v>116</v>
      </c>
      <c r="E333" s="370">
        <v>270</v>
      </c>
      <c r="F333" s="370">
        <v>322</v>
      </c>
      <c r="G333" s="370">
        <v>328</v>
      </c>
      <c r="H333" s="370">
        <v>335</v>
      </c>
      <c r="I333" s="370">
        <v>342</v>
      </c>
      <c r="J333" s="370">
        <v>350</v>
      </c>
      <c r="K333" s="52"/>
      <c r="L333" s="52"/>
      <c r="M333" s="52"/>
      <c r="N333" s="52"/>
      <c r="O333" s="52"/>
      <c r="P333" s="52"/>
      <c r="Q333" s="52"/>
      <c r="R333" s="52"/>
      <c r="S333" s="52"/>
      <c r="T333" s="52"/>
      <c r="U333" s="52"/>
      <c r="V333" s="52"/>
      <c r="W333" s="52"/>
      <c r="X333" s="52"/>
      <c r="Y333" s="52"/>
      <c r="Z333" s="52"/>
    </row>
    <row r="334" spans="1:26" ht="12" customHeight="1">
      <c r="A334" s="52"/>
      <c r="B334" s="52"/>
      <c r="C334" s="52"/>
      <c r="D334" s="307"/>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2" customHeight="1">
      <c r="A335" s="52"/>
      <c r="B335" s="307"/>
      <c r="C335" s="318" t="s">
        <v>117</v>
      </c>
      <c r="D335" s="52"/>
      <c r="E335" s="320" t="s">
        <v>218</v>
      </c>
      <c r="F335" s="320" t="str">
        <f t="shared" ref="F335:J335" si="48">F$4</f>
        <v>2026F</v>
      </c>
      <c r="G335" s="320" t="str">
        <f t="shared" si="48"/>
        <v>2027F</v>
      </c>
      <c r="H335" s="320" t="str">
        <f t="shared" si="48"/>
        <v>2028F</v>
      </c>
      <c r="I335" s="320" t="str">
        <f t="shared" si="48"/>
        <v>2029F</v>
      </c>
      <c r="J335" s="320" t="str">
        <f t="shared" si="48"/>
        <v>2030F</v>
      </c>
      <c r="K335" s="52"/>
      <c r="L335" s="52"/>
      <c r="M335" s="52"/>
      <c r="N335" s="52"/>
      <c r="O335" s="52"/>
      <c r="P335" s="52"/>
      <c r="Q335" s="52"/>
      <c r="R335" s="52"/>
      <c r="S335" s="52"/>
      <c r="T335" s="52"/>
      <c r="U335" s="52"/>
      <c r="V335" s="52"/>
      <c r="W335" s="52"/>
      <c r="X335" s="52"/>
      <c r="Y335" s="52"/>
      <c r="Z335" s="52"/>
    </row>
    <row r="336" spans="1:26" ht="12" customHeight="1">
      <c r="A336" s="52"/>
      <c r="B336" s="52"/>
      <c r="C336" s="52"/>
      <c r="D336" s="307" t="s">
        <v>118</v>
      </c>
      <c r="E336" s="371">
        <v>1.4999999999999999E-2</v>
      </c>
      <c r="F336" s="371">
        <v>1.4999999999999999E-2</v>
      </c>
      <c r="G336" s="371">
        <v>1.4999999999999999E-2</v>
      </c>
      <c r="H336" s="371">
        <v>1.4999999999999999E-2</v>
      </c>
      <c r="I336" s="371">
        <v>1.4999999999999999E-2</v>
      </c>
      <c r="J336" s="371">
        <v>1.4999999999999999E-2</v>
      </c>
      <c r="K336" s="52"/>
      <c r="L336" s="52"/>
      <c r="M336" s="52"/>
      <c r="N336" s="52"/>
      <c r="O336" s="52"/>
      <c r="P336" s="52"/>
      <c r="Q336" s="52"/>
      <c r="R336" s="52"/>
      <c r="S336" s="52"/>
      <c r="T336" s="52"/>
      <c r="U336" s="52"/>
      <c r="V336" s="52"/>
      <c r="W336" s="52"/>
      <c r="X336" s="52"/>
      <c r="Y336" s="52"/>
      <c r="Z336" s="52"/>
    </row>
    <row r="337" spans="1:26" ht="12" customHeight="1">
      <c r="A337" s="52"/>
      <c r="B337" s="52"/>
      <c r="C337" s="52"/>
      <c r="D337" s="307" t="s">
        <v>119</v>
      </c>
      <c r="E337" s="370">
        <v>76</v>
      </c>
      <c r="F337" s="370">
        <v>70</v>
      </c>
      <c r="G337" s="370">
        <v>71</v>
      </c>
      <c r="H337" s="370">
        <v>72</v>
      </c>
      <c r="I337" s="370">
        <v>74</v>
      </c>
      <c r="J337" s="370">
        <v>76</v>
      </c>
      <c r="K337" s="52"/>
      <c r="L337" s="52"/>
      <c r="M337" s="52"/>
      <c r="N337" s="52"/>
      <c r="O337" s="52"/>
      <c r="P337" s="52"/>
      <c r="Q337" s="52"/>
      <c r="R337" s="52"/>
      <c r="S337" s="52"/>
      <c r="T337" s="52"/>
      <c r="U337" s="52"/>
      <c r="V337" s="52"/>
      <c r="W337" s="52"/>
      <c r="X337" s="52"/>
      <c r="Y337" s="52"/>
      <c r="Z337" s="52"/>
    </row>
    <row r="338" spans="1:26" ht="12" customHeight="1">
      <c r="A338" s="52"/>
      <c r="B338" s="52"/>
      <c r="C338" s="52"/>
      <c r="D338" s="307" t="s">
        <v>120</v>
      </c>
      <c r="E338" s="370">
        <v>115</v>
      </c>
      <c r="F338" s="370">
        <v>94</v>
      </c>
      <c r="G338" s="370">
        <v>96</v>
      </c>
      <c r="H338" s="370">
        <v>98</v>
      </c>
      <c r="I338" s="370">
        <v>100</v>
      </c>
      <c r="J338" s="370">
        <v>102</v>
      </c>
      <c r="K338" s="52"/>
      <c r="L338" s="52"/>
      <c r="M338" s="52"/>
      <c r="N338" s="52"/>
      <c r="O338" s="52"/>
      <c r="P338" s="52"/>
      <c r="Q338" s="52"/>
      <c r="R338" s="52"/>
      <c r="S338" s="52"/>
      <c r="T338" s="52"/>
      <c r="U338" s="52"/>
      <c r="V338" s="52"/>
      <c r="W338" s="52"/>
      <c r="X338" s="52"/>
      <c r="Y338" s="52"/>
      <c r="Z338" s="52"/>
    </row>
    <row r="339" spans="1:26" ht="12" customHeight="1">
      <c r="A339" s="52"/>
      <c r="B339" s="52"/>
      <c r="C339" s="52"/>
      <c r="D339" s="307" t="s">
        <v>121</v>
      </c>
      <c r="E339" s="370">
        <v>286</v>
      </c>
      <c r="F339" s="370">
        <v>318</v>
      </c>
      <c r="G339" s="370">
        <v>325</v>
      </c>
      <c r="H339" s="370">
        <v>331</v>
      </c>
      <c r="I339" s="370">
        <v>338</v>
      </c>
      <c r="J339" s="370">
        <v>345</v>
      </c>
      <c r="K339" s="52"/>
      <c r="L339" s="52"/>
      <c r="M339" s="52"/>
      <c r="N339" s="52"/>
      <c r="O339" s="52"/>
      <c r="P339" s="52"/>
      <c r="Q339" s="52"/>
      <c r="R339" s="52"/>
      <c r="S339" s="52"/>
      <c r="T339" s="52"/>
      <c r="U339" s="52"/>
      <c r="V339" s="52"/>
      <c r="W339" s="52"/>
      <c r="X339" s="52"/>
      <c r="Y339" s="52"/>
      <c r="Z339" s="52"/>
    </row>
    <row r="340" spans="1:26" ht="12" customHeight="1">
      <c r="A340" s="52"/>
      <c r="B340" s="52"/>
      <c r="C340" s="52"/>
      <c r="D340" s="307" t="s">
        <v>122</v>
      </c>
      <c r="E340" s="370">
        <v>483</v>
      </c>
      <c r="F340" s="370">
        <v>480</v>
      </c>
      <c r="G340" s="370">
        <v>490</v>
      </c>
      <c r="H340" s="370">
        <v>500</v>
      </c>
      <c r="I340" s="370">
        <v>510</v>
      </c>
      <c r="J340" s="370">
        <v>521</v>
      </c>
      <c r="K340" s="52"/>
      <c r="L340" s="52"/>
      <c r="M340" s="52"/>
      <c r="N340" s="52"/>
      <c r="O340" s="52"/>
      <c r="P340" s="52"/>
      <c r="Q340" s="52"/>
      <c r="R340" s="52"/>
      <c r="S340" s="52"/>
      <c r="T340" s="52"/>
      <c r="U340" s="52"/>
      <c r="V340" s="52"/>
      <c r="W340" s="52"/>
      <c r="X340" s="52"/>
      <c r="Y340" s="52"/>
      <c r="Z340" s="52"/>
    </row>
    <row r="341" spans="1:26" ht="12" customHeight="1">
      <c r="A341" s="52"/>
      <c r="B341" s="52"/>
      <c r="C341" s="52"/>
      <c r="D341" s="307"/>
      <c r="E341" s="372"/>
      <c r="F341" s="372"/>
      <c r="G341" s="372"/>
      <c r="H341" s="372"/>
      <c r="I341" s="372"/>
      <c r="J341" s="372"/>
      <c r="K341" s="52"/>
      <c r="L341" s="52"/>
      <c r="M341" s="52"/>
      <c r="N341" s="52"/>
      <c r="O341" s="52"/>
      <c r="P341" s="52"/>
      <c r="Q341" s="52"/>
      <c r="R341" s="52"/>
      <c r="S341" s="52"/>
      <c r="T341" s="52"/>
      <c r="U341" s="52"/>
      <c r="V341" s="52"/>
      <c r="W341" s="52"/>
      <c r="X341" s="52"/>
      <c r="Y341" s="52"/>
      <c r="Z341" s="52"/>
    </row>
    <row r="342" spans="1:26" ht="12" customHeight="1">
      <c r="A342" s="52"/>
      <c r="B342" s="373"/>
      <c r="C342" s="374" t="s">
        <v>123</v>
      </c>
      <c r="D342" s="52"/>
      <c r="E342" s="372"/>
      <c r="F342" s="372"/>
      <c r="G342" s="372"/>
      <c r="H342" s="372"/>
      <c r="I342" s="372"/>
      <c r="J342" s="372"/>
      <c r="K342" s="52"/>
      <c r="L342" s="52"/>
      <c r="M342" s="52"/>
      <c r="N342" s="52"/>
      <c r="O342" s="52"/>
      <c r="P342" s="52"/>
      <c r="Q342" s="52"/>
      <c r="R342" s="52"/>
      <c r="S342" s="52"/>
      <c r="T342" s="52"/>
      <c r="U342" s="52"/>
      <c r="V342" s="52"/>
      <c r="W342" s="52"/>
      <c r="X342" s="52"/>
      <c r="Y342" s="52"/>
      <c r="Z342" s="52"/>
    </row>
    <row r="343" spans="1:26" ht="12" customHeight="1">
      <c r="A343" s="52"/>
      <c r="B343" s="52"/>
      <c r="C343" s="52"/>
      <c r="D343" s="307" t="s">
        <v>124</v>
      </c>
      <c r="E343" s="370">
        <v>1007</v>
      </c>
      <c r="F343" s="370">
        <v>1079</v>
      </c>
      <c r="G343" s="370">
        <v>1102</v>
      </c>
      <c r="H343" s="370">
        <v>1125</v>
      </c>
      <c r="I343" s="370">
        <v>1148</v>
      </c>
      <c r="J343" s="370">
        <v>1172</v>
      </c>
      <c r="K343" s="52"/>
      <c r="L343" s="52"/>
      <c r="M343" s="52"/>
      <c r="N343" s="52"/>
      <c r="O343" s="52"/>
      <c r="P343" s="52"/>
      <c r="Q343" s="52"/>
      <c r="R343" s="52"/>
      <c r="S343" s="52"/>
      <c r="T343" s="52"/>
      <c r="U343" s="52"/>
      <c r="V343" s="52"/>
      <c r="W343" s="52"/>
      <c r="X343" s="52"/>
      <c r="Y343" s="52"/>
      <c r="Z343" s="52"/>
    </row>
    <row r="344" spans="1:26" ht="12" customHeight="1">
      <c r="A344" s="52"/>
      <c r="B344" s="52"/>
      <c r="C344" s="52"/>
      <c r="D344" s="307" t="s">
        <v>125</v>
      </c>
      <c r="E344" s="370">
        <v>1461</v>
      </c>
      <c r="F344" s="370">
        <v>1422</v>
      </c>
      <c r="G344" s="370">
        <v>1452</v>
      </c>
      <c r="H344" s="370">
        <v>1483</v>
      </c>
      <c r="I344" s="370">
        <v>1514</v>
      </c>
      <c r="J344" s="370">
        <v>1546</v>
      </c>
      <c r="K344" s="52"/>
      <c r="L344" s="52"/>
      <c r="M344" s="52"/>
      <c r="N344" s="52"/>
      <c r="O344" s="52"/>
      <c r="P344" s="52"/>
      <c r="Q344" s="52"/>
      <c r="R344" s="52"/>
      <c r="S344" s="52"/>
      <c r="T344" s="52"/>
      <c r="U344" s="52"/>
      <c r="V344" s="52"/>
      <c r="W344" s="52"/>
      <c r="X344" s="52"/>
      <c r="Y344" s="52"/>
      <c r="Z344" s="52"/>
    </row>
    <row r="345" spans="1:26" ht="12" customHeight="1">
      <c r="A345" s="52"/>
      <c r="B345" s="52"/>
      <c r="C345" s="52"/>
      <c r="D345" s="307" t="s">
        <v>126</v>
      </c>
      <c r="E345" s="370">
        <v>3590</v>
      </c>
      <c r="F345" s="370">
        <v>5010</v>
      </c>
      <c r="G345" s="370">
        <v>5116</v>
      </c>
      <c r="H345" s="370">
        <v>5223</v>
      </c>
      <c r="I345" s="370">
        <v>5333</v>
      </c>
      <c r="J345" s="370">
        <v>5445</v>
      </c>
      <c r="K345" s="52"/>
      <c r="L345" s="52"/>
      <c r="M345" s="52"/>
      <c r="N345" s="52"/>
      <c r="O345" s="52"/>
      <c r="P345" s="52"/>
      <c r="Q345" s="52"/>
      <c r="R345" s="52"/>
      <c r="S345" s="52"/>
      <c r="T345" s="52"/>
      <c r="U345" s="52"/>
      <c r="V345" s="52"/>
      <c r="W345" s="52"/>
      <c r="X345" s="52"/>
      <c r="Y345" s="52"/>
      <c r="Z345" s="52"/>
    </row>
    <row r="346" spans="1:26" ht="12" customHeight="1">
      <c r="A346" s="52"/>
      <c r="B346" s="52"/>
      <c r="C346" s="52"/>
      <c r="D346" s="307" t="s">
        <v>127</v>
      </c>
      <c r="E346" s="370">
        <v>39.14</v>
      </c>
      <c r="F346" s="370">
        <v>40.590000000000003</v>
      </c>
      <c r="G346" s="370">
        <v>40.590000000000003</v>
      </c>
      <c r="H346" s="370">
        <v>40.590000000000003</v>
      </c>
      <c r="I346" s="370">
        <v>40.590000000000003</v>
      </c>
      <c r="J346" s="370">
        <v>40.590000000000003</v>
      </c>
      <c r="K346" s="52"/>
      <c r="L346" s="52"/>
      <c r="M346" s="52"/>
      <c r="N346" s="52"/>
      <c r="O346" s="52"/>
      <c r="P346" s="52"/>
      <c r="Q346" s="52"/>
      <c r="R346" s="52"/>
      <c r="S346" s="52"/>
      <c r="T346" s="52"/>
      <c r="U346" s="52"/>
      <c r="V346" s="52"/>
      <c r="W346" s="52"/>
      <c r="X346" s="52"/>
      <c r="Y346" s="52"/>
      <c r="Z346" s="52"/>
    </row>
    <row r="347" spans="1:26" ht="12" customHeight="1">
      <c r="A347" s="52"/>
      <c r="B347" s="52"/>
      <c r="C347" s="52"/>
      <c r="D347" s="307" t="s">
        <v>128</v>
      </c>
      <c r="E347" s="52" t="s">
        <v>282</v>
      </c>
      <c r="F347" s="52" t="s">
        <v>282</v>
      </c>
      <c r="G347" s="52" t="s">
        <v>282</v>
      </c>
      <c r="H347" s="52" t="s">
        <v>282</v>
      </c>
      <c r="I347" s="52" t="s">
        <v>282</v>
      </c>
      <c r="J347" s="52" t="s">
        <v>282</v>
      </c>
      <c r="K347" s="52"/>
      <c r="L347" s="52"/>
      <c r="M347" s="52"/>
      <c r="N347" s="52"/>
      <c r="O347" s="52"/>
      <c r="P347" s="52"/>
      <c r="Q347" s="52"/>
      <c r="R347" s="52"/>
      <c r="S347" s="52"/>
      <c r="T347" s="52"/>
      <c r="U347" s="52"/>
      <c r="V347" s="52"/>
      <c r="W347" s="52"/>
      <c r="X347" s="52"/>
      <c r="Y347" s="52"/>
      <c r="Z347" s="52"/>
    </row>
    <row r="348" spans="1:26" ht="12" customHeight="1">
      <c r="A348" s="52"/>
      <c r="B348" s="52"/>
      <c r="C348" s="52"/>
      <c r="D348" s="307" t="s">
        <v>129</v>
      </c>
      <c r="E348" s="370">
        <v>162</v>
      </c>
      <c r="F348" s="370">
        <v>165</v>
      </c>
      <c r="G348" s="370">
        <v>168</v>
      </c>
      <c r="H348" s="370">
        <v>172</v>
      </c>
      <c r="I348" s="370">
        <v>176</v>
      </c>
      <c r="J348" s="370">
        <v>179</v>
      </c>
      <c r="K348" s="52"/>
      <c r="L348" s="52"/>
      <c r="M348" s="52"/>
      <c r="N348" s="52"/>
      <c r="O348" s="52"/>
      <c r="P348" s="52"/>
      <c r="Q348" s="52"/>
      <c r="R348" s="52"/>
      <c r="S348" s="52"/>
      <c r="T348" s="52"/>
      <c r="U348" s="52"/>
      <c r="V348" s="52"/>
      <c r="W348" s="52"/>
      <c r="X348" s="52"/>
      <c r="Y348" s="52"/>
      <c r="Z348" s="52"/>
    </row>
    <row r="349" spans="1:26" ht="12" customHeight="1">
      <c r="A349" s="52"/>
      <c r="B349" s="52"/>
      <c r="C349" s="52"/>
      <c r="D349" s="307"/>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2" customHeight="1">
      <c r="A350" s="52"/>
      <c r="B350" s="373"/>
      <c r="C350" s="374" t="s">
        <v>130</v>
      </c>
      <c r="D350" s="52"/>
      <c r="E350" s="320" t="s">
        <v>218</v>
      </c>
      <c r="F350" s="320" t="str">
        <f t="shared" ref="F350:J350" si="49">F$4</f>
        <v>2026F</v>
      </c>
      <c r="G350" s="320" t="str">
        <f t="shared" si="49"/>
        <v>2027F</v>
      </c>
      <c r="H350" s="320" t="str">
        <f t="shared" si="49"/>
        <v>2028F</v>
      </c>
      <c r="I350" s="320" t="str">
        <f t="shared" si="49"/>
        <v>2029F</v>
      </c>
      <c r="J350" s="320" t="str">
        <f t="shared" si="49"/>
        <v>2030F</v>
      </c>
      <c r="K350" s="52"/>
      <c r="L350" s="52"/>
      <c r="M350" s="52"/>
      <c r="N350" s="52"/>
      <c r="O350" s="52"/>
      <c r="P350" s="52"/>
      <c r="Q350" s="52"/>
      <c r="R350" s="52"/>
      <c r="S350" s="52"/>
      <c r="T350" s="52"/>
      <c r="U350" s="52"/>
      <c r="V350" s="52"/>
      <c r="W350" s="52"/>
      <c r="X350" s="52"/>
      <c r="Y350" s="52"/>
      <c r="Z350" s="52"/>
    </row>
    <row r="351" spans="1:26" ht="12" customHeight="1">
      <c r="A351" s="52"/>
      <c r="B351" s="52"/>
      <c r="C351" s="52"/>
      <c r="D351" s="307" t="s">
        <v>133</v>
      </c>
      <c r="E351" s="370">
        <v>121.23</v>
      </c>
      <c r="F351" s="370">
        <v>125.72</v>
      </c>
      <c r="G351" s="370">
        <v>125.72</v>
      </c>
      <c r="H351" s="370">
        <v>125.72</v>
      </c>
      <c r="I351" s="370">
        <v>125.72</v>
      </c>
      <c r="J351" s="370">
        <v>125.72</v>
      </c>
      <c r="K351" s="52"/>
      <c r="L351" s="52"/>
      <c r="M351" s="52"/>
      <c r="N351" s="52"/>
      <c r="O351" s="52"/>
      <c r="P351" s="52"/>
      <c r="Q351" s="52"/>
      <c r="R351" s="52"/>
      <c r="S351" s="52"/>
      <c r="T351" s="52"/>
      <c r="U351" s="52"/>
      <c r="V351" s="52"/>
      <c r="W351" s="52"/>
      <c r="X351" s="52"/>
      <c r="Y351" s="52"/>
      <c r="Z351" s="52"/>
    </row>
    <row r="352" spans="1:26" ht="12" customHeight="1">
      <c r="A352" s="52"/>
      <c r="B352" s="52"/>
      <c r="C352" s="52"/>
      <c r="D352" s="307" t="s">
        <v>134</v>
      </c>
      <c r="E352" s="370">
        <v>48.5</v>
      </c>
      <c r="F352" s="370">
        <v>50.29</v>
      </c>
      <c r="G352" s="370">
        <v>50.29</v>
      </c>
      <c r="H352" s="370">
        <v>50.29</v>
      </c>
      <c r="I352" s="370">
        <v>50.29</v>
      </c>
      <c r="J352" s="370">
        <v>50.29</v>
      </c>
      <c r="K352" s="52"/>
      <c r="L352" s="52"/>
      <c r="M352" s="52"/>
      <c r="N352" s="52"/>
      <c r="O352" s="52"/>
      <c r="P352" s="52"/>
      <c r="Q352" s="52"/>
      <c r="R352" s="52"/>
      <c r="S352" s="52"/>
      <c r="T352" s="52"/>
      <c r="U352" s="52"/>
      <c r="V352" s="52"/>
      <c r="W352" s="52"/>
      <c r="X352" s="52"/>
      <c r="Y352" s="52"/>
      <c r="Z352" s="52"/>
    </row>
    <row r="353" spans="1:26" ht="12" customHeight="1">
      <c r="A353" s="52"/>
      <c r="B353" s="52"/>
      <c r="C353" s="52"/>
      <c r="D353" s="307" t="s">
        <v>135</v>
      </c>
      <c r="E353" s="370">
        <v>1.2</v>
      </c>
      <c r="F353" s="370">
        <v>1.24</v>
      </c>
      <c r="G353" s="370">
        <v>1.24</v>
      </c>
      <c r="H353" s="370">
        <v>1.24</v>
      </c>
      <c r="I353" s="370">
        <v>1.24</v>
      </c>
      <c r="J353" s="370">
        <v>1.24</v>
      </c>
      <c r="K353" s="52"/>
      <c r="L353" s="52"/>
      <c r="M353" s="52"/>
      <c r="N353" s="52"/>
      <c r="O353" s="52"/>
      <c r="P353" s="52"/>
      <c r="Q353" s="52"/>
      <c r="R353" s="52"/>
      <c r="S353" s="52"/>
      <c r="T353" s="52"/>
      <c r="U353" s="52"/>
      <c r="V353" s="52"/>
      <c r="W353" s="52"/>
      <c r="X353" s="52"/>
      <c r="Y353" s="52"/>
      <c r="Z353" s="52"/>
    </row>
    <row r="354" spans="1:26" ht="12" customHeight="1">
      <c r="A354" s="52"/>
      <c r="B354" s="52"/>
      <c r="C354" s="52"/>
      <c r="D354" s="307" t="s">
        <v>137</v>
      </c>
      <c r="E354" s="370">
        <v>0.71</v>
      </c>
      <c r="F354" s="370">
        <v>0.74</v>
      </c>
      <c r="G354" s="370">
        <v>0.74</v>
      </c>
      <c r="H354" s="370">
        <v>0.74</v>
      </c>
      <c r="I354" s="370">
        <v>0.74</v>
      </c>
      <c r="J354" s="370">
        <v>0.74</v>
      </c>
      <c r="K354" s="52"/>
      <c r="L354" s="52"/>
      <c r="M354" s="52"/>
      <c r="N354" s="52"/>
      <c r="O354" s="52"/>
      <c r="P354" s="52"/>
      <c r="Q354" s="52"/>
      <c r="R354" s="52"/>
      <c r="S354" s="52"/>
      <c r="T354" s="52"/>
      <c r="U354" s="52"/>
      <c r="V354" s="52"/>
      <c r="W354" s="52"/>
      <c r="X354" s="52"/>
      <c r="Y354" s="52"/>
      <c r="Z354" s="52"/>
    </row>
    <row r="355" spans="1:26" ht="12" customHeight="1">
      <c r="A355" s="52"/>
      <c r="B355" s="52"/>
      <c r="C355" s="52"/>
      <c r="D355" s="307" t="s">
        <v>138</v>
      </c>
      <c r="E355" s="370">
        <v>-0.71</v>
      </c>
      <c r="F355" s="370">
        <v>-0.74</v>
      </c>
      <c r="G355" s="370">
        <v>-0.74</v>
      </c>
      <c r="H355" s="370">
        <v>-0.74</v>
      </c>
      <c r="I355" s="370">
        <v>-0.74</v>
      </c>
      <c r="J355" s="370">
        <v>-0.74</v>
      </c>
      <c r="K355" s="52"/>
      <c r="L355" s="52"/>
      <c r="M355" s="52"/>
      <c r="N355" s="52"/>
      <c r="O355" s="52"/>
      <c r="P355" s="52"/>
      <c r="Q355" s="52"/>
      <c r="R355" s="52"/>
      <c r="S355" s="52"/>
      <c r="T355" s="52"/>
      <c r="U355" s="52"/>
      <c r="V355" s="52"/>
      <c r="W355" s="52"/>
      <c r="X355" s="52"/>
      <c r="Y355" s="52"/>
      <c r="Z355" s="52"/>
    </row>
    <row r="356" spans="1:26" ht="12" customHeight="1">
      <c r="A356" s="52"/>
      <c r="B356" s="52"/>
      <c r="C356" s="52"/>
      <c r="D356" s="307" t="s">
        <v>283</v>
      </c>
      <c r="E356" s="375"/>
      <c r="F356" s="375"/>
      <c r="G356" s="375"/>
      <c r="H356" s="375"/>
      <c r="I356" s="375"/>
      <c r="J356" s="375"/>
      <c r="K356" s="52"/>
      <c r="L356" s="52"/>
      <c r="M356" s="52"/>
      <c r="N356" s="52"/>
      <c r="O356" s="52"/>
      <c r="P356" s="52"/>
      <c r="Q356" s="52"/>
      <c r="R356" s="52"/>
      <c r="S356" s="52"/>
      <c r="T356" s="52"/>
      <c r="U356" s="52"/>
      <c r="V356" s="52"/>
      <c r="W356" s="52"/>
      <c r="X356" s="52"/>
      <c r="Y356" s="52"/>
      <c r="Z356" s="52"/>
    </row>
    <row r="357" spans="1:26" ht="12" customHeight="1">
      <c r="A357" s="52"/>
      <c r="B357" s="52"/>
      <c r="C357" s="52"/>
      <c r="D357" s="307" t="s">
        <v>140</v>
      </c>
      <c r="E357" s="370">
        <v>0.61</v>
      </c>
      <c r="F357" s="370">
        <v>0.63</v>
      </c>
      <c r="G357" s="370">
        <v>0.63</v>
      </c>
      <c r="H357" s="370">
        <v>0.63</v>
      </c>
      <c r="I357" s="370">
        <v>0.63</v>
      </c>
      <c r="J357" s="370">
        <v>0.63</v>
      </c>
      <c r="K357" s="52"/>
      <c r="L357" s="52"/>
      <c r="M357" s="52"/>
      <c r="N357" s="52"/>
      <c r="O357" s="52"/>
      <c r="P357" s="52"/>
      <c r="Q357" s="52"/>
      <c r="R357" s="52"/>
      <c r="S357" s="52"/>
      <c r="T357" s="52"/>
      <c r="U357" s="52"/>
      <c r="V357" s="52"/>
      <c r="W357" s="52"/>
      <c r="X357" s="52"/>
      <c r="Y357" s="52"/>
      <c r="Z357" s="52"/>
    </row>
    <row r="358" spans="1:26" ht="12" customHeight="1">
      <c r="A358" s="52"/>
      <c r="B358" s="52"/>
      <c r="C358" s="52"/>
      <c r="D358" s="307" t="s">
        <v>141</v>
      </c>
      <c r="E358" s="370">
        <v>1.2</v>
      </c>
      <c r="F358" s="370">
        <v>1.24</v>
      </c>
      <c r="G358" s="370">
        <v>1.24</v>
      </c>
      <c r="H358" s="370">
        <v>1.24</v>
      </c>
      <c r="I358" s="370">
        <v>1.24</v>
      </c>
      <c r="J358" s="370">
        <v>1.24</v>
      </c>
      <c r="K358" s="52"/>
      <c r="L358" s="52"/>
      <c r="M358" s="52"/>
      <c r="N358" s="52"/>
      <c r="O358" s="52"/>
      <c r="P358" s="52"/>
      <c r="Q358" s="52"/>
      <c r="R358" s="52"/>
      <c r="S358" s="52"/>
      <c r="T358" s="52"/>
      <c r="U358" s="52"/>
      <c r="V358" s="52"/>
      <c r="W358" s="52"/>
      <c r="X358" s="52"/>
      <c r="Y358" s="52"/>
      <c r="Z358" s="52"/>
    </row>
    <row r="359" spans="1:26" ht="12" customHeight="1">
      <c r="A359" s="52"/>
      <c r="B359" s="52"/>
      <c r="C359" s="52"/>
      <c r="D359" s="307" t="s">
        <v>142</v>
      </c>
      <c r="E359" s="375"/>
      <c r="F359" s="375"/>
      <c r="G359" s="52"/>
      <c r="H359" s="52"/>
      <c r="I359" s="52"/>
      <c r="J359" s="52"/>
      <c r="K359" s="52"/>
      <c r="L359" s="52"/>
      <c r="M359" s="52"/>
      <c r="N359" s="52"/>
      <c r="O359" s="52"/>
      <c r="P359" s="52"/>
      <c r="Q359" s="52"/>
      <c r="R359" s="52"/>
      <c r="S359" s="52"/>
      <c r="T359" s="52"/>
      <c r="U359" s="52"/>
      <c r="V359" s="52"/>
      <c r="W359" s="52"/>
      <c r="X359" s="52"/>
      <c r="Y359" s="52"/>
      <c r="Z359" s="52"/>
    </row>
    <row r="360" spans="1:26" ht="12" customHeight="1">
      <c r="A360" s="52"/>
      <c r="B360" s="52"/>
      <c r="C360" s="52"/>
      <c r="D360" s="307" t="s">
        <v>143</v>
      </c>
      <c r="E360" s="375"/>
      <c r="F360" s="375"/>
      <c r="G360" s="52"/>
      <c r="H360" s="52"/>
      <c r="I360" s="52"/>
      <c r="J360" s="52"/>
      <c r="K360" s="52"/>
      <c r="L360" s="52"/>
      <c r="M360" s="52"/>
      <c r="N360" s="52"/>
      <c r="O360" s="52"/>
      <c r="P360" s="52"/>
      <c r="Q360" s="52"/>
      <c r="R360" s="52"/>
      <c r="S360" s="52"/>
      <c r="T360" s="52"/>
      <c r="U360" s="52"/>
      <c r="V360" s="52"/>
      <c r="W360" s="52"/>
      <c r="X360" s="52"/>
      <c r="Y360" s="52"/>
      <c r="Z360" s="52"/>
    </row>
    <row r="361" spans="1:26" ht="12" customHeight="1">
      <c r="A361" s="52"/>
      <c r="B361" s="52"/>
      <c r="C361" s="52"/>
      <c r="D361" s="307" t="s">
        <v>284</v>
      </c>
      <c r="E361" s="375"/>
      <c r="F361" s="375"/>
      <c r="G361" s="52"/>
      <c r="H361" s="52"/>
      <c r="I361" s="52"/>
      <c r="J361" s="52"/>
      <c r="K361" s="52"/>
      <c r="L361" s="52"/>
      <c r="M361" s="52"/>
      <c r="N361" s="52"/>
      <c r="O361" s="52"/>
      <c r="P361" s="52"/>
      <c r="Q361" s="52"/>
      <c r="R361" s="52"/>
      <c r="S361" s="52"/>
      <c r="T361" s="52"/>
      <c r="U361" s="52"/>
      <c r="V361" s="52"/>
      <c r="W361" s="52"/>
      <c r="X361" s="52"/>
      <c r="Y361" s="52"/>
      <c r="Z361" s="52"/>
    </row>
    <row r="362" spans="1:26" ht="12" customHeight="1">
      <c r="A362" s="52"/>
      <c r="B362" s="52"/>
      <c r="C362" s="52"/>
      <c r="D362" s="307" t="s">
        <v>285</v>
      </c>
      <c r="E362" s="375" t="s">
        <v>286</v>
      </c>
      <c r="F362" s="375" t="s">
        <v>286</v>
      </c>
      <c r="G362" s="52" t="s">
        <v>286</v>
      </c>
      <c r="H362" s="52" t="s">
        <v>286</v>
      </c>
      <c r="I362" s="52" t="s">
        <v>286</v>
      </c>
      <c r="J362" s="52" t="s">
        <v>286</v>
      </c>
      <c r="K362" s="52"/>
      <c r="L362" s="52"/>
      <c r="M362" s="52"/>
      <c r="N362" s="52"/>
      <c r="O362" s="52"/>
      <c r="P362" s="52"/>
      <c r="Q362" s="52"/>
      <c r="R362" s="52"/>
      <c r="S362" s="52"/>
      <c r="T362" s="52"/>
      <c r="U362" s="52"/>
      <c r="V362" s="52"/>
      <c r="W362" s="52"/>
      <c r="X362" s="52"/>
      <c r="Y362" s="52"/>
      <c r="Z362" s="52"/>
    </row>
    <row r="363" spans="1:26" ht="12" customHeight="1">
      <c r="A363" s="52"/>
      <c r="B363" s="52"/>
      <c r="C363" s="52"/>
      <c r="D363" s="307" t="s">
        <v>146</v>
      </c>
      <c r="E363" s="370">
        <v>4.8499999999999996</v>
      </c>
      <c r="F363" s="370">
        <v>5.03</v>
      </c>
      <c r="G363" s="370">
        <v>5.03</v>
      </c>
      <c r="H363" s="370">
        <v>5.03</v>
      </c>
      <c r="I363" s="370">
        <v>5.03</v>
      </c>
      <c r="J363" s="370">
        <v>5.03</v>
      </c>
      <c r="K363" s="52"/>
      <c r="L363" s="52"/>
      <c r="M363" s="52"/>
      <c r="N363" s="52"/>
      <c r="O363" s="52"/>
      <c r="P363" s="52"/>
      <c r="Q363" s="52"/>
      <c r="R363" s="52"/>
      <c r="S363" s="52"/>
      <c r="T363" s="52"/>
      <c r="U363" s="52"/>
      <c r="V363" s="52"/>
      <c r="W363" s="52"/>
      <c r="X363" s="52"/>
      <c r="Y363" s="52"/>
      <c r="Z363" s="52"/>
    </row>
    <row r="364" spans="1:26" ht="12" customHeight="1">
      <c r="A364" s="52"/>
      <c r="B364" s="52"/>
      <c r="C364" s="52"/>
      <c r="D364" s="307" t="s">
        <v>287</v>
      </c>
      <c r="E364" s="375"/>
      <c r="F364" s="375"/>
      <c r="G364" s="375"/>
      <c r="H364" s="375"/>
      <c r="I364" s="375"/>
      <c r="J364" s="375"/>
      <c r="K364" s="52"/>
      <c r="L364" s="52"/>
      <c r="M364" s="52"/>
      <c r="N364" s="52"/>
      <c r="O364" s="52"/>
      <c r="P364" s="52"/>
      <c r="Q364" s="52"/>
      <c r="R364" s="52"/>
      <c r="S364" s="52"/>
      <c r="T364" s="52"/>
      <c r="U364" s="52"/>
      <c r="V364" s="52"/>
      <c r="W364" s="52"/>
      <c r="X364" s="52"/>
      <c r="Y364" s="52"/>
      <c r="Z364" s="52"/>
    </row>
    <row r="365" spans="1:26" ht="12" customHeight="1">
      <c r="A365" s="52"/>
      <c r="B365" s="52"/>
      <c r="C365" s="52"/>
      <c r="D365" s="307" t="s">
        <v>288</v>
      </c>
      <c r="E365" s="370">
        <v>2.42</v>
      </c>
      <c r="F365" s="370">
        <v>2.5099999999999998</v>
      </c>
      <c r="G365" s="370">
        <v>2.5099999999999998</v>
      </c>
      <c r="H365" s="370">
        <v>2.5099999999999998</v>
      </c>
      <c r="I365" s="370">
        <v>2.5099999999999998</v>
      </c>
      <c r="J365" s="370">
        <v>2.5099999999999998</v>
      </c>
      <c r="K365" s="52"/>
      <c r="L365" s="52"/>
      <c r="M365" s="52"/>
      <c r="N365" s="52"/>
      <c r="O365" s="52"/>
      <c r="P365" s="52"/>
      <c r="Q365" s="52"/>
      <c r="R365" s="52"/>
      <c r="S365" s="52"/>
      <c r="T365" s="52"/>
      <c r="U365" s="52"/>
      <c r="V365" s="52"/>
      <c r="W365" s="52"/>
      <c r="X365" s="52"/>
      <c r="Y365" s="52"/>
      <c r="Z365" s="52"/>
    </row>
    <row r="366" spans="1:26" ht="12" customHeight="1">
      <c r="A366" s="52"/>
      <c r="B366" s="52"/>
      <c r="C366" s="52"/>
      <c r="D366" s="307"/>
      <c r="E366" s="52"/>
      <c r="F366" s="52"/>
      <c r="G366" s="375"/>
      <c r="H366" s="375"/>
      <c r="I366" s="375"/>
      <c r="J366" s="375"/>
      <c r="K366" s="52"/>
      <c r="L366" s="52"/>
      <c r="M366" s="52"/>
      <c r="N366" s="52"/>
      <c r="O366" s="52"/>
      <c r="P366" s="52"/>
      <c r="Q366" s="52"/>
      <c r="R366" s="52"/>
      <c r="S366" s="52"/>
      <c r="T366" s="52"/>
      <c r="U366" s="52"/>
      <c r="V366" s="52"/>
      <c r="W366" s="52"/>
      <c r="X366" s="52"/>
      <c r="Y366" s="52"/>
      <c r="Z366" s="52"/>
    </row>
    <row r="367" spans="1:26" ht="12" customHeight="1">
      <c r="A367" s="52"/>
      <c r="B367" s="52"/>
      <c r="C367" s="52"/>
      <c r="D367" s="307"/>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2" customHeight="1">
      <c r="A368" s="52"/>
      <c r="B368" s="52"/>
      <c r="C368" s="307"/>
      <c r="D368" s="307"/>
      <c r="E368" s="3"/>
      <c r="F368" s="52"/>
      <c r="G368" s="52"/>
      <c r="H368" s="52"/>
      <c r="I368" s="52"/>
      <c r="J368" s="52"/>
      <c r="K368" s="52"/>
      <c r="L368" s="52"/>
      <c r="M368" s="52"/>
      <c r="N368" s="52"/>
      <c r="O368" s="52"/>
      <c r="P368" s="52"/>
      <c r="Q368" s="52"/>
      <c r="R368" s="52"/>
      <c r="S368" s="52"/>
      <c r="T368" s="52"/>
      <c r="U368" s="52"/>
      <c r="V368" s="52"/>
      <c r="W368" s="52"/>
      <c r="X368" s="52"/>
      <c r="Y368" s="52"/>
      <c r="Z368" s="52"/>
    </row>
    <row r="369" spans="1:26" ht="12" customHeight="1">
      <c r="A369" s="52"/>
      <c r="B369" s="321"/>
      <c r="C369" s="321"/>
      <c r="D369" s="307"/>
      <c r="E369" s="3"/>
      <c r="F369" s="52"/>
      <c r="G369" s="52"/>
      <c r="H369" s="52"/>
      <c r="I369" s="52"/>
      <c r="J369" s="52"/>
      <c r="K369" s="52"/>
      <c r="L369" s="52"/>
      <c r="M369" s="52"/>
      <c r="N369" s="52"/>
      <c r="O369" s="52"/>
      <c r="P369" s="52"/>
      <c r="Q369" s="52"/>
      <c r="R369" s="52"/>
      <c r="S369" s="52"/>
      <c r="T369" s="52"/>
      <c r="U369" s="52"/>
      <c r="V369" s="52"/>
      <c r="W369" s="52"/>
      <c r="X369" s="52"/>
      <c r="Y369" s="52"/>
      <c r="Z369" s="52"/>
    </row>
    <row r="370" spans="1:26" ht="12" customHeight="1">
      <c r="A370" s="52"/>
      <c r="B370" s="321"/>
      <c r="C370" s="321"/>
      <c r="D370" s="307"/>
      <c r="E370" s="3"/>
      <c r="F370" s="52"/>
      <c r="G370" s="52"/>
      <c r="H370" s="52"/>
      <c r="I370" s="52"/>
      <c r="J370" s="52"/>
      <c r="K370" s="52"/>
      <c r="L370" s="52"/>
      <c r="M370" s="52"/>
      <c r="N370" s="52"/>
      <c r="O370" s="52"/>
      <c r="P370" s="52"/>
      <c r="Q370" s="52"/>
      <c r="R370" s="52"/>
      <c r="S370" s="52"/>
      <c r="T370" s="52"/>
      <c r="U370" s="52"/>
      <c r="V370" s="52"/>
      <c r="W370" s="52"/>
      <c r="X370" s="52"/>
      <c r="Y370" s="52"/>
      <c r="Z370" s="52"/>
    </row>
    <row r="371" spans="1:26" ht="12" customHeight="1">
      <c r="A371" s="52"/>
      <c r="B371" s="321"/>
      <c r="C371" s="52"/>
      <c r="D371" s="376"/>
      <c r="E371" s="377" t="s">
        <v>7</v>
      </c>
      <c r="F371" s="377" t="s">
        <v>289</v>
      </c>
      <c r="G371" s="377"/>
      <c r="H371" s="377"/>
      <c r="I371" s="377"/>
      <c r="J371" s="377"/>
      <c r="K371" s="52"/>
      <c r="L371" s="52"/>
      <c r="M371" s="52"/>
      <c r="N371" s="52"/>
      <c r="O371" s="52"/>
      <c r="P371" s="52"/>
      <c r="Q371" s="52"/>
      <c r="R371" s="52"/>
      <c r="S371" s="52"/>
      <c r="T371" s="52"/>
      <c r="U371" s="52"/>
      <c r="V371" s="52"/>
      <c r="W371" s="52"/>
      <c r="X371" s="52"/>
      <c r="Y371" s="52"/>
      <c r="Z371" s="52"/>
    </row>
    <row r="372" spans="1:26" ht="12" customHeight="1">
      <c r="A372" s="52"/>
      <c r="B372" s="321"/>
      <c r="C372" s="52"/>
      <c r="D372" s="52"/>
      <c r="E372" s="320">
        <v>2025</v>
      </c>
      <c r="F372" s="320">
        <v>2026</v>
      </c>
      <c r="G372" s="320">
        <v>2027</v>
      </c>
      <c r="H372" s="320">
        <v>2028</v>
      </c>
      <c r="I372" s="320">
        <v>2029</v>
      </c>
      <c r="J372" s="320">
        <v>2030</v>
      </c>
      <c r="K372" s="52"/>
      <c r="L372" s="52"/>
      <c r="M372" s="52"/>
      <c r="N372" s="52"/>
      <c r="O372" s="52"/>
      <c r="P372" s="52"/>
      <c r="Q372" s="52"/>
      <c r="R372" s="52"/>
      <c r="S372" s="52"/>
      <c r="T372" s="52"/>
      <c r="U372" s="52"/>
      <c r="V372" s="52"/>
      <c r="W372" s="52"/>
      <c r="X372" s="52"/>
      <c r="Y372" s="52"/>
      <c r="Z372" s="52"/>
    </row>
    <row r="373" spans="1:26" ht="12" customHeight="1">
      <c r="A373" s="52"/>
      <c r="B373" s="321"/>
      <c r="C373" s="52"/>
      <c r="D373" s="376" t="s">
        <v>290</v>
      </c>
      <c r="E373" s="375">
        <v>16</v>
      </c>
      <c r="F373" s="375">
        <v>11</v>
      </c>
      <c r="G373" s="375">
        <v>12</v>
      </c>
      <c r="H373" s="375">
        <v>12</v>
      </c>
      <c r="I373" s="375">
        <v>12</v>
      </c>
      <c r="J373" s="375">
        <v>12</v>
      </c>
      <c r="K373" s="52"/>
      <c r="L373" s="52"/>
      <c r="M373" s="52"/>
      <c r="N373" s="52"/>
      <c r="O373" s="52"/>
      <c r="P373" s="52"/>
      <c r="Q373" s="52"/>
      <c r="R373" s="52"/>
      <c r="S373" s="52"/>
      <c r="T373" s="52"/>
      <c r="U373" s="52"/>
      <c r="V373" s="52"/>
      <c r="W373" s="52"/>
      <c r="X373" s="52"/>
      <c r="Y373" s="52"/>
      <c r="Z373" s="52"/>
    </row>
    <row r="374" spans="1:26" ht="12" customHeight="1">
      <c r="A374" s="52"/>
      <c r="B374" s="321"/>
      <c r="C374" s="52"/>
      <c r="D374" s="376" t="s">
        <v>291</v>
      </c>
      <c r="E374" s="375">
        <v>84</v>
      </c>
      <c r="F374" s="375">
        <v>87</v>
      </c>
      <c r="G374" s="375">
        <v>89</v>
      </c>
      <c r="H374" s="375">
        <v>91</v>
      </c>
      <c r="I374" s="375">
        <v>93</v>
      </c>
      <c r="J374" s="375">
        <v>95</v>
      </c>
      <c r="K374" s="52"/>
      <c r="L374" s="52"/>
      <c r="M374" s="52"/>
      <c r="N374" s="52"/>
      <c r="O374" s="52"/>
      <c r="P374" s="52"/>
      <c r="Q374" s="52"/>
      <c r="R374" s="52"/>
      <c r="S374" s="52"/>
      <c r="T374" s="52"/>
      <c r="U374" s="52"/>
      <c r="V374" s="52"/>
      <c r="W374" s="52"/>
      <c r="X374" s="52"/>
      <c r="Y374" s="52"/>
      <c r="Z374" s="52"/>
    </row>
    <row r="375" spans="1:26" ht="12" customHeight="1">
      <c r="A375" s="52"/>
      <c r="B375" s="321"/>
      <c r="C375" s="52"/>
      <c r="D375" s="376" t="s">
        <v>292</v>
      </c>
      <c r="E375" s="375">
        <v>347</v>
      </c>
      <c r="F375" s="375">
        <v>266</v>
      </c>
      <c r="G375" s="375">
        <v>272</v>
      </c>
      <c r="H375" s="375">
        <v>277</v>
      </c>
      <c r="I375" s="375">
        <v>283</v>
      </c>
      <c r="J375" s="375">
        <v>289</v>
      </c>
      <c r="K375" s="52"/>
      <c r="L375" s="52"/>
      <c r="M375" s="52"/>
      <c r="N375" s="52"/>
      <c r="O375" s="52"/>
      <c r="P375" s="52"/>
      <c r="Q375" s="52"/>
      <c r="R375" s="52"/>
      <c r="S375" s="52"/>
      <c r="T375" s="52"/>
      <c r="U375" s="52"/>
      <c r="V375" s="52"/>
      <c r="W375" s="52"/>
      <c r="X375" s="52"/>
      <c r="Y375" s="52"/>
      <c r="Z375" s="52"/>
    </row>
    <row r="376" spans="1:26" ht="12" customHeight="1">
      <c r="A376" s="52"/>
      <c r="B376" s="321"/>
      <c r="C376" s="52"/>
      <c r="D376" s="376" t="s">
        <v>293</v>
      </c>
      <c r="E376" s="375">
        <v>16</v>
      </c>
      <c r="F376" s="375">
        <v>0</v>
      </c>
      <c r="G376" s="375">
        <v>0</v>
      </c>
      <c r="H376" s="375">
        <v>0</v>
      </c>
      <c r="I376" s="375">
        <v>0</v>
      </c>
      <c r="J376" s="375">
        <v>0</v>
      </c>
      <c r="K376" s="52"/>
      <c r="L376" s="52"/>
      <c r="M376" s="52"/>
      <c r="N376" s="52"/>
      <c r="O376" s="52"/>
      <c r="P376" s="52"/>
      <c r="Q376" s="52"/>
      <c r="R376" s="52"/>
      <c r="S376" s="52"/>
      <c r="T376" s="52"/>
      <c r="U376" s="52"/>
      <c r="V376" s="52"/>
      <c r="W376" s="52"/>
      <c r="X376" s="52"/>
      <c r="Y376" s="52"/>
      <c r="Z376" s="52"/>
    </row>
    <row r="377" spans="1:26" ht="12" customHeight="1">
      <c r="A377" s="52"/>
      <c r="B377" s="52"/>
      <c r="C377" s="321"/>
      <c r="D377" s="307"/>
      <c r="E377" s="3"/>
      <c r="F377" s="52"/>
      <c r="G377" s="52"/>
      <c r="H377" s="52"/>
      <c r="I377" s="52"/>
      <c r="J377" s="52"/>
      <c r="K377" s="52"/>
      <c r="L377" s="52"/>
      <c r="M377" s="52"/>
      <c r="N377" s="52"/>
      <c r="O377" s="52"/>
      <c r="P377" s="52"/>
      <c r="Q377" s="52"/>
      <c r="R377" s="52"/>
      <c r="S377" s="52"/>
      <c r="T377" s="52"/>
      <c r="U377" s="52"/>
      <c r="V377" s="52"/>
      <c r="W377" s="52"/>
      <c r="X377" s="52"/>
      <c r="Y377" s="52"/>
      <c r="Z377" s="52"/>
    </row>
    <row r="378" spans="1:26" ht="12" customHeight="1">
      <c r="A378" s="52"/>
      <c r="B378" s="52"/>
      <c r="C378" s="321"/>
      <c r="D378" s="307"/>
      <c r="E378" s="3"/>
      <c r="F378" s="52"/>
      <c r="G378" s="52"/>
      <c r="H378" s="52"/>
      <c r="I378" s="52"/>
      <c r="J378" s="52"/>
      <c r="K378" s="52"/>
      <c r="L378" s="52"/>
      <c r="M378" s="52"/>
      <c r="N378" s="52"/>
      <c r="O378" s="52"/>
      <c r="P378" s="52"/>
      <c r="Q378" s="52"/>
      <c r="R378" s="52"/>
      <c r="S378" s="52"/>
      <c r="T378" s="52"/>
      <c r="U378" s="52"/>
      <c r="V378" s="52"/>
      <c r="W378" s="52"/>
      <c r="X378" s="52"/>
      <c r="Y378" s="52"/>
      <c r="Z378" s="52"/>
    </row>
    <row r="379" spans="1:26" ht="12" customHeight="1">
      <c r="A379" s="52"/>
      <c r="B379" s="52"/>
      <c r="C379" s="321"/>
      <c r="D379" s="307"/>
      <c r="E379" s="3"/>
      <c r="F379" s="52"/>
      <c r="G379" s="52"/>
      <c r="H379" s="52"/>
      <c r="I379" s="52"/>
      <c r="J379" s="52"/>
      <c r="K379" s="52"/>
      <c r="L379" s="52"/>
      <c r="M379" s="52"/>
      <c r="N379" s="52"/>
      <c r="O379" s="52"/>
      <c r="P379" s="52"/>
      <c r="Q379" s="52"/>
      <c r="R379" s="52"/>
      <c r="S379" s="52"/>
      <c r="T379" s="52"/>
      <c r="U379" s="52"/>
      <c r="V379" s="52"/>
      <c r="W379" s="52"/>
      <c r="X379" s="52"/>
      <c r="Y379" s="52"/>
      <c r="Z379" s="52"/>
    </row>
    <row r="380" spans="1:26" ht="12" customHeight="1">
      <c r="A380" s="52"/>
      <c r="B380" s="52"/>
      <c r="C380" s="52"/>
      <c r="D380" s="307"/>
      <c r="E380" s="3"/>
      <c r="F380" s="52"/>
      <c r="G380" s="52"/>
      <c r="H380" s="52"/>
      <c r="I380" s="52"/>
      <c r="J380" s="52"/>
      <c r="K380" s="52"/>
      <c r="L380" s="52"/>
      <c r="M380" s="52"/>
      <c r="N380" s="52"/>
      <c r="O380" s="52"/>
      <c r="P380" s="52"/>
      <c r="Q380" s="52"/>
      <c r="R380" s="52"/>
      <c r="S380" s="52"/>
      <c r="T380" s="52"/>
      <c r="U380" s="52"/>
      <c r="V380" s="52"/>
      <c r="W380" s="52"/>
      <c r="X380" s="52"/>
      <c r="Y380" s="52"/>
      <c r="Z380" s="52"/>
    </row>
    <row r="381" spans="1:26" ht="12" customHeight="1">
      <c r="A381" s="52"/>
      <c r="B381" s="52"/>
      <c r="C381" s="307"/>
      <c r="D381" s="3"/>
      <c r="E381" s="3"/>
      <c r="F381" s="3"/>
      <c r="G381" s="3"/>
      <c r="H381" s="3"/>
      <c r="I381" s="3"/>
      <c r="J381" s="3"/>
      <c r="K381" s="52"/>
      <c r="L381" s="52"/>
      <c r="M381" s="52"/>
      <c r="N381" s="52"/>
      <c r="O381" s="52"/>
      <c r="P381" s="52"/>
      <c r="Q381" s="52"/>
      <c r="R381" s="52"/>
      <c r="S381" s="52"/>
      <c r="T381" s="52"/>
      <c r="U381" s="52"/>
      <c r="V381" s="52"/>
      <c r="W381" s="52"/>
      <c r="X381" s="52"/>
      <c r="Y381" s="52"/>
      <c r="Z381" s="52"/>
    </row>
    <row r="382" spans="1:26" ht="12" customHeight="1">
      <c r="A382" s="52"/>
      <c r="B382" s="321"/>
      <c r="C382" s="321"/>
      <c r="D382" s="307"/>
      <c r="E382" s="3"/>
      <c r="F382" s="52"/>
      <c r="G382" s="52"/>
      <c r="H382" s="52"/>
      <c r="I382" s="52"/>
      <c r="J382" s="52"/>
      <c r="K382" s="52"/>
      <c r="L382" s="52"/>
      <c r="M382" s="52"/>
      <c r="N382" s="52"/>
      <c r="O382" s="52"/>
      <c r="P382" s="52"/>
      <c r="Q382" s="52"/>
      <c r="R382" s="52"/>
      <c r="S382" s="52"/>
      <c r="T382" s="52"/>
      <c r="U382" s="52"/>
      <c r="V382" s="52"/>
      <c r="W382" s="52"/>
      <c r="X382" s="52"/>
      <c r="Y382" s="52"/>
      <c r="Z382" s="52"/>
    </row>
    <row r="383" spans="1:26" ht="12" customHeight="1">
      <c r="A383" s="52"/>
      <c r="B383" s="321"/>
      <c r="C383" s="321"/>
      <c r="D383" s="307"/>
      <c r="E383" s="3"/>
      <c r="F383" s="52"/>
      <c r="G383" s="52"/>
      <c r="H383" s="52"/>
      <c r="I383" s="52"/>
      <c r="J383" s="52"/>
      <c r="K383" s="52"/>
      <c r="L383" s="52"/>
      <c r="M383" s="52"/>
      <c r="N383" s="52"/>
      <c r="O383" s="52"/>
      <c r="P383" s="52"/>
      <c r="Q383" s="52"/>
      <c r="R383" s="52"/>
      <c r="S383" s="52"/>
      <c r="T383" s="52"/>
      <c r="U383" s="52"/>
      <c r="V383" s="52"/>
      <c r="W383" s="52"/>
      <c r="X383" s="52"/>
      <c r="Y383" s="52"/>
      <c r="Z383" s="52"/>
    </row>
    <row r="384" spans="1:26" ht="12" customHeight="1">
      <c r="A384" s="52"/>
      <c r="B384" s="321"/>
      <c r="C384" s="321"/>
      <c r="D384" s="307"/>
      <c r="E384" s="3"/>
      <c r="F384" s="52"/>
      <c r="G384" s="52"/>
      <c r="H384" s="52"/>
      <c r="I384" s="52"/>
      <c r="J384" s="52"/>
      <c r="K384" s="52"/>
      <c r="L384" s="52"/>
      <c r="M384" s="52"/>
      <c r="N384" s="52"/>
      <c r="O384" s="52"/>
      <c r="P384" s="52"/>
      <c r="Q384" s="52"/>
      <c r="R384" s="52"/>
      <c r="S384" s="52"/>
      <c r="T384" s="52"/>
      <c r="U384" s="52"/>
      <c r="V384" s="52"/>
      <c r="W384" s="52"/>
      <c r="X384" s="52"/>
      <c r="Y384" s="52"/>
      <c r="Z384" s="52"/>
    </row>
    <row r="385" spans="1:26" ht="12" customHeight="1">
      <c r="A385" s="52"/>
      <c r="B385" s="321"/>
      <c r="C385" s="321"/>
      <c r="D385" s="307"/>
      <c r="E385" s="3"/>
      <c r="F385" s="52"/>
      <c r="G385" s="52"/>
      <c r="H385" s="52"/>
      <c r="I385" s="52"/>
      <c r="J385" s="52"/>
      <c r="K385" s="52"/>
      <c r="L385" s="52"/>
      <c r="M385" s="52"/>
      <c r="N385" s="52"/>
      <c r="O385" s="52"/>
      <c r="P385" s="52"/>
      <c r="Q385" s="52"/>
      <c r="R385" s="52"/>
      <c r="S385" s="52"/>
      <c r="T385" s="52"/>
      <c r="U385" s="52"/>
      <c r="V385" s="52"/>
      <c r="W385" s="52"/>
      <c r="X385" s="52"/>
      <c r="Y385" s="52"/>
      <c r="Z385" s="52"/>
    </row>
    <row r="386" spans="1:26" ht="12" customHeight="1">
      <c r="A386" s="52"/>
      <c r="B386" s="321"/>
      <c r="C386" s="321"/>
      <c r="D386" s="307"/>
      <c r="E386" s="3"/>
      <c r="F386" s="52"/>
      <c r="G386" s="52"/>
      <c r="H386" s="52"/>
      <c r="I386" s="52"/>
      <c r="J386" s="52"/>
      <c r="K386" s="52"/>
      <c r="L386" s="52"/>
      <c r="M386" s="52"/>
      <c r="N386" s="52"/>
      <c r="O386" s="52"/>
      <c r="P386" s="52"/>
      <c r="Q386" s="52"/>
      <c r="R386" s="52"/>
      <c r="S386" s="52"/>
      <c r="T386" s="52"/>
      <c r="U386" s="52"/>
      <c r="V386" s="52"/>
      <c r="W386" s="52"/>
      <c r="X386" s="52"/>
      <c r="Y386" s="52"/>
      <c r="Z386" s="52"/>
    </row>
    <row r="387" spans="1:26" ht="12" customHeight="1">
      <c r="A387" s="52"/>
      <c r="B387" s="321"/>
      <c r="C387" s="321"/>
      <c r="D387" s="307"/>
      <c r="E387" s="3"/>
      <c r="F387" s="52"/>
      <c r="G387" s="52"/>
      <c r="H387" s="52"/>
      <c r="I387" s="52"/>
      <c r="J387" s="52"/>
      <c r="K387" s="52"/>
      <c r="L387" s="52"/>
      <c r="M387" s="52"/>
      <c r="N387" s="52"/>
      <c r="O387" s="52"/>
      <c r="P387" s="52"/>
      <c r="Q387" s="52"/>
      <c r="R387" s="52"/>
      <c r="S387" s="52"/>
      <c r="T387" s="52"/>
      <c r="U387" s="52"/>
      <c r="V387" s="52"/>
      <c r="W387" s="52"/>
      <c r="X387" s="52"/>
      <c r="Y387" s="52"/>
      <c r="Z387" s="52"/>
    </row>
    <row r="388" spans="1:26" ht="12" customHeight="1">
      <c r="A388" s="52"/>
      <c r="B388" s="321"/>
      <c r="C388" s="321"/>
      <c r="D388" s="307"/>
      <c r="E388" s="3"/>
      <c r="F388" s="52"/>
      <c r="G388" s="52"/>
      <c r="H388" s="52"/>
      <c r="I388" s="52"/>
      <c r="J388" s="52"/>
      <c r="K388" s="52"/>
      <c r="L388" s="52"/>
      <c r="M388" s="52"/>
      <c r="N388" s="52"/>
      <c r="O388" s="52"/>
      <c r="P388" s="52"/>
      <c r="Q388" s="52"/>
      <c r="R388" s="52"/>
      <c r="S388" s="52"/>
      <c r="T388" s="52"/>
      <c r="U388" s="52"/>
      <c r="V388" s="52"/>
      <c r="W388" s="52"/>
      <c r="X388" s="52"/>
      <c r="Y388" s="52"/>
      <c r="Z388" s="52"/>
    </row>
    <row r="389" spans="1:26" ht="12" customHeight="1">
      <c r="A389" s="52"/>
      <c r="B389" s="321"/>
      <c r="C389" s="321"/>
      <c r="D389" s="307"/>
      <c r="E389" s="3"/>
      <c r="F389" s="52"/>
      <c r="G389" s="52"/>
      <c r="H389" s="52"/>
      <c r="I389" s="52"/>
      <c r="J389" s="52"/>
      <c r="K389" s="52"/>
      <c r="L389" s="52"/>
      <c r="M389" s="52"/>
      <c r="N389" s="52"/>
      <c r="O389" s="52"/>
      <c r="P389" s="52"/>
      <c r="Q389" s="52"/>
      <c r="R389" s="52"/>
      <c r="S389" s="52"/>
      <c r="T389" s="52"/>
      <c r="U389" s="52"/>
      <c r="V389" s="52"/>
      <c r="W389" s="52"/>
      <c r="X389" s="52"/>
      <c r="Y389" s="52"/>
      <c r="Z389" s="52"/>
    </row>
    <row r="390" spans="1:26" ht="12" customHeight="1">
      <c r="A390" s="52"/>
      <c r="B390" s="52"/>
      <c r="C390" s="321"/>
      <c r="D390" s="307"/>
      <c r="E390" s="3"/>
      <c r="F390" s="52"/>
      <c r="G390" s="52"/>
      <c r="H390" s="52"/>
      <c r="I390" s="52"/>
      <c r="J390" s="52"/>
      <c r="K390" s="52"/>
      <c r="L390" s="52"/>
      <c r="M390" s="52"/>
      <c r="N390" s="52"/>
      <c r="O390" s="52"/>
      <c r="P390" s="52"/>
      <c r="Q390" s="52"/>
      <c r="R390" s="52"/>
      <c r="S390" s="52"/>
      <c r="T390" s="52"/>
      <c r="U390" s="52"/>
      <c r="V390" s="52"/>
      <c r="W390" s="52"/>
      <c r="X390" s="52"/>
      <c r="Y390" s="52"/>
      <c r="Z390" s="52"/>
    </row>
    <row r="391" spans="1:26" ht="12" customHeight="1">
      <c r="A391" s="52"/>
      <c r="B391" s="52"/>
      <c r="C391" s="321"/>
      <c r="D391" s="307"/>
      <c r="E391" s="3"/>
      <c r="F391" s="52"/>
      <c r="G391" s="52"/>
      <c r="H391" s="52"/>
      <c r="I391" s="52"/>
      <c r="J391" s="52"/>
      <c r="K391" s="52"/>
      <c r="L391" s="52"/>
      <c r="M391" s="52"/>
      <c r="N391" s="52"/>
      <c r="O391" s="52"/>
      <c r="P391" s="52"/>
      <c r="Q391" s="52"/>
      <c r="R391" s="52"/>
      <c r="S391" s="52"/>
      <c r="T391" s="52"/>
      <c r="U391" s="52"/>
      <c r="V391" s="52"/>
      <c r="W391" s="52"/>
      <c r="X391" s="52"/>
      <c r="Y391" s="52"/>
      <c r="Z391" s="52"/>
    </row>
    <row r="392" spans="1:26" ht="12" customHeight="1">
      <c r="A392" s="52"/>
      <c r="B392" s="52"/>
      <c r="C392" s="321"/>
      <c r="D392" s="307"/>
      <c r="E392" s="3"/>
      <c r="F392" s="52"/>
      <c r="G392" s="52"/>
      <c r="H392" s="52"/>
      <c r="I392" s="52"/>
      <c r="J392" s="52"/>
      <c r="K392" s="52"/>
      <c r="L392" s="52"/>
      <c r="M392" s="52"/>
      <c r="N392" s="52"/>
      <c r="O392" s="52"/>
      <c r="P392" s="52"/>
      <c r="Q392" s="52"/>
      <c r="R392" s="52"/>
      <c r="S392" s="52"/>
      <c r="T392" s="52"/>
      <c r="U392" s="52"/>
      <c r="V392" s="52"/>
      <c r="W392" s="52"/>
      <c r="X392" s="52"/>
      <c r="Y392" s="52"/>
      <c r="Z392" s="52"/>
    </row>
    <row r="393" spans="1:26" ht="12" customHeight="1">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2" customHeight="1">
      <c r="A394" s="52"/>
      <c r="B394" s="52"/>
      <c r="C394" s="307"/>
      <c r="D394" s="3"/>
      <c r="E394" s="3"/>
      <c r="F394" s="3"/>
      <c r="G394" s="3"/>
      <c r="H394" s="3"/>
      <c r="I394" s="3"/>
      <c r="J394" s="3"/>
      <c r="K394" s="52"/>
      <c r="L394" s="52"/>
      <c r="M394" s="52"/>
      <c r="N394" s="52"/>
      <c r="O394" s="52"/>
      <c r="P394" s="52"/>
      <c r="Q394" s="52"/>
      <c r="R394" s="52"/>
      <c r="S394" s="52"/>
      <c r="T394" s="52"/>
      <c r="U394" s="52"/>
      <c r="V394" s="52"/>
      <c r="W394" s="52"/>
      <c r="X394" s="52"/>
      <c r="Y394" s="52"/>
      <c r="Z394" s="52"/>
    </row>
    <row r="395" spans="1:26" ht="12" customHeight="1">
      <c r="A395" s="52"/>
      <c r="B395" s="321"/>
      <c r="C395" s="321"/>
      <c r="D395" s="307"/>
      <c r="E395" s="3"/>
      <c r="F395" s="52"/>
      <c r="G395" s="52"/>
      <c r="H395" s="52"/>
      <c r="I395" s="52"/>
      <c r="J395" s="52"/>
      <c r="K395" s="52"/>
      <c r="L395" s="52"/>
      <c r="M395" s="52"/>
      <c r="N395" s="52"/>
      <c r="O395" s="52"/>
      <c r="P395" s="52"/>
      <c r="Q395" s="52"/>
      <c r="R395" s="52"/>
      <c r="S395" s="52"/>
      <c r="T395" s="52"/>
      <c r="U395" s="52"/>
      <c r="V395" s="52"/>
      <c r="W395" s="52"/>
      <c r="X395" s="52"/>
      <c r="Y395" s="52"/>
      <c r="Z395" s="52"/>
    </row>
    <row r="396" spans="1:26" ht="12" customHeight="1">
      <c r="A396" s="52"/>
      <c r="B396" s="321"/>
      <c r="C396" s="321"/>
      <c r="D396" s="307"/>
      <c r="E396" s="3"/>
      <c r="F396" s="52"/>
      <c r="G396" s="52"/>
      <c r="H396" s="52"/>
      <c r="I396" s="52"/>
      <c r="J396" s="52"/>
      <c r="K396" s="52"/>
      <c r="L396" s="52"/>
      <c r="M396" s="52"/>
      <c r="N396" s="52"/>
      <c r="O396" s="52"/>
      <c r="P396" s="52"/>
      <c r="Q396" s="52"/>
      <c r="R396" s="52"/>
      <c r="S396" s="52"/>
      <c r="T396" s="52"/>
      <c r="U396" s="52"/>
      <c r="V396" s="52"/>
      <c r="W396" s="52"/>
      <c r="X396" s="52"/>
      <c r="Y396" s="52"/>
      <c r="Z396" s="52"/>
    </row>
    <row r="397" spans="1:26" ht="12" customHeight="1">
      <c r="A397" s="52"/>
      <c r="B397" s="321"/>
      <c r="C397" s="321"/>
      <c r="D397" s="307"/>
      <c r="E397" s="3"/>
      <c r="F397" s="52"/>
      <c r="G397" s="52"/>
      <c r="H397" s="52"/>
      <c r="I397" s="52"/>
      <c r="J397" s="52"/>
      <c r="K397" s="52"/>
      <c r="L397" s="52"/>
      <c r="M397" s="52"/>
      <c r="N397" s="52"/>
      <c r="O397" s="52"/>
      <c r="P397" s="52"/>
      <c r="Q397" s="52"/>
      <c r="R397" s="52"/>
      <c r="S397" s="52"/>
      <c r="T397" s="52"/>
      <c r="U397" s="52"/>
      <c r="V397" s="52"/>
      <c r="W397" s="52"/>
      <c r="X397" s="52"/>
      <c r="Y397" s="52"/>
      <c r="Z397" s="52"/>
    </row>
    <row r="398" spans="1:26" ht="12" customHeight="1">
      <c r="A398" s="52"/>
      <c r="B398" s="321"/>
      <c r="C398" s="321"/>
      <c r="D398" s="307"/>
      <c r="E398" s="3"/>
      <c r="F398" s="52"/>
      <c r="G398" s="52"/>
      <c r="H398" s="52"/>
      <c r="I398" s="52"/>
      <c r="J398" s="52"/>
      <c r="K398" s="52"/>
      <c r="L398" s="52"/>
      <c r="M398" s="52"/>
      <c r="N398" s="52"/>
      <c r="O398" s="52"/>
      <c r="P398" s="52"/>
      <c r="Q398" s="52"/>
      <c r="R398" s="52"/>
      <c r="S398" s="52"/>
      <c r="T398" s="52"/>
      <c r="U398" s="52"/>
      <c r="V398" s="52"/>
      <c r="W398" s="52"/>
      <c r="X398" s="52"/>
      <c r="Y398" s="52"/>
      <c r="Z398" s="52"/>
    </row>
    <row r="399" spans="1:26" ht="12" customHeight="1">
      <c r="A399" s="52"/>
      <c r="B399" s="321"/>
      <c r="C399" s="321"/>
      <c r="D399" s="307"/>
      <c r="E399" s="3"/>
      <c r="F399" s="52"/>
      <c r="G399" s="52"/>
      <c r="H399" s="52"/>
      <c r="I399" s="52"/>
      <c r="J399" s="52"/>
      <c r="K399" s="52"/>
      <c r="L399" s="52"/>
      <c r="M399" s="52"/>
      <c r="N399" s="52"/>
      <c r="O399" s="52"/>
      <c r="P399" s="52"/>
      <c r="Q399" s="52"/>
      <c r="R399" s="52"/>
      <c r="S399" s="52"/>
      <c r="T399" s="52"/>
      <c r="U399" s="52"/>
      <c r="V399" s="52"/>
      <c r="W399" s="52"/>
      <c r="X399" s="52"/>
      <c r="Y399" s="52"/>
      <c r="Z399" s="52"/>
    </row>
    <row r="400" spans="1:26" ht="12" customHeight="1">
      <c r="A400" s="52"/>
      <c r="B400" s="321"/>
      <c r="C400" s="321"/>
      <c r="D400" s="307"/>
      <c r="E400" s="3"/>
      <c r="F400" s="52"/>
      <c r="G400" s="52"/>
      <c r="H400" s="52"/>
      <c r="I400" s="52"/>
      <c r="J400" s="52"/>
      <c r="K400" s="52"/>
      <c r="L400" s="52"/>
      <c r="M400" s="52"/>
      <c r="N400" s="52"/>
      <c r="O400" s="52"/>
      <c r="P400" s="52"/>
      <c r="Q400" s="52"/>
      <c r="R400" s="52"/>
      <c r="S400" s="52"/>
      <c r="T400" s="52"/>
      <c r="U400" s="52"/>
      <c r="V400" s="52"/>
      <c r="W400" s="52"/>
      <c r="X400" s="52"/>
      <c r="Y400" s="52"/>
      <c r="Z400" s="52"/>
    </row>
    <row r="401" spans="1:26" ht="12" customHeight="1">
      <c r="A401" s="52"/>
      <c r="B401" s="321"/>
      <c r="C401" s="321"/>
      <c r="D401" s="307"/>
      <c r="E401" s="3"/>
      <c r="F401" s="52"/>
      <c r="G401" s="52"/>
      <c r="H401" s="52"/>
      <c r="I401" s="52"/>
      <c r="J401" s="52"/>
      <c r="K401" s="52"/>
      <c r="L401" s="52"/>
      <c r="M401" s="52"/>
      <c r="N401" s="52"/>
      <c r="O401" s="52"/>
      <c r="P401" s="52"/>
      <c r="Q401" s="52"/>
      <c r="R401" s="52"/>
      <c r="S401" s="52"/>
      <c r="T401" s="52"/>
      <c r="U401" s="52"/>
      <c r="V401" s="52"/>
      <c r="W401" s="52"/>
      <c r="X401" s="52"/>
      <c r="Y401" s="52"/>
      <c r="Z401" s="52"/>
    </row>
    <row r="402" spans="1:26" ht="12" customHeight="1">
      <c r="A402" s="52"/>
      <c r="B402" s="321"/>
      <c r="C402" s="321"/>
      <c r="D402" s="307"/>
      <c r="E402" s="3"/>
      <c r="F402" s="52"/>
      <c r="G402" s="52"/>
      <c r="H402" s="52"/>
      <c r="I402" s="52"/>
      <c r="J402" s="52"/>
      <c r="K402" s="52"/>
      <c r="L402" s="52"/>
      <c r="M402" s="52"/>
      <c r="N402" s="52"/>
      <c r="O402" s="52"/>
      <c r="P402" s="52"/>
      <c r="Q402" s="52"/>
      <c r="R402" s="52"/>
      <c r="S402" s="52"/>
      <c r="T402" s="52"/>
      <c r="U402" s="52"/>
      <c r="V402" s="52"/>
      <c r="W402" s="52"/>
      <c r="X402" s="52"/>
      <c r="Y402" s="52"/>
      <c r="Z402" s="52"/>
    </row>
    <row r="403" spans="1:26" ht="12" customHeight="1">
      <c r="A403" s="52"/>
      <c r="B403" s="52"/>
      <c r="C403" s="321"/>
      <c r="D403" s="307"/>
      <c r="E403" s="3"/>
      <c r="F403" s="52"/>
      <c r="G403" s="52"/>
      <c r="H403" s="52"/>
      <c r="I403" s="52"/>
      <c r="J403" s="52"/>
      <c r="K403" s="52"/>
      <c r="L403" s="52"/>
      <c r="M403" s="52"/>
      <c r="N403" s="52"/>
      <c r="O403" s="52"/>
      <c r="P403" s="52"/>
      <c r="Q403" s="52"/>
      <c r="R403" s="52"/>
      <c r="S403" s="52"/>
      <c r="T403" s="52"/>
      <c r="U403" s="52"/>
      <c r="V403" s="52"/>
      <c r="W403" s="52"/>
      <c r="X403" s="52"/>
      <c r="Y403" s="52"/>
      <c r="Z403" s="52"/>
    </row>
    <row r="404" spans="1:26" ht="12" customHeight="1">
      <c r="A404" s="52"/>
      <c r="B404" s="52"/>
      <c r="C404" s="321"/>
      <c r="D404" s="307"/>
      <c r="E404" s="3"/>
      <c r="F404" s="52"/>
      <c r="G404" s="52"/>
      <c r="H404" s="52"/>
      <c r="I404" s="52"/>
      <c r="J404" s="52"/>
      <c r="K404" s="52"/>
      <c r="L404" s="52"/>
      <c r="M404" s="52"/>
      <c r="N404" s="52"/>
      <c r="O404" s="52"/>
      <c r="P404" s="52"/>
      <c r="Q404" s="52"/>
      <c r="R404" s="52"/>
      <c r="S404" s="52"/>
      <c r="T404" s="52"/>
      <c r="U404" s="52"/>
      <c r="V404" s="52"/>
      <c r="W404" s="52"/>
      <c r="X404" s="52"/>
      <c r="Y404" s="52"/>
      <c r="Z404" s="52"/>
    </row>
    <row r="405" spans="1:26" ht="12" customHeight="1">
      <c r="A405" s="52"/>
      <c r="B405" s="52"/>
      <c r="C405" s="321"/>
      <c r="D405" s="307"/>
      <c r="E405" s="3"/>
      <c r="F405" s="52"/>
      <c r="G405" s="52"/>
      <c r="H405" s="52"/>
      <c r="I405" s="52"/>
      <c r="J405" s="52"/>
      <c r="K405" s="52"/>
      <c r="L405" s="52"/>
      <c r="M405" s="52"/>
      <c r="N405" s="52"/>
      <c r="O405" s="52"/>
      <c r="P405" s="52"/>
      <c r="Q405" s="52"/>
      <c r="R405" s="52"/>
      <c r="S405" s="52"/>
      <c r="T405" s="52"/>
      <c r="U405" s="52"/>
      <c r="V405" s="52"/>
      <c r="W405" s="52"/>
      <c r="X405" s="52"/>
      <c r="Y405" s="52"/>
      <c r="Z405" s="52"/>
    </row>
    <row r="406" spans="1:26" ht="12" customHeight="1">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2" customHeight="1">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2" customHeight="1">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2" customHeight="1">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2" customHeight="1">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2" customHeight="1">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2" customHeight="1">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2" customHeight="1">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2" customHeight="1">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2" customHeight="1">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2" customHeight="1">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2" customHeight="1">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2" customHeight="1">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2" customHeight="1">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2" customHeight="1">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2" customHeight="1">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2" customHeight="1">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2" customHeight="1">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2" customHeight="1">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2" customHeight="1">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2" customHeight="1">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2" customHeight="1">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2" customHeight="1">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2" customHeight="1">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2" customHeight="1">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2" customHeight="1">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2" customHeight="1">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2" customHeight="1">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2" customHeight="1">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2" customHeight="1">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2" customHeight="1">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2" customHeight="1">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2" customHeight="1">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2" customHeight="1">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2" customHeight="1">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2" customHeight="1">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2" customHeight="1">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2" customHeight="1">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2" customHeight="1">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2" customHeight="1">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2" customHeight="1">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2" customHeight="1">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2" customHeight="1">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2" customHeight="1">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2" customHeight="1">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2" customHeight="1">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2" customHeight="1">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2" customHeight="1">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2" customHeight="1">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2" customHeight="1">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2" customHeight="1">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2" customHeight="1">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2" customHeight="1">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2" customHeight="1">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2" customHeight="1">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2" customHeight="1">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2" customHeight="1">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2" customHeight="1">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2" customHeight="1">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2" customHeight="1">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2" customHeight="1">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2" customHeight="1">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2" customHeight="1">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2" customHeight="1">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2" customHeight="1">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2" customHeight="1">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2" customHeight="1">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2" customHeight="1">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2" customHeight="1">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2" customHeight="1">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2" customHeight="1">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2" customHeight="1">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2" customHeight="1">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2" customHeight="1">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2" customHeight="1">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2" customHeight="1">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2" customHeight="1">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2" customHeight="1">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2" customHeight="1">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2" customHeight="1">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2" customHeight="1">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2" customHeight="1">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2" customHeight="1">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2" customHeight="1">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2" customHeight="1">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2" customHeight="1">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2" customHeight="1">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2" customHeight="1">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2" customHeight="1">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2" customHeight="1">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2" customHeight="1">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2" customHeight="1">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2" customHeight="1">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2" customHeight="1">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2" customHeight="1">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2" customHeight="1">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2" customHeight="1">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2" customHeight="1">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2" customHeight="1">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2" customHeight="1">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2" customHeight="1">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2" customHeight="1">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2" customHeight="1">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2" customHeight="1">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2" customHeight="1">
      <c r="A510" s="52"/>
      <c r="B510" s="52"/>
      <c r="C510" s="52"/>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 customHeight="1">
      <c r="A511" s="52"/>
      <c r="B511" s="52"/>
      <c r="C511" s="52"/>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 customHeight="1">
      <c r="A512" s="52"/>
      <c r="B512" s="52"/>
      <c r="C512" s="52"/>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 customHeight="1">
      <c r="A513" s="52"/>
      <c r="B513" s="52"/>
      <c r="C513" s="52"/>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c r="A514" s="52"/>
      <c r="B514" s="52"/>
      <c r="C514" s="52"/>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c r="A515" s="52"/>
      <c r="B515" s="52"/>
      <c r="C515" s="52"/>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c r="A516" s="52"/>
      <c r="B516" s="52"/>
      <c r="C516" s="52"/>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c r="A517" s="52"/>
      <c r="B517" s="52"/>
      <c r="C517" s="52"/>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c r="A518" s="52"/>
      <c r="B518" s="52"/>
      <c r="C518" s="52"/>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c r="A519" s="52"/>
      <c r="B519" s="52"/>
      <c r="C519" s="52"/>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c r="A520" s="52"/>
      <c r="B520" s="52"/>
      <c r="C520" s="52"/>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c r="A521" s="52"/>
      <c r="B521" s="52"/>
      <c r="C521" s="52"/>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c r="A522" s="52"/>
      <c r="B522" s="52"/>
      <c r="C522" s="52"/>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c r="A523" s="52"/>
      <c r="B523" s="52"/>
      <c r="C523" s="52"/>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c r="A524" s="52"/>
      <c r="B524" s="52"/>
      <c r="C524" s="52"/>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c r="A525" s="52"/>
      <c r="B525" s="52"/>
      <c r="C525" s="52"/>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c r="A526" s="52"/>
      <c r="B526" s="52"/>
      <c r="C526" s="52"/>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c r="A527" s="52"/>
      <c r="B527" s="52"/>
      <c r="C527" s="52"/>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c r="A528" s="52"/>
      <c r="B528" s="52"/>
      <c r="C528" s="52"/>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c r="A529" s="52"/>
      <c r="B529" s="52"/>
      <c r="C529" s="52"/>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c r="A530" s="52"/>
      <c r="B530" s="52"/>
      <c r="C530" s="52"/>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c r="A531" s="52"/>
      <c r="B531" s="52"/>
      <c r="C531" s="52"/>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c r="A532" s="52"/>
      <c r="B532" s="52"/>
      <c r="C532" s="52"/>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c r="A533" s="52"/>
      <c r="B533" s="52"/>
      <c r="C533" s="52"/>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c r="A534" s="52"/>
      <c r="B534" s="52"/>
      <c r="C534" s="52"/>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c r="A535" s="52"/>
      <c r="B535" s="52"/>
      <c r="C535" s="52"/>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c r="A536" s="52"/>
      <c r="B536" s="52"/>
      <c r="C536" s="52"/>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c r="A537" s="52"/>
      <c r="B537" s="52"/>
      <c r="C537" s="52"/>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c r="A538" s="52"/>
      <c r="B538" s="52"/>
      <c r="C538" s="52"/>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c r="A539" s="52"/>
      <c r="B539" s="52"/>
      <c r="C539" s="52"/>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c r="A540" s="52"/>
      <c r="B540" s="52"/>
      <c r="C540" s="52"/>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c r="A541" s="52"/>
      <c r="B541" s="52"/>
      <c r="C541" s="52"/>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c r="A542" s="52"/>
      <c r="B542" s="52"/>
      <c r="C542" s="52"/>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c r="A543" s="52"/>
      <c r="B543" s="52"/>
      <c r="C543" s="52"/>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c r="A544" s="52"/>
      <c r="B544" s="52"/>
      <c r="C544" s="52"/>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c r="A545" s="52"/>
      <c r="B545" s="52"/>
      <c r="C545" s="52"/>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c r="A546" s="52"/>
      <c r="B546" s="52"/>
      <c r="C546" s="52"/>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c r="A547" s="52"/>
      <c r="B547" s="52"/>
      <c r="C547" s="52"/>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c r="A548" s="52"/>
      <c r="B548" s="52"/>
      <c r="C548" s="52"/>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c r="A549" s="52"/>
      <c r="B549" s="52"/>
      <c r="C549" s="52"/>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c r="A550" s="52"/>
      <c r="B550" s="52"/>
      <c r="C550" s="52"/>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c r="A551" s="52"/>
      <c r="B551" s="52"/>
      <c r="C551" s="52"/>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c r="A552" s="52"/>
      <c r="B552" s="52"/>
      <c r="C552" s="52"/>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c r="A553" s="52"/>
      <c r="B553" s="52"/>
      <c r="C553" s="52"/>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c r="A554" s="52"/>
      <c r="B554" s="52"/>
      <c r="C554" s="52"/>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c r="A555" s="52"/>
      <c r="B555" s="52"/>
      <c r="C555" s="52"/>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c r="A556" s="52"/>
      <c r="B556" s="52"/>
      <c r="C556" s="52"/>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c r="A557" s="52"/>
      <c r="B557" s="52"/>
      <c r="C557" s="52"/>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c r="A558" s="52"/>
      <c r="B558" s="52"/>
      <c r="C558" s="52"/>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c r="A559" s="52"/>
      <c r="B559" s="52"/>
      <c r="C559" s="52"/>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c r="A560" s="52"/>
      <c r="B560" s="52"/>
      <c r="C560" s="52"/>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c r="A561" s="52"/>
      <c r="B561" s="52"/>
      <c r="C561" s="52"/>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c r="A562" s="52"/>
      <c r="B562" s="52"/>
      <c r="C562" s="52"/>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c r="A563" s="52"/>
      <c r="B563" s="52"/>
      <c r="C563" s="52"/>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c r="A564" s="52"/>
      <c r="B564" s="52"/>
      <c r="C564" s="52"/>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c r="A565" s="52"/>
      <c r="B565" s="52"/>
      <c r="C565" s="52"/>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c r="A566" s="52"/>
      <c r="B566" s="52"/>
      <c r="C566" s="52"/>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c r="A567" s="52"/>
      <c r="B567" s="52"/>
      <c r="C567" s="52"/>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c r="A568" s="52"/>
      <c r="B568" s="52"/>
      <c r="C568" s="52"/>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c r="A569" s="52"/>
      <c r="B569" s="52"/>
      <c r="C569" s="52"/>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c r="A570" s="52"/>
      <c r="B570" s="52"/>
      <c r="C570" s="52"/>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c r="A571" s="52"/>
      <c r="B571" s="52"/>
      <c r="C571" s="52"/>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c r="A572" s="52"/>
      <c r="B572" s="52"/>
      <c r="C572" s="52"/>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c r="A573" s="52"/>
      <c r="B573" s="52"/>
      <c r="C573" s="52"/>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c r="A574" s="52"/>
      <c r="B574" s="52"/>
      <c r="C574" s="52"/>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c r="A575" s="52"/>
      <c r="B575" s="52"/>
      <c r="C575" s="52"/>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c r="A576" s="52"/>
      <c r="B576" s="52"/>
      <c r="C576" s="52"/>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pageMargins left="0.70866141732283472" right="0.70866141732283472" top="0.74803149606299213" bottom="0.74803149606299213" header="0" footer="0"/>
  <pageSetup orientation="landscape"/>
  <rowBreaks count="1" manualBreakCount="1">
    <brk id="26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6.28515625" customWidth="1"/>
    <col min="4" max="4" width="11.42578125" customWidth="1"/>
    <col min="5" max="5" width="1.42578125" customWidth="1"/>
    <col min="6" max="6" width="10.42578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2"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2"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0.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 customWidth="1"/>
    <col min="42" max="42" width="9.42578125" customWidth="1"/>
    <col min="43" max="43" width="10" customWidth="1"/>
    <col min="44" max="44" width="12.42578125" customWidth="1"/>
  </cols>
  <sheetData>
    <row r="1" spans="1:44" ht="12" customHeight="1">
      <c r="A1" s="3"/>
      <c r="B1" s="3"/>
      <c r="C1" s="3"/>
      <c r="D1" s="3"/>
      <c r="E1" s="3"/>
      <c r="F1" s="3"/>
      <c r="G1" s="3"/>
      <c r="H1" s="3"/>
      <c r="I1" s="3"/>
      <c r="J1" s="3"/>
      <c r="K1" s="3"/>
      <c r="L1" s="3"/>
      <c r="M1" s="3"/>
      <c r="N1" s="3"/>
      <c r="O1" s="3"/>
      <c r="P1" s="3"/>
      <c r="Q1" s="3"/>
      <c r="R1" s="3"/>
      <c r="S1" s="636" t="s">
        <v>294</v>
      </c>
      <c r="T1" s="637"/>
      <c r="U1" s="637"/>
      <c r="V1" s="637"/>
      <c r="W1" s="637"/>
      <c r="X1" s="637"/>
      <c r="Y1" s="638"/>
      <c r="Z1" s="3"/>
      <c r="AA1" s="3"/>
      <c r="AB1" s="3"/>
      <c r="AC1" s="3"/>
      <c r="AD1" s="3"/>
      <c r="AE1" s="3"/>
      <c r="AF1" s="3"/>
      <c r="AG1" s="3"/>
      <c r="AH1" s="3"/>
      <c r="AI1" s="3"/>
      <c r="AJ1" s="3"/>
      <c r="AK1" s="3"/>
      <c r="AL1" s="3"/>
      <c r="AM1" s="3"/>
      <c r="AN1" s="3"/>
      <c r="AO1" s="3"/>
      <c r="AP1" s="3"/>
      <c r="AQ1" s="3"/>
      <c r="AR1" s="3"/>
    </row>
    <row r="2" spans="1:44" ht="12" customHeight="1">
      <c r="A2" s="52"/>
      <c r="B2" s="52"/>
      <c r="C2" s="378"/>
      <c r="D2" s="378"/>
      <c r="E2" s="378"/>
      <c r="F2" s="378" t="s">
        <v>295</v>
      </c>
      <c r="G2" s="378"/>
      <c r="H2" s="378"/>
      <c r="J2" s="52"/>
      <c r="K2" s="52"/>
      <c r="L2" s="52"/>
      <c r="M2" s="52"/>
      <c r="N2" s="52"/>
      <c r="O2" s="52"/>
      <c r="P2" s="52"/>
      <c r="Q2" s="52"/>
      <c r="R2" s="52"/>
      <c r="S2" s="379">
        <v>1</v>
      </c>
      <c r="T2" s="639" t="s">
        <v>296</v>
      </c>
      <c r="U2" s="640"/>
      <c r="V2" s="640"/>
      <c r="W2" s="640"/>
      <c r="X2" s="640"/>
      <c r="Y2" s="641"/>
      <c r="Z2" s="52"/>
      <c r="AA2" s="52"/>
      <c r="AB2" s="52"/>
      <c r="AC2" s="52"/>
      <c r="AD2" s="52"/>
      <c r="AE2" s="52"/>
      <c r="AF2" s="52"/>
      <c r="AG2" s="52"/>
      <c r="AH2" s="52"/>
      <c r="AI2" s="52"/>
      <c r="AJ2" s="52"/>
      <c r="AK2" s="52"/>
      <c r="AL2" s="52"/>
      <c r="AM2" s="52"/>
      <c r="AN2" s="52"/>
      <c r="AO2" s="52"/>
      <c r="AP2" s="52"/>
      <c r="AQ2" s="52"/>
    </row>
    <row r="3" spans="1:44" ht="12" customHeight="1">
      <c r="A3" s="52"/>
      <c r="B3" s="52"/>
      <c r="C3" s="378"/>
      <c r="D3" s="378"/>
      <c r="E3" s="378"/>
      <c r="F3" s="378" t="s">
        <v>297</v>
      </c>
      <c r="G3" s="378"/>
      <c r="H3" s="378"/>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row>
    <row r="4" spans="1:44" ht="12" customHeight="1">
      <c r="A4" s="52"/>
      <c r="B4" s="52"/>
      <c r="C4" s="52"/>
      <c r="D4" s="52"/>
      <c r="E4" s="52"/>
      <c r="F4" s="52"/>
      <c r="G4" s="52"/>
      <c r="H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row>
    <row r="5" spans="1:44" ht="12" customHeight="1">
      <c r="A5" s="52"/>
      <c r="B5" s="52"/>
      <c r="C5" s="52"/>
      <c r="D5" s="52"/>
      <c r="E5" s="52"/>
      <c r="F5" s="52"/>
      <c r="G5" s="52"/>
      <c r="H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row>
    <row r="6" spans="1:44" ht="12" customHeight="1">
      <c r="A6" s="52"/>
      <c r="B6" s="320" t="s">
        <v>298</v>
      </c>
      <c r="C6" s="52"/>
      <c r="D6" s="380" t="s">
        <v>222</v>
      </c>
      <c r="E6" s="380"/>
      <c r="F6" s="381"/>
      <c r="G6" s="381"/>
      <c r="H6" s="381"/>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3"/>
    </row>
    <row r="7" spans="1:44" ht="12" customHeight="1">
      <c r="A7" s="52"/>
      <c r="B7" s="382"/>
      <c r="C7" s="52"/>
      <c r="D7" s="383"/>
      <c r="E7" s="383"/>
      <c r="F7" s="383"/>
      <c r="G7" s="383"/>
      <c r="H7" s="383"/>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row>
    <row r="8" spans="1:44" ht="12" customHeight="1">
      <c r="A8" s="52"/>
      <c r="B8" s="320" t="s">
        <v>299</v>
      </c>
      <c r="C8" s="52"/>
      <c r="D8" s="384" t="s">
        <v>300</v>
      </c>
      <c r="E8" s="383"/>
      <c r="F8" s="383"/>
      <c r="G8" s="383"/>
      <c r="H8" s="383"/>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row>
    <row r="9" spans="1:44" ht="12" customHeight="1">
      <c r="A9" s="52"/>
      <c r="B9" s="382"/>
      <c r="C9" s="52"/>
      <c r="D9" s="383"/>
      <c r="E9" s="383"/>
      <c r="F9" s="383"/>
      <c r="G9" s="383"/>
      <c r="H9" s="383"/>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row>
    <row r="10" spans="1:44" ht="12" customHeight="1">
      <c r="A10" s="52"/>
      <c r="B10" s="52"/>
      <c r="C10" s="52"/>
      <c r="D10" s="307" t="s">
        <v>301</v>
      </c>
      <c r="E10" s="307"/>
      <c r="F10" s="385">
        <v>100</v>
      </c>
      <c r="G10" s="307" t="s">
        <v>302</v>
      </c>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row>
    <row r="11" spans="1:44" ht="12" customHeight="1">
      <c r="A11" s="52"/>
      <c r="B11" s="52"/>
      <c r="C11" s="52"/>
      <c r="D11" s="52"/>
      <c r="E11" s="52"/>
      <c r="F11" s="386">
        <v>4</v>
      </c>
      <c r="G11" s="386"/>
      <c r="H11" s="386" t="str">
        <f>F12</f>
        <v>2025F</v>
      </c>
      <c r="I11" s="386"/>
      <c r="J11" s="386">
        <v>5</v>
      </c>
      <c r="K11" s="386"/>
      <c r="L11" s="386" t="str">
        <f>J12</f>
        <v>2026F</v>
      </c>
      <c r="M11" s="386"/>
      <c r="N11" s="386"/>
      <c r="O11" s="386" t="str">
        <f>L11&amp;"%"</f>
        <v>2026F%</v>
      </c>
      <c r="P11" s="386"/>
      <c r="Q11" s="386">
        <v>6</v>
      </c>
      <c r="R11" s="386"/>
      <c r="S11" s="386" t="str">
        <f>Q12</f>
        <v>2027F</v>
      </c>
      <c r="T11" s="386"/>
      <c r="U11" s="386"/>
      <c r="V11" s="386" t="str">
        <f>S11&amp;"%"</f>
        <v>2027F%</v>
      </c>
      <c r="W11" s="386"/>
      <c r="X11" s="386">
        <v>7</v>
      </c>
      <c r="Y11" s="386"/>
      <c r="Z11" s="386" t="str">
        <f>X12</f>
        <v>2028F</v>
      </c>
      <c r="AA11" s="386"/>
      <c r="AB11" s="386"/>
      <c r="AC11" s="386" t="str">
        <f>Z11&amp;"%"</f>
        <v>2028F%</v>
      </c>
      <c r="AD11" s="386"/>
      <c r="AE11" s="386">
        <v>8</v>
      </c>
      <c r="AF11" s="386"/>
      <c r="AG11" s="386" t="str">
        <f>AE12</f>
        <v>2029F</v>
      </c>
      <c r="AH11" s="386"/>
      <c r="AI11" s="386"/>
      <c r="AJ11" s="386" t="str">
        <f>AG11&amp;"%"</f>
        <v>2029F%</v>
      </c>
      <c r="AK11" s="386"/>
      <c r="AL11" s="386">
        <v>9</v>
      </c>
      <c r="AM11" s="386"/>
      <c r="AN11" s="386" t="str">
        <f>AL12</f>
        <v>2030F</v>
      </c>
      <c r="AO11" s="386"/>
      <c r="AP11" s="386"/>
      <c r="AQ11" s="386" t="str">
        <f>AN11&amp;"%"</f>
        <v>2030F%</v>
      </c>
    </row>
    <row r="12" spans="1:44" ht="12" customHeight="1">
      <c r="A12" s="52"/>
      <c r="B12" s="52"/>
      <c r="C12" s="52"/>
      <c r="D12" s="307"/>
      <c r="E12" s="307"/>
      <c r="F12" s="633" t="s">
        <v>218</v>
      </c>
      <c r="G12" s="595"/>
      <c r="H12" s="596"/>
      <c r="I12" s="52"/>
      <c r="J12" s="633" t="s">
        <v>2</v>
      </c>
      <c r="K12" s="595"/>
      <c r="L12" s="596"/>
      <c r="M12" s="52"/>
      <c r="N12" s="627" t="str">
        <f>"Impact "&amp;F12&amp;" vs "&amp;J12</f>
        <v>Impact 2025F vs 2026F</v>
      </c>
      <c r="O12" s="596"/>
      <c r="P12" s="52"/>
      <c r="Q12" s="633" t="s">
        <v>3</v>
      </c>
      <c r="R12" s="595"/>
      <c r="S12" s="596"/>
      <c r="T12" s="52"/>
      <c r="U12" s="627" t="str">
        <f>"Impact "&amp;J12&amp;" vs "&amp;Q12</f>
        <v>Impact 2026F vs 2027F</v>
      </c>
      <c r="V12" s="596"/>
      <c r="W12" s="52"/>
      <c r="X12" s="633" t="s">
        <v>4</v>
      </c>
      <c r="Y12" s="595"/>
      <c r="Z12" s="596"/>
      <c r="AA12" s="52"/>
      <c r="AB12" s="627" t="str">
        <f>"Impact "&amp;Q12&amp;" vs "&amp;X12</f>
        <v>Impact 2027F vs 2028F</v>
      </c>
      <c r="AC12" s="596"/>
      <c r="AD12" s="52"/>
      <c r="AE12" s="633" t="s">
        <v>5</v>
      </c>
      <c r="AF12" s="595"/>
      <c r="AG12" s="596"/>
      <c r="AH12" s="52"/>
      <c r="AI12" s="627" t="str">
        <f>"Impact "&amp;X12&amp;" vs "&amp;AE12</f>
        <v>Impact 2028F vs 2029F</v>
      </c>
      <c r="AJ12" s="596"/>
      <c r="AK12" s="310"/>
      <c r="AL12" s="633" t="s">
        <v>6</v>
      </c>
      <c r="AM12" s="595"/>
      <c r="AN12" s="596"/>
      <c r="AO12" s="52"/>
      <c r="AP12" s="627" t="str">
        <f>"Impact "&amp;AE12&amp;" vs "&amp;AL12</f>
        <v>Impact 2029F vs 2030F</v>
      </c>
      <c r="AQ12" s="596"/>
    </row>
    <row r="13" spans="1:44" ht="12" customHeight="1">
      <c r="A13" s="52"/>
      <c r="B13" s="52"/>
      <c r="C13" s="52"/>
      <c r="D13" s="635" t="s">
        <v>303</v>
      </c>
      <c r="E13" s="310"/>
      <c r="F13" s="388" t="s">
        <v>304</v>
      </c>
      <c r="G13" s="389" t="s">
        <v>305</v>
      </c>
      <c r="H13" s="390" t="s">
        <v>306</v>
      </c>
      <c r="I13" s="52"/>
      <c r="J13" s="388" t="s">
        <v>304</v>
      </c>
      <c r="K13" s="389" t="s">
        <v>305</v>
      </c>
      <c r="L13" s="390" t="s">
        <v>306</v>
      </c>
      <c r="M13" s="52"/>
      <c r="N13" s="628" t="s">
        <v>307</v>
      </c>
      <c r="O13" s="630" t="s">
        <v>308</v>
      </c>
      <c r="P13" s="52"/>
      <c r="Q13" s="388" t="s">
        <v>304</v>
      </c>
      <c r="R13" s="389" t="s">
        <v>305</v>
      </c>
      <c r="S13" s="390" t="s">
        <v>306</v>
      </c>
      <c r="T13" s="52"/>
      <c r="U13" s="628" t="s">
        <v>307</v>
      </c>
      <c r="V13" s="630" t="s">
        <v>308</v>
      </c>
      <c r="W13" s="52"/>
      <c r="X13" s="388" t="s">
        <v>304</v>
      </c>
      <c r="Y13" s="389" t="s">
        <v>305</v>
      </c>
      <c r="Z13" s="390" t="s">
        <v>306</v>
      </c>
      <c r="AA13" s="52"/>
      <c r="AB13" s="628" t="s">
        <v>307</v>
      </c>
      <c r="AC13" s="630" t="s">
        <v>308</v>
      </c>
      <c r="AD13" s="52"/>
      <c r="AE13" s="388" t="s">
        <v>304</v>
      </c>
      <c r="AF13" s="389" t="s">
        <v>305</v>
      </c>
      <c r="AG13" s="390" t="s">
        <v>306</v>
      </c>
      <c r="AH13" s="52"/>
      <c r="AI13" s="628" t="s">
        <v>307</v>
      </c>
      <c r="AJ13" s="630" t="s">
        <v>308</v>
      </c>
      <c r="AK13" s="387"/>
      <c r="AL13" s="388" t="s">
        <v>304</v>
      </c>
      <c r="AM13" s="389" t="s">
        <v>305</v>
      </c>
      <c r="AN13" s="390" t="s">
        <v>306</v>
      </c>
      <c r="AO13" s="52"/>
      <c r="AP13" s="628" t="s">
        <v>307</v>
      </c>
      <c r="AQ13" s="630" t="s">
        <v>308</v>
      </c>
    </row>
    <row r="14" spans="1:44" ht="12" customHeight="1">
      <c r="A14" s="52"/>
      <c r="B14" s="52"/>
      <c r="C14" s="52"/>
      <c r="D14" s="623"/>
      <c r="E14" s="310"/>
      <c r="F14" s="391" t="s">
        <v>309</v>
      </c>
      <c r="G14" s="392"/>
      <c r="H14" s="393" t="s">
        <v>309</v>
      </c>
      <c r="I14" s="52"/>
      <c r="J14" s="391" t="s">
        <v>309</v>
      </c>
      <c r="K14" s="392"/>
      <c r="L14" s="393" t="s">
        <v>309</v>
      </c>
      <c r="M14" s="52"/>
      <c r="N14" s="629"/>
      <c r="O14" s="631"/>
      <c r="P14" s="52"/>
      <c r="Q14" s="391" t="s">
        <v>309</v>
      </c>
      <c r="R14" s="392"/>
      <c r="S14" s="393" t="s">
        <v>309</v>
      </c>
      <c r="T14" s="52"/>
      <c r="U14" s="629"/>
      <c r="V14" s="631"/>
      <c r="W14" s="52"/>
      <c r="X14" s="391" t="s">
        <v>309</v>
      </c>
      <c r="Y14" s="392"/>
      <c r="Z14" s="393" t="s">
        <v>309</v>
      </c>
      <c r="AA14" s="52"/>
      <c r="AB14" s="629"/>
      <c r="AC14" s="631"/>
      <c r="AD14" s="52"/>
      <c r="AE14" s="391" t="s">
        <v>309</v>
      </c>
      <c r="AF14" s="392"/>
      <c r="AG14" s="393" t="s">
        <v>309</v>
      </c>
      <c r="AH14" s="52"/>
      <c r="AI14" s="629"/>
      <c r="AJ14" s="631"/>
      <c r="AK14" s="387"/>
      <c r="AL14" s="391" t="s">
        <v>309</v>
      </c>
      <c r="AM14" s="392"/>
      <c r="AN14" s="393" t="s">
        <v>309</v>
      </c>
      <c r="AO14" s="52"/>
      <c r="AP14" s="629"/>
      <c r="AQ14" s="631"/>
    </row>
    <row r="15" spans="1:44" ht="12" customHeight="1">
      <c r="A15" s="52"/>
      <c r="B15" s="321" t="s">
        <v>221</v>
      </c>
      <c r="C15" s="394" t="str">
        <f t="shared" ref="C15:C28" si="0">D$6&amp;"."&amp;B15</f>
        <v>Residential.Monthly Service Charge</v>
      </c>
      <c r="D15" s="395" t="s">
        <v>310</v>
      </c>
      <c r="E15" s="321"/>
      <c r="F15" s="396">
        <f>IFERROR(VLOOKUP($C15,'Proposed Rates'!$B:$J,F$11,FALSE),0)</f>
        <v>34.26</v>
      </c>
      <c r="G15" s="397">
        <f t="shared" ref="G15:G28" si="1">IF($D15="Monthly",1,IF($D15="per KWH",$F$10,0))</f>
        <v>1</v>
      </c>
      <c r="H15" s="398">
        <f t="shared" ref="H15:H28" si="2">G15*F15</f>
        <v>34.26</v>
      </c>
      <c r="I15" s="52"/>
      <c r="J15" s="396">
        <f>IFERROR(VLOOKUP($C15,'Proposed Rates'!$B:$J,J$11,FALSE),0)</f>
        <v>40.72</v>
      </c>
      <c r="K15" s="397">
        <f t="shared" ref="K15:K28" si="3">IF($D15="Monthly",1,IF($D15="per KWH",$F$10,0))</f>
        <v>1</v>
      </c>
      <c r="L15" s="399">
        <f t="shared" ref="L15:L28" si="4">K15*J15</f>
        <v>40.72</v>
      </c>
      <c r="M15" s="132"/>
      <c r="N15" s="400">
        <f t="shared" ref="N15:N48" si="5">L15-H15</f>
        <v>6.4600000000000009</v>
      </c>
      <c r="O15" s="401">
        <f t="shared" ref="O15:O48" si="6">IF((H15)=0,"",(N15/H15))</f>
        <v>0.18855808523058964</v>
      </c>
      <c r="P15" s="52"/>
      <c r="Q15" s="396">
        <f>IFERROR(VLOOKUP($C15,'Proposed Rates'!$B:$J,Q$11,FALSE),0)</f>
        <v>42.64</v>
      </c>
      <c r="R15" s="397">
        <f t="shared" ref="R15:R28" si="7">IF($D15="Monthly",1,IF($D15="per KWH",$F$10,0))</f>
        <v>1</v>
      </c>
      <c r="S15" s="399">
        <f t="shared" ref="S15:S28" si="8">R15*Q15</f>
        <v>42.64</v>
      </c>
      <c r="T15" s="132"/>
      <c r="U15" s="400">
        <f t="shared" ref="U15:U48" si="9">S15-L15</f>
        <v>1.9200000000000017</v>
      </c>
      <c r="V15" s="401">
        <f t="shared" ref="V15:V48" si="10">IF((L15)=0,"",(U15/L15))</f>
        <v>4.7151277013752498E-2</v>
      </c>
      <c r="W15" s="52"/>
      <c r="X15" s="396">
        <f>IFERROR(VLOOKUP($C15,'Proposed Rates'!$B:$J,X$11,FALSE),0)</f>
        <v>45.47</v>
      </c>
      <c r="Y15" s="397">
        <f t="shared" ref="Y15:Y28" si="11">IF($D15="Monthly",1,IF($D15="per KWH",$F$10,0))</f>
        <v>1</v>
      </c>
      <c r="Z15" s="399">
        <f t="shared" ref="Z15:Z28" si="12">Y15*X15</f>
        <v>45.47</v>
      </c>
      <c r="AA15" s="132"/>
      <c r="AB15" s="400">
        <f t="shared" ref="AB15:AB48" si="13">Z15-S15</f>
        <v>2.8299999999999983</v>
      </c>
      <c r="AC15" s="401">
        <f t="shared" ref="AC15:AC48" si="14">IF((S15)=0,"",(AB15/S15))</f>
        <v>6.6369606003752302E-2</v>
      </c>
      <c r="AD15" s="52"/>
      <c r="AE15" s="396">
        <f>IFERROR(VLOOKUP($C15,'Proposed Rates'!$B:$J,AE$11,FALSE),0)</f>
        <v>46.98</v>
      </c>
      <c r="AF15" s="397">
        <f t="shared" ref="AF15:AF28" si="15">IF($D15="Monthly",1,IF($D15="per KWH",$F$10,0))</f>
        <v>1</v>
      </c>
      <c r="AG15" s="399">
        <f t="shared" ref="AG15:AG28" si="16">AF15*AE15</f>
        <v>46.98</v>
      </c>
      <c r="AH15" s="132"/>
      <c r="AI15" s="400">
        <f t="shared" ref="AI15:AI48" si="17">AG15-Z15</f>
        <v>1.509999999999998</v>
      </c>
      <c r="AJ15" s="401">
        <f t="shared" ref="AJ15:AJ48" si="18">IF((Z15)=0,"",(AI15/Z15))</f>
        <v>3.3208709038926719E-2</v>
      </c>
      <c r="AK15" s="402"/>
      <c r="AL15" s="396">
        <f>IFERROR(VLOOKUP($C15,'Proposed Rates'!$B:$J,AL$11,FALSE),0)</f>
        <v>48.36</v>
      </c>
      <c r="AM15" s="397">
        <f t="shared" ref="AM15:AM28" si="19">IF($D15="Monthly",1,IF($D15="per KWH",$F$10,0))</f>
        <v>1</v>
      </c>
      <c r="AN15" s="399">
        <f t="shared" ref="AN15:AN28" si="20">AM15*AL15</f>
        <v>48.36</v>
      </c>
      <c r="AO15" s="132"/>
      <c r="AP15" s="400">
        <f t="shared" ref="AP15:AP48" si="21">AN15-AG15</f>
        <v>1.3800000000000026</v>
      </c>
      <c r="AQ15" s="401">
        <f t="shared" ref="AQ15:AQ48" si="22">IF((AG15)=0,"",(AP15/AG15))</f>
        <v>2.9374201787994946E-2</v>
      </c>
    </row>
    <row r="16" spans="1:44" ht="12" customHeight="1">
      <c r="A16" s="52"/>
      <c r="B16" s="321" t="s">
        <v>311</v>
      </c>
      <c r="C16" s="394" t="str">
        <f t="shared" si="0"/>
        <v>Residential.Smart Meter Rate Adder</v>
      </c>
      <c r="D16" s="395" t="s">
        <v>310</v>
      </c>
      <c r="E16" s="321"/>
      <c r="F16" s="396">
        <f>IFERROR(VLOOKUP($C16,'Proposed Rates'!$B:$J,F$11,FALSE),0)</f>
        <v>0</v>
      </c>
      <c r="G16" s="397">
        <f t="shared" si="1"/>
        <v>1</v>
      </c>
      <c r="H16" s="398">
        <f t="shared" si="2"/>
        <v>0</v>
      </c>
      <c r="I16" s="52"/>
      <c r="J16" s="396">
        <f>IFERROR(VLOOKUP($C16,'Proposed Rates'!$B:$J,J$11,FALSE),0)</f>
        <v>0</v>
      </c>
      <c r="K16" s="397">
        <f t="shared" si="3"/>
        <v>1</v>
      </c>
      <c r="L16" s="399">
        <f t="shared" si="4"/>
        <v>0</v>
      </c>
      <c r="M16" s="132"/>
      <c r="N16" s="400">
        <f t="shared" si="5"/>
        <v>0</v>
      </c>
      <c r="O16" s="401" t="str">
        <f t="shared" si="6"/>
        <v/>
      </c>
      <c r="P16" s="52"/>
      <c r="Q16" s="396">
        <f>IFERROR(VLOOKUP($C16,'Proposed Rates'!$B:$J,Q$11,FALSE),0)</f>
        <v>0</v>
      </c>
      <c r="R16" s="397">
        <f t="shared" si="7"/>
        <v>1</v>
      </c>
      <c r="S16" s="399">
        <f t="shared" si="8"/>
        <v>0</v>
      </c>
      <c r="T16" s="132"/>
      <c r="U16" s="400">
        <f t="shared" si="9"/>
        <v>0</v>
      </c>
      <c r="V16" s="401" t="str">
        <f t="shared" si="10"/>
        <v/>
      </c>
      <c r="W16" s="52"/>
      <c r="X16" s="396">
        <f>IFERROR(VLOOKUP($C16,'Proposed Rates'!$B:$J,X$11,FALSE),0)</f>
        <v>0</v>
      </c>
      <c r="Y16" s="397">
        <f t="shared" si="11"/>
        <v>1</v>
      </c>
      <c r="Z16" s="399">
        <f t="shared" si="12"/>
        <v>0</v>
      </c>
      <c r="AA16" s="132"/>
      <c r="AB16" s="400">
        <f t="shared" si="13"/>
        <v>0</v>
      </c>
      <c r="AC16" s="401" t="str">
        <f t="shared" si="14"/>
        <v/>
      </c>
      <c r="AD16" s="52"/>
      <c r="AE16" s="396">
        <f>IFERROR(VLOOKUP($C16,'Proposed Rates'!$B:$J,AE$11,FALSE),0)</f>
        <v>0</v>
      </c>
      <c r="AF16" s="397">
        <f t="shared" si="15"/>
        <v>1</v>
      </c>
      <c r="AG16" s="399">
        <f t="shared" si="16"/>
        <v>0</v>
      </c>
      <c r="AH16" s="132"/>
      <c r="AI16" s="400">
        <f t="shared" si="17"/>
        <v>0</v>
      </c>
      <c r="AJ16" s="401" t="str">
        <f t="shared" si="18"/>
        <v/>
      </c>
      <c r="AK16" s="402"/>
      <c r="AL16" s="396">
        <f>IFERROR(VLOOKUP($C16,'Proposed Rates'!$B:$J,AL$11,FALSE),0)</f>
        <v>0</v>
      </c>
      <c r="AM16" s="397">
        <f t="shared" si="19"/>
        <v>1</v>
      </c>
      <c r="AN16" s="399">
        <f t="shared" si="20"/>
        <v>0</v>
      </c>
      <c r="AO16" s="132"/>
      <c r="AP16" s="400">
        <f t="shared" si="21"/>
        <v>0</v>
      </c>
      <c r="AQ16" s="401" t="str">
        <f t="shared" si="22"/>
        <v/>
      </c>
    </row>
    <row r="17" spans="1:43" ht="12" customHeight="1">
      <c r="A17" s="52"/>
      <c r="B17" s="403" t="str">
        <f>'Proposed Rates'!C115</f>
        <v>Rate Rider Calculation for PILs</v>
      </c>
      <c r="C17" s="394" t="str">
        <f t="shared" si="0"/>
        <v>Residential.Rate Rider Calculation for PILs</v>
      </c>
      <c r="D17" s="395" t="s">
        <v>312</v>
      </c>
      <c r="E17" s="321"/>
      <c r="F17" s="396">
        <f>IFERROR(VLOOKUP($C17,'Proposed Rates'!$B:$J,F$11,FALSE),0)</f>
        <v>0</v>
      </c>
      <c r="G17" s="397">
        <f t="shared" si="1"/>
        <v>100</v>
      </c>
      <c r="H17" s="398">
        <f t="shared" si="2"/>
        <v>0</v>
      </c>
      <c r="I17" s="52"/>
      <c r="J17" s="396">
        <f>IFERROR(VLOOKUP($C17,'Proposed Rates'!$B:$J,J$11,FALSE),0)</f>
        <v>0</v>
      </c>
      <c r="K17" s="397">
        <f t="shared" si="3"/>
        <v>100</v>
      </c>
      <c r="L17" s="399">
        <f t="shared" si="4"/>
        <v>0</v>
      </c>
      <c r="M17" s="132"/>
      <c r="N17" s="400">
        <f t="shared" si="5"/>
        <v>0</v>
      </c>
      <c r="O17" s="401" t="str">
        <f t="shared" si="6"/>
        <v/>
      </c>
      <c r="P17" s="52"/>
      <c r="Q17" s="396">
        <f>IFERROR(VLOOKUP($C17,'Proposed Rates'!$B:$J,Q$11,FALSE),0)</f>
        <v>0</v>
      </c>
      <c r="R17" s="397">
        <f t="shared" si="7"/>
        <v>100</v>
      </c>
      <c r="S17" s="399">
        <f t="shared" si="8"/>
        <v>0</v>
      </c>
      <c r="T17" s="132"/>
      <c r="U17" s="400">
        <f t="shared" si="9"/>
        <v>0</v>
      </c>
      <c r="V17" s="401" t="str">
        <f t="shared" si="10"/>
        <v/>
      </c>
      <c r="W17" s="52"/>
      <c r="X17" s="396">
        <f>IFERROR(VLOOKUP($C17,'Proposed Rates'!$B:$J,X$11,FALSE),0)</f>
        <v>0</v>
      </c>
      <c r="Y17" s="397">
        <f t="shared" si="11"/>
        <v>100</v>
      </c>
      <c r="Z17" s="399">
        <f t="shared" si="12"/>
        <v>0</v>
      </c>
      <c r="AA17" s="132"/>
      <c r="AB17" s="400">
        <f t="shared" si="13"/>
        <v>0</v>
      </c>
      <c r="AC17" s="401" t="str">
        <f t="shared" si="14"/>
        <v/>
      </c>
      <c r="AD17" s="52"/>
      <c r="AE17" s="396">
        <f>IFERROR(VLOOKUP($C17,'Proposed Rates'!$B:$J,AE$11,FALSE),0)</f>
        <v>0</v>
      </c>
      <c r="AF17" s="397">
        <f t="shared" si="15"/>
        <v>100</v>
      </c>
      <c r="AG17" s="399">
        <f t="shared" si="16"/>
        <v>0</v>
      </c>
      <c r="AH17" s="132"/>
      <c r="AI17" s="400">
        <f t="shared" si="17"/>
        <v>0</v>
      </c>
      <c r="AJ17" s="401" t="str">
        <f t="shared" si="18"/>
        <v/>
      </c>
      <c r="AK17" s="402"/>
      <c r="AL17" s="396">
        <f>IFERROR(VLOOKUP($C17,'Proposed Rates'!$B:$J,AL$11,FALSE),0)</f>
        <v>0</v>
      </c>
      <c r="AM17" s="397">
        <f t="shared" si="19"/>
        <v>100</v>
      </c>
      <c r="AN17" s="399">
        <f t="shared" si="20"/>
        <v>0</v>
      </c>
      <c r="AO17" s="132"/>
      <c r="AP17" s="400">
        <f t="shared" si="21"/>
        <v>0</v>
      </c>
      <c r="AQ17" s="401" t="str">
        <f t="shared" si="22"/>
        <v/>
      </c>
    </row>
    <row r="18" spans="1:43" ht="12" customHeight="1">
      <c r="A18" s="52"/>
      <c r="B18" s="403" t="str">
        <f>'Proposed Rates'!C128</f>
        <v>Rate Rider Calculation for Generic</v>
      </c>
      <c r="C18" s="394" t="str">
        <f t="shared" si="0"/>
        <v>Residential.Rate Rider Calculation for Generic</v>
      </c>
      <c r="D18" s="395" t="s">
        <v>310</v>
      </c>
      <c r="E18" s="321"/>
      <c r="F18" s="396">
        <f>IFERROR(VLOOKUP($C18,'Proposed Rates'!$B:$J,F$11,FALSE),0)</f>
        <v>0</v>
      </c>
      <c r="G18" s="397">
        <f t="shared" si="1"/>
        <v>1</v>
      </c>
      <c r="H18" s="398">
        <f t="shared" si="2"/>
        <v>0</v>
      </c>
      <c r="I18" s="52"/>
      <c r="J18" s="396">
        <f>IFERROR(VLOOKUP($C18,'Proposed Rates'!$B:$J,J$11,FALSE),0)</f>
        <v>0</v>
      </c>
      <c r="K18" s="397">
        <f t="shared" si="3"/>
        <v>1</v>
      </c>
      <c r="L18" s="399">
        <f t="shared" si="4"/>
        <v>0</v>
      </c>
      <c r="M18" s="132"/>
      <c r="N18" s="400">
        <f t="shared" si="5"/>
        <v>0</v>
      </c>
      <c r="O18" s="401" t="str">
        <f t="shared" si="6"/>
        <v/>
      </c>
      <c r="P18" s="52"/>
      <c r="Q18" s="396">
        <f>IFERROR(VLOOKUP($C18,'Proposed Rates'!$B:$J,Q$11,FALSE),0)</f>
        <v>0</v>
      </c>
      <c r="R18" s="397">
        <f t="shared" si="7"/>
        <v>1</v>
      </c>
      <c r="S18" s="399">
        <f t="shared" si="8"/>
        <v>0</v>
      </c>
      <c r="T18" s="132"/>
      <c r="U18" s="400">
        <f t="shared" si="9"/>
        <v>0</v>
      </c>
      <c r="V18" s="401" t="str">
        <f t="shared" si="10"/>
        <v/>
      </c>
      <c r="W18" s="52"/>
      <c r="X18" s="396">
        <f>IFERROR(VLOOKUP($C18,'Proposed Rates'!$B:$J,X$11,FALSE),0)</f>
        <v>0</v>
      </c>
      <c r="Y18" s="397">
        <f t="shared" si="11"/>
        <v>1</v>
      </c>
      <c r="Z18" s="399">
        <f t="shared" si="12"/>
        <v>0</v>
      </c>
      <c r="AA18" s="132"/>
      <c r="AB18" s="400">
        <f t="shared" si="13"/>
        <v>0</v>
      </c>
      <c r="AC18" s="401" t="str">
        <f t="shared" si="14"/>
        <v/>
      </c>
      <c r="AD18" s="52"/>
      <c r="AE18" s="396">
        <f>IFERROR(VLOOKUP($C18,'Proposed Rates'!$B:$J,AE$11,FALSE),0)</f>
        <v>0</v>
      </c>
      <c r="AF18" s="397">
        <f t="shared" si="15"/>
        <v>1</v>
      </c>
      <c r="AG18" s="399">
        <f t="shared" si="16"/>
        <v>0</v>
      </c>
      <c r="AH18" s="132"/>
      <c r="AI18" s="400">
        <f t="shared" si="17"/>
        <v>0</v>
      </c>
      <c r="AJ18" s="401" t="str">
        <f t="shared" si="18"/>
        <v/>
      </c>
      <c r="AK18" s="402"/>
      <c r="AL18" s="396">
        <f>IFERROR(VLOOKUP($C18,'Proposed Rates'!$B:$J,AL$11,FALSE),0)</f>
        <v>0</v>
      </c>
      <c r="AM18" s="397">
        <f t="shared" si="19"/>
        <v>1</v>
      </c>
      <c r="AN18" s="399">
        <f t="shared" si="20"/>
        <v>0</v>
      </c>
      <c r="AO18" s="132"/>
      <c r="AP18" s="400">
        <f t="shared" si="21"/>
        <v>0</v>
      </c>
      <c r="AQ18" s="401" t="str">
        <f t="shared" si="22"/>
        <v/>
      </c>
    </row>
    <row r="19" spans="1:43" ht="12" customHeight="1">
      <c r="A19" s="52"/>
      <c r="B19" s="321" t="s">
        <v>59</v>
      </c>
      <c r="C19" s="394" t="str">
        <f t="shared" si="0"/>
        <v>Residential.Distribution Volumetric Rate</v>
      </c>
      <c r="D19" s="395" t="s">
        <v>312</v>
      </c>
      <c r="E19" s="321"/>
      <c r="F19" s="396">
        <f>IFERROR(VLOOKUP($C19,'Proposed Rates'!$B:$J,F$11,FALSE),0)</f>
        <v>0</v>
      </c>
      <c r="G19" s="397">
        <f t="shared" si="1"/>
        <v>100</v>
      </c>
      <c r="H19" s="398">
        <f t="shared" si="2"/>
        <v>0</v>
      </c>
      <c r="I19" s="52"/>
      <c r="J19" s="396">
        <f>IFERROR(VLOOKUP($C19,'Proposed Rates'!$B:$J,J$11,FALSE),0)</f>
        <v>0</v>
      </c>
      <c r="K19" s="397">
        <f t="shared" si="3"/>
        <v>100</v>
      </c>
      <c r="L19" s="399">
        <f t="shared" si="4"/>
        <v>0</v>
      </c>
      <c r="M19" s="132"/>
      <c r="N19" s="400">
        <f t="shared" si="5"/>
        <v>0</v>
      </c>
      <c r="O19" s="401" t="str">
        <f t="shared" si="6"/>
        <v/>
      </c>
      <c r="P19" s="52"/>
      <c r="Q19" s="396">
        <f>IFERROR(VLOOKUP($C19,'Proposed Rates'!$B:$J,Q$11,FALSE),0)</f>
        <v>0</v>
      </c>
      <c r="R19" s="397">
        <f t="shared" si="7"/>
        <v>100</v>
      </c>
      <c r="S19" s="399">
        <f t="shared" si="8"/>
        <v>0</v>
      </c>
      <c r="T19" s="132"/>
      <c r="U19" s="400">
        <f t="shared" si="9"/>
        <v>0</v>
      </c>
      <c r="V19" s="401" t="str">
        <f t="shared" si="10"/>
        <v/>
      </c>
      <c r="W19" s="52"/>
      <c r="X19" s="396">
        <f>IFERROR(VLOOKUP($C19,'Proposed Rates'!$B:$J,X$11,FALSE),0)</f>
        <v>0</v>
      </c>
      <c r="Y19" s="397">
        <f t="shared" si="11"/>
        <v>100</v>
      </c>
      <c r="Z19" s="399">
        <f t="shared" si="12"/>
        <v>0</v>
      </c>
      <c r="AA19" s="132"/>
      <c r="AB19" s="400">
        <f t="shared" si="13"/>
        <v>0</v>
      </c>
      <c r="AC19" s="401" t="str">
        <f t="shared" si="14"/>
        <v/>
      </c>
      <c r="AD19" s="52"/>
      <c r="AE19" s="396">
        <f>IFERROR(VLOOKUP($C19,'Proposed Rates'!$B:$J,AE$11,FALSE),0)</f>
        <v>0</v>
      </c>
      <c r="AF19" s="397">
        <f t="shared" si="15"/>
        <v>100</v>
      </c>
      <c r="AG19" s="399">
        <f t="shared" si="16"/>
        <v>0</v>
      </c>
      <c r="AH19" s="132"/>
      <c r="AI19" s="400">
        <f t="shared" si="17"/>
        <v>0</v>
      </c>
      <c r="AJ19" s="401" t="str">
        <f t="shared" si="18"/>
        <v/>
      </c>
      <c r="AK19" s="402"/>
      <c r="AL19" s="396">
        <f>IFERROR(VLOOKUP($C19,'Proposed Rates'!$B:$J,AL$11,FALSE),0)</f>
        <v>0</v>
      </c>
      <c r="AM19" s="397">
        <f t="shared" si="19"/>
        <v>100</v>
      </c>
      <c r="AN19" s="399">
        <f t="shared" si="20"/>
        <v>0</v>
      </c>
      <c r="AO19" s="132"/>
      <c r="AP19" s="400">
        <f t="shared" si="21"/>
        <v>0</v>
      </c>
      <c r="AQ19" s="401" t="str">
        <f t="shared" si="22"/>
        <v/>
      </c>
    </row>
    <row r="20" spans="1:43" ht="12" customHeight="1">
      <c r="A20" s="52"/>
      <c r="B20" s="321" t="s">
        <v>313</v>
      </c>
      <c r="C20" s="394" t="str">
        <f t="shared" si="0"/>
        <v>Residential.Smart Meter Disposition Rider</v>
      </c>
      <c r="D20" s="395" t="s">
        <v>312</v>
      </c>
      <c r="E20" s="321"/>
      <c r="F20" s="396">
        <f>IFERROR(VLOOKUP($C20,'Proposed Rates'!$B:$J,F$11,FALSE),0)</f>
        <v>0</v>
      </c>
      <c r="G20" s="397">
        <f t="shared" si="1"/>
        <v>100</v>
      </c>
      <c r="H20" s="398">
        <f t="shared" si="2"/>
        <v>0</v>
      </c>
      <c r="I20" s="52"/>
      <c r="J20" s="396">
        <f>IFERROR(VLOOKUP($C20,'Proposed Rates'!$B:$J,J$11,FALSE),0)</f>
        <v>0</v>
      </c>
      <c r="K20" s="397">
        <f t="shared" si="3"/>
        <v>100</v>
      </c>
      <c r="L20" s="399">
        <f t="shared" si="4"/>
        <v>0</v>
      </c>
      <c r="M20" s="132"/>
      <c r="N20" s="400">
        <f t="shared" si="5"/>
        <v>0</v>
      </c>
      <c r="O20" s="401" t="str">
        <f t="shared" si="6"/>
        <v/>
      </c>
      <c r="P20" s="52"/>
      <c r="Q20" s="396">
        <f>IFERROR(VLOOKUP($C20,'Proposed Rates'!$B:$J,Q$11,FALSE),0)</f>
        <v>0</v>
      </c>
      <c r="R20" s="397">
        <f t="shared" si="7"/>
        <v>100</v>
      </c>
      <c r="S20" s="399">
        <f t="shared" si="8"/>
        <v>0</v>
      </c>
      <c r="T20" s="132"/>
      <c r="U20" s="400">
        <f t="shared" si="9"/>
        <v>0</v>
      </c>
      <c r="V20" s="401" t="str">
        <f t="shared" si="10"/>
        <v/>
      </c>
      <c r="W20" s="52"/>
      <c r="X20" s="396">
        <f>IFERROR(VLOOKUP($C20,'Proposed Rates'!$B:$J,X$11,FALSE),0)</f>
        <v>0</v>
      </c>
      <c r="Y20" s="397">
        <f t="shared" si="11"/>
        <v>100</v>
      </c>
      <c r="Z20" s="399">
        <f t="shared" si="12"/>
        <v>0</v>
      </c>
      <c r="AA20" s="132"/>
      <c r="AB20" s="400">
        <f t="shared" si="13"/>
        <v>0</v>
      </c>
      <c r="AC20" s="401" t="str">
        <f t="shared" si="14"/>
        <v/>
      </c>
      <c r="AD20" s="52"/>
      <c r="AE20" s="396">
        <f>IFERROR(VLOOKUP($C20,'Proposed Rates'!$B:$J,AE$11,FALSE),0)</f>
        <v>0</v>
      </c>
      <c r="AF20" s="397">
        <f t="shared" si="15"/>
        <v>100</v>
      </c>
      <c r="AG20" s="399">
        <f t="shared" si="16"/>
        <v>0</v>
      </c>
      <c r="AH20" s="132"/>
      <c r="AI20" s="400">
        <f t="shared" si="17"/>
        <v>0</v>
      </c>
      <c r="AJ20" s="401" t="str">
        <f t="shared" si="18"/>
        <v/>
      </c>
      <c r="AK20" s="402"/>
      <c r="AL20" s="396">
        <f>IFERROR(VLOOKUP($C20,'Proposed Rates'!$B:$J,AL$11,FALSE),0)</f>
        <v>0</v>
      </c>
      <c r="AM20" s="397">
        <f t="shared" si="19"/>
        <v>100</v>
      </c>
      <c r="AN20" s="399">
        <f t="shared" si="20"/>
        <v>0</v>
      </c>
      <c r="AO20" s="132"/>
      <c r="AP20" s="400">
        <f t="shared" si="21"/>
        <v>0</v>
      </c>
      <c r="AQ20" s="401" t="str">
        <f t="shared" si="22"/>
        <v/>
      </c>
    </row>
    <row r="21" spans="1:43" ht="12" customHeight="1">
      <c r="A21" s="52"/>
      <c r="B21" s="321" t="s">
        <v>244</v>
      </c>
      <c r="C21" s="394" t="str">
        <f t="shared" si="0"/>
        <v>Residential.LRAM Rate Rider</v>
      </c>
      <c r="D21" s="395" t="s">
        <v>310</v>
      </c>
      <c r="E21" s="321"/>
      <c r="F21" s="396">
        <f>'Proposed Rates'!E77+'Proposed Rates'!E90</f>
        <v>0.25</v>
      </c>
      <c r="G21" s="397">
        <f t="shared" si="1"/>
        <v>1</v>
      </c>
      <c r="H21" s="398">
        <f t="shared" si="2"/>
        <v>0.25</v>
      </c>
      <c r="I21" s="52"/>
      <c r="J21" s="396">
        <f>'Proposed Rates'!F77+'Proposed Rates'!F90</f>
        <v>0</v>
      </c>
      <c r="K21" s="397">
        <f t="shared" si="3"/>
        <v>1</v>
      </c>
      <c r="L21" s="399">
        <f t="shared" si="4"/>
        <v>0</v>
      </c>
      <c r="M21" s="132"/>
      <c r="N21" s="400">
        <f t="shared" si="5"/>
        <v>-0.25</v>
      </c>
      <c r="O21" s="401">
        <f t="shared" si="6"/>
        <v>-1</v>
      </c>
      <c r="P21" s="52"/>
      <c r="Q21" s="396">
        <f>'Proposed Rates'!G77+'Proposed Rates'!G90</f>
        <v>0</v>
      </c>
      <c r="R21" s="397">
        <f t="shared" si="7"/>
        <v>1</v>
      </c>
      <c r="S21" s="399">
        <f t="shared" si="8"/>
        <v>0</v>
      </c>
      <c r="T21" s="132"/>
      <c r="U21" s="400">
        <f t="shared" si="9"/>
        <v>0</v>
      </c>
      <c r="V21" s="401" t="str">
        <f t="shared" si="10"/>
        <v/>
      </c>
      <c r="W21" s="52"/>
      <c r="X21" s="396">
        <f>IFERROR(VLOOKUP($C21,'Proposed Rates'!$B:$J,X$11,FALSE),0)</f>
        <v>0</v>
      </c>
      <c r="Y21" s="397">
        <f t="shared" si="11"/>
        <v>1</v>
      </c>
      <c r="Z21" s="399">
        <f t="shared" si="12"/>
        <v>0</v>
      </c>
      <c r="AA21" s="132"/>
      <c r="AB21" s="400">
        <f t="shared" si="13"/>
        <v>0</v>
      </c>
      <c r="AC21" s="401" t="str">
        <f t="shared" si="14"/>
        <v/>
      </c>
      <c r="AD21" s="52"/>
      <c r="AE21" s="396">
        <f>IFERROR(VLOOKUP($C21,'Proposed Rates'!$B:$J,AE$11,FALSE),0)</f>
        <v>0</v>
      </c>
      <c r="AF21" s="397">
        <f t="shared" si="15"/>
        <v>1</v>
      </c>
      <c r="AG21" s="399">
        <f t="shared" si="16"/>
        <v>0</v>
      </c>
      <c r="AH21" s="132"/>
      <c r="AI21" s="400">
        <f t="shared" si="17"/>
        <v>0</v>
      </c>
      <c r="AJ21" s="401" t="str">
        <f t="shared" si="18"/>
        <v/>
      </c>
      <c r="AK21" s="402"/>
      <c r="AL21" s="396">
        <f>IFERROR(VLOOKUP($C21,'Proposed Rates'!$B:$J,AL$11,FALSE),0)</f>
        <v>0</v>
      </c>
      <c r="AM21" s="397">
        <f t="shared" si="19"/>
        <v>1</v>
      </c>
      <c r="AN21" s="399">
        <f t="shared" si="20"/>
        <v>0</v>
      </c>
      <c r="AO21" s="132"/>
      <c r="AP21" s="400">
        <f t="shared" si="21"/>
        <v>0</v>
      </c>
      <c r="AQ21" s="401" t="str">
        <f t="shared" si="22"/>
        <v/>
      </c>
    </row>
    <row r="22" spans="1:43" ht="12" customHeight="1">
      <c r="A22" s="52"/>
      <c r="B22" s="403" t="s">
        <v>240</v>
      </c>
      <c r="C22" s="394" t="str">
        <f t="shared" si="0"/>
        <v>Residential.Deferral/Variance Account Disposition Rate Rider Group 2</v>
      </c>
      <c r="D22" s="395" t="s">
        <v>310</v>
      </c>
      <c r="E22" s="321"/>
      <c r="F22" s="396">
        <f>IFERROR(VLOOKUP($C22,'Proposed Rates'!$B:$J,F$11,FALSE),0)</f>
        <v>0</v>
      </c>
      <c r="G22" s="397">
        <f t="shared" si="1"/>
        <v>1</v>
      </c>
      <c r="H22" s="398">
        <f t="shared" si="2"/>
        <v>0</v>
      </c>
      <c r="I22" s="52"/>
      <c r="J22" s="396">
        <f>IFERROR(VLOOKUP($C22,'Proposed Rates'!$B:$J,J$11,FALSE),0)</f>
        <v>-0.68</v>
      </c>
      <c r="K22" s="397">
        <f t="shared" si="3"/>
        <v>1</v>
      </c>
      <c r="L22" s="399">
        <f t="shared" si="4"/>
        <v>-0.68</v>
      </c>
      <c r="M22" s="132"/>
      <c r="N22" s="400">
        <f t="shared" si="5"/>
        <v>-0.68</v>
      </c>
      <c r="O22" s="401" t="str">
        <f t="shared" si="6"/>
        <v/>
      </c>
      <c r="P22" s="52"/>
      <c r="Q22" s="396">
        <f>IFERROR(VLOOKUP($C22,'Proposed Rates'!$B:$J,Q$11,FALSE),0)</f>
        <v>0</v>
      </c>
      <c r="R22" s="397">
        <f t="shared" si="7"/>
        <v>1</v>
      </c>
      <c r="S22" s="399">
        <f t="shared" si="8"/>
        <v>0</v>
      </c>
      <c r="T22" s="132"/>
      <c r="U22" s="400">
        <f t="shared" si="9"/>
        <v>0.68</v>
      </c>
      <c r="V22" s="401">
        <f t="shared" si="10"/>
        <v>-1</v>
      </c>
      <c r="W22" s="52"/>
      <c r="X22" s="396">
        <f>IFERROR(VLOOKUP($C22,'Proposed Rates'!$B:$J,X$11,FALSE),0)</f>
        <v>0</v>
      </c>
      <c r="Y22" s="397">
        <f t="shared" si="11"/>
        <v>1</v>
      </c>
      <c r="Z22" s="399">
        <f t="shared" si="12"/>
        <v>0</v>
      </c>
      <c r="AA22" s="132"/>
      <c r="AB22" s="400">
        <f t="shared" si="13"/>
        <v>0</v>
      </c>
      <c r="AC22" s="401" t="str">
        <f t="shared" si="14"/>
        <v/>
      </c>
      <c r="AD22" s="52"/>
      <c r="AE22" s="396">
        <f>IFERROR(VLOOKUP($C22,'Proposed Rates'!$B:$J,AE$11,FALSE),0)</f>
        <v>0</v>
      </c>
      <c r="AF22" s="397">
        <f t="shared" si="15"/>
        <v>1</v>
      </c>
      <c r="AG22" s="399">
        <f t="shared" si="16"/>
        <v>0</v>
      </c>
      <c r="AH22" s="132"/>
      <c r="AI22" s="400">
        <f t="shared" si="17"/>
        <v>0</v>
      </c>
      <c r="AJ22" s="401" t="str">
        <f t="shared" si="18"/>
        <v/>
      </c>
      <c r="AK22" s="402"/>
      <c r="AL22" s="396">
        <f>IFERROR(VLOOKUP($C22,'Proposed Rates'!$B:$J,AL$11,FALSE),0)</f>
        <v>0</v>
      </c>
      <c r="AM22" s="397">
        <f t="shared" si="19"/>
        <v>1</v>
      </c>
      <c r="AN22" s="399">
        <f t="shared" si="20"/>
        <v>0</v>
      </c>
      <c r="AO22" s="132"/>
      <c r="AP22" s="400">
        <f t="shared" si="21"/>
        <v>0</v>
      </c>
      <c r="AQ22" s="401" t="str">
        <f t="shared" si="22"/>
        <v/>
      </c>
    </row>
    <row r="23" spans="1:43" ht="12" customHeight="1">
      <c r="A23" s="52"/>
      <c r="B23" s="403"/>
      <c r="C23" s="394" t="str">
        <f t="shared" si="0"/>
        <v>Residential.</v>
      </c>
      <c r="D23" s="395"/>
      <c r="E23" s="321"/>
      <c r="F23" s="396">
        <f>IFERROR(VLOOKUP($C23,'Proposed Rates'!$B:$J,F$11,FALSE),0)</f>
        <v>0</v>
      </c>
      <c r="G23" s="397">
        <f t="shared" si="1"/>
        <v>0</v>
      </c>
      <c r="H23" s="398">
        <f t="shared" si="2"/>
        <v>0</v>
      </c>
      <c r="I23" s="52"/>
      <c r="J23" s="396">
        <f>IFERROR(VLOOKUP($C23,'Proposed Rates'!$B:$J,J$11,FALSE),0)</f>
        <v>0</v>
      </c>
      <c r="K23" s="397">
        <f t="shared" si="3"/>
        <v>0</v>
      </c>
      <c r="L23" s="399">
        <f t="shared" si="4"/>
        <v>0</v>
      </c>
      <c r="M23" s="132"/>
      <c r="N23" s="400">
        <f t="shared" si="5"/>
        <v>0</v>
      </c>
      <c r="O23" s="401" t="str">
        <f t="shared" si="6"/>
        <v/>
      </c>
      <c r="P23" s="52"/>
      <c r="Q23" s="396">
        <f>IFERROR(VLOOKUP($C23,'Proposed Rates'!$B:$J,Q$11,FALSE),0)</f>
        <v>0</v>
      </c>
      <c r="R23" s="397">
        <f t="shared" si="7"/>
        <v>0</v>
      </c>
      <c r="S23" s="399">
        <f t="shared" si="8"/>
        <v>0</v>
      </c>
      <c r="T23" s="132"/>
      <c r="U23" s="400">
        <f t="shared" si="9"/>
        <v>0</v>
      </c>
      <c r="V23" s="401" t="str">
        <f t="shared" si="10"/>
        <v/>
      </c>
      <c r="W23" s="52"/>
      <c r="X23" s="396">
        <f>IFERROR(VLOOKUP($C23,'Proposed Rates'!$B:$J,X$11,FALSE),0)</f>
        <v>0</v>
      </c>
      <c r="Y23" s="397">
        <f t="shared" si="11"/>
        <v>0</v>
      </c>
      <c r="Z23" s="399">
        <f t="shared" si="12"/>
        <v>0</v>
      </c>
      <c r="AA23" s="132"/>
      <c r="AB23" s="400">
        <f t="shared" si="13"/>
        <v>0</v>
      </c>
      <c r="AC23" s="401" t="str">
        <f t="shared" si="14"/>
        <v/>
      </c>
      <c r="AD23" s="52"/>
      <c r="AE23" s="396">
        <f>IFERROR(VLOOKUP($C23,'Proposed Rates'!$B:$J,AE$11,FALSE),0)</f>
        <v>0</v>
      </c>
      <c r="AF23" s="397">
        <f t="shared" si="15"/>
        <v>0</v>
      </c>
      <c r="AG23" s="399">
        <f t="shared" si="16"/>
        <v>0</v>
      </c>
      <c r="AH23" s="132"/>
      <c r="AI23" s="400">
        <f t="shared" si="17"/>
        <v>0</v>
      </c>
      <c r="AJ23" s="401" t="str">
        <f t="shared" si="18"/>
        <v/>
      </c>
      <c r="AK23" s="402"/>
      <c r="AL23" s="396">
        <f>IFERROR(VLOOKUP($C23,'Proposed Rates'!$B:$J,AL$11,FALSE),0)</f>
        <v>0</v>
      </c>
      <c r="AM23" s="397">
        <f t="shared" si="19"/>
        <v>0</v>
      </c>
      <c r="AN23" s="399">
        <f t="shared" si="20"/>
        <v>0</v>
      </c>
      <c r="AO23" s="132"/>
      <c r="AP23" s="400">
        <f t="shared" si="21"/>
        <v>0</v>
      </c>
      <c r="AQ23" s="401" t="str">
        <f t="shared" si="22"/>
        <v/>
      </c>
    </row>
    <row r="24" spans="1:43" ht="12" customHeight="1">
      <c r="A24" s="52"/>
      <c r="B24" s="403"/>
      <c r="C24" s="394" t="str">
        <f t="shared" si="0"/>
        <v>Residential.</v>
      </c>
      <c r="D24" s="395"/>
      <c r="E24" s="321"/>
      <c r="F24" s="396">
        <f>IFERROR(VLOOKUP($C24,'Proposed Rates'!$B:$J,F$11,FALSE),0)</f>
        <v>0</v>
      </c>
      <c r="G24" s="397">
        <f t="shared" si="1"/>
        <v>0</v>
      </c>
      <c r="H24" s="398">
        <f t="shared" si="2"/>
        <v>0</v>
      </c>
      <c r="I24" s="52"/>
      <c r="J24" s="396">
        <f>IFERROR(VLOOKUP($C24,'Proposed Rates'!$B:$J,J$11,FALSE),0)</f>
        <v>0</v>
      </c>
      <c r="K24" s="397">
        <f t="shared" si="3"/>
        <v>0</v>
      </c>
      <c r="L24" s="399">
        <f t="shared" si="4"/>
        <v>0</v>
      </c>
      <c r="M24" s="132"/>
      <c r="N24" s="400">
        <f t="shared" si="5"/>
        <v>0</v>
      </c>
      <c r="O24" s="401" t="str">
        <f t="shared" si="6"/>
        <v/>
      </c>
      <c r="P24" s="52"/>
      <c r="Q24" s="396">
        <f>IFERROR(VLOOKUP($C24,'Proposed Rates'!$B:$J,Q$11,FALSE),0)</f>
        <v>0</v>
      </c>
      <c r="R24" s="397">
        <f t="shared" si="7"/>
        <v>0</v>
      </c>
      <c r="S24" s="399">
        <f t="shared" si="8"/>
        <v>0</v>
      </c>
      <c r="T24" s="132"/>
      <c r="U24" s="400">
        <f t="shared" si="9"/>
        <v>0</v>
      </c>
      <c r="V24" s="401" t="str">
        <f t="shared" si="10"/>
        <v/>
      </c>
      <c r="W24" s="52"/>
      <c r="X24" s="396">
        <f>IFERROR(VLOOKUP($C24,'Proposed Rates'!$B:$J,X$11,FALSE),0)</f>
        <v>0</v>
      </c>
      <c r="Y24" s="397">
        <f t="shared" si="11"/>
        <v>0</v>
      </c>
      <c r="Z24" s="399">
        <f t="shared" si="12"/>
        <v>0</v>
      </c>
      <c r="AA24" s="132"/>
      <c r="AB24" s="400">
        <f t="shared" si="13"/>
        <v>0</v>
      </c>
      <c r="AC24" s="401" t="str">
        <f t="shared" si="14"/>
        <v/>
      </c>
      <c r="AD24" s="52"/>
      <c r="AE24" s="396">
        <f>IFERROR(VLOOKUP($C24,'Proposed Rates'!$B:$J,AE$11,FALSE),0)</f>
        <v>0</v>
      </c>
      <c r="AF24" s="397">
        <f t="shared" si="15"/>
        <v>0</v>
      </c>
      <c r="AG24" s="399">
        <f t="shared" si="16"/>
        <v>0</v>
      </c>
      <c r="AH24" s="132"/>
      <c r="AI24" s="400">
        <f t="shared" si="17"/>
        <v>0</v>
      </c>
      <c r="AJ24" s="401" t="str">
        <f t="shared" si="18"/>
        <v/>
      </c>
      <c r="AK24" s="402"/>
      <c r="AL24" s="396">
        <f>IFERROR(VLOOKUP($C24,'Proposed Rates'!$B:$J,AL$11,FALSE),0)</f>
        <v>0</v>
      </c>
      <c r="AM24" s="397">
        <f t="shared" si="19"/>
        <v>0</v>
      </c>
      <c r="AN24" s="399">
        <f t="shared" si="20"/>
        <v>0</v>
      </c>
      <c r="AO24" s="132"/>
      <c r="AP24" s="400">
        <f t="shared" si="21"/>
        <v>0</v>
      </c>
      <c r="AQ24" s="401" t="str">
        <f t="shared" si="22"/>
        <v/>
      </c>
    </row>
    <row r="25" spans="1:43" ht="12" customHeight="1">
      <c r="A25" s="52"/>
      <c r="B25" s="403"/>
      <c r="C25" s="394" t="str">
        <f t="shared" si="0"/>
        <v>Residential.</v>
      </c>
      <c r="D25" s="395"/>
      <c r="E25" s="321"/>
      <c r="F25" s="396">
        <f>IFERROR(VLOOKUP($C25,'Proposed Rates'!$B:$J,F$11,FALSE),0)</f>
        <v>0</v>
      </c>
      <c r="G25" s="397">
        <f t="shared" si="1"/>
        <v>0</v>
      </c>
      <c r="H25" s="398">
        <f t="shared" si="2"/>
        <v>0</v>
      </c>
      <c r="I25" s="52"/>
      <c r="J25" s="396">
        <f>IFERROR(VLOOKUP($C25,'Proposed Rates'!$B:$J,J$11,FALSE),0)</f>
        <v>0</v>
      </c>
      <c r="K25" s="397">
        <f t="shared" si="3"/>
        <v>0</v>
      </c>
      <c r="L25" s="399">
        <f t="shared" si="4"/>
        <v>0</v>
      </c>
      <c r="M25" s="132"/>
      <c r="N25" s="400">
        <f t="shared" si="5"/>
        <v>0</v>
      </c>
      <c r="O25" s="401" t="str">
        <f t="shared" si="6"/>
        <v/>
      </c>
      <c r="P25" s="52"/>
      <c r="Q25" s="396">
        <f>IFERROR(VLOOKUP($C25,'Proposed Rates'!$B:$J,Q$11,FALSE),0)</f>
        <v>0</v>
      </c>
      <c r="R25" s="397">
        <f t="shared" si="7"/>
        <v>0</v>
      </c>
      <c r="S25" s="399">
        <f t="shared" si="8"/>
        <v>0</v>
      </c>
      <c r="T25" s="132"/>
      <c r="U25" s="400">
        <f t="shared" si="9"/>
        <v>0</v>
      </c>
      <c r="V25" s="401" t="str">
        <f t="shared" si="10"/>
        <v/>
      </c>
      <c r="W25" s="52"/>
      <c r="X25" s="396">
        <f>IFERROR(VLOOKUP($C25,'Proposed Rates'!$B:$J,X$11,FALSE),0)</f>
        <v>0</v>
      </c>
      <c r="Y25" s="397">
        <f t="shared" si="11"/>
        <v>0</v>
      </c>
      <c r="Z25" s="399">
        <f t="shared" si="12"/>
        <v>0</v>
      </c>
      <c r="AA25" s="132"/>
      <c r="AB25" s="400">
        <f t="shared" si="13"/>
        <v>0</v>
      </c>
      <c r="AC25" s="401" t="str">
        <f t="shared" si="14"/>
        <v/>
      </c>
      <c r="AD25" s="52"/>
      <c r="AE25" s="396">
        <f>IFERROR(VLOOKUP($C25,'Proposed Rates'!$B:$J,AE$11,FALSE),0)</f>
        <v>0</v>
      </c>
      <c r="AF25" s="397">
        <f t="shared" si="15"/>
        <v>0</v>
      </c>
      <c r="AG25" s="399">
        <f t="shared" si="16"/>
        <v>0</v>
      </c>
      <c r="AH25" s="132"/>
      <c r="AI25" s="400">
        <f t="shared" si="17"/>
        <v>0</v>
      </c>
      <c r="AJ25" s="401" t="str">
        <f t="shared" si="18"/>
        <v/>
      </c>
      <c r="AK25" s="402"/>
      <c r="AL25" s="396">
        <f>IFERROR(VLOOKUP($C25,'Proposed Rates'!$B:$J,AL$11,FALSE),0)</f>
        <v>0</v>
      </c>
      <c r="AM25" s="397">
        <f t="shared" si="19"/>
        <v>0</v>
      </c>
      <c r="AN25" s="399">
        <f t="shared" si="20"/>
        <v>0</v>
      </c>
      <c r="AO25" s="132"/>
      <c r="AP25" s="400">
        <f t="shared" si="21"/>
        <v>0</v>
      </c>
      <c r="AQ25" s="401" t="str">
        <f t="shared" si="22"/>
        <v/>
      </c>
    </row>
    <row r="26" spans="1:43" ht="12" customHeight="1">
      <c r="A26" s="52"/>
      <c r="B26" s="403"/>
      <c r="C26" s="394" t="str">
        <f t="shared" si="0"/>
        <v>Residential.</v>
      </c>
      <c r="D26" s="395"/>
      <c r="E26" s="321"/>
      <c r="F26" s="396">
        <f>IFERROR(VLOOKUP($C26,'Proposed Rates'!$B:$J,F$11,FALSE),0)</f>
        <v>0</v>
      </c>
      <c r="G26" s="397">
        <f t="shared" si="1"/>
        <v>0</v>
      </c>
      <c r="H26" s="398">
        <f t="shared" si="2"/>
        <v>0</v>
      </c>
      <c r="I26" s="52"/>
      <c r="J26" s="396">
        <f>IFERROR(VLOOKUP($C26,'Proposed Rates'!$B:$J,J$11,FALSE),0)</f>
        <v>0</v>
      </c>
      <c r="K26" s="397">
        <f t="shared" si="3"/>
        <v>0</v>
      </c>
      <c r="L26" s="399">
        <f t="shared" si="4"/>
        <v>0</v>
      </c>
      <c r="M26" s="132"/>
      <c r="N26" s="400">
        <f t="shared" si="5"/>
        <v>0</v>
      </c>
      <c r="O26" s="401" t="str">
        <f t="shared" si="6"/>
        <v/>
      </c>
      <c r="P26" s="52"/>
      <c r="Q26" s="396">
        <f>IFERROR(VLOOKUP($C26,'Proposed Rates'!$B:$J,Q$11,FALSE),0)</f>
        <v>0</v>
      </c>
      <c r="R26" s="397">
        <f t="shared" si="7"/>
        <v>0</v>
      </c>
      <c r="S26" s="399">
        <f t="shared" si="8"/>
        <v>0</v>
      </c>
      <c r="T26" s="132"/>
      <c r="U26" s="400">
        <f t="shared" si="9"/>
        <v>0</v>
      </c>
      <c r="V26" s="401" t="str">
        <f t="shared" si="10"/>
        <v/>
      </c>
      <c r="W26" s="52"/>
      <c r="X26" s="396">
        <f>IFERROR(VLOOKUP($C26,'Proposed Rates'!$B:$J,X$11,FALSE),0)</f>
        <v>0</v>
      </c>
      <c r="Y26" s="397">
        <f t="shared" si="11"/>
        <v>0</v>
      </c>
      <c r="Z26" s="399">
        <f t="shared" si="12"/>
        <v>0</v>
      </c>
      <c r="AA26" s="132"/>
      <c r="AB26" s="400">
        <f t="shared" si="13"/>
        <v>0</v>
      </c>
      <c r="AC26" s="401" t="str">
        <f t="shared" si="14"/>
        <v/>
      </c>
      <c r="AD26" s="52"/>
      <c r="AE26" s="396">
        <f>IFERROR(VLOOKUP($C26,'Proposed Rates'!$B:$J,AE$11,FALSE),0)</f>
        <v>0</v>
      </c>
      <c r="AF26" s="397">
        <f t="shared" si="15"/>
        <v>0</v>
      </c>
      <c r="AG26" s="399">
        <f t="shared" si="16"/>
        <v>0</v>
      </c>
      <c r="AH26" s="132"/>
      <c r="AI26" s="400">
        <f t="shared" si="17"/>
        <v>0</v>
      </c>
      <c r="AJ26" s="401" t="str">
        <f t="shared" si="18"/>
        <v/>
      </c>
      <c r="AK26" s="402"/>
      <c r="AL26" s="396">
        <f>IFERROR(VLOOKUP($C26,'Proposed Rates'!$B:$J,AL$11,FALSE),0)</f>
        <v>0</v>
      </c>
      <c r="AM26" s="397">
        <f t="shared" si="19"/>
        <v>0</v>
      </c>
      <c r="AN26" s="399">
        <f t="shared" si="20"/>
        <v>0</v>
      </c>
      <c r="AO26" s="132"/>
      <c r="AP26" s="400">
        <f t="shared" si="21"/>
        <v>0</v>
      </c>
      <c r="AQ26" s="401" t="str">
        <f t="shared" si="22"/>
        <v/>
      </c>
    </row>
    <row r="27" spans="1:43" ht="12" customHeight="1">
      <c r="A27" s="52"/>
      <c r="B27" s="403"/>
      <c r="C27" s="394" t="str">
        <f t="shared" si="0"/>
        <v>Residential.</v>
      </c>
      <c r="D27" s="395"/>
      <c r="E27" s="321"/>
      <c r="F27" s="396">
        <f>IFERROR(VLOOKUP($C27,'Proposed Rates'!$B:$J,F$11,FALSE),0)</f>
        <v>0</v>
      </c>
      <c r="G27" s="397">
        <f t="shared" si="1"/>
        <v>0</v>
      </c>
      <c r="H27" s="398">
        <f t="shared" si="2"/>
        <v>0</v>
      </c>
      <c r="I27" s="52"/>
      <c r="J27" s="396">
        <f>IFERROR(VLOOKUP($C27,'Proposed Rates'!$B:$J,J$11,FALSE),0)</f>
        <v>0</v>
      </c>
      <c r="K27" s="397">
        <f t="shared" si="3"/>
        <v>0</v>
      </c>
      <c r="L27" s="399">
        <f t="shared" si="4"/>
        <v>0</v>
      </c>
      <c r="M27" s="132"/>
      <c r="N27" s="400">
        <f t="shared" si="5"/>
        <v>0</v>
      </c>
      <c r="O27" s="401" t="str">
        <f t="shared" si="6"/>
        <v/>
      </c>
      <c r="P27" s="52"/>
      <c r="Q27" s="396">
        <f>IFERROR(VLOOKUP($C27,'Proposed Rates'!$B:$J,Q$11,FALSE),0)</f>
        <v>0</v>
      </c>
      <c r="R27" s="397">
        <f t="shared" si="7"/>
        <v>0</v>
      </c>
      <c r="S27" s="399">
        <f t="shared" si="8"/>
        <v>0</v>
      </c>
      <c r="T27" s="132"/>
      <c r="U27" s="400">
        <f t="shared" si="9"/>
        <v>0</v>
      </c>
      <c r="V27" s="401" t="str">
        <f t="shared" si="10"/>
        <v/>
      </c>
      <c r="W27" s="52"/>
      <c r="X27" s="396">
        <f>IFERROR(VLOOKUP($C27,'Proposed Rates'!$B:$J,X$11,FALSE),0)</f>
        <v>0</v>
      </c>
      <c r="Y27" s="397">
        <f t="shared" si="11"/>
        <v>0</v>
      </c>
      <c r="Z27" s="399">
        <f t="shared" si="12"/>
        <v>0</v>
      </c>
      <c r="AA27" s="132"/>
      <c r="AB27" s="400">
        <f t="shared" si="13"/>
        <v>0</v>
      </c>
      <c r="AC27" s="401" t="str">
        <f t="shared" si="14"/>
        <v/>
      </c>
      <c r="AD27" s="52"/>
      <c r="AE27" s="396">
        <f>IFERROR(VLOOKUP($C27,'Proposed Rates'!$B:$J,AE$11,FALSE),0)</f>
        <v>0</v>
      </c>
      <c r="AF27" s="397">
        <f t="shared" si="15"/>
        <v>0</v>
      </c>
      <c r="AG27" s="399">
        <f t="shared" si="16"/>
        <v>0</v>
      </c>
      <c r="AH27" s="132"/>
      <c r="AI27" s="400">
        <f t="shared" si="17"/>
        <v>0</v>
      </c>
      <c r="AJ27" s="401" t="str">
        <f t="shared" si="18"/>
        <v/>
      </c>
      <c r="AK27" s="402"/>
      <c r="AL27" s="396">
        <f>IFERROR(VLOOKUP($C27,'Proposed Rates'!$B:$J,AL$11,FALSE),0)</f>
        <v>0</v>
      </c>
      <c r="AM27" s="397">
        <f t="shared" si="19"/>
        <v>0</v>
      </c>
      <c r="AN27" s="399">
        <f t="shared" si="20"/>
        <v>0</v>
      </c>
      <c r="AO27" s="132"/>
      <c r="AP27" s="400">
        <f t="shared" si="21"/>
        <v>0</v>
      </c>
      <c r="AQ27" s="401" t="str">
        <f t="shared" si="22"/>
        <v/>
      </c>
    </row>
    <row r="28" spans="1:43" ht="12" customHeight="1">
      <c r="A28" s="52"/>
      <c r="B28" s="403"/>
      <c r="C28" s="394" t="str">
        <f t="shared" si="0"/>
        <v>Residential.</v>
      </c>
      <c r="D28" s="395"/>
      <c r="E28" s="321"/>
      <c r="F28" s="396">
        <f>IFERROR(VLOOKUP($C28,'Proposed Rates'!$B:$J,F$11,FALSE),0)</f>
        <v>0</v>
      </c>
      <c r="G28" s="397">
        <f t="shared" si="1"/>
        <v>0</v>
      </c>
      <c r="H28" s="398">
        <f t="shared" si="2"/>
        <v>0</v>
      </c>
      <c r="I28" s="52"/>
      <c r="J28" s="396">
        <f>IFERROR(VLOOKUP($C28,'Proposed Rates'!$B:$J,J$11,FALSE),0)</f>
        <v>0</v>
      </c>
      <c r="K28" s="397">
        <f t="shared" si="3"/>
        <v>0</v>
      </c>
      <c r="L28" s="399">
        <f t="shared" si="4"/>
        <v>0</v>
      </c>
      <c r="M28" s="132"/>
      <c r="N28" s="400">
        <f t="shared" si="5"/>
        <v>0</v>
      </c>
      <c r="O28" s="401" t="str">
        <f t="shared" si="6"/>
        <v/>
      </c>
      <c r="P28" s="52"/>
      <c r="Q28" s="396">
        <f>IFERROR(VLOOKUP($C28,'Proposed Rates'!$B:$J,Q$11,FALSE),0)</f>
        <v>0</v>
      </c>
      <c r="R28" s="397">
        <f t="shared" si="7"/>
        <v>0</v>
      </c>
      <c r="S28" s="399">
        <f t="shared" si="8"/>
        <v>0</v>
      </c>
      <c r="T28" s="132"/>
      <c r="U28" s="400">
        <f t="shared" si="9"/>
        <v>0</v>
      </c>
      <c r="V28" s="401" t="str">
        <f t="shared" si="10"/>
        <v/>
      </c>
      <c r="W28" s="52"/>
      <c r="X28" s="396">
        <f>IFERROR(VLOOKUP($C28,'Proposed Rates'!$B:$J,X$11,FALSE),0)</f>
        <v>0</v>
      </c>
      <c r="Y28" s="397">
        <f t="shared" si="11"/>
        <v>0</v>
      </c>
      <c r="Z28" s="399">
        <f t="shared" si="12"/>
        <v>0</v>
      </c>
      <c r="AA28" s="132"/>
      <c r="AB28" s="400">
        <f t="shared" si="13"/>
        <v>0</v>
      </c>
      <c r="AC28" s="401" t="str">
        <f t="shared" si="14"/>
        <v/>
      </c>
      <c r="AD28" s="52"/>
      <c r="AE28" s="396">
        <f>IFERROR(VLOOKUP($C28,'Proposed Rates'!$B:$J,AE$11,FALSE),0)</f>
        <v>0</v>
      </c>
      <c r="AF28" s="397">
        <f t="shared" si="15"/>
        <v>0</v>
      </c>
      <c r="AG28" s="399">
        <f t="shared" si="16"/>
        <v>0</v>
      </c>
      <c r="AH28" s="132"/>
      <c r="AI28" s="400">
        <f t="shared" si="17"/>
        <v>0</v>
      </c>
      <c r="AJ28" s="401" t="str">
        <f t="shared" si="18"/>
        <v/>
      </c>
      <c r="AK28" s="402"/>
      <c r="AL28" s="396">
        <f>IFERROR(VLOOKUP($C28,'Proposed Rates'!$B:$J,AL$11,FALSE),0)</f>
        <v>0</v>
      </c>
      <c r="AM28" s="397">
        <f t="shared" si="19"/>
        <v>0</v>
      </c>
      <c r="AN28" s="399">
        <f t="shared" si="20"/>
        <v>0</v>
      </c>
      <c r="AO28" s="132"/>
      <c r="AP28" s="400">
        <f t="shared" si="21"/>
        <v>0</v>
      </c>
      <c r="AQ28" s="401" t="str">
        <f t="shared" si="22"/>
        <v/>
      </c>
    </row>
    <row r="29" spans="1:43" ht="12" customHeight="1">
      <c r="A29" s="307"/>
      <c r="B29" s="404" t="s">
        <v>314</v>
      </c>
      <c r="C29" s="405"/>
      <c r="D29" s="405"/>
      <c r="E29" s="405"/>
      <c r="F29" s="406"/>
      <c r="G29" s="407"/>
      <c r="H29" s="408">
        <f>SUM(H15:H28)</f>
        <v>34.51</v>
      </c>
      <c r="I29" s="307"/>
      <c r="J29" s="406"/>
      <c r="K29" s="407"/>
      <c r="L29" s="408">
        <f>SUM(L15:L28)</f>
        <v>40.04</v>
      </c>
      <c r="M29" s="409"/>
      <c r="N29" s="410">
        <f t="shared" si="5"/>
        <v>5.5300000000000011</v>
      </c>
      <c r="O29" s="411">
        <f t="shared" si="6"/>
        <v>0.16024340770791079</v>
      </c>
      <c r="P29" s="307"/>
      <c r="Q29" s="406"/>
      <c r="R29" s="407"/>
      <c r="S29" s="408">
        <f>SUM(S15:S28)</f>
        <v>42.64</v>
      </c>
      <c r="T29" s="409"/>
      <c r="U29" s="410">
        <f t="shared" si="9"/>
        <v>2.6000000000000014</v>
      </c>
      <c r="V29" s="411">
        <f t="shared" si="10"/>
        <v>6.4935064935064971E-2</v>
      </c>
      <c r="W29" s="307"/>
      <c r="X29" s="406"/>
      <c r="Y29" s="407"/>
      <c r="Z29" s="408">
        <f>SUM(Z15:Z28)</f>
        <v>45.47</v>
      </c>
      <c r="AA29" s="409"/>
      <c r="AB29" s="410">
        <f t="shared" si="13"/>
        <v>2.8299999999999983</v>
      </c>
      <c r="AC29" s="411">
        <f t="shared" si="14"/>
        <v>6.6369606003752302E-2</v>
      </c>
      <c r="AD29" s="307"/>
      <c r="AE29" s="406"/>
      <c r="AF29" s="407"/>
      <c r="AG29" s="408">
        <f>SUM(AG15:AG28)</f>
        <v>46.98</v>
      </c>
      <c r="AH29" s="409"/>
      <c r="AI29" s="410">
        <f t="shared" si="17"/>
        <v>1.509999999999998</v>
      </c>
      <c r="AJ29" s="411">
        <f t="shared" si="18"/>
        <v>3.3208709038926719E-2</v>
      </c>
      <c r="AK29" s="412"/>
      <c r="AL29" s="406"/>
      <c r="AM29" s="407"/>
      <c r="AN29" s="408">
        <f>SUM(AN15:AN28)</f>
        <v>48.36</v>
      </c>
      <c r="AO29" s="409"/>
      <c r="AP29" s="410">
        <f t="shared" si="21"/>
        <v>1.3800000000000026</v>
      </c>
      <c r="AQ29" s="411">
        <f t="shared" si="22"/>
        <v>2.9374201787994946E-2</v>
      </c>
    </row>
    <row r="30" spans="1:43" ht="12" customHeight="1">
      <c r="A30" s="52"/>
      <c r="B30" s="403" t="s">
        <v>237</v>
      </c>
      <c r="C30" s="394" t="str">
        <f t="shared" ref="C30:C36" si="23">D$6&amp;"."&amp;B30</f>
        <v>Residential.DVA Disposition Rate Rider Group 1 -2025</v>
      </c>
      <c r="D30" s="395" t="s">
        <v>312</v>
      </c>
      <c r="E30" s="321"/>
      <c r="F30" s="413">
        <f>IFERROR(VLOOKUP($C30,'Proposed Rates'!$B:$J,F$11,FALSE),0)</f>
        <v>-2.0000000000000001E-4</v>
      </c>
      <c r="G30" s="414">
        <f t="shared" ref="G30:G33" si="24">IF($D30="Monthly",1,IF($D30="per KWH",$F$10,0))</f>
        <v>100</v>
      </c>
      <c r="H30" s="415">
        <f t="shared" ref="H30:H36" si="25">G30*F30</f>
        <v>-0.02</v>
      </c>
      <c r="I30" s="52"/>
      <c r="J30" s="413">
        <f>IFERROR(VLOOKUP($C30,'Proposed Rates'!$B:$J,J$11,FALSE),0)</f>
        <v>-5.9999999999999995E-4</v>
      </c>
      <c r="K30" s="414">
        <f t="shared" ref="K30:K33" si="26">IF($D30="Monthly",1,IF($D30="per KWH",$F$10,0))</f>
        <v>100</v>
      </c>
      <c r="L30" s="399">
        <f t="shared" ref="L30:L36" si="27">K30*J30</f>
        <v>-0.06</v>
      </c>
      <c r="M30" s="132"/>
      <c r="N30" s="400">
        <f t="shared" si="5"/>
        <v>-3.9999999999999994E-2</v>
      </c>
      <c r="O30" s="401">
        <f t="shared" si="6"/>
        <v>1.9999999999999996</v>
      </c>
      <c r="P30" s="52"/>
      <c r="Q30" s="413">
        <f>IFERROR(VLOOKUP($C30,'Proposed Rates'!$B:$J,Q$11,FALSE),0)</f>
        <v>0</v>
      </c>
      <c r="R30" s="414">
        <f t="shared" ref="R30:R33" si="28">IF($D30="Monthly",1,IF($D30="per KWH",$F$10,0))</f>
        <v>100</v>
      </c>
      <c r="S30" s="399">
        <f t="shared" ref="S30:S36" si="29">R30*Q30</f>
        <v>0</v>
      </c>
      <c r="T30" s="132"/>
      <c r="U30" s="400">
        <f t="shared" si="9"/>
        <v>0.06</v>
      </c>
      <c r="V30" s="401">
        <f t="shared" si="10"/>
        <v>-1</v>
      </c>
      <c r="W30" s="52"/>
      <c r="X30" s="413">
        <f>IFERROR(VLOOKUP($C30,'Proposed Rates'!$B:$J,X$11,FALSE),0)</f>
        <v>0</v>
      </c>
      <c r="Y30" s="414">
        <f t="shared" ref="Y30:Y33" si="30">IF($D30="Monthly",1,IF($D30="per KWH",$F$10,0))</f>
        <v>100</v>
      </c>
      <c r="Z30" s="399">
        <f t="shared" ref="Z30:Z36" si="31">Y30*X30</f>
        <v>0</v>
      </c>
      <c r="AA30" s="132"/>
      <c r="AB30" s="400">
        <f t="shared" si="13"/>
        <v>0</v>
      </c>
      <c r="AC30" s="401" t="str">
        <f t="shared" si="14"/>
        <v/>
      </c>
      <c r="AD30" s="52"/>
      <c r="AE30" s="413">
        <f>IFERROR(VLOOKUP($C30,'Proposed Rates'!$B:$J,AE$11,FALSE),0)</f>
        <v>0</v>
      </c>
      <c r="AF30" s="414">
        <f t="shared" ref="AF30:AF33" si="32">IF($D30="Monthly",1,IF($D30="per KWH",$F$10,0))</f>
        <v>100</v>
      </c>
      <c r="AG30" s="399">
        <f t="shared" ref="AG30:AG36" si="33">AF30*AE30</f>
        <v>0</v>
      </c>
      <c r="AH30" s="132"/>
      <c r="AI30" s="400">
        <f t="shared" si="17"/>
        <v>0</v>
      </c>
      <c r="AJ30" s="401" t="str">
        <f t="shared" si="18"/>
        <v/>
      </c>
      <c r="AK30" s="402"/>
      <c r="AL30" s="413">
        <f>IFERROR(VLOOKUP($C30,'Proposed Rates'!$B:$J,AL$11,FALSE),0)</f>
        <v>0</v>
      </c>
      <c r="AM30" s="414">
        <f t="shared" ref="AM30:AM33" si="34">IF($D30="Monthly",1,IF($D30="per KWH",$F$10,0))</f>
        <v>100</v>
      </c>
      <c r="AN30" s="399">
        <f t="shared" ref="AN30:AN36" si="35">AM30*AL30</f>
        <v>0</v>
      </c>
      <c r="AO30" s="132"/>
      <c r="AP30" s="400">
        <f t="shared" si="21"/>
        <v>0</v>
      </c>
      <c r="AQ30" s="401" t="str">
        <f t="shared" si="22"/>
        <v/>
      </c>
    </row>
    <row r="31" spans="1:43" ht="12" customHeight="1">
      <c r="A31" s="52"/>
      <c r="B31" s="403" t="s">
        <v>239</v>
      </c>
      <c r="C31" s="394" t="str">
        <f t="shared" si="23"/>
        <v>Residential.DVA Disposition Rate Rider Group 1 - 2024</v>
      </c>
      <c r="D31" s="395" t="s">
        <v>312</v>
      </c>
      <c r="E31" s="321"/>
      <c r="F31" s="413">
        <f>IFERROR(VLOOKUP($C31,'Proposed Rates'!$B:$J,F$11,FALSE),0)</f>
        <v>0</v>
      </c>
      <c r="G31" s="414">
        <f t="shared" si="24"/>
        <v>100</v>
      </c>
      <c r="H31" s="415">
        <f t="shared" si="25"/>
        <v>0</v>
      </c>
      <c r="I31" s="52"/>
      <c r="J31" s="413">
        <f>IFERROR(VLOOKUP($C31,'Proposed Rates'!$B:$J,J$11,FALSE),0)</f>
        <v>0</v>
      </c>
      <c r="K31" s="414">
        <f t="shared" si="26"/>
        <v>100</v>
      </c>
      <c r="L31" s="399">
        <f t="shared" si="27"/>
        <v>0</v>
      </c>
      <c r="M31" s="132"/>
      <c r="N31" s="400">
        <f t="shared" si="5"/>
        <v>0</v>
      </c>
      <c r="O31" s="401" t="str">
        <f t="shared" si="6"/>
        <v/>
      </c>
      <c r="P31" s="52"/>
      <c r="Q31" s="413">
        <f>IFERROR(VLOOKUP($C31,'Proposed Rates'!$B:$J,Q$11,FALSE),0)</f>
        <v>0</v>
      </c>
      <c r="R31" s="414">
        <f t="shared" si="28"/>
        <v>100</v>
      </c>
      <c r="S31" s="399">
        <f t="shared" si="29"/>
        <v>0</v>
      </c>
      <c r="T31" s="132"/>
      <c r="U31" s="400">
        <f t="shared" si="9"/>
        <v>0</v>
      </c>
      <c r="V31" s="401" t="str">
        <f t="shared" si="10"/>
        <v/>
      </c>
      <c r="W31" s="52"/>
      <c r="X31" s="413">
        <f>IFERROR(VLOOKUP($C31,'Proposed Rates'!$B:$J,X$11,FALSE),0)</f>
        <v>0</v>
      </c>
      <c r="Y31" s="414">
        <f t="shared" si="30"/>
        <v>100</v>
      </c>
      <c r="Z31" s="399">
        <f t="shared" si="31"/>
        <v>0</v>
      </c>
      <c r="AA31" s="132"/>
      <c r="AB31" s="400">
        <f t="shared" si="13"/>
        <v>0</v>
      </c>
      <c r="AC31" s="401" t="str">
        <f t="shared" si="14"/>
        <v/>
      </c>
      <c r="AD31" s="52"/>
      <c r="AE31" s="413">
        <f>IFERROR(VLOOKUP($C31,'Proposed Rates'!$B:$J,AE$11,FALSE),0)</f>
        <v>0</v>
      </c>
      <c r="AF31" s="414">
        <f t="shared" si="32"/>
        <v>100</v>
      </c>
      <c r="AG31" s="399">
        <f t="shared" si="33"/>
        <v>0</v>
      </c>
      <c r="AH31" s="132"/>
      <c r="AI31" s="400">
        <f t="shared" si="17"/>
        <v>0</v>
      </c>
      <c r="AJ31" s="401" t="str">
        <f t="shared" si="18"/>
        <v/>
      </c>
      <c r="AK31" s="402"/>
      <c r="AL31" s="413">
        <f>IFERROR(VLOOKUP($C31,'Proposed Rates'!$B:$J,AL$11,FALSE),0)</f>
        <v>0</v>
      </c>
      <c r="AM31" s="414">
        <f t="shared" si="34"/>
        <v>100</v>
      </c>
      <c r="AN31" s="399">
        <f t="shared" si="35"/>
        <v>0</v>
      </c>
      <c r="AO31" s="132"/>
      <c r="AP31" s="400">
        <f t="shared" si="21"/>
        <v>0</v>
      </c>
      <c r="AQ31" s="401" t="str">
        <f t="shared" si="22"/>
        <v/>
      </c>
    </row>
    <row r="32" spans="1:43" ht="12" customHeight="1">
      <c r="A32" s="52"/>
      <c r="B32" s="403" t="s">
        <v>247</v>
      </c>
      <c r="C32" s="394" t="str">
        <f t="shared" si="23"/>
        <v>Residential.CBR Class B Rate Riders</v>
      </c>
      <c r="D32" s="395" t="s">
        <v>312</v>
      </c>
      <c r="E32" s="321"/>
      <c r="F32" s="413">
        <f>IFERROR(VLOOKUP($C32,'Proposed Rates'!$B:$J,F$11,FALSE),0)</f>
        <v>2.0000000000000001E-4</v>
      </c>
      <c r="G32" s="414">
        <f t="shared" si="24"/>
        <v>100</v>
      </c>
      <c r="H32" s="399">
        <f t="shared" si="25"/>
        <v>0.02</v>
      </c>
      <c r="I32" s="52"/>
      <c r="J32" s="413">
        <f>IFERROR(VLOOKUP($C32,'Proposed Rates'!$B:$J,J$11,FALSE),0)</f>
        <v>4.0000000000000002E-4</v>
      </c>
      <c r="K32" s="414">
        <f t="shared" si="26"/>
        <v>100</v>
      </c>
      <c r="L32" s="399">
        <f t="shared" si="27"/>
        <v>0.04</v>
      </c>
      <c r="M32" s="416"/>
      <c r="N32" s="400">
        <f t="shared" si="5"/>
        <v>0.02</v>
      </c>
      <c r="O32" s="401">
        <f t="shared" si="6"/>
        <v>1</v>
      </c>
      <c r="P32" s="52"/>
      <c r="Q32" s="413">
        <f>IFERROR(VLOOKUP($C32,'Proposed Rates'!$B:$J,Q$11,FALSE),0)</f>
        <v>0</v>
      </c>
      <c r="R32" s="414">
        <f t="shared" si="28"/>
        <v>100</v>
      </c>
      <c r="S32" s="399">
        <f t="shared" si="29"/>
        <v>0</v>
      </c>
      <c r="T32" s="416"/>
      <c r="U32" s="400">
        <f t="shared" si="9"/>
        <v>-0.04</v>
      </c>
      <c r="V32" s="401">
        <f t="shared" si="10"/>
        <v>-1</v>
      </c>
      <c r="W32" s="52"/>
      <c r="X32" s="413">
        <f>IFERROR(VLOOKUP($C32,'Proposed Rates'!$B:$J,X$11,FALSE),0)</f>
        <v>0</v>
      </c>
      <c r="Y32" s="414">
        <f t="shared" si="30"/>
        <v>100</v>
      </c>
      <c r="Z32" s="399">
        <f t="shared" si="31"/>
        <v>0</v>
      </c>
      <c r="AA32" s="416"/>
      <c r="AB32" s="400">
        <f t="shared" si="13"/>
        <v>0</v>
      </c>
      <c r="AC32" s="401" t="str">
        <f t="shared" si="14"/>
        <v/>
      </c>
      <c r="AD32" s="52"/>
      <c r="AE32" s="413">
        <f>IFERROR(VLOOKUP($C32,'Proposed Rates'!$B:$J,AE$11,FALSE),0)</f>
        <v>0</v>
      </c>
      <c r="AF32" s="414">
        <f t="shared" si="32"/>
        <v>100</v>
      </c>
      <c r="AG32" s="399">
        <f t="shared" si="33"/>
        <v>0</v>
      </c>
      <c r="AH32" s="416"/>
      <c r="AI32" s="400">
        <f t="shared" si="17"/>
        <v>0</v>
      </c>
      <c r="AJ32" s="401" t="str">
        <f t="shared" si="18"/>
        <v/>
      </c>
      <c r="AK32" s="402"/>
      <c r="AL32" s="413">
        <f>IFERROR(VLOOKUP($C32,'Proposed Rates'!$B:$J,AL$11,FALSE),0)</f>
        <v>0</v>
      </c>
      <c r="AM32" s="414">
        <f t="shared" si="34"/>
        <v>100</v>
      </c>
      <c r="AN32" s="399">
        <f t="shared" si="35"/>
        <v>0</v>
      </c>
      <c r="AO32" s="416"/>
      <c r="AP32" s="400">
        <f t="shared" si="21"/>
        <v>0</v>
      </c>
      <c r="AQ32" s="401" t="str">
        <f t="shared" si="22"/>
        <v/>
      </c>
    </row>
    <row r="33" spans="1:43" ht="12" customHeight="1">
      <c r="A33" s="52"/>
      <c r="B33" s="403" t="s">
        <v>315</v>
      </c>
      <c r="C33" s="394" t="str">
        <f t="shared" si="23"/>
        <v>Residential.GA Disposition Rate Rider-NonRPP</v>
      </c>
      <c r="D33" s="395" t="s">
        <v>312</v>
      </c>
      <c r="E33" s="321"/>
      <c r="F33" s="413">
        <f>IFERROR(VLOOKUP($C33,'Proposed Rates'!$B:$J,F$11,FALSE),0)</f>
        <v>0</v>
      </c>
      <c r="G33" s="414">
        <f t="shared" si="24"/>
        <v>100</v>
      </c>
      <c r="H33" s="399">
        <f t="shared" si="25"/>
        <v>0</v>
      </c>
      <c r="I33" s="52"/>
      <c r="J33" s="413">
        <f>IFERROR(VLOOKUP($C33,'Proposed Rates'!$B:$J,J$11,FALSE),0)</f>
        <v>0</v>
      </c>
      <c r="K33" s="414">
        <f t="shared" si="26"/>
        <v>100</v>
      </c>
      <c r="L33" s="399">
        <f t="shared" si="27"/>
        <v>0</v>
      </c>
      <c r="M33" s="416"/>
      <c r="N33" s="400">
        <f t="shared" si="5"/>
        <v>0</v>
      </c>
      <c r="O33" s="401" t="str">
        <f t="shared" si="6"/>
        <v/>
      </c>
      <c r="P33" s="52"/>
      <c r="Q33" s="413">
        <f>IFERROR(VLOOKUP($C33,'Proposed Rates'!$B:$J,Q$11,FALSE),0)</f>
        <v>0</v>
      </c>
      <c r="R33" s="414">
        <f t="shared" si="28"/>
        <v>100</v>
      </c>
      <c r="S33" s="399">
        <f t="shared" si="29"/>
        <v>0</v>
      </c>
      <c r="T33" s="416"/>
      <c r="U33" s="400">
        <f t="shared" si="9"/>
        <v>0</v>
      </c>
      <c r="V33" s="401" t="str">
        <f t="shared" si="10"/>
        <v/>
      </c>
      <c r="W33" s="52"/>
      <c r="X33" s="413">
        <f>IFERROR(VLOOKUP($C33,'Proposed Rates'!$B:$J,X$11,FALSE),0)</f>
        <v>0</v>
      </c>
      <c r="Y33" s="414">
        <f t="shared" si="30"/>
        <v>100</v>
      </c>
      <c r="Z33" s="399">
        <f t="shared" si="31"/>
        <v>0</v>
      </c>
      <c r="AA33" s="416"/>
      <c r="AB33" s="400">
        <f t="shared" si="13"/>
        <v>0</v>
      </c>
      <c r="AC33" s="401" t="str">
        <f t="shared" si="14"/>
        <v/>
      </c>
      <c r="AD33" s="52"/>
      <c r="AE33" s="413">
        <f>IFERROR(VLOOKUP($C33,'Proposed Rates'!$B:$J,AE$11,FALSE),0)</f>
        <v>0</v>
      </c>
      <c r="AF33" s="414">
        <f t="shared" si="32"/>
        <v>100</v>
      </c>
      <c r="AG33" s="399">
        <f t="shared" si="33"/>
        <v>0</v>
      </c>
      <c r="AH33" s="416"/>
      <c r="AI33" s="400">
        <f t="shared" si="17"/>
        <v>0</v>
      </c>
      <c r="AJ33" s="401" t="str">
        <f t="shared" si="18"/>
        <v/>
      </c>
      <c r="AK33" s="402"/>
      <c r="AL33" s="413">
        <f>IFERROR(VLOOKUP($C33,'Proposed Rates'!$B:$J,AL$11,FALSE),0)</f>
        <v>0</v>
      </c>
      <c r="AM33" s="414">
        <f t="shared" si="34"/>
        <v>100</v>
      </c>
      <c r="AN33" s="399">
        <f t="shared" si="35"/>
        <v>0</v>
      </c>
      <c r="AO33" s="416"/>
      <c r="AP33" s="400">
        <f t="shared" si="21"/>
        <v>0</v>
      </c>
      <c r="AQ33" s="401" t="str">
        <f t="shared" si="22"/>
        <v/>
      </c>
    </row>
    <row r="34" spans="1:43" ht="12" customHeight="1">
      <c r="A34" s="52"/>
      <c r="B34" s="321" t="s">
        <v>273</v>
      </c>
      <c r="C34" s="394" t="str">
        <f t="shared" si="23"/>
        <v>Residential.Low Voltage Service Charge</v>
      </c>
      <c r="D34" s="395" t="s">
        <v>312</v>
      </c>
      <c r="E34" s="321"/>
      <c r="F34" s="417">
        <f>IFERROR(VLOOKUP($C34,'Proposed Rates'!$B:$J,F$11,FALSE),0)</f>
        <v>5.0000000000000002E-5</v>
      </c>
      <c r="G34" s="418">
        <f>$F$10*(1+F$63)</f>
        <v>103.38000000000001</v>
      </c>
      <c r="H34" s="399">
        <f t="shared" si="25"/>
        <v>5.1690000000000009E-3</v>
      </c>
      <c r="I34" s="52"/>
      <c r="J34" s="417">
        <f>IFERROR(VLOOKUP($C34,'Proposed Rates'!$B:$J,J$11,FALSE),0)</f>
        <v>6.9999999999999994E-5</v>
      </c>
      <c r="K34" s="418">
        <f>$F$10*(1+J$63)</f>
        <v>103.32</v>
      </c>
      <c r="L34" s="399">
        <f t="shared" si="27"/>
        <v>7.2323999999999991E-3</v>
      </c>
      <c r="M34" s="132"/>
      <c r="N34" s="400">
        <f t="shared" si="5"/>
        <v>2.0633999999999982E-3</v>
      </c>
      <c r="O34" s="401">
        <f t="shared" si="6"/>
        <v>0.39918746372605879</v>
      </c>
      <c r="P34" s="52"/>
      <c r="Q34" s="417">
        <f>IFERROR(VLOOKUP($C34,'Proposed Rates'!$B:$J,Q$11,FALSE),0)</f>
        <v>6.9999999999999994E-5</v>
      </c>
      <c r="R34" s="418">
        <f>$F$10*(1+Q$63)</f>
        <v>103.32</v>
      </c>
      <c r="S34" s="399">
        <f t="shared" si="29"/>
        <v>7.2323999999999991E-3</v>
      </c>
      <c r="T34" s="132"/>
      <c r="U34" s="400">
        <f t="shared" si="9"/>
        <v>0</v>
      </c>
      <c r="V34" s="401">
        <f t="shared" si="10"/>
        <v>0</v>
      </c>
      <c r="W34" s="52"/>
      <c r="X34" s="417">
        <f>IFERROR(VLOOKUP($C34,'Proposed Rates'!$B:$J,X$11,FALSE),0)</f>
        <v>8.0000000000000007E-5</v>
      </c>
      <c r="Y34" s="418">
        <f>$F$10*(1+X$63)</f>
        <v>103.32</v>
      </c>
      <c r="Z34" s="399">
        <f t="shared" si="31"/>
        <v>8.2655999999999997E-3</v>
      </c>
      <c r="AA34" s="132"/>
      <c r="AB34" s="400">
        <f t="shared" si="13"/>
        <v>1.0332000000000006E-3</v>
      </c>
      <c r="AC34" s="401">
        <f t="shared" si="14"/>
        <v>0.14285714285714296</v>
      </c>
      <c r="AD34" s="52"/>
      <c r="AE34" s="417">
        <f>IFERROR(VLOOKUP($C34,'Proposed Rates'!$B:$J,AE$11,FALSE),0)</f>
        <v>8.0000000000000007E-5</v>
      </c>
      <c r="AF34" s="418">
        <f>$F$10*(1+AE$63)</f>
        <v>103.32</v>
      </c>
      <c r="AG34" s="399">
        <f t="shared" si="33"/>
        <v>8.2655999999999997E-3</v>
      </c>
      <c r="AH34" s="132"/>
      <c r="AI34" s="400">
        <f t="shared" si="17"/>
        <v>0</v>
      </c>
      <c r="AJ34" s="401">
        <f t="shared" si="18"/>
        <v>0</v>
      </c>
      <c r="AK34" s="402"/>
      <c r="AL34" s="417">
        <f>IFERROR(VLOOKUP($C34,'Proposed Rates'!$B:$J,AL$11,FALSE),0)</f>
        <v>8.0000000000000007E-5</v>
      </c>
      <c r="AM34" s="418">
        <f>$F$10*(1+AL$63)</f>
        <v>103.32</v>
      </c>
      <c r="AN34" s="399">
        <f t="shared" si="35"/>
        <v>8.2655999999999997E-3</v>
      </c>
      <c r="AO34" s="132"/>
      <c r="AP34" s="400">
        <f t="shared" si="21"/>
        <v>0</v>
      </c>
      <c r="AQ34" s="401">
        <f t="shared" si="22"/>
        <v>0</v>
      </c>
    </row>
    <row r="35" spans="1:43" ht="12" customHeight="1">
      <c r="A35" s="52"/>
      <c r="B35" s="321" t="s">
        <v>316</v>
      </c>
      <c r="C35" s="394" t="str">
        <f t="shared" si="23"/>
        <v>Residential.Line Losses on Cost of Power</v>
      </c>
      <c r="D35" s="395" t="s">
        <v>312</v>
      </c>
      <c r="E35" s="321"/>
      <c r="F35" s="419">
        <f>'Proposed Rates'!$K$253*F$44+'Proposed Rates'!$K$254*F$45+'Proposed Rates'!$K$255*F$46</f>
        <v>0.12752000000000002</v>
      </c>
      <c r="G35" s="420">
        <f>$F$10*(1+F$63)-$F$10</f>
        <v>3.3800000000000097</v>
      </c>
      <c r="H35" s="399">
        <f t="shared" si="25"/>
        <v>0.43101760000000133</v>
      </c>
      <c r="I35" s="52"/>
      <c r="J35" s="419">
        <f>'Proposed Rates'!$K$253*J$44+'Proposed Rates'!$K$254*J$45+'Proposed Rates'!$K$255*J$46</f>
        <v>0.12752000000000002</v>
      </c>
      <c r="K35" s="420">
        <f>$F$10*(1+J$63)-$F$10</f>
        <v>3.3199999999999932</v>
      </c>
      <c r="L35" s="399">
        <f t="shared" si="27"/>
        <v>0.4233663999999992</v>
      </c>
      <c r="M35" s="132"/>
      <c r="N35" s="400">
        <f t="shared" si="5"/>
        <v>-7.6512000000021341E-3</v>
      </c>
      <c r="O35" s="401">
        <f t="shared" si="6"/>
        <v>-1.7751479289945724E-2</v>
      </c>
      <c r="P35" s="52"/>
      <c r="Q35" s="419">
        <f>'Proposed Rates'!$K$253*Q$44+'Proposed Rates'!$K$254*Q$45+'Proposed Rates'!$K$255*Q$46</f>
        <v>0.12752000000000002</v>
      </c>
      <c r="R35" s="420">
        <f>$F$10*(1+Q$63)-$F$10</f>
        <v>3.3199999999999932</v>
      </c>
      <c r="S35" s="399">
        <f t="shared" si="29"/>
        <v>0.4233663999999992</v>
      </c>
      <c r="T35" s="132"/>
      <c r="U35" s="400">
        <f t="shared" si="9"/>
        <v>0</v>
      </c>
      <c r="V35" s="401">
        <f t="shared" si="10"/>
        <v>0</v>
      </c>
      <c r="W35" s="52"/>
      <c r="X35" s="419">
        <f>'Proposed Rates'!$K$253*X$44+'Proposed Rates'!$K$254*X$45+'Proposed Rates'!$K$255*X$46</f>
        <v>0.12752000000000002</v>
      </c>
      <c r="Y35" s="420">
        <f>$F$10*(1+X$63)-$F$10</f>
        <v>3.3199999999999932</v>
      </c>
      <c r="Z35" s="399">
        <f t="shared" si="31"/>
        <v>0.4233663999999992</v>
      </c>
      <c r="AA35" s="132"/>
      <c r="AB35" s="400">
        <f t="shared" si="13"/>
        <v>0</v>
      </c>
      <c r="AC35" s="401">
        <f t="shared" si="14"/>
        <v>0</v>
      </c>
      <c r="AD35" s="52"/>
      <c r="AE35" s="419">
        <f>'Proposed Rates'!$K$253*AE$44+'Proposed Rates'!$K$254*AE$45+'Proposed Rates'!$K$255*AE$46</f>
        <v>0.12752000000000002</v>
      </c>
      <c r="AF35" s="420">
        <f>$F$10*(1+AE$63)-$F$10</f>
        <v>3.3199999999999932</v>
      </c>
      <c r="AG35" s="399">
        <f t="shared" si="33"/>
        <v>0.4233663999999992</v>
      </c>
      <c r="AH35" s="132"/>
      <c r="AI35" s="400">
        <f t="shared" si="17"/>
        <v>0</v>
      </c>
      <c r="AJ35" s="401">
        <f t="shared" si="18"/>
        <v>0</v>
      </c>
      <c r="AK35" s="402"/>
      <c r="AL35" s="419">
        <f>'Proposed Rates'!$K$253*AL$44+'Proposed Rates'!$K$254*AL$45+'Proposed Rates'!$K$255*AL$46</f>
        <v>0.12752000000000002</v>
      </c>
      <c r="AM35" s="420">
        <f>$F$10*(1+AL$63)-$F$10</f>
        <v>3.3199999999999932</v>
      </c>
      <c r="AN35" s="399">
        <f t="shared" si="35"/>
        <v>0.4233663999999992</v>
      </c>
      <c r="AO35" s="132"/>
      <c r="AP35" s="400">
        <f t="shared" si="21"/>
        <v>0</v>
      </c>
      <c r="AQ35" s="401">
        <f t="shared" si="22"/>
        <v>0</v>
      </c>
    </row>
    <row r="36" spans="1:43" ht="12" customHeight="1">
      <c r="A36" s="52"/>
      <c r="B36" s="321" t="s">
        <v>275</v>
      </c>
      <c r="C36" s="394" t="str">
        <f t="shared" si="23"/>
        <v>Residential.Smart Meter Entity Charge</v>
      </c>
      <c r="D36" s="395" t="s">
        <v>310</v>
      </c>
      <c r="E36" s="321"/>
      <c r="F36" s="396">
        <f>IFERROR(VLOOKUP($C36,'Proposed Rates'!$B:$J,F$11,FALSE),0)</f>
        <v>0.42</v>
      </c>
      <c r="G36" s="414">
        <f>IF($D36="Monthly",1,IF($D36="per KWH",$F$10,0))</f>
        <v>1</v>
      </c>
      <c r="H36" s="399">
        <f t="shared" si="25"/>
        <v>0.42</v>
      </c>
      <c r="I36" s="52"/>
      <c r="J36" s="396">
        <f>IFERROR(VLOOKUP($C36,'Proposed Rates'!$B:$J,J$11,FALSE),0)</f>
        <v>0.42</v>
      </c>
      <c r="K36" s="414">
        <f>IF($D36="Monthly",1,IF($D36="per KWH",$F$10,0))</f>
        <v>1</v>
      </c>
      <c r="L36" s="399">
        <f t="shared" si="27"/>
        <v>0.42</v>
      </c>
      <c r="M36" s="132"/>
      <c r="N36" s="400">
        <f t="shared" si="5"/>
        <v>0</v>
      </c>
      <c r="O36" s="401">
        <f t="shared" si="6"/>
        <v>0</v>
      </c>
      <c r="P36" s="52"/>
      <c r="Q36" s="396">
        <f>IFERROR(VLOOKUP($C36,'Proposed Rates'!$B:$J,Q$11,FALSE),0)</f>
        <v>0.42</v>
      </c>
      <c r="R36" s="414">
        <f>IF($D36="Monthly",1,IF($D36="per KWH",$F$10,0))</f>
        <v>1</v>
      </c>
      <c r="S36" s="399">
        <f t="shared" si="29"/>
        <v>0.42</v>
      </c>
      <c r="T36" s="132"/>
      <c r="U36" s="400">
        <f t="shared" si="9"/>
        <v>0</v>
      </c>
      <c r="V36" s="401">
        <f t="shared" si="10"/>
        <v>0</v>
      </c>
      <c r="W36" s="52"/>
      <c r="X36" s="396">
        <f>IFERROR(VLOOKUP($C36,'Proposed Rates'!$B:$J,X$11,FALSE),0)</f>
        <v>0.43</v>
      </c>
      <c r="Y36" s="414">
        <f>IF($D36="Monthly",1,IF($D36="per KWH",$F$10,0))</f>
        <v>1</v>
      </c>
      <c r="Z36" s="399">
        <f t="shared" si="31"/>
        <v>0.43</v>
      </c>
      <c r="AA36" s="132"/>
      <c r="AB36" s="400">
        <f t="shared" si="13"/>
        <v>1.0000000000000009E-2</v>
      </c>
      <c r="AC36" s="401">
        <f t="shared" si="14"/>
        <v>2.3809523809523832E-2</v>
      </c>
      <c r="AD36" s="52"/>
      <c r="AE36" s="396">
        <f>IFERROR(VLOOKUP($C36,'Proposed Rates'!$B:$J,AE$11,FALSE),0)</f>
        <v>0.44</v>
      </c>
      <c r="AF36" s="414">
        <f>IF($D36="Monthly",1,IF($D36="per KWH",$F$10,0))</f>
        <v>1</v>
      </c>
      <c r="AG36" s="399">
        <f t="shared" si="33"/>
        <v>0.44</v>
      </c>
      <c r="AH36" s="132"/>
      <c r="AI36" s="400">
        <f t="shared" si="17"/>
        <v>1.0000000000000009E-2</v>
      </c>
      <c r="AJ36" s="401">
        <f t="shared" si="18"/>
        <v>2.3255813953488393E-2</v>
      </c>
      <c r="AK36" s="402"/>
      <c r="AL36" s="396">
        <f>IFERROR(VLOOKUP($C36,'Proposed Rates'!$B:$J,AL$11,FALSE),0)</f>
        <v>0.45</v>
      </c>
      <c r="AM36" s="414">
        <f>IF($D36="Monthly",1,IF($D36="per KWH",$F$10,0))</f>
        <v>1</v>
      </c>
      <c r="AN36" s="399">
        <f t="shared" si="35"/>
        <v>0.45</v>
      </c>
      <c r="AO36" s="132"/>
      <c r="AP36" s="400">
        <f t="shared" si="21"/>
        <v>1.0000000000000009E-2</v>
      </c>
      <c r="AQ36" s="401">
        <f t="shared" si="22"/>
        <v>2.2727272727272749E-2</v>
      </c>
    </row>
    <row r="37" spans="1:43" ht="12" customHeight="1">
      <c r="A37" s="52"/>
      <c r="B37" s="404" t="s">
        <v>317</v>
      </c>
      <c r="C37" s="421"/>
      <c r="D37" s="421"/>
      <c r="E37" s="421"/>
      <c r="F37" s="422"/>
      <c r="G37" s="423"/>
      <c r="H37" s="408">
        <f>SUM(H30:H36)+H29</f>
        <v>35.366186599999999</v>
      </c>
      <c r="I37" s="52"/>
      <c r="J37" s="422"/>
      <c r="K37" s="423"/>
      <c r="L37" s="408">
        <f>SUM(L30:L36)+L29</f>
        <v>40.870598799999996</v>
      </c>
      <c r="M37" s="424"/>
      <c r="N37" s="410">
        <f t="shared" si="5"/>
        <v>5.5044121999999973</v>
      </c>
      <c r="O37" s="411">
        <f t="shared" si="6"/>
        <v>0.15564053490573387</v>
      </c>
      <c r="P37" s="52"/>
      <c r="Q37" s="422"/>
      <c r="R37" s="423"/>
      <c r="S37" s="408">
        <f>SUM(S30:S36)+S29</f>
        <v>43.490598800000001</v>
      </c>
      <c r="T37" s="424"/>
      <c r="U37" s="410">
        <f t="shared" si="9"/>
        <v>2.6200000000000045</v>
      </c>
      <c r="V37" s="411">
        <f t="shared" si="10"/>
        <v>6.4104761782937336E-2</v>
      </c>
      <c r="W37" s="52"/>
      <c r="X37" s="422"/>
      <c r="Y37" s="423"/>
      <c r="Z37" s="408">
        <f>SUM(Z30:Z36)+Z29</f>
        <v>46.331631999999999</v>
      </c>
      <c r="AA37" s="424"/>
      <c r="AB37" s="410">
        <f t="shared" si="13"/>
        <v>2.8410331999999983</v>
      </c>
      <c r="AC37" s="411">
        <f t="shared" si="14"/>
        <v>6.5325226103807935E-2</v>
      </c>
      <c r="AD37" s="52"/>
      <c r="AE37" s="422"/>
      <c r="AF37" s="423"/>
      <c r="AG37" s="408">
        <f>SUM(AG30:AG36)+AG29</f>
        <v>47.851631999999995</v>
      </c>
      <c r="AH37" s="424"/>
      <c r="AI37" s="410">
        <f t="shared" si="17"/>
        <v>1.519999999999996</v>
      </c>
      <c r="AJ37" s="411">
        <f t="shared" si="18"/>
        <v>3.2806960048374641E-2</v>
      </c>
      <c r="AK37" s="412"/>
      <c r="AL37" s="422"/>
      <c r="AM37" s="423"/>
      <c r="AN37" s="408">
        <f>SUM(AN30:AN36)+AN29</f>
        <v>49.241631999999996</v>
      </c>
      <c r="AO37" s="424"/>
      <c r="AP37" s="410">
        <f t="shared" si="21"/>
        <v>1.3900000000000006</v>
      </c>
      <c r="AQ37" s="411">
        <f t="shared" si="22"/>
        <v>2.904812107557796E-2</v>
      </c>
    </row>
    <row r="38" spans="1:43" ht="12" customHeight="1">
      <c r="A38" s="52"/>
      <c r="B38" s="132" t="s">
        <v>258</v>
      </c>
      <c r="C38" s="394" t="str">
        <f t="shared" ref="C38:C39" si="36">D$6&amp;"."&amp;B38</f>
        <v>Residential.RTSR - Network</v>
      </c>
      <c r="D38" s="425" t="s">
        <v>312</v>
      </c>
      <c r="E38" s="132"/>
      <c r="F38" s="413">
        <f>IFERROR(VLOOKUP($C38,'Proposed Rates'!$B:$J,F$11,FALSE),0)</f>
        <v>1.26E-2</v>
      </c>
      <c r="G38" s="418">
        <f t="shared" ref="G38:G39" si="37">$F$10*(1+F$63)</f>
        <v>103.38000000000001</v>
      </c>
      <c r="H38" s="399">
        <f t="shared" ref="H38:H39" si="38">G38*F38</f>
        <v>1.3025880000000001</v>
      </c>
      <c r="I38" s="52"/>
      <c r="J38" s="413">
        <f>IFERROR(VLOOKUP($C38,'Proposed Rates'!$B:$J,J$11,FALSE),0)</f>
        <v>1.38E-2</v>
      </c>
      <c r="K38" s="418">
        <f t="shared" ref="K38:K39" si="39">$F$10*(1+J$63)</f>
        <v>103.32</v>
      </c>
      <c r="L38" s="399">
        <f t="shared" ref="L38:L39" si="40">K38*J38</f>
        <v>1.425816</v>
      </c>
      <c r="M38" s="132"/>
      <c r="N38" s="400">
        <f t="shared" si="5"/>
        <v>0.12322799999999989</v>
      </c>
      <c r="O38" s="401">
        <f t="shared" si="6"/>
        <v>9.4602437608821741E-2</v>
      </c>
      <c r="P38" s="52"/>
      <c r="Q38" s="413">
        <f>IFERROR(VLOOKUP($C38,'Proposed Rates'!$B:$J,Q$11,FALSE),0)</f>
        <v>1.38E-2</v>
      </c>
      <c r="R38" s="418">
        <f t="shared" ref="R38:R39" si="41">$F$10*(1+Q$63)</f>
        <v>103.32</v>
      </c>
      <c r="S38" s="399">
        <f t="shared" ref="S38:S39" si="42">R38*Q38</f>
        <v>1.425816</v>
      </c>
      <c r="T38" s="132"/>
      <c r="U38" s="400">
        <f t="shared" si="9"/>
        <v>0</v>
      </c>
      <c r="V38" s="401">
        <f t="shared" si="10"/>
        <v>0</v>
      </c>
      <c r="W38" s="52"/>
      <c r="X38" s="413">
        <f>IFERROR(VLOOKUP($C38,'Proposed Rates'!$B:$J,X$11,FALSE),0)</f>
        <v>1.38E-2</v>
      </c>
      <c r="Y38" s="418">
        <f t="shared" ref="Y38:Y39" si="43">$F$10*(1+X$63)</f>
        <v>103.32</v>
      </c>
      <c r="Z38" s="399">
        <f t="shared" ref="Z38:Z39" si="44">Y38*X38</f>
        <v>1.425816</v>
      </c>
      <c r="AA38" s="132"/>
      <c r="AB38" s="400">
        <f t="shared" si="13"/>
        <v>0</v>
      </c>
      <c r="AC38" s="401">
        <f t="shared" si="14"/>
        <v>0</v>
      </c>
      <c r="AD38" s="52"/>
      <c r="AE38" s="413">
        <f>IFERROR(VLOOKUP($C38,'Proposed Rates'!$B:$J,AE$11,FALSE),0)</f>
        <v>1.38E-2</v>
      </c>
      <c r="AF38" s="418">
        <f t="shared" ref="AF38:AF39" si="45">$F$10*(1+AE$63)</f>
        <v>103.32</v>
      </c>
      <c r="AG38" s="399">
        <f t="shared" ref="AG38:AG39" si="46">AF38*AE38</f>
        <v>1.425816</v>
      </c>
      <c r="AH38" s="132"/>
      <c r="AI38" s="400">
        <f t="shared" si="17"/>
        <v>0</v>
      </c>
      <c r="AJ38" s="401">
        <f t="shared" si="18"/>
        <v>0</v>
      </c>
      <c r="AK38" s="402"/>
      <c r="AL38" s="413">
        <f>IFERROR(VLOOKUP($C38,'Proposed Rates'!$B:$J,AL$11,FALSE),0)</f>
        <v>1.38E-2</v>
      </c>
      <c r="AM38" s="418">
        <f t="shared" ref="AM38:AM39" si="47">$F$10*(1+AL$63)</f>
        <v>103.32</v>
      </c>
      <c r="AN38" s="399">
        <f t="shared" ref="AN38:AN39" si="48">AM38*AL38</f>
        <v>1.425816</v>
      </c>
      <c r="AO38" s="132"/>
      <c r="AP38" s="400">
        <f t="shared" si="21"/>
        <v>0</v>
      </c>
      <c r="AQ38" s="401">
        <f t="shared" si="22"/>
        <v>0</v>
      </c>
    </row>
    <row r="39" spans="1:43" ht="12" customHeight="1">
      <c r="A39" s="52"/>
      <c r="B39" s="132" t="s">
        <v>261</v>
      </c>
      <c r="C39" s="394" t="str">
        <f t="shared" si="36"/>
        <v>Residential.RTSR - Line and Transformation Connection</v>
      </c>
      <c r="D39" s="425" t="s">
        <v>312</v>
      </c>
      <c r="E39" s="132"/>
      <c r="F39" s="413">
        <f>IFERROR(VLOOKUP($C39,'Proposed Rates'!$B:$J,F$11,FALSE),0)</f>
        <v>7.1999999999999998E-3</v>
      </c>
      <c r="G39" s="418">
        <f t="shared" si="37"/>
        <v>103.38000000000001</v>
      </c>
      <c r="H39" s="399">
        <f t="shared" si="38"/>
        <v>0.744336</v>
      </c>
      <c r="I39" s="52"/>
      <c r="J39" s="413">
        <f>IFERROR(VLOOKUP($C39,'Proposed Rates'!$B:$J,J$11,FALSE),0)</f>
        <v>7.7999999999999996E-3</v>
      </c>
      <c r="K39" s="418">
        <f t="shared" si="39"/>
        <v>103.32</v>
      </c>
      <c r="L39" s="399">
        <f t="shared" si="40"/>
        <v>0.80589599999999995</v>
      </c>
      <c r="M39" s="132"/>
      <c r="N39" s="400">
        <f t="shared" si="5"/>
        <v>6.1559999999999948E-2</v>
      </c>
      <c r="O39" s="401">
        <f t="shared" si="6"/>
        <v>8.2704585026117161E-2</v>
      </c>
      <c r="P39" s="52"/>
      <c r="Q39" s="413">
        <f>IFERROR(VLOOKUP($C39,'Proposed Rates'!$B:$J,Q$11,FALSE),0)</f>
        <v>7.7999999999999996E-3</v>
      </c>
      <c r="R39" s="418">
        <f t="shared" si="41"/>
        <v>103.32</v>
      </c>
      <c r="S39" s="399">
        <f t="shared" si="42"/>
        <v>0.80589599999999995</v>
      </c>
      <c r="T39" s="132"/>
      <c r="U39" s="400">
        <f t="shared" si="9"/>
        <v>0</v>
      </c>
      <c r="V39" s="401">
        <f t="shared" si="10"/>
        <v>0</v>
      </c>
      <c r="W39" s="52"/>
      <c r="X39" s="413">
        <f>IFERROR(VLOOKUP($C39,'Proposed Rates'!$B:$J,X$11,FALSE),0)</f>
        <v>7.7999999999999996E-3</v>
      </c>
      <c r="Y39" s="418">
        <f t="shared" si="43"/>
        <v>103.32</v>
      </c>
      <c r="Z39" s="399">
        <f t="shared" si="44"/>
        <v>0.80589599999999995</v>
      </c>
      <c r="AA39" s="132"/>
      <c r="AB39" s="400">
        <f t="shared" si="13"/>
        <v>0</v>
      </c>
      <c r="AC39" s="401">
        <f t="shared" si="14"/>
        <v>0</v>
      </c>
      <c r="AD39" s="52"/>
      <c r="AE39" s="413">
        <f>IFERROR(VLOOKUP($C39,'Proposed Rates'!$B:$J,AE$11,FALSE),0)</f>
        <v>7.7999999999999996E-3</v>
      </c>
      <c r="AF39" s="418">
        <f t="shared" si="45"/>
        <v>103.32</v>
      </c>
      <c r="AG39" s="399">
        <f t="shared" si="46"/>
        <v>0.80589599999999995</v>
      </c>
      <c r="AH39" s="132"/>
      <c r="AI39" s="400">
        <f t="shared" si="17"/>
        <v>0</v>
      </c>
      <c r="AJ39" s="401">
        <f t="shared" si="18"/>
        <v>0</v>
      </c>
      <c r="AK39" s="402"/>
      <c r="AL39" s="413">
        <f>IFERROR(VLOOKUP($C39,'Proposed Rates'!$B:$J,AL$11,FALSE),0)</f>
        <v>7.7999999999999996E-3</v>
      </c>
      <c r="AM39" s="418">
        <f t="shared" si="47"/>
        <v>103.32</v>
      </c>
      <c r="AN39" s="399">
        <f t="shared" si="48"/>
        <v>0.80589599999999995</v>
      </c>
      <c r="AO39" s="132"/>
      <c r="AP39" s="400">
        <f t="shared" si="21"/>
        <v>0</v>
      </c>
      <c r="AQ39" s="401">
        <f t="shared" si="22"/>
        <v>0</v>
      </c>
    </row>
    <row r="40" spans="1:43" ht="12" customHeight="1">
      <c r="A40" s="52"/>
      <c r="B40" s="404" t="s">
        <v>318</v>
      </c>
      <c r="C40" s="426"/>
      <c r="D40" s="426"/>
      <c r="E40" s="426"/>
      <c r="F40" s="427"/>
      <c r="G40" s="428"/>
      <c r="H40" s="408">
        <f>SUM(H37:H39)</f>
        <v>37.413110599999996</v>
      </c>
      <c r="I40" s="52"/>
      <c r="J40" s="427"/>
      <c r="K40" s="428"/>
      <c r="L40" s="408">
        <f>SUM(L37:L39)</f>
        <v>43.102310799999991</v>
      </c>
      <c r="M40" s="409"/>
      <c r="N40" s="410">
        <f t="shared" si="5"/>
        <v>5.6892001999999948</v>
      </c>
      <c r="O40" s="411">
        <f t="shared" si="6"/>
        <v>0.15206434612790509</v>
      </c>
      <c r="P40" s="52"/>
      <c r="Q40" s="427"/>
      <c r="R40" s="428"/>
      <c r="S40" s="408">
        <f>SUM(S37:S39)</f>
        <v>45.722310799999995</v>
      </c>
      <c r="T40" s="409"/>
      <c r="U40" s="410">
        <f t="shared" si="9"/>
        <v>2.6200000000000045</v>
      </c>
      <c r="V40" s="411">
        <f t="shared" si="10"/>
        <v>6.078560409805233E-2</v>
      </c>
      <c r="W40" s="52"/>
      <c r="X40" s="427"/>
      <c r="Y40" s="428"/>
      <c r="Z40" s="408">
        <f>SUM(Z37:Z39)</f>
        <v>48.563343999999994</v>
      </c>
      <c r="AA40" s="409"/>
      <c r="AB40" s="410">
        <f t="shared" si="13"/>
        <v>2.8410331999999983</v>
      </c>
      <c r="AC40" s="411">
        <f t="shared" si="14"/>
        <v>6.21366932311741E-2</v>
      </c>
      <c r="AD40" s="52"/>
      <c r="AE40" s="427"/>
      <c r="AF40" s="428"/>
      <c r="AG40" s="408">
        <f>SUM(AG37:AG39)</f>
        <v>50.08334399999999</v>
      </c>
      <c r="AH40" s="409"/>
      <c r="AI40" s="410">
        <f t="shared" si="17"/>
        <v>1.519999999999996</v>
      </c>
      <c r="AJ40" s="411">
        <f t="shared" si="18"/>
        <v>3.1299327328035649E-2</v>
      </c>
      <c r="AK40" s="412"/>
      <c r="AL40" s="427"/>
      <c r="AM40" s="428"/>
      <c r="AN40" s="408">
        <f>SUM(AN37:AN39)</f>
        <v>51.47334399999999</v>
      </c>
      <c r="AO40" s="409"/>
      <c r="AP40" s="410">
        <f t="shared" si="21"/>
        <v>1.3900000000000006</v>
      </c>
      <c r="AQ40" s="411">
        <f t="shared" si="22"/>
        <v>2.7753737849453518E-2</v>
      </c>
    </row>
    <row r="41" spans="1:43" ht="12" customHeight="1">
      <c r="A41" s="52"/>
      <c r="B41" s="321" t="s">
        <v>262</v>
      </c>
      <c r="C41" s="394" t="str">
        <f t="shared" ref="C41:C48" si="49">D$6&amp;"."&amp;B41</f>
        <v>Residential.Wholesale Market Service Charge (WMSC)</v>
      </c>
      <c r="D41" s="395" t="s">
        <v>312</v>
      </c>
      <c r="E41" s="321"/>
      <c r="F41" s="413">
        <f>IFERROR(VLOOKUP($C41,'Proposed Rates'!$B:$J,F$11,FALSE),0)</f>
        <v>4.4999999999999997E-3</v>
      </c>
      <c r="G41" s="418">
        <f t="shared" ref="G41:G42" si="50">$F$10*(1+F$63)</f>
        <v>103.38000000000001</v>
      </c>
      <c r="H41" s="399">
        <f t="shared" ref="H41:H48" si="51">G41*F41</f>
        <v>0.46521000000000001</v>
      </c>
      <c r="I41" s="52"/>
      <c r="J41" s="413">
        <f>IFERROR(VLOOKUP($C41,'Proposed Rates'!$B:$J,J$11,FALSE),0)</f>
        <v>4.7000000000000002E-3</v>
      </c>
      <c r="K41" s="418">
        <f t="shared" ref="K41:K42" si="52">$F$10*(1+J$63)</f>
        <v>103.32</v>
      </c>
      <c r="L41" s="399">
        <f t="shared" ref="L41:L48" si="53">K41*J41</f>
        <v>0.48560399999999998</v>
      </c>
      <c r="M41" s="132"/>
      <c r="N41" s="400">
        <f t="shared" si="5"/>
        <v>2.0393999999999968E-2</v>
      </c>
      <c r="O41" s="401">
        <f t="shared" si="6"/>
        <v>4.3838266589282186E-2</v>
      </c>
      <c r="P41" s="52"/>
      <c r="Q41" s="413">
        <f>IFERROR(VLOOKUP($C41,'Proposed Rates'!$B:$J,Q$11,FALSE),0)</f>
        <v>4.7000000000000002E-3</v>
      </c>
      <c r="R41" s="418">
        <f t="shared" ref="R41:R42" si="54">$F$10*(1+Q$63)</f>
        <v>103.32</v>
      </c>
      <c r="S41" s="399">
        <f t="shared" ref="S41:S48" si="55">R41*Q41</f>
        <v>0.48560399999999998</v>
      </c>
      <c r="T41" s="132"/>
      <c r="U41" s="400">
        <f t="shared" si="9"/>
        <v>0</v>
      </c>
      <c r="V41" s="401">
        <f t="shared" si="10"/>
        <v>0</v>
      </c>
      <c r="W41" s="52"/>
      <c r="X41" s="413">
        <f>IFERROR(VLOOKUP($C41,'Proposed Rates'!$B:$J,X$11,FALSE),0)</f>
        <v>4.7000000000000002E-3</v>
      </c>
      <c r="Y41" s="418">
        <f t="shared" ref="Y41:Y42" si="56">$F$10*(1+X$63)</f>
        <v>103.32</v>
      </c>
      <c r="Z41" s="399">
        <f t="shared" ref="Z41:Z48" si="57">Y41*X41</f>
        <v>0.48560399999999998</v>
      </c>
      <c r="AA41" s="132"/>
      <c r="AB41" s="400">
        <f t="shared" si="13"/>
        <v>0</v>
      </c>
      <c r="AC41" s="401">
        <f t="shared" si="14"/>
        <v>0</v>
      </c>
      <c r="AD41" s="52"/>
      <c r="AE41" s="413">
        <f>IFERROR(VLOOKUP($C41,'Proposed Rates'!$B:$J,AE$11,FALSE),0)</f>
        <v>4.7000000000000002E-3</v>
      </c>
      <c r="AF41" s="418">
        <f t="shared" ref="AF41:AF42" si="58">$F$10*(1+AE$63)</f>
        <v>103.32</v>
      </c>
      <c r="AG41" s="399">
        <f t="shared" ref="AG41:AG48" si="59">AF41*AE41</f>
        <v>0.48560399999999998</v>
      </c>
      <c r="AH41" s="132"/>
      <c r="AI41" s="400">
        <f t="shared" si="17"/>
        <v>0</v>
      </c>
      <c r="AJ41" s="401">
        <f t="shared" si="18"/>
        <v>0</v>
      </c>
      <c r="AK41" s="402"/>
      <c r="AL41" s="413">
        <f>IFERROR(VLOOKUP($C41,'Proposed Rates'!$B:$J,AL$11,FALSE),0)</f>
        <v>4.7000000000000002E-3</v>
      </c>
      <c r="AM41" s="418">
        <f t="shared" ref="AM41:AM42" si="60">$F$10*(1+AL$63)</f>
        <v>103.32</v>
      </c>
      <c r="AN41" s="399">
        <f t="shared" ref="AN41:AN48" si="61">AM41*AL41</f>
        <v>0.48560399999999998</v>
      </c>
      <c r="AO41" s="132"/>
      <c r="AP41" s="400">
        <f t="shared" si="21"/>
        <v>0</v>
      </c>
      <c r="AQ41" s="401">
        <f t="shared" si="22"/>
        <v>0</v>
      </c>
    </row>
    <row r="42" spans="1:43" ht="12" customHeight="1">
      <c r="A42" s="52"/>
      <c r="B42" s="321" t="s">
        <v>263</v>
      </c>
      <c r="C42" s="394" t="str">
        <f t="shared" si="49"/>
        <v>Residential.Rural and Remote Rate Protection (RRRP)</v>
      </c>
      <c r="D42" s="395" t="s">
        <v>312</v>
      </c>
      <c r="E42" s="321"/>
      <c r="F42" s="413">
        <f>IFERROR(VLOOKUP($C42,'Proposed Rates'!$B:$J,F$11,FALSE),0)</f>
        <v>1.5E-3</v>
      </c>
      <c r="G42" s="418">
        <f t="shared" si="50"/>
        <v>103.38000000000001</v>
      </c>
      <c r="H42" s="399">
        <f t="shared" si="51"/>
        <v>0.15507000000000001</v>
      </c>
      <c r="I42" s="52"/>
      <c r="J42" s="413">
        <f>IFERROR(VLOOKUP($C42,'Proposed Rates'!$B:$J,J$11,FALSE),0)</f>
        <v>5.9999999999999995E-4</v>
      </c>
      <c r="K42" s="418">
        <f t="shared" si="52"/>
        <v>103.32</v>
      </c>
      <c r="L42" s="399">
        <f t="shared" si="53"/>
        <v>6.1991999999999992E-2</v>
      </c>
      <c r="M42" s="132"/>
      <c r="N42" s="400">
        <f t="shared" si="5"/>
        <v>-9.3078000000000022E-2</v>
      </c>
      <c r="O42" s="401">
        <f t="shared" si="6"/>
        <v>-0.600232153221126</v>
      </c>
      <c r="P42" s="52"/>
      <c r="Q42" s="413">
        <f>IFERROR(VLOOKUP($C42,'Proposed Rates'!$B:$J,Q$11,FALSE),0)</f>
        <v>5.9999999999999995E-4</v>
      </c>
      <c r="R42" s="418">
        <f t="shared" si="54"/>
        <v>103.32</v>
      </c>
      <c r="S42" s="399">
        <f t="shared" si="55"/>
        <v>6.1991999999999992E-2</v>
      </c>
      <c r="T42" s="132"/>
      <c r="U42" s="400">
        <f t="shared" si="9"/>
        <v>0</v>
      </c>
      <c r="V42" s="401">
        <f t="shared" si="10"/>
        <v>0</v>
      </c>
      <c r="W42" s="52"/>
      <c r="X42" s="413">
        <f>IFERROR(VLOOKUP($C42,'Proposed Rates'!$B:$J,X$11,FALSE),0)</f>
        <v>5.9999999999999995E-4</v>
      </c>
      <c r="Y42" s="418">
        <f t="shared" si="56"/>
        <v>103.32</v>
      </c>
      <c r="Z42" s="399">
        <f t="shared" si="57"/>
        <v>6.1991999999999992E-2</v>
      </c>
      <c r="AA42" s="132"/>
      <c r="AB42" s="400">
        <f t="shared" si="13"/>
        <v>0</v>
      </c>
      <c r="AC42" s="401">
        <f t="shared" si="14"/>
        <v>0</v>
      </c>
      <c r="AD42" s="52"/>
      <c r="AE42" s="413">
        <f>IFERROR(VLOOKUP($C42,'Proposed Rates'!$B:$J,AE$11,FALSE),0)</f>
        <v>5.9999999999999995E-4</v>
      </c>
      <c r="AF42" s="418">
        <f t="shared" si="58"/>
        <v>103.32</v>
      </c>
      <c r="AG42" s="399">
        <f t="shared" si="59"/>
        <v>6.1991999999999992E-2</v>
      </c>
      <c r="AH42" s="132"/>
      <c r="AI42" s="400">
        <f t="shared" si="17"/>
        <v>0</v>
      </c>
      <c r="AJ42" s="401">
        <f t="shared" si="18"/>
        <v>0</v>
      </c>
      <c r="AK42" s="402"/>
      <c r="AL42" s="413">
        <f>IFERROR(VLOOKUP($C42,'Proposed Rates'!$B:$J,AL$11,FALSE),0)</f>
        <v>5.9999999999999995E-4</v>
      </c>
      <c r="AM42" s="418">
        <f t="shared" si="60"/>
        <v>103.32</v>
      </c>
      <c r="AN42" s="399">
        <f t="shared" si="61"/>
        <v>6.1991999999999992E-2</v>
      </c>
      <c r="AO42" s="132"/>
      <c r="AP42" s="400">
        <f t="shared" si="21"/>
        <v>0</v>
      </c>
      <c r="AQ42" s="401">
        <f t="shared" si="22"/>
        <v>0</v>
      </c>
    </row>
    <row r="43" spans="1:43" ht="12" customHeight="1">
      <c r="A43" s="52"/>
      <c r="B43" s="321" t="s">
        <v>264</v>
      </c>
      <c r="C43" s="394" t="str">
        <f t="shared" si="49"/>
        <v>Residential.Standard Supply Service Charge</v>
      </c>
      <c r="D43" s="395" t="s">
        <v>310</v>
      </c>
      <c r="E43" s="321"/>
      <c r="F43" s="413">
        <f>IFERROR(VLOOKUP($C43,'Proposed Rates'!$B:$J,F$11,FALSE),0)</f>
        <v>0.25</v>
      </c>
      <c r="G43" s="414">
        <f>IF($D43="Monthly",1,IF($D43="per KWH",$F$10,0))</f>
        <v>1</v>
      </c>
      <c r="H43" s="399">
        <f t="shared" si="51"/>
        <v>0.25</v>
      </c>
      <c r="I43" s="52"/>
      <c r="J43" s="413">
        <f>IFERROR(VLOOKUP($C43,'Proposed Rates'!$B:$J,J$11,FALSE),0)</f>
        <v>0.25</v>
      </c>
      <c r="K43" s="414">
        <f>IF($D43="Monthly",1,IF($D43="per KWH",$F$10,0))</f>
        <v>1</v>
      </c>
      <c r="L43" s="399">
        <f t="shared" si="53"/>
        <v>0.25</v>
      </c>
      <c r="M43" s="132"/>
      <c r="N43" s="400">
        <f t="shared" si="5"/>
        <v>0</v>
      </c>
      <c r="O43" s="401">
        <f t="shared" si="6"/>
        <v>0</v>
      </c>
      <c r="P43" s="52"/>
      <c r="Q43" s="413">
        <f>IFERROR(VLOOKUP($C43,'Proposed Rates'!$B:$J,Q$11,FALSE),0)</f>
        <v>0.25</v>
      </c>
      <c r="R43" s="414">
        <f>IF($D43="Monthly",1,IF($D43="per KWH",$F$10,0))</f>
        <v>1</v>
      </c>
      <c r="S43" s="399">
        <f t="shared" si="55"/>
        <v>0.25</v>
      </c>
      <c r="T43" s="132"/>
      <c r="U43" s="400">
        <f t="shared" si="9"/>
        <v>0</v>
      </c>
      <c r="V43" s="401">
        <f t="shared" si="10"/>
        <v>0</v>
      </c>
      <c r="W43" s="52"/>
      <c r="X43" s="413">
        <f>IFERROR(VLOOKUP($C43,'Proposed Rates'!$B:$J,X$11,FALSE),0)</f>
        <v>0.25</v>
      </c>
      <c r="Y43" s="414">
        <f>IF($D43="Monthly",1,IF($D43="per KWH",$F$10,0))</f>
        <v>1</v>
      </c>
      <c r="Z43" s="399">
        <f t="shared" si="57"/>
        <v>0.25</v>
      </c>
      <c r="AA43" s="132"/>
      <c r="AB43" s="400">
        <f t="shared" si="13"/>
        <v>0</v>
      </c>
      <c r="AC43" s="401">
        <f t="shared" si="14"/>
        <v>0</v>
      </c>
      <c r="AD43" s="52"/>
      <c r="AE43" s="413">
        <f>IFERROR(VLOOKUP($C43,'Proposed Rates'!$B:$J,AE$11,FALSE),0)</f>
        <v>0.25</v>
      </c>
      <c r="AF43" s="414">
        <f>IF($D43="Monthly",1,IF($D43="per KWH",$F$10,0))</f>
        <v>1</v>
      </c>
      <c r="AG43" s="399">
        <f t="shared" si="59"/>
        <v>0.25</v>
      </c>
      <c r="AH43" s="132"/>
      <c r="AI43" s="400">
        <f t="shared" si="17"/>
        <v>0</v>
      </c>
      <c r="AJ43" s="401">
        <f t="shared" si="18"/>
        <v>0</v>
      </c>
      <c r="AK43" s="402"/>
      <c r="AL43" s="413">
        <f>IFERROR(VLOOKUP($C43,'Proposed Rates'!$B:$J,AL$11,FALSE),0)</f>
        <v>0.25</v>
      </c>
      <c r="AM43" s="414">
        <f>IF($D43="Monthly",1,IF($D43="per KWH",$F$10,0))</f>
        <v>1</v>
      </c>
      <c r="AN43" s="399">
        <f t="shared" si="61"/>
        <v>0.25</v>
      </c>
      <c r="AO43" s="132"/>
      <c r="AP43" s="400">
        <f t="shared" si="21"/>
        <v>0</v>
      </c>
      <c r="AQ43" s="401">
        <f t="shared" si="22"/>
        <v>0</v>
      </c>
    </row>
    <row r="44" spans="1:43" ht="12" customHeight="1">
      <c r="A44" s="52"/>
      <c r="B44" s="321" t="s">
        <v>266</v>
      </c>
      <c r="C44" s="394" t="str">
        <f t="shared" si="49"/>
        <v>Residential.TOU - Off Peak</v>
      </c>
      <c r="D44" s="395" t="s">
        <v>312</v>
      </c>
      <c r="E44" s="321"/>
      <c r="F44" s="429">
        <f>VLOOKUP($B44,'Proposed Rates'!$D$252:$J$258,+F$11-2,FALSE)</f>
        <v>9.8000000000000004E-2</v>
      </c>
      <c r="G44" s="420">
        <f>$F$10*'Proposed Rates'!$K$253</f>
        <v>64</v>
      </c>
      <c r="H44" s="399">
        <f t="shared" si="51"/>
        <v>6.2720000000000002</v>
      </c>
      <c r="I44" s="52"/>
      <c r="J44" s="429">
        <f>VLOOKUP($B44,'Proposed Rates'!$D$252:$J$258,+J$11-2,FALSE)</f>
        <v>9.8000000000000004E-2</v>
      </c>
      <c r="K44" s="420">
        <f>$F$10*'Proposed Rates'!$K$253</f>
        <v>64</v>
      </c>
      <c r="L44" s="399">
        <f t="shared" si="53"/>
        <v>6.2720000000000002</v>
      </c>
      <c r="M44" s="132"/>
      <c r="N44" s="400">
        <f t="shared" si="5"/>
        <v>0</v>
      </c>
      <c r="O44" s="401">
        <f t="shared" si="6"/>
        <v>0</v>
      </c>
      <c r="P44" s="52"/>
      <c r="Q44" s="429">
        <f>VLOOKUP($B44,'Proposed Rates'!$D$252:$J$258,+Q$11-2,FALSE)</f>
        <v>9.8000000000000004E-2</v>
      </c>
      <c r="R44" s="420">
        <f>$F$10*'Proposed Rates'!$K$253</f>
        <v>64</v>
      </c>
      <c r="S44" s="399">
        <f t="shared" si="55"/>
        <v>6.2720000000000002</v>
      </c>
      <c r="T44" s="132"/>
      <c r="U44" s="400">
        <f t="shared" si="9"/>
        <v>0</v>
      </c>
      <c r="V44" s="401">
        <f t="shared" si="10"/>
        <v>0</v>
      </c>
      <c r="W44" s="52"/>
      <c r="X44" s="429">
        <f>VLOOKUP($B44,'Proposed Rates'!$D$252:$J$258,+X$11-2,FALSE)</f>
        <v>9.8000000000000004E-2</v>
      </c>
      <c r="Y44" s="420">
        <f>$F$10*'Proposed Rates'!$K$253</f>
        <v>64</v>
      </c>
      <c r="Z44" s="399">
        <f t="shared" si="57"/>
        <v>6.2720000000000002</v>
      </c>
      <c r="AA44" s="132"/>
      <c r="AB44" s="400">
        <f t="shared" si="13"/>
        <v>0</v>
      </c>
      <c r="AC44" s="401">
        <f t="shared" si="14"/>
        <v>0</v>
      </c>
      <c r="AD44" s="52"/>
      <c r="AE44" s="429">
        <f>VLOOKUP($B44,'Proposed Rates'!$D$252:$J$258,+AE$11-2,FALSE)</f>
        <v>9.8000000000000004E-2</v>
      </c>
      <c r="AF44" s="420">
        <f>$F$10*'Proposed Rates'!$K$253</f>
        <v>64</v>
      </c>
      <c r="AG44" s="399">
        <f t="shared" si="59"/>
        <v>6.2720000000000002</v>
      </c>
      <c r="AH44" s="132"/>
      <c r="AI44" s="400">
        <f t="shared" si="17"/>
        <v>0</v>
      </c>
      <c r="AJ44" s="401">
        <f t="shared" si="18"/>
        <v>0</v>
      </c>
      <c r="AK44" s="402"/>
      <c r="AL44" s="429">
        <f>VLOOKUP($B44,'Proposed Rates'!$D$252:$J$258,+AL$11-2,FALSE)</f>
        <v>9.8000000000000004E-2</v>
      </c>
      <c r="AM44" s="420">
        <f>$F$10*'Proposed Rates'!$K$253</f>
        <v>64</v>
      </c>
      <c r="AN44" s="399">
        <f t="shared" si="61"/>
        <v>6.2720000000000002</v>
      </c>
      <c r="AO44" s="132"/>
      <c r="AP44" s="400">
        <f t="shared" si="21"/>
        <v>0</v>
      </c>
      <c r="AQ44" s="401">
        <f t="shared" si="22"/>
        <v>0</v>
      </c>
    </row>
    <row r="45" spans="1:43" ht="12" customHeight="1">
      <c r="A45" s="52"/>
      <c r="B45" s="321" t="s">
        <v>267</v>
      </c>
      <c r="C45" s="394" t="str">
        <f t="shared" si="49"/>
        <v>Residential.TOU - Mid Peak</v>
      </c>
      <c r="D45" s="395" t="s">
        <v>312</v>
      </c>
      <c r="E45" s="321"/>
      <c r="F45" s="429">
        <f>VLOOKUP($B45,'Proposed Rates'!$D$252:$J$258,+F$11-2,FALSE)</f>
        <v>0.157</v>
      </c>
      <c r="G45" s="420">
        <f>$F$10*'Proposed Rates'!$K$254</f>
        <v>18</v>
      </c>
      <c r="H45" s="399">
        <f t="shared" si="51"/>
        <v>2.8260000000000001</v>
      </c>
      <c r="I45" s="52"/>
      <c r="J45" s="429">
        <f>VLOOKUP($B45,'Proposed Rates'!$D$252:$J$258,+J$11-2,FALSE)</f>
        <v>0.157</v>
      </c>
      <c r="K45" s="420">
        <f>$F$10*'Proposed Rates'!$K$254</f>
        <v>18</v>
      </c>
      <c r="L45" s="399">
        <f t="shared" si="53"/>
        <v>2.8260000000000001</v>
      </c>
      <c r="M45" s="132"/>
      <c r="N45" s="400">
        <f t="shared" si="5"/>
        <v>0</v>
      </c>
      <c r="O45" s="401">
        <f t="shared" si="6"/>
        <v>0</v>
      </c>
      <c r="P45" s="52"/>
      <c r="Q45" s="429">
        <f>VLOOKUP($B45,'Proposed Rates'!$D$252:$J$258,+Q$11-2,FALSE)</f>
        <v>0.157</v>
      </c>
      <c r="R45" s="420">
        <f>$F$10*'Proposed Rates'!$K$254</f>
        <v>18</v>
      </c>
      <c r="S45" s="399">
        <f t="shared" si="55"/>
        <v>2.8260000000000001</v>
      </c>
      <c r="T45" s="132"/>
      <c r="U45" s="400">
        <f t="shared" si="9"/>
        <v>0</v>
      </c>
      <c r="V45" s="401">
        <f t="shared" si="10"/>
        <v>0</v>
      </c>
      <c r="W45" s="52"/>
      <c r="X45" s="429">
        <f>VLOOKUP($B45,'Proposed Rates'!$D$252:$J$258,+X$11-2,FALSE)</f>
        <v>0.157</v>
      </c>
      <c r="Y45" s="420">
        <f>$F$10*'Proposed Rates'!$K$254</f>
        <v>18</v>
      </c>
      <c r="Z45" s="399">
        <f t="shared" si="57"/>
        <v>2.8260000000000001</v>
      </c>
      <c r="AA45" s="132"/>
      <c r="AB45" s="400">
        <f t="shared" si="13"/>
        <v>0</v>
      </c>
      <c r="AC45" s="401">
        <f t="shared" si="14"/>
        <v>0</v>
      </c>
      <c r="AD45" s="52"/>
      <c r="AE45" s="429">
        <f>VLOOKUP($B45,'Proposed Rates'!$D$252:$J$258,+AE$11-2,FALSE)</f>
        <v>0.157</v>
      </c>
      <c r="AF45" s="420">
        <f>$F$10*'Proposed Rates'!$K$254</f>
        <v>18</v>
      </c>
      <c r="AG45" s="399">
        <f t="shared" si="59"/>
        <v>2.8260000000000001</v>
      </c>
      <c r="AH45" s="132"/>
      <c r="AI45" s="400">
        <f t="shared" si="17"/>
        <v>0</v>
      </c>
      <c r="AJ45" s="401">
        <f t="shared" si="18"/>
        <v>0</v>
      </c>
      <c r="AK45" s="402"/>
      <c r="AL45" s="429">
        <f>VLOOKUP($B45,'Proposed Rates'!$D$252:$J$258,+AL$11-2,FALSE)</f>
        <v>0.157</v>
      </c>
      <c r="AM45" s="420">
        <f>$F$10*'Proposed Rates'!$K$254</f>
        <v>18</v>
      </c>
      <c r="AN45" s="399">
        <f t="shared" si="61"/>
        <v>2.8260000000000001</v>
      </c>
      <c r="AO45" s="132"/>
      <c r="AP45" s="400">
        <f t="shared" si="21"/>
        <v>0</v>
      </c>
      <c r="AQ45" s="401">
        <f t="shared" si="22"/>
        <v>0</v>
      </c>
    </row>
    <row r="46" spans="1:43" ht="12" customHeight="1">
      <c r="A46" s="52"/>
      <c r="B46" s="52" t="s">
        <v>268</v>
      </c>
      <c r="C46" s="394" t="str">
        <f t="shared" si="49"/>
        <v>Residential.TOU - On Peak</v>
      </c>
      <c r="D46" s="395" t="s">
        <v>312</v>
      </c>
      <c r="E46" s="321"/>
      <c r="F46" s="429">
        <f>VLOOKUP($B46,'Proposed Rates'!$D$252:$J$258,+F$11-2,FALSE)</f>
        <v>0.20300000000000001</v>
      </c>
      <c r="G46" s="420">
        <f>$F$10*'Proposed Rates'!$K$255</f>
        <v>18</v>
      </c>
      <c r="H46" s="399">
        <f t="shared" si="51"/>
        <v>3.6540000000000004</v>
      </c>
      <c r="I46" s="52"/>
      <c r="J46" s="429">
        <f>VLOOKUP($B46,'Proposed Rates'!$D$252:$J$258,+J$11-2,FALSE)</f>
        <v>0.20300000000000001</v>
      </c>
      <c r="K46" s="420">
        <f>$F$10*'Proposed Rates'!$K$255</f>
        <v>18</v>
      </c>
      <c r="L46" s="399">
        <f t="shared" si="53"/>
        <v>3.6540000000000004</v>
      </c>
      <c r="M46" s="132"/>
      <c r="N46" s="400">
        <f t="shared" si="5"/>
        <v>0</v>
      </c>
      <c r="O46" s="401">
        <f t="shared" si="6"/>
        <v>0</v>
      </c>
      <c r="P46" s="52"/>
      <c r="Q46" s="429">
        <f>VLOOKUP($B46,'Proposed Rates'!$D$252:$J$258,+Q$11-2,FALSE)</f>
        <v>0.20300000000000001</v>
      </c>
      <c r="R46" s="420">
        <f>$F$10*'Proposed Rates'!$K$255</f>
        <v>18</v>
      </c>
      <c r="S46" s="399">
        <f t="shared" si="55"/>
        <v>3.6540000000000004</v>
      </c>
      <c r="T46" s="132"/>
      <c r="U46" s="400">
        <f t="shared" si="9"/>
        <v>0</v>
      </c>
      <c r="V46" s="401">
        <f t="shared" si="10"/>
        <v>0</v>
      </c>
      <c r="W46" s="52"/>
      <c r="X46" s="429">
        <f>VLOOKUP($B46,'Proposed Rates'!$D$252:$J$258,+X$11-2,FALSE)</f>
        <v>0.20300000000000001</v>
      </c>
      <c r="Y46" s="420">
        <f>$F$10*'Proposed Rates'!$K$255</f>
        <v>18</v>
      </c>
      <c r="Z46" s="399">
        <f t="shared" si="57"/>
        <v>3.6540000000000004</v>
      </c>
      <c r="AA46" s="132"/>
      <c r="AB46" s="400">
        <f t="shared" si="13"/>
        <v>0</v>
      </c>
      <c r="AC46" s="401">
        <f t="shared" si="14"/>
        <v>0</v>
      </c>
      <c r="AD46" s="52"/>
      <c r="AE46" s="429">
        <f>VLOOKUP($B46,'Proposed Rates'!$D$252:$J$258,+AE$11-2,FALSE)</f>
        <v>0.20300000000000001</v>
      </c>
      <c r="AF46" s="420">
        <f>$F$10*'Proposed Rates'!$K$255</f>
        <v>18</v>
      </c>
      <c r="AG46" s="399">
        <f t="shared" si="59"/>
        <v>3.6540000000000004</v>
      </c>
      <c r="AH46" s="132"/>
      <c r="AI46" s="400">
        <f t="shared" si="17"/>
        <v>0</v>
      </c>
      <c r="AJ46" s="401">
        <f t="shared" si="18"/>
        <v>0</v>
      </c>
      <c r="AK46" s="402"/>
      <c r="AL46" s="429">
        <f>VLOOKUP($B46,'Proposed Rates'!$D$252:$J$258,+AL$11-2,FALSE)</f>
        <v>0.20300000000000001</v>
      </c>
      <c r="AM46" s="420">
        <f>$F$10*'Proposed Rates'!$K$255</f>
        <v>18</v>
      </c>
      <c r="AN46" s="399">
        <f t="shared" si="61"/>
        <v>3.6540000000000004</v>
      </c>
      <c r="AO46" s="132"/>
      <c r="AP46" s="400">
        <f t="shared" si="21"/>
        <v>0</v>
      </c>
      <c r="AQ46" s="401">
        <f t="shared" si="22"/>
        <v>0</v>
      </c>
    </row>
    <row r="47" spans="1:43" ht="12" customHeight="1">
      <c r="A47" s="52"/>
      <c r="B47" s="321" t="s">
        <v>269</v>
      </c>
      <c r="C47" s="394" t="str">
        <f t="shared" si="49"/>
        <v>Residential.Energy - RPP - Tier 1</v>
      </c>
      <c r="D47" s="395" t="s">
        <v>312</v>
      </c>
      <c r="E47" s="321"/>
      <c r="F47" s="429">
        <f>VLOOKUP($B47,'Proposed Rates'!$D$252:$J$258,+F$11-2,FALSE)</f>
        <v>0.12</v>
      </c>
      <c r="G47" s="430">
        <f>IF(AND($S$2=1, $F$10&gt;=600), 600, IF(AND($S$2=1, AND($F$10&lt;600, $F$10&gt;=0)), $F$10, IF(AND($S$2=2, $F$10&gt;=1000), 1000, IF(AND($S$2=2, AND($F$10&lt;1000, $F$10&gt;=0)), $F$10))))</f>
        <v>100</v>
      </c>
      <c r="H47" s="399">
        <f t="shared" si="51"/>
        <v>12</v>
      </c>
      <c r="I47" s="52"/>
      <c r="J47" s="431">
        <f>VLOOKUP($B47,'Proposed Rates'!$D$252:$J$258,+J$11-2,FALSE)</f>
        <v>0.12</v>
      </c>
      <c r="K47" s="430">
        <f>IF(AND($S$2=1, $F$10&gt;=600), 600, IF(AND($S$2=1, AND($F$10&lt;600, $F$10&gt;=0)), $F$10, IF(AND($S$2=2, $F$10&gt;=1000), 1000, IF(AND($S$2=2, AND($F$10&lt;1000, $F$10&gt;=0)), $F$10))))</f>
        <v>100</v>
      </c>
      <c r="L47" s="399">
        <f t="shared" si="53"/>
        <v>12</v>
      </c>
      <c r="M47" s="132"/>
      <c r="N47" s="400">
        <f t="shared" si="5"/>
        <v>0</v>
      </c>
      <c r="O47" s="401">
        <f t="shared" si="6"/>
        <v>0</v>
      </c>
      <c r="P47" s="52"/>
      <c r="Q47" s="429">
        <f>VLOOKUP($B47,'Proposed Rates'!$D$252:$J$258,+Q$11-2,FALSE)</f>
        <v>0.12</v>
      </c>
      <c r="R47" s="430">
        <f>IF(AND($S$2=1, $F$10&gt;=600), 600, IF(AND($S$2=1, AND($F$10&lt;600, $F$10&gt;=0)), $F$10, IF(AND($S$2=2, $F$10&gt;=1000), 1000, IF(AND($S$2=2, AND($F$10&lt;1000, $F$10&gt;=0)), $F$10))))</f>
        <v>100</v>
      </c>
      <c r="S47" s="399">
        <f t="shared" si="55"/>
        <v>12</v>
      </c>
      <c r="T47" s="132"/>
      <c r="U47" s="400">
        <f t="shared" si="9"/>
        <v>0</v>
      </c>
      <c r="V47" s="401">
        <f t="shared" si="10"/>
        <v>0</v>
      </c>
      <c r="W47" s="52"/>
      <c r="X47" s="429">
        <f>VLOOKUP($B47,'Proposed Rates'!$D$252:$J$258,+X$11-2,FALSE)</f>
        <v>0.12</v>
      </c>
      <c r="Y47" s="430">
        <f>IF(AND($S$2=1, $F$10&gt;=600), 600, IF(AND($S$2=1, AND($F$10&lt;600, $F$10&gt;=0)), $F$10, IF(AND($S$2=2, $F$10&gt;=1000), 1000, IF(AND($S$2=2, AND($F$10&lt;1000, $F$10&gt;=0)), $F$10))))</f>
        <v>100</v>
      </c>
      <c r="Z47" s="399">
        <f t="shared" si="57"/>
        <v>12</v>
      </c>
      <c r="AA47" s="132"/>
      <c r="AB47" s="400">
        <f t="shared" si="13"/>
        <v>0</v>
      </c>
      <c r="AC47" s="401">
        <f t="shared" si="14"/>
        <v>0</v>
      </c>
      <c r="AD47" s="52"/>
      <c r="AE47" s="429">
        <f>VLOOKUP($B47,'Proposed Rates'!$D$252:$J$258,+AE$11-2,FALSE)</f>
        <v>0.12</v>
      </c>
      <c r="AF47" s="430">
        <f>IF(AND($S$2=1, $F$10&gt;=600), 600, IF(AND($S$2=1, AND($F$10&lt;600, $F$10&gt;=0)), $F$10, IF(AND($S$2=2, $F$10&gt;=1000), 1000, IF(AND($S$2=2, AND($F$10&lt;1000, $F$10&gt;=0)), $F$10))))</f>
        <v>100</v>
      </c>
      <c r="AG47" s="399">
        <f t="shared" si="59"/>
        <v>12</v>
      </c>
      <c r="AH47" s="132"/>
      <c r="AI47" s="400">
        <f t="shared" si="17"/>
        <v>0</v>
      </c>
      <c r="AJ47" s="401">
        <f t="shared" si="18"/>
        <v>0</v>
      </c>
      <c r="AK47" s="402"/>
      <c r="AL47" s="429">
        <f>VLOOKUP($B47,'Proposed Rates'!$D$252:$J$258,+AL$11-2,FALSE)</f>
        <v>0.12</v>
      </c>
      <c r="AM47" s="430">
        <f>IF(AND($S$2=1, $F$10&gt;=600), 600, IF(AND($S$2=1, AND($F$10&lt;600, $F$10&gt;=0)), $F$10, IF(AND($S$2=2, $F$10&gt;=1000), 1000, IF(AND($S$2=2, AND($F$10&lt;1000, $F$10&gt;=0)), $F$10))))</f>
        <v>100</v>
      </c>
      <c r="AN47" s="399">
        <f t="shared" si="61"/>
        <v>12</v>
      </c>
      <c r="AO47" s="132"/>
      <c r="AP47" s="400">
        <f t="shared" si="21"/>
        <v>0</v>
      </c>
      <c r="AQ47" s="401">
        <f t="shared" si="22"/>
        <v>0</v>
      </c>
    </row>
    <row r="48" spans="1:43" ht="12" customHeight="1">
      <c r="A48" s="52"/>
      <c r="B48" s="321" t="s">
        <v>270</v>
      </c>
      <c r="C48" s="394" t="str">
        <f t="shared" si="49"/>
        <v>Residential.Energy - RPP - Tier 2</v>
      </c>
      <c r="D48" s="395" t="s">
        <v>312</v>
      </c>
      <c r="E48" s="321"/>
      <c r="F48" s="429">
        <f>VLOOKUP($B48,'Proposed Rates'!$D$252:$J$258,+F$11-2,FALSE)</f>
        <v>0.14199999999999999</v>
      </c>
      <c r="G48" s="432">
        <f>IF(AND($S$2=1, $F$10&gt;=600), $F$10-600, IF(AND($S$2=1, AND($F$10&lt;600, $F$10&gt;=0)), 0, IF(AND($S$2=2, $F$10&gt;=1000), $F$10-1000, IF(AND($S$2=2, AND($F$10&lt;1000, $F$10&gt;=0)), 0))))</f>
        <v>0</v>
      </c>
      <c r="H48" s="399">
        <f t="shared" si="51"/>
        <v>0</v>
      </c>
      <c r="I48" s="52"/>
      <c r="J48" s="431">
        <f>VLOOKUP($B48,'Proposed Rates'!$D$252:$J$258,+J$11-2,FALSE)</f>
        <v>0.14199999999999999</v>
      </c>
      <c r="K48" s="432">
        <f>IF(AND($S$2=1, $F$10&gt;=600), $F$10-600, IF(AND($S$2=1, AND($F$10&lt;600, $F$10&gt;=0)), 0, IF(AND($S$2=2, $F$10&gt;=1000), $F$10-1000, IF(AND($S$2=2, AND($F$10&lt;1000, $F$10&gt;=0)), 0))))</f>
        <v>0</v>
      </c>
      <c r="L48" s="399">
        <f t="shared" si="53"/>
        <v>0</v>
      </c>
      <c r="M48" s="132"/>
      <c r="N48" s="400">
        <f t="shared" si="5"/>
        <v>0</v>
      </c>
      <c r="O48" s="401" t="str">
        <f t="shared" si="6"/>
        <v/>
      </c>
      <c r="P48" s="52"/>
      <c r="Q48" s="429">
        <f>VLOOKUP($B48,'Proposed Rates'!$D$252:$J$258,+Q$11-2,FALSE)</f>
        <v>0.14199999999999999</v>
      </c>
      <c r="R48" s="432">
        <f>IF(AND($S$2=1, $F$10&gt;=600), $F$10-600, IF(AND($S$2=1, AND($F$10&lt;600, $F$10&gt;=0)), 0, IF(AND($S$2=2, $F$10&gt;=1000), $F$10-1000, IF(AND($S$2=2, AND($F$10&lt;1000, $F$10&gt;=0)), 0))))</f>
        <v>0</v>
      </c>
      <c r="S48" s="399">
        <f t="shared" si="55"/>
        <v>0</v>
      </c>
      <c r="T48" s="132"/>
      <c r="U48" s="400">
        <f t="shared" si="9"/>
        <v>0</v>
      </c>
      <c r="V48" s="401" t="str">
        <f t="shared" si="10"/>
        <v/>
      </c>
      <c r="W48" s="52"/>
      <c r="X48" s="429">
        <f>VLOOKUP($B48,'Proposed Rates'!$D$252:$J$258,+X$11-2,FALSE)</f>
        <v>0.14199999999999999</v>
      </c>
      <c r="Y48" s="432">
        <f>IF(AND($S$2=1, $F$10&gt;=600), $F$10-600, IF(AND($S$2=1, AND($F$10&lt;600, $F$10&gt;=0)), 0, IF(AND($S$2=2, $F$10&gt;=1000), $F$10-1000, IF(AND($S$2=2, AND($F$10&lt;1000, $F$10&gt;=0)), 0))))</f>
        <v>0</v>
      </c>
      <c r="Z48" s="399">
        <f t="shared" si="57"/>
        <v>0</v>
      </c>
      <c r="AA48" s="132"/>
      <c r="AB48" s="400">
        <f t="shared" si="13"/>
        <v>0</v>
      </c>
      <c r="AC48" s="401" t="str">
        <f t="shared" si="14"/>
        <v/>
      </c>
      <c r="AD48" s="52"/>
      <c r="AE48" s="429">
        <f>VLOOKUP($B48,'Proposed Rates'!$D$252:$J$258,+AE$11-2,FALSE)</f>
        <v>0.14199999999999999</v>
      </c>
      <c r="AF48" s="432">
        <f>IF(AND($S$2=1, $F$10&gt;=600), $F$10-600, IF(AND($S$2=1, AND($F$10&lt;600, $F$10&gt;=0)), 0, IF(AND($S$2=2, $F$10&gt;=1000), $F$10-1000, IF(AND($S$2=2, AND($F$10&lt;1000, $F$10&gt;=0)), 0))))</f>
        <v>0</v>
      </c>
      <c r="AG48" s="399">
        <f t="shared" si="59"/>
        <v>0</v>
      </c>
      <c r="AH48" s="132"/>
      <c r="AI48" s="400">
        <f t="shared" si="17"/>
        <v>0</v>
      </c>
      <c r="AJ48" s="401" t="str">
        <f t="shared" si="18"/>
        <v/>
      </c>
      <c r="AK48" s="402"/>
      <c r="AL48" s="429">
        <f>VLOOKUP($B48,'Proposed Rates'!$D$252:$J$258,+AL$11-2,FALSE)</f>
        <v>0.14199999999999999</v>
      </c>
      <c r="AM48" s="432">
        <f>IF(AND($S$2=1, $F$10&gt;=600), $F$10-600, IF(AND($S$2=1, AND($F$10&lt;600, $F$10&gt;=0)), 0, IF(AND($S$2=2, $F$10&gt;=1000), $F$10-1000, IF(AND($S$2=2, AND($F$10&lt;1000, $F$10&gt;=0)), 0))))</f>
        <v>0</v>
      </c>
      <c r="AN48" s="399">
        <f t="shared" si="61"/>
        <v>0</v>
      </c>
      <c r="AO48" s="132"/>
      <c r="AP48" s="400">
        <f t="shared" si="21"/>
        <v>0</v>
      </c>
      <c r="AQ48" s="401" t="str">
        <f t="shared" si="22"/>
        <v/>
      </c>
    </row>
    <row r="49" spans="1:43" ht="12" customHeight="1">
      <c r="A49" s="52"/>
      <c r="B49" s="433"/>
      <c r="C49" s="434"/>
      <c r="D49" s="434"/>
      <c r="E49" s="434"/>
      <c r="F49" s="435"/>
      <c r="G49" s="436"/>
      <c r="H49" s="437"/>
      <c r="I49" s="52"/>
      <c r="J49" s="435"/>
      <c r="K49" s="438"/>
      <c r="L49" s="437"/>
      <c r="M49" s="439"/>
      <c r="N49" s="440"/>
      <c r="O49" s="441"/>
      <c r="P49" s="52"/>
      <c r="Q49" s="435"/>
      <c r="R49" s="436"/>
      <c r="S49" s="437"/>
      <c r="T49" s="439"/>
      <c r="U49" s="440"/>
      <c r="V49" s="441"/>
      <c r="W49" s="52"/>
      <c r="X49" s="435"/>
      <c r="Y49" s="436"/>
      <c r="Z49" s="437"/>
      <c r="AA49" s="439"/>
      <c r="AB49" s="440"/>
      <c r="AC49" s="441"/>
      <c r="AD49" s="52"/>
      <c r="AE49" s="435"/>
      <c r="AF49" s="436"/>
      <c r="AG49" s="437"/>
      <c r="AH49" s="439"/>
      <c r="AI49" s="440"/>
      <c r="AJ49" s="441"/>
      <c r="AK49" s="442"/>
      <c r="AL49" s="435"/>
      <c r="AM49" s="436"/>
      <c r="AN49" s="437"/>
      <c r="AO49" s="439"/>
      <c r="AP49" s="440"/>
      <c r="AQ49" s="441"/>
    </row>
    <row r="50" spans="1:43" ht="12" customHeight="1">
      <c r="A50" s="52"/>
      <c r="B50" s="443" t="s">
        <v>319</v>
      </c>
      <c r="C50" s="321"/>
      <c r="D50" s="321"/>
      <c r="E50" s="321"/>
      <c r="F50" s="444"/>
      <c r="G50" s="445"/>
      <c r="H50" s="446">
        <f>SUM(H41:H46,H40)</f>
        <v>51.035390599999999</v>
      </c>
      <c r="I50" s="52"/>
      <c r="J50" s="445"/>
      <c r="K50" s="445"/>
      <c r="L50" s="447">
        <f>SUM(L41:L46,L40)</f>
        <v>56.651906799999992</v>
      </c>
      <c r="M50" s="448"/>
      <c r="N50" s="447">
        <f t="shared" ref="N50:N54" si="62">L50-H50</f>
        <v>5.6165161999999924</v>
      </c>
      <c r="O50" s="449">
        <f t="shared" ref="O50:O54" si="63">IF((H50)=0,"",(N50/H50))</f>
        <v>0.11005140029240792</v>
      </c>
      <c r="P50" s="52"/>
      <c r="Q50" s="445"/>
      <c r="R50" s="445"/>
      <c r="S50" s="447">
        <f>SUM(S41:S46,S40)</f>
        <v>59.271906799999996</v>
      </c>
      <c r="T50" s="448"/>
      <c r="U50" s="447">
        <f t="shared" ref="U50:U54" si="64">S50-L50</f>
        <v>2.6200000000000045</v>
      </c>
      <c r="V50" s="449">
        <f t="shared" ref="V50:V54" si="65">IF((L50)=0,"",(U50/L50))</f>
        <v>4.6247340080705017E-2</v>
      </c>
      <c r="W50" s="52"/>
      <c r="X50" s="445"/>
      <c r="Y50" s="445"/>
      <c r="Z50" s="447">
        <f>SUM(Z41:Z46,Z40)</f>
        <v>62.112939999999995</v>
      </c>
      <c r="AA50" s="448"/>
      <c r="AB50" s="447">
        <f t="shared" ref="AB50:AB54" si="66">Z50-S50</f>
        <v>2.8410331999999983</v>
      </c>
      <c r="AC50" s="449">
        <f t="shared" ref="AC50:AC54" si="67">IF((S50)=0,"",(AB50/S50))</f>
        <v>4.7932205211255297E-2</v>
      </c>
      <c r="AD50" s="52"/>
      <c r="AE50" s="445"/>
      <c r="AF50" s="445"/>
      <c r="AG50" s="447">
        <f>SUM(AG41:AG46,AG40)</f>
        <v>63.632939999999991</v>
      </c>
      <c r="AH50" s="448"/>
      <c r="AI50" s="447">
        <f t="shared" ref="AI50:AI54" si="68">AG50-Z50</f>
        <v>1.519999999999996</v>
      </c>
      <c r="AJ50" s="449">
        <f t="shared" ref="AJ50:AJ54" si="69">IF((Z50)=0,"",(AI50/Z50))</f>
        <v>2.4471551338577698E-2</v>
      </c>
      <c r="AK50" s="450"/>
      <c r="AL50" s="445"/>
      <c r="AM50" s="445"/>
      <c r="AN50" s="447">
        <f>SUM(AN41:AN46,AN40)</f>
        <v>65.022939999999991</v>
      </c>
      <c r="AO50" s="448"/>
      <c r="AP50" s="447">
        <f t="shared" ref="AP50:AP54" si="70">AN50-AG50</f>
        <v>1.3900000000000006</v>
      </c>
      <c r="AQ50" s="449">
        <f t="shared" ref="AQ50:AQ54" si="71">IF((AG50)=0,"",(AP50/AG50))</f>
        <v>2.1844032351797681E-2</v>
      </c>
    </row>
    <row r="51" spans="1:43" ht="12" customHeight="1">
      <c r="A51" s="52"/>
      <c r="B51" s="451" t="s">
        <v>320</v>
      </c>
      <c r="C51" s="321"/>
      <c r="D51" s="321"/>
      <c r="E51" s="321"/>
      <c r="F51" s="444">
        <v>0.13</v>
      </c>
      <c r="G51" s="416"/>
      <c r="H51" s="399">
        <f>H50*F51</f>
        <v>6.6346007780000003</v>
      </c>
      <c r="I51" s="52"/>
      <c r="J51" s="452">
        <v>0.13</v>
      </c>
      <c r="K51" s="416"/>
      <c r="L51" s="399">
        <f>L50*J51</f>
        <v>7.3647478839999989</v>
      </c>
      <c r="M51" s="132"/>
      <c r="N51" s="400">
        <f t="shared" si="62"/>
        <v>0.73014710599999866</v>
      </c>
      <c r="O51" s="401">
        <f t="shared" si="63"/>
        <v>0.11005140029240786</v>
      </c>
      <c r="P51" s="52"/>
      <c r="Q51" s="452">
        <v>0.13</v>
      </c>
      <c r="R51" s="416"/>
      <c r="S51" s="399">
        <f>S50*Q51</f>
        <v>7.705347884</v>
      </c>
      <c r="T51" s="132"/>
      <c r="U51" s="400">
        <f t="shared" si="64"/>
        <v>0.34060000000000112</v>
      </c>
      <c r="V51" s="401">
        <f t="shared" si="65"/>
        <v>4.6247340080705086E-2</v>
      </c>
      <c r="W51" s="52"/>
      <c r="X51" s="452">
        <v>0.13</v>
      </c>
      <c r="Y51" s="416"/>
      <c r="Z51" s="399">
        <f>Z50*X51</f>
        <v>8.0746821999999998</v>
      </c>
      <c r="AA51" s="132"/>
      <c r="AB51" s="400">
        <f t="shared" si="66"/>
        <v>0.36933431599999977</v>
      </c>
      <c r="AC51" s="401">
        <f t="shared" si="67"/>
        <v>4.7932205211255297E-2</v>
      </c>
      <c r="AD51" s="52"/>
      <c r="AE51" s="452">
        <v>0.13</v>
      </c>
      <c r="AF51" s="416"/>
      <c r="AG51" s="399">
        <f>AG50*AE51</f>
        <v>8.2722821999999994</v>
      </c>
      <c r="AH51" s="132"/>
      <c r="AI51" s="400">
        <f t="shared" si="68"/>
        <v>0.19759999999999955</v>
      </c>
      <c r="AJ51" s="401">
        <f t="shared" si="69"/>
        <v>2.4471551338577705E-2</v>
      </c>
      <c r="AK51" s="402"/>
      <c r="AL51" s="452">
        <v>0.13</v>
      </c>
      <c r="AM51" s="416"/>
      <c r="AN51" s="399">
        <f>AN50*AL51</f>
        <v>8.4529821999999992</v>
      </c>
      <c r="AO51" s="132"/>
      <c r="AP51" s="400">
        <f t="shared" si="70"/>
        <v>0.18069999999999986</v>
      </c>
      <c r="AQ51" s="401">
        <f t="shared" si="71"/>
        <v>2.1844032351797653E-2</v>
      </c>
    </row>
    <row r="52" spans="1:43" ht="12" customHeight="1">
      <c r="A52" s="52"/>
      <c r="B52" s="453" t="s">
        <v>321</v>
      </c>
      <c r="C52" s="321"/>
      <c r="D52" s="321"/>
      <c r="E52" s="321"/>
      <c r="F52" s="454"/>
      <c r="G52" s="416"/>
      <c r="H52" s="399">
        <f>H50+H51</f>
        <v>57.669991377999999</v>
      </c>
      <c r="I52" s="52"/>
      <c r="J52" s="416"/>
      <c r="K52" s="416"/>
      <c r="L52" s="399">
        <f>L50+L51</f>
        <v>64.016654683999988</v>
      </c>
      <c r="M52" s="132"/>
      <c r="N52" s="400">
        <f t="shared" si="62"/>
        <v>6.3466633059999893</v>
      </c>
      <c r="O52" s="401">
        <f t="shared" si="63"/>
        <v>0.11005140029240788</v>
      </c>
      <c r="P52" s="52"/>
      <c r="Q52" s="416"/>
      <c r="R52" s="416"/>
      <c r="S52" s="399">
        <f>S50+S51</f>
        <v>66.977254684000002</v>
      </c>
      <c r="T52" s="132"/>
      <c r="U52" s="400">
        <f t="shared" si="64"/>
        <v>2.9606000000000137</v>
      </c>
      <c r="V52" s="401">
        <f t="shared" si="65"/>
        <v>4.6247340080705149E-2</v>
      </c>
      <c r="W52" s="52"/>
      <c r="X52" s="416"/>
      <c r="Y52" s="416"/>
      <c r="Z52" s="399">
        <f>Z50+Z51</f>
        <v>70.187622199999993</v>
      </c>
      <c r="AA52" s="132"/>
      <c r="AB52" s="400">
        <f t="shared" si="66"/>
        <v>3.2103675159999909</v>
      </c>
      <c r="AC52" s="401">
        <f t="shared" si="67"/>
        <v>4.7932205211255192E-2</v>
      </c>
      <c r="AD52" s="52"/>
      <c r="AE52" s="416"/>
      <c r="AF52" s="416"/>
      <c r="AG52" s="399">
        <f>AG50+AG51</f>
        <v>71.905222199999997</v>
      </c>
      <c r="AH52" s="132"/>
      <c r="AI52" s="400">
        <f t="shared" si="68"/>
        <v>1.7176000000000045</v>
      </c>
      <c r="AJ52" s="401">
        <f t="shared" si="69"/>
        <v>2.4471551338577823E-2</v>
      </c>
      <c r="AK52" s="402"/>
      <c r="AL52" s="416"/>
      <c r="AM52" s="416"/>
      <c r="AN52" s="399">
        <f>AN50+AN51</f>
        <v>73.475922199999985</v>
      </c>
      <c r="AO52" s="132"/>
      <c r="AP52" s="400">
        <f t="shared" si="70"/>
        <v>1.570699999999988</v>
      </c>
      <c r="AQ52" s="401">
        <f t="shared" si="71"/>
        <v>2.1844032351797504E-2</v>
      </c>
    </row>
    <row r="53" spans="1:43" ht="12" customHeight="1">
      <c r="A53" s="52"/>
      <c r="B53" s="632" t="s">
        <v>277</v>
      </c>
      <c r="C53" s="623"/>
      <c r="D53" s="623"/>
      <c r="E53" s="321"/>
      <c r="F53" s="455">
        <f>'Proposed Rates'!E290</f>
        <v>0.23499999999999999</v>
      </c>
      <c r="G53" s="416"/>
      <c r="H53" s="456">
        <f>F53*H50</f>
        <v>11.993316791</v>
      </c>
      <c r="I53" s="52"/>
      <c r="J53" s="457">
        <f>'Proposed Rates'!F290</f>
        <v>0.23499999999999999</v>
      </c>
      <c r="K53" s="416"/>
      <c r="L53" s="456">
        <f>J53*L50</f>
        <v>13.313198097999997</v>
      </c>
      <c r="M53" s="132"/>
      <c r="N53" s="456">
        <f t="shared" si="62"/>
        <v>1.3198813069999975</v>
      </c>
      <c r="O53" s="458">
        <f t="shared" si="63"/>
        <v>0.11005140029240787</v>
      </c>
      <c r="P53" s="52"/>
      <c r="Q53" s="457">
        <f>'Proposed Rates'!G290</f>
        <v>0.23499999999999999</v>
      </c>
      <c r="R53" s="416"/>
      <c r="S53" s="456">
        <f>Q53*S50</f>
        <v>13.928898097999998</v>
      </c>
      <c r="T53" s="132"/>
      <c r="U53" s="456">
        <f t="shared" si="64"/>
        <v>0.61570000000000036</v>
      </c>
      <c r="V53" s="458">
        <f t="shared" si="65"/>
        <v>4.6247340080704961E-2</v>
      </c>
      <c r="W53" s="52"/>
      <c r="X53" s="457">
        <f>'Proposed Rates'!H290</f>
        <v>0.23499999999999999</v>
      </c>
      <c r="Y53" s="416"/>
      <c r="Z53" s="456">
        <f>X53*Z50</f>
        <v>14.596540899999997</v>
      </c>
      <c r="AA53" s="132"/>
      <c r="AB53" s="456">
        <f t="shared" si="66"/>
        <v>0.66764280199999959</v>
      </c>
      <c r="AC53" s="458">
        <f t="shared" si="67"/>
        <v>4.7932205211255303E-2</v>
      </c>
      <c r="AD53" s="52"/>
      <c r="AE53" s="457">
        <f>'Proposed Rates'!I290</f>
        <v>0.23499999999999999</v>
      </c>
      <c r="AF53" s="416"/>
      <c r="AG53" s="456">
        <f>AE53*AG50</f>
        <v>14.953740899999996</v>
      </c>
      <c r="AH53" s="132"/>
      <c r="AI53" s="456">
        <f t="shared" si="68"/>
        <v>0.35719999999999885</v>
      </c>
      <c r="AJ53" s="458">
        <f t="shared" si="69"/>
        <v>2.4471551338577684E-2</v>
      </c>
      <c r="AK53" s="459"/>
      <c r="AL53" s="457">
        <f>'Proposed Rates'!J290</f>
        <v>0.23499999999999999</v>
      </c>
      <c r="AM53" s="416"/>
      <c r="AN53" s="456">
        <f>AL53*AN50</f>
        <v>15.280390899999997</v>
      </c>
      <c r="AO53" s="132"/>
      <c r="AP53" s="456">
        <f t="shared" si="70"/>
        <v>0.32665000000000077</v>
      </c>
      <c r="AQ53" s="458">
        <f t="shared" si="71"/>
        <v>2.1844032351797726E-2</v>
      </c>
    </row>
    <row r="54" spans="1:43" ht="12" customHeight="1">
      <c r="A54" s="52"/>
      <c r="B54" s="634" t="s">
        <v>322</v>
      </c>
      <c r="C54" s="615"/>
      <c r="D54" s="615"/>
      <c r="E54" s="460"/>
      <c r="F54" s="461"/>
      <c r="G54" s="462"/>
      <c r="H54" s="463">
        <f>H52-H53</f>
        <v>45.676674587000001</v>
      </c>
      <c r="I54" s="52"/>
      <c r="J54" s="462"/>
      <c r="K54" s="462"/>
      <c r="L54" s="463">
        <f>L52-L53</f>
        <v>50.703456585999987</v>
      </c>
      <c r="M54" s="464"/>
      <c r="N54" s="465">
        <f t="shared" si="62"/>
        <v>5.0267819989999865</v>
      </c>
      <c r="O54" s="466">
        <f t="shared" si="63"/>
        <v>0.11005140029240777</v>
      </c>
      <c r="P54" s="52"/>
      <c r="Q54" s="462"/>
      <c r="R54" s="462"/>
      <c r="S54" s="463">
        <f>S52-S53</f>
        <v>53.048356586000004</v>
      </c>
      <c r="T54" s="464"/>
      <c r="U54" s="465">
        <f t="shared" si="64"/>
        <v>2.3449000000000169</v>
      </c>
      <c r="V54" s="466">
        <f t="shared" si="65"/>
        <v>4.6247340080705274E-2</v>
      </c>
      <c r="W54" s="52"/>
      <c r="X54" s="462"/>
      <c r="Y54" s="462"/>
      <c r="Z54" s="463">
        <f>Z52-Z53</f>
        <v>55.591081299999999</v>
      </c>
      <c r="AA54" s="464"/>
      <c r="AB54" s="465">
        <f t="shared" si="66"/>
        <v>2.5427247139999949</v>
      </c>
      <c r="AC54" s="466">
        <f t="shared" si="67"/>
        <v>4.7932205211255227E-2</v>
      </c>
      <c r="AD54" s="52"/>
      <c r="AE54" s="462"/>
      <c r="AF54" s="462"/>
      <c r="AG54" s="463">
        <f>AG52-AG53</f>
        <v>56.951481299999998</v>
      </c>
      <c r="AH54" s="464"/>
      <c r="AI54" s="465">
        <f t="shared" si="68"/>
        <v>1.3603999999999985</v>
      </c>
      <c r="AJ54" s="466">
        <f t="shared" si="69"/>
        <v>2.4471551338577733E-2</v>
      </c>
      <c r="AK54" s="467"/>
      <c r="AL54" s="462"/>
      <c r="AM54" s="462"/>
      <c r="AN54" s="463">
        <f>AN52-AN53</f>
        <v>58.195531299999985</v>
      </c>
      <c r="AO54" s="464"/>
      <c r="AP54" s="465">
        <f t="shared" si="70"/>
        <v>1.2440499999999872</v>
      </c>
      <c r="AQ54" s="466">
        <f t="shared" si="71"/>
        <v>2.1844032351797445E-2</v>
      </c>
    </row>
    <row r="55" spans="1:43" ht="12" customHeight="1">
      <c r="A55" s="52"/>
      <c r="B55" s="433"/>
      <c r="C55" s="434"/>
      <c r="D55" s="434"/>
      <c r="E55" s="434"/>
      <c r="F55" s="435"/>
      <c r="G55" s="436"/>
      <c r="H55" s="437"/>
      <c r="I55" s="52"/>
      <c r="J55" s="435"/>
      <c r="K55" s="436"/>
      <c r="L55" s="437"/>
      <c r="M55" s="439"/>
      <c r="N55" s="440"/>
      <c r="O55" s="441"/>
      <c r="P55" s="52"/>
      <c r="Q55" s="435"/>
      <c r="R55" s="436"/>
      <c r="S55" s="437"/>
      <c r="T55" s="439"/>
      <c r="U55" s="440"/>
      <c r="V55" s="441"/>
      <c r="W55" s="52"/>
      <c r="X55" s="435"/>
      <c r="Y55" s="436"/>
      <c r="Z55" s="437"/>
      <c r="AA55" s="439"/>
      <c r="AB55" s="440"/>
      <c r="AC55" s="441"/>
      <c r="AD55" s="52"/>
      <c r="AE55" s="435"/>
      <c r="AF55" s="436"/>
      <c r="AG55" s="437"/>
      <c r="AH55" s="439"/>
      <c r="AI55" s="440"/>
      <c r="AJ55" s="441"/>
      <c r="AK55" s="442"/>
      <c r="AL55" s="435"/>
      <c r="AM55" s="436"/>
      <c r="AN55" s="437"/>
      <c r="AO55" s="439"/>
      <c r="AP55" s="440"/>
      <c r="AQ55" s="441"/>
    </row>
    <row r="56" spans="1:43" ht="12" customHeight="1">
      <c r="A56" s="52"/>
      <c r="B56" s="443" t="s">
        <v>323</v>
      </c>
      <c r="C56" s="321"/>
      <c r="D56" s="321"/>
      <c r="E56" s="321"/>
      <c r="F56" s="444"/>
      <c r="G56" s="445"/>
      <c r="H56" s="446">
        <f>SUM(H47:H48,H40,H41:H43)</f>
        <v>50.283390599999997</v>
      </c>
      <c r="I56" s="52"/>
      <c r="J56" s="445"/>
      <c r="K56" s="445"/>
      <c r="L56" s="447">
        <f>SUM(L47:L48,L40,L41:L43)</f>
        <v>55.899906799999989</v>
      </c>
      <c r="M56" s="448"/>
      <c r="N56" s="447">
        <f t="shared" ref="N56:N60" si="72">L56-H56</f>
        <v>5.6165161999999924</v>
      </c>
      <c r="O56" s="449">
        <f t="shared" ref="O56:O60" si="73">IF((H56)=0,"",(N56/H56))</f>
        <v>0.11169724501434064</v>
      </c>
      <c r="P56" s="52"/>
      <c r="Q56" s="445"/>
      <c r="R56" s="445"/>
      <c r="S56" s="447">
        <f>SUM(S47:S48,S40,S41:S43)</f>
        <v>58.519906799999994</v>
      </c>
      <c r="T56" s="448"/>
      <c r="U56" s="447">
        <f t="shared" ref="U56:U60" si="74">S56-L56</f>
        <v>2.6200000000000045</v>
      </c>
      <c r="V56" s="449">
        <f t="shared" ref="V56:V60" si="75">IF((L56)=0,"",(U56/L56))</f>
        <v>4.6869487803868841E-2</v>
      </c>
      <c r="W56" s="52"/>
      <c r="X56" s="445"/>
      <c r="Y56" s="445"/>
      <c r="Z56" s="447">
        <f>SUM(Z47:Z48,Z40,Z41:Z43)</f>
        <v>61.360939999999992</v>
      </c>
      <c r="AA56" s="448"/>
      <c r="AB56" s="447">
        <f t="shared" ref="AB56:AB60" si="76">Z56-S56</f>
        <v>2.8410331999999983</v>
      </c>
      <c r="AC56" s="449">
        <f t="shared" ref="AC56:AC60" si="77">IF((S56)=0,"",(AB56/S56))</f>
        <v>4.8548149772514648E-2</v>
      </c>
      <c r="AD56" s="52"/>
      <c r="AE56" s="445"/>
      <c r="AF56" s="445"/>
      <c r="AG56" s="447">
        <f>SUM(AG47:AG48,AG40,AG41:AG43)</f>
        <v>62.880939999999988</v>
      </c>
      <c r="AH56" s="448"/>
      <c r="AI56" s="447">
        <f t="shared" ref="AI56:AI60" si="78">AG56-Z56</f>
        <v>1.519999999999996</v>
      </c>
      <c r="AJ56" s="449">
        <f t="shared" ref="AJ56:AJ60" si="79">IF((Z56)=0,"",(AI56/Z56))</f>
        <v>2.4771458846621259E-2</v>
      </c>
      <c r="AK56" s="450"/>
      <c r="AL56" s="445"/>
      <c r="AM56" s="445"/>
      <c r="AN56" s="447">
        <f>SUM(AN47:AN48,AN40,AN41:AN43)</f>
        <v>64.270939999999996</v>
      </c>
      <c r="AO56" s="448"/>
      <c r="AP56" s="447">
        <f t="shared" ref="AP56:AP60" si="80">AN56-AG56</f>
        <v>1.3900000000000077</v>
      </c>
      <c r="AQ56" s="449">
        <f t="shared" ref="AQ56:AQ60" si="81">IF((AG56)=0,"",(AP56/AG56))</f>
        <v>2.2105267510314063E-2</v>
      </c>
    </row>
    <row r="57" spans="1:43" ht="12" customHeight="1">
      <c r="A57" s="52"/>
      <c r="B57" s="451" t="s">
        <v>320</v>
      </c>
      <c r="C57" s="321"/>
      <c r="D57" s="321"/>
      <c r="E57" s="321"/>
      <c r="F57" s="444">
        <v>0.13</v>
      </c>
      <c r="G57" s="452"/>
      <c r="H57" s="399">
        <f>H56*F57</f>
        <v>6.5368407780000002</v>
      </c>
      <c r="I57" s="52"/>
      <c r="J57" s="444">
        <v>0.13</v>
      </c>
      <c r="K57" s="452"/>
      <c r="L57" s="399">
        <f>L56*J57</f>
        <v>7.2669878839999988</v>
      </c>
      <c r="M57" s="132"/>
      <c r="N57" s="400">
        <f t="shared" si="72"/>
        <v>0.73014710599999866</v>
      </c>
      <c r="O57" s="401">
        <f t="shared" si="73"/>
        <v>0.11169724501434057</v>
      </c>
      <c r="P57" s="52"/>
      <c r="Q57" s="444">
        <v>0.13</v>
      </c>
      <c r="R57" s="452"/>
      <c r="S57" s="399">
        <f>S56*Q57</f>
        <v>7.6075878839999991</v>
      </c>
      <c r="T57" s="132"/>
      <c r="U57" s="400">
        <f t="shared" si="74"/>
        <v>0.34060000000000024</v>
      </c>
      <c r="V57" s="401">
        <f t="shared" si="75"/>
        <v>4.6869487803868792E-2</v>
      </c>
      <c r="W57" s="52"/>
      <c r="X57" s="444">
        <v>0.13</v>
      </c>
      <c r="Y57" s="452"/>
      <c r="Z57" s="399">
        <f>Z56*X57</f>
        <v>7.9769221999999989</v>
      </c>
      <c r="AA57" s="132"/>
      <c r="AB57" s="400">
        <f t="shared" si="76"/>
        <v>0.36933431599999977</v>
      </c>
      <c r="AC57" s="401">
        <f t="shared" si="77"/>
        <v>4.8548149772514648E-2</v>
      </c>
      <c r="AD57" s="52"/>
      <c r="AE57" s="444">
        <v>0.13</v>
      </c>
      <c r="AF57" s="452"/>
      <c r="AG57" s="399">
        <f>AG56*AE57</f>
        <v>8.1745221999999984</v>
      </c>
      <c r="AH57" s="132"/>
      <c r="AI57" s="400">
        <f t="shared" si="78"/>
        <v>0.19759999999999955</v>
      </c>
      <c r="AJ57" s="401">
        <f t="shared" si="79"/>
        <v>2.4771458846621266E-2</v>
      </c>
      <c r="AK57" s="402"/>
      <c r="AL57" s="444">
        <v>0.13</v>
      </c>
      <c r="AM57" s="452"/>
      <c r="AN57" s="399">
        <f>AN56*AL57</f>
        <v>8.3552222</v>
      </c>
      <c r="AO57" s="132"/>
      <c r="AP57" s="400">
        <f t="shared" si="80"/>
        <v>0.18070000000000164</v>
      </c>
      <c r="AQ57" s="401">
        <f t="shared" si="81"/>
        <v>2.210526751031414E-2</v>
      </c>
    </row>
    <row r="58" spans="1:43" ht="12" customHeight="1">
      <c r="A58" s="52"/>
      <c r="B58" s="453" t="s">
        <v>324</v>
      </c>
      <c r="C58" s="321"/>
      <c r="D58" s="321"/>
      <c r="E58" s="321"/>
      <c r="F58" s="454"/>
      <c r="G58" s="416"/>
      <c r="H58" s="399">
        <f>H56+H57</f>
        <v>56.820231377999995</v>
      </c>
      <c r="I58" s="52"/>
      <c r="J58" s="416"/>
      <c r="K58" s="416"/>
      <c r="L58" s="399">
        <f>L56+L57</f>
        <v>63.166894683999985</v>
      </c>
      <c r="M58" s="132"/>
      <c r="N58" s="400">
        <f t="shared" si="72"/>
        <v>6.3466633059999893</v>
      </c>
      <c r="O58" s="401">
        <f t="shared" si="73"/>
        <v>0.1116972450143406</v>
      </c>
      <c r="P58" s="52"/>
      <c r="Q58" s="416"/>
      <c r="R58" s="416"/>
      <c r="S58" s="399">
        <f>S56+S57</f>
        <v>66.127494683999998</v>
      </c>
      <c r="T58" s="132"/>
      <c r="U58" s="400">
        <f t="shared" si="74"/>
        <v>2.9606000000000137</v>
      </c>
      <c r="V58" s="401">
        <f t="shared" si="75"/>
        <v>4.686948780386898E-2</v>
      </c>
      <c r="W58" s="52"/>
      <c r="X58" s="416"/>
      <c r="Y58" s="416"/>
      <c r="Z58" s="399">
        <f>Z56+Z57</f>
        <v>69.337862199999989</v>
      </c>
      <c r="AA58" s="132"/>
      <c r="AB58" s="400">
        <f t="shared" si="76"/>
        <v>3.2103675159999909</v>
      </c>
      <c r="AC58" s="401">
        <f t="shared" si="77"/>
        <v>4.8548149772514537E-2</v>
      </c>
      <c r="AD58" s="52"/>
      <c r="AE58" s="416"/>
      <c r="AF58" s="416"/>
      <c r="AG58" s="399">
        <f>AG56+AG57</f>
        <v>71.055462199999994</v>
      </c>
      <c r="AH58" s="132"/>
      <c r="AI58" s="400">
        <f t="shared" si="78"/>
        <v>1.7176000000000045</v>
      </c>
      <c r="AJ58" s="401">
        <f t="shared" si="79"/>
        <v>2.4771458846621387E-2</v>
      </c>
      <c r="AK58" s="402"/>
      <c r="AL58" s="416"/>
      <c r="AM58" s="416"/>
      <c r="AN58" s="399">
        <f>AN56+AN57</f>
        <v>72.626162199999996</v>
      </c>
      <c r="AO58" s="132"/>
      <c r="AP58" s="400">
        <f t="shared" si="80"/>
        <v>1.5707000000000022</v>
      </c>
      <c r="AQ58" s="401">
        <f t="shared" si="81"/>
        <v>2.210526751031397E-2</v>
      </c>
    </row>
    <row r="59" spans="1:43" ht="12" customHeight="1">
      <c r="A59" s="52"/>
      <c r="B59" s="632" t="s">
        <v>277</v>
      </c>
      <c r="C59" s="623"/>
      <c r="D59" s="623"/>
      <c r="E59" s="321"/>
      <c r="F59" s="455">
        <f>F53</f>
        <v>0.23499999999999999</v>
      </c>
      <c r="G59" s="416"/>
      <c r="H59" s="456">
        <f>F59*H56</f>
        <v>11.816596790999998</v>
      </c>
      <c r="I59" s="52"/>
      <c r="J59" s="457">
        <f>J53</f>
        <v>0.23499999999999999</v>
      </c>
      <c r="K59" s="416"/>
      <c r="L59" s="456">
        <f>J59*L56</f>
        <v>13.136478097999996</v>
      </c>
      <c r="M59" s="132"/>
      <c r="N59" s="456">
        <f t="shared" si="72"/>
        <v>1.3198813069999975</v>
      </c>
      <c r="O59" s="458">
        <f t="shared" si="73"/>
        <v>0.11169724501434058</v>
      </c>
      <c r="P59" s="52"/>
      <c r="Q59" s="457">
        <f>Q53</f>
        <v>0.23499999999999999</v>
      </c>
      <c r="R59" s="416"/>
      <c r="S59" s="456">
        <f>Q59*S56</f>
        <v>13.752178097999998</v>
      </c>
      <c r="T59" s="132"/>
      <c r="U59" s="456">
        <f t="shared" si="74"/>
        <v>0.61570000000000213</v>
      </c>
      <c r="V59" s="458">
        <f t="shared" si="75"/>
        <v>4.6869487803868931E-2</v>
      </c>
      <c r="W59" s="52"/>
      <c r="X59" s="457">
        <f>X53</f>
        <v>0.23499999999999999</v>
      </c>
      <c r="Y59" s="416"/>
      <c r="Z59" s="456">
        <f>X59*Z56</f>
        <v>14.419820899999998</v>
      </c>
      <c r="AA59" s="132"/>
      <c r="AB59" s="456">
        <f t="shared" si="76"/>
        <v>0.66764280199999959</v>
      </c>
      <c r="AC59" s="458">
        <f t="shared" si="77"/>
        <v>4.8548149772514655E-2</v>
      </c>
      <c r="AD59" s="52"/>
      <c r="AE59" s="457">
        <f>AE53</f>
        <v>0.23499999999999999</v>
      </c>
      <c r="AF59" s="416"/>
      <c r="AG59" s="456">
        <f>AE59*AG56</f>
        <v>14.777020899999997</v>
      </c>
      <c r="AH59" s="132"/>
      <c r="AI59" s="456">
        <f t="shared" si="78"/>
        <v>0.35719999999999885</v>
      </c>
      <c r="AJ59" s="458">
        <f t="shared" si="79"/>
        <v>2.4771458846621245E-2</v>
      </c>
      <c r="AK59" s="459"/>
      <c r="AL59" s="457">
        <f>AL53</f>
        <v>0.23499999999999999</v>
      </c>
      <c r="AM59" s="416"/>
      <c r="AN59" s="456">
        <f>AL59*AN56</f>
        <v>15.103670899999997</v>
      </c>
      <c r="AO59" s="132"/>
      <c r="AP59" s="456">
        <f t="shared" si="80"/>
        <v>0.32665000000000077</v>
      </c>
      <c r="AQ59" s="458">
        <f t="shared" si="81"/>
        <v>2.2105267510313994E-2</v>
      </c>
    </row>
    <row r="60" spans="1:43" ht="12" customHeight="1">
      <c r="A60" s="52"/>
      <c r="B60" s="634" t="s">
        <v>325</v>
      </c>
      <c r="C60" s="615"/>
      <c r="D60" s="615"/>
      <c r="E60" s="460"/>
      <c r="F60" s="468"/>
      <c r="G60" s="469"/>
      <c r="H60" s="470">
        <f>H58-H59</f>
        <v>45.003634586999993</v>
      </c>
      <c r="I60" s="52"/>
      <c r="J60" s="469"/>
      <c r="K60" s="469"/>
      <c r="L60" s="470">
        <f>L58-L59</f>
        <v>50.030416585999987</v>
      </c>
      <c r="M60" s="471"/>
      <c r="N60" s="472">
        <f t="shared" si="72"/>
        <v>5.0267819989999936</v>
      </c>
      <c r="O60" s="473">
        <f t="shared" si="73"/>
        <v>0.11169724501434065</v>
      </c>
      <c r="P60" s="52"/>
      <c r="Q60" s="469"/>
      <c r="R60" s="469"/>
      <c r="S60" s="470">
        <f>S58-S59</f>
        <v>52.375316585999997</v>
      </c>
      <c r="T60" s="471"/>
      <c r="U60" s="472">
        <f t="shared" si="74"/>
        <v>2.3449000000000098</v>
      </c>
      <c r="V60" s="473">
        <f t="shared" si="75"/>
        <v>4.6869487803868959E-2</v>
      </c>
      <c r="W60" s="52"/>
      <c r="X60" s="469"/>
      <c r="Y60" s="469"/>
      <c r="Z60" s="470">
        <f>Z58-Z59</f>
        <v>54.918041299999992</v>
      </c>
      <c r="AA60" s="471"/>
      <c r="AB60" s="472">
        <f t="shared" si="76"/>
        <v>2.5427247139999949</v>
      </c>
      <c r="AC60" s="473">
        <f t="shared" si="77"/>
        <v>4.8548149772514579E-2</v>
      </c>
      <c r="AD60" s="52"/>
      <c r="AE60" s="469"/>
      <c r="AF60" s="469"/>
      <c r="AG60" s="470">
        <f>AG58-AG59</f>
        <v>56.278441299999997</v>
      </c>
      <c r="AH60" s="471"/>
      <c r="AI60" s="472">
        <f t="shared" si="78"/>
        <v>1.3604000000000056</v>
      </c>
      <c r="AJ60" s="473">
        <f t="shared" si="79"/>
        <v>2.4771458846621425E-2</v>
      </c>
      <c r="AK60" s="467"/>
      <c r="AL60" s="469"/>
      <c r="AM60" s="469"/>
      <c r="AN60" s="470">
        <f>AN58-AN59</f>
        <v>57.522491299999999</v>
      </c>
      <c r="AO60" s="471"/>
      <c r="AP60" s="472">
        <f t="shared" si="80"/>
        <v>1.2440500000000014</v>
      </c>
      <c r="AQ60" s="473">
        <f t="shared" si="81"/>
        <v>2.2105267510313963E-2</v>
      </c>
    </row>
    <row r="61" spans="1:43" ht="12" customHeight="1">
      <c r="A61" s="52"/>
      <c r="B61" s="433"/>
      <c r="C61" s="434"/>
      <c r="D61" s="434"/>
      <c r="E61" s="434"/>
      <c r="F61" s="474"/>
      <c r="G61" s="475"/>
      <c r="H61" s="440"/>
      <c r="I61" s="52"/>
      <c r="J61" s="474"/>
      <c r="K61" s="475"/>
      <c r="L61" s="440"/>
      <c r="M61" s="439"/>
      <c r="N61" s="476"/>
      <c r="O61" s="441"/>
      <c r="P61" s="52"/>
      <c r="Q61" s="474"/>
      <c r="R61" s="475"/>
      <c r="S61" s="440"/>
      <c r="T61" s="439"/>
      <c r="U61" s="476"/>
      <c r="V61" s="441"/>
      <c r="W61" s="52"/>
      <c r="X61" s="474"/>
      <c r="Y61" s="475"/>
      <c r="Z61" s="440"/>
      <c r="AA61" s="439"/>
      <c r="AB61" s="476"/>
      <c r="AC61" s="441"/>
      <c r="AD61" s="52"/>
      <c r="AE61" s="474"/>
      <c r="AF61" s="475"/>
      <c r="AG61" s="440"/>
      <c r="AH61" s="439"/>
      <c r="AI61" s="476"/>
      <c r="AJ61" s="441"/>
      <c r="AK61" s="442"/>
      <c r="AL61" s="474"/>
      <c r="AM61" s="475"/>
      <c r="AN61" s="440"/>
      <c r="AO61" s="439"/>
      <c r="AP61" s="476"/>
      <c r="AQ61" s="441"/>
    </row>
    <row r="62" spans="1:43" ht="12" customHeight="1">
      <c r="A62" s="52"/>
      <c r="B62" s="52"/>
      <c r="C62" s="52"/>
      <c r="D62" s="52"/>
      <c r="E62" s="52"/>
      <c r="F62" s="52"/>
      <c r="G62" s="52"/>
      <c r="H62" s="190"/>
      <c r="I62" s="52"/>
      <c r="J62" s="52"/>
      <c r="K62" s="52"/>
      <c r="L62" s="190"/>
      <c r="M62" s="52"/>
      <c r="N62" s="52"/>
      <c r="O62" s="52"/>
      <c r="P62" s="52"/>
      <c r="Q62" s="52"/>
      <c r="R62" s="52"/>
      <c r="S62" s="190"/>
      <c r="T62" s="52"/>
      <c r="U62" s="52"/>
      <c r="V62" s="52"/>
      <c r="W62" s="52"/>
      <c r="X62" s="52"/>
      <c r="Y62" s="52"/>
      <c r="Z62" s="190"/>
      <c r="AA62" s="52"/>
      <c r="AB62" s="52"/>
      <c r="AC62" s="52"/>
      <c r="AD62" s="52"/>
      <c r="AE62" s="52"/>
      <c r="AF62" s="52"/>
      <c r="AG62" s="190"/>
      <c r="AH62" s="52"/>
      <c r="AI62" s="52"/>
      <c r="AJ62" s="52"/>
      <c r="AK62" s="52"/>
      <c r="AL62" s="52"/>
      <c r="AM62" s="52"/>
      <c r="AN62" s="190"/>
      <c r="AO62" s="52"/>
      <c r="AP62" s="52"/>
      <c r="AQ62" s="52"/>
    </row>
    <row r="63" spans="1:43" ht="12" customHeight="1">
      <c r="A63" s="52"/>
      <c r="B63" s="307" t="s">
        <v>326</v>
      </c>
      <c r="C63" s="52"/>
      <c r="D63" s="52"/>
      <c r="E63" s="52"/>
      <c r="F63" s="477">
        <f>'Proposed Rates'!$E$303</f>
        <v>3.3799999999999997E-2</v>
      </c>
      <c r="G63" s="52"/>
      <c r="H63" s="52"/>
      <c r="I63" s="52"/>
      <c r="J63" s="477">
        <f>'Proposed Rates'!$F$303</f>
        <v>3.32E-2</v>
      </c>
      <c r="K63" s="52"/>
      <c r="L63" s="52"/>
      <c r="M63" s="52"/>
      <c r="N63" s="52"/>
      <c r="O63" s="52"/>
      <c r="P63" s="52"/>
      <c r="Q63" s="477">
        <f>'Proposed Rates'!$G$303</f>
        <v>3.32E-2</v>
      </c>
      <c r="R63" s="52"/>
      <c r="S63" s="52"/>
      <c r="T63" s="52"/>
      <c r="U63" s="52"/>
      <c r="V63" s="52"/>
      <c r="W63" s="52"/>
      <c r="X63" s="477">
        <f>'Proposed Rates'!$H$303</f>
        <v>3.32E-2</v>
      </c>
      <c r="Y63" s="52"/>
      <c r="Z63" s="52"/>
      <c r="AA63" s="52"/>
      <c r="AB63" s="52"/>
      <c r="AC63" s="52"/>
      <c r="AD63" s="52"/>
      <c r="AE63" s="477">
        <f>'Proposed Rates'!$I$303</f>
        <v>3.32E-2</v>
      </c>
      <c r="AF63" s="52"/>
      <c r="AG63" s="52"/>
      <c r="AH63" s="52"/>
      <c r="AI63" s="52"/>
      <c r="AJ63" s="52"/>
      <c r="AK63" s="52"/>
      <c r="AL63" s="477">
        <f>'Proposed Rates'!$J$303</f>
        <v>3.32E-2</v>
      </c>
      <c r="AM63" s="52"/>
      <c r="AN63" s="52"/>
      <c r="AO63" s="52"/>
      <c r="AP63" s="52"/>
      <c r="AQ63" s="52"/>
    </row>
    <row r="64" spans="1:43" ht="12"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row>
    <row r="65" spans="1:43" ht="12" customHeight="1">
      <c r="A65" s="478" t="s">
        <v>327</v>
      </c>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row>
    <row r="66" spans="1:43" ht="12"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row>
    <row r="67" spans="1:43" ht="12" customHeight="1">
      <c r="A67" s="52" t="s">
        <v>328</v>
      </c>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row>
    <row r="68" spans="1:43" ht="12" customHeight="1">
      <c r="A68" s="52" t="s">
        <v>329</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row>
    <row r="69" spans="1:43" ht="12"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row>
    <row r="70" spans="1:43" ht="12" customHeight="1">
      <c r="A70" s="52" t="s">
        <v>330</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row>
    <row r="71" spans="1:43" ht="12" customHeight="1">
      <c r="A71" s="52" t="s">
        <v>331</v>
      </c>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row>
    <row r="72" spans="1:43" ht="12"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row>
    <row r="73" spans="1:43" ht="12" customHeight="1">
      <c r="A73" s="52" t="s">
        <v>332</v>
      </c>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row>
    <row r="74" spans="1:43" ht="12" customHeight="1">
      <c r="A74" s="52" t="s">
        <v>333</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row>
    <row r="75" spans="1:43" ht="12" customHeight="1">
      <c r="A75" s="52" t="s">
        <v>334</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row>
    <row r="76" spans="1:43" ht="12" customHeight="1">
      <c r="A76" s="52" t="s">
        <v>335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row>
    <row r="77" spans="1:43" ht="12" customHeight="1">
      <c r="A77" s="52" t="s">
        <v>336</v>
      </c>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row>
    <row r="78" spans="1:43" ht="12"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row>
    <row r="79" spans="1:43" ht="12" customHeight="1">
      <c r="A79" s="479"/>
      <c r="B79" s="52" t="s">
        <v>337</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row>
    <row r="80" spans="1:43" ht="12"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row>
    <row r="81" spans="1:43" ht="12" customHeight="1">
      <c r="A81" s="52"/>
      <c r="B81" s="52" t="s">
        <v>338</v>
      </c>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row>
    <row r="82" spans="1:43" ht="12"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row>
    <row r="83" spans="1:43" ht="12"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row>
    <row r="84" spans="1:43" ht="12"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row>
    <row r="85" spans="1:43" ht="12"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row>
    <row r="86" spans="1:43" ht="12"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row>
    <row r="87" spans="1:43" ht="12"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row>
    <row r="88" spans="1:43" ht="12"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row>
    <row r="89" spans="1:43" ht="12"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row>
    <row r="90" spans="1:43" ht="12"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row>
    <row r="91" spans="1:43" ht="12"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row>
    <row r="92" spans="1:43" ht="12"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row>
    <row r="93" spans="1:43" ht="12"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row>
    <row r="94" spans="1:43" ht="12"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row>
    <row r="95" spans="1:43" ht="12"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row>
    <row r="96" spans="1:43" ht="12"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row>
    <row r="97" spans="1:43" ht="12"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row>
    <row r="98" spans="1:43" ht="12"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row>
    <row r="99" spans="1:43" ht="12"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row>
    <row r="100" spans="1:43" ht="12"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row>
    <row r="101" spans="1:43" ht="12" customHeight="1">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row>
    <row r="102" spans="1:43" ht="12" customHeight="1">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row>
    <row r="103" spans="1:43" ht="12" customHeight="1">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row>
    <row r="104" spans="1:43" ht="12" customHeight="1">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row>
    <row r="105" spans="1:43" ht="12" customHeight="1">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row>
    <row r="106" spans="1:43" ht="12" customHeight="1">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row>
    <row r="107" spans="1:43" ht="12" customHeight="1">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row>
    <row r="108" spans="1:43" ht="12" customHeight="1">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row>
    <row r="109" spans="1:43" ht="12" customHeight="1">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row>
    <row r="110" spans="1:43" ht="12" customHeight="1">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row>
    <row r="111" spans="1:43" ht="12" customHeight="1">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row>
    <row r="112" spans="1:43" ht="12" customHeight="1">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row>
    <row r="113" spans="1:43" ht="12" customHeight="1">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row>
    <row r="114" spans="1:43" ht="12" customHeight="1">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row>
    <row r="115" spans="1:43" ht="12" customHeight="1">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row>
    <row r="116" spans="1:43" ht="12" customHeight="1">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row>
    <row r="117" spans="1:43" ht="12" customHeight="1">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row>
    <row r="118" spans="1:43" ht="12" customHeight="1">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row>
    <row r="119" spans="1:43" ht="12" customHeight="1">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row>
    <row r="120" spans="1:43" ht="12" customHeight="1">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row>
    <row r="121" spans="1:43" ht="12" customHeight="1">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row>
    <row r="122" spans="1:43" ht="12" customHeight="1">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row>
    <row r="123" spans="1:43" ht="12" customHeight="1">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row>
    <row r="124" spans="1:43" ht="12" customHeight="1">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row>
    <row r="125" spans="1:43" ht="12" customHeight="1">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row>
    <row r="126" spans="1:43" ht="12" customHeight="1">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row>
    <row r="127" spans="1:43" ht="12" customHeight="1">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row>
    <row r="128" spans="1:43" ht="12" customHeight="1">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row>
    <row r="129" spans="1:43" ht="12" customHeight="1">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row>
    <row r="130" spans="1:43" ht="12" customHeight="1">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row>
    <row r="131" spans="1:43" ht="12" customHeight="1">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row>
    <row r="132" spans="1:43" ht="12" customHeight="1">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row>
    <row r="133" spans="1:43" ht="12" customHeight="1">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row>
    <row r="134" spans="1:43" ht="12" customHeight="1">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row>
    <row r="135" spans="1:43" ht="12" customHeight="1">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row>
    <row r="136" spans="1:43" ht="12" customHeight="1">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row>
    <row r="137" spans="1:43" ht="12" customHeight="1">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row>
    <row r="138" spans="1:43" ht="12" customHeight="1">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row>
    <row r="139" spans="1:43" ht="12" customHeight="1">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row>
    <row r="140" spans="1:43" ht="12" customHeight="1">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row>
    <row r="141" spans="1:43" ht="12" customHeight="1">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row>
    <row r="142" spans="1:43" ht="12" customHeight="1">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row>
    <row r="143" spans="1:43" ht="12" customHeight="1">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row>
    <row r="144" spans="1:43" ht="12" customHeight="1">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row>
    <row r="145" spans="1:43" ht="12" customHeight="1">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row>
    <row r="146" spans="1:43" ht="12" customHeight="1">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row>
    <row r="147" spans="1:43" ht="12" customHeight="1">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row>
    <row r="148" spans="1:43" ht="12" customHeight="1">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row>
    <row r="149" spans="1:43" ht="12" customHeight="1">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row>
    <row r="150" spans="1:43" ht="12" customHeight="1">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row>
    <row r="151" spans="1:43" ht="12" customHeight="1">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row>
    <row r="152" spans="1:43" ht="12" customHeight="1">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row>
    <row r="153" spans="1:43" ht="12" customHeight="1">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row>
    <row r="154" spans="1:43" ht="12" customHeight="1">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row>
    <row r="155" spans="1:43" ht="12" customHeight="1">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row>
    <row r="156" spans="1:43" ht="12" customHeight="1">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row>
    <row r="157" spans="1:43" ht="12" customHeight="1">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row>
    <row r="158" spans="1:43" ht="12" customHeight="1">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row>
    <row r="159" spans="1:43" ht="12" customHeight="1">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row>
    <row r="160" spans="1:43" ht="12" customHeight="1">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row>
    <row r="161" spans="1:43" ht="12" customHeight="1">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row>
    <row r="162" spans="1:43" ht="12" customHeight="1">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row>
    <row r="163" spans="1:43" ht="12" customHeight="1">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row>
    <row r="164" spans="1:43" ht="12" customHeight="1">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row>
    <row r="165" spans="1:43" ht="12" customHeight="1">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row>
    <row r="166" spans="1:43" ht="12" customHeight="1">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row>
    <row r="167" spans="1:43" ht="12" customHeight="1">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row>
    <row r="168" spans="1:43" ht="12" customHeight="1">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row>
    <row r="169" spans="1:43" ht="12" customHeight="1">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row>
    <row r="170" spans="1:43" ht="12" customHeight="1">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row>
    <row r="171" spans="1:43" ht="12" customHeight="1">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row>
    <row r="172" spans="1:43" ht="12" customHeight="1">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row>
    <row r="173" spans="1:43" ht="12" customHeight="1">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row>
    <row r="174" spans="1:43" ht="12" customHeight="1">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row>
    <row r="175" spans="1:43" ht="12" customHeight="1">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row>
    <row r="176" spans="1:43" ht="12" customHeight="1">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row>
    <row r="177" spans="1:43" ht="12" customHeight="1">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row>
    <row r="178" spans="1:43" ht="12" customHeight="1">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row>
    <row r="179" spans="1:43" ht="12" customHeight="1">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row>
    <row r="180" spans="1:43" ht="12" customHeight="1">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row>
    <row r="181" spans="1:43" ht="12" customHeight="1">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row>
    <row r="182" spans="1:43" ht="12" customHeight="1">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row>
    <row r="183" spans="1:43" ht="12" customHeight="1">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row>
    <row r="184" spans="1:43" ht="12" customHeight="1">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row>
    <row r="185" spans="1:43" ht="12" customHeight="1">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row>
    <row r="186" spans="1:43" ht="12" customHeight="1">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row>
    <row r="187" spans="1:43" ht="12" customHeight="1">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row>
    <row r="188" spans="1:43" ht="12" customHeight="1">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row>
    <row r="189" spans="1:43" ht="12" customHeight="1">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row>
    <row r="190" spans="1:43" ht="12" customHeight="1">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row>
    <row r="191" spans="1:43" ht="12" customHeight="1">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row>
    <row r="192" spans="1:43" ht="12" customHeight="1">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row>
    <row r="193" spans="1:43" ht="12" customHeight="1">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row>
    <row r="194" spans="1:43" ht="12" customHeight="1">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row>
    <row r="195" spans="1:43" ht="12" customHeight="1">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row>
    <row r="196" spans="1:43" ht="12" customHeight="1">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row>
    <row r="197" spans="1:43" ht="12" customHeight="1">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row>
    <row r="198" spans="1:43" ht="12" customHeight="1">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row>
    <row r="199" spans="1:43" ht="12" customHeight="1">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row>
    <row r="200" spans="1:43" ht="12" customHeight="1">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row>
    <row r="201" spans="1:43" ht="12" customHeight="1">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row>
    <row r="202" spans="1:43" ht="12" customHeight="1">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row>
    <row r="203" spans="1:43" ht="12" customHeight="1">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row>
    <row r="204" spans="1:43" ht="12" customHeight="1">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row>
    <row r="205" spans="1:43" ht="12" customHeight="1">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row>
    <row r="206" spans="1:43" ht="12" customHeight="1">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row>
    <row r="207" spans="1:43" ht="12" customHeight="1">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row>
    <row r="208" spans="1:43" ht="12" customHeight="1">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row>
    <row r="209" spans="1:43" ht="12" customHeight="1">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row>
    <row r="210" spans="1:43" ht="12" customHeight="1">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row>
    <row r="211" spans="1:43" ht="12" customHeight="1">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row>
    <row r="212" spans="1:43" ht="12" customHeight="1">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row>
    <row r="213" spans="1:43" ht="12" customHeight="1">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row>
    <row r="214" spans="1:43" ht="12" customHeight="1">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row>
    <row r="215" spans="1:43" ht="12" customHeight="1">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row>
    <row r="216" spans="1:43" ht="12" customHeight="1">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row>
    <row r="217" spans="1:43" ht="12" customHeight="1">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row>
    <row r="218" spans="1:43" ht="12" customHeight="1">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row>
    <row r="219" spans="1:43" ht="12" customHeight="1">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row>
    <row r="220" spans="1:43" ht="12" customHeight="1">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row>
    <row r="221" spans="1:43" ht="12" customHeight="1">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row>
    <row r="222" spans="1:43" ht="12" customHeight="1">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row>
    <row r="223" spans="1:43" ht="12" customHeight="1">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row>
    <row r="224" spans="1:43" ht="12" customHeight="1">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row>
    <row r="225" spans="1:43" ht="12" customHeight="1">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row>
    <row r="226" spans="1:43" ht="12" customHeight="1">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row>
    <row r="227" spans="1:43" ht="12" customHeight="1">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row>
    <row r="228" spans="1:43" ht="12" customHeight="1">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row>
    <row r="229" spans="1:43" ht="12"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row>
    <row r="230" spans="1:43" ht="12"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row>
    <row r="231" spans="1:43" ht="12"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row>
    <row r="232" spans="1:43" ht="12"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row>
    <row r="233" spans="1:43" ht="12"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row>
    <row r="234" spans="1:43" ht="12"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row>
    <row r="235" spans="1:43" ht="12"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row>
    <row r="236" spans="1:43" ht="12"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row>
    <row r="237" spans="1:43" ht="12"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row>
    <row r="238" spans="1:43" ht="12"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row>
    <row r="239" spans="1:43" ht="12"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row>
    <row r="240" spans="1:43" ht="12"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row>
    <row r="241" spans="1:43" ht="12"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row>
    <row r="242" spans="1:43" ht="12"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row>
    <row r="243" spans="1:43" ht="12"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row>
    <row r="244" spans="1:43" ht="12"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row>
    <row r="245" spans="1:43" ht="12"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row>
    <row r="246" spans="1:43" ht="12"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row>
    <row r="247" spans="1:43" ht="12"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row>
    <row r="248" spans="1:43" ht="12"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row>
    <row r="249" spans="1:43" ht="12"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row>
    <row r="250" spans="1:43" ht="12"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row>
    <row r="251" spans="1:43" ht="12"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row>
    <row r="252" spans="1:43" ht="12"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row>
    <row r="253" spans="1:43" ht="12"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row>
    <row r="254" spans="1:43" ht="12"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row>
    <row r="255" spans="1:43" ht="12"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row>
    <row r="256" spans="1:43" ht="12"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row>
    <row r="257" spans="1:43" ht="12"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row>
    <row r="258" spans="1:43" ht="12"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row>
    <row r="259" spans="1:43" ht="12"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row>
    <row r="260" spans="1:43" ht="12"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row>
    <row r="261" spans="1:43" ht="12"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row>
    <row r="262" spans="1:43" ht="12"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row>
    <row r="263" spans="1:43" ht="12"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row>
    <row r="264" spans="1:43" ht="12"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row>
    <row r="265" spans="1:43" ht="12"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row>
    <row r="266" spans="1:43" ht="12"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row>
    <row r="267" spans="1:43" ht="12"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row>
    <row r="268" spans="1:43" ht="12"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row>
    <row r="269" spans="1:43" ht="12"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row>
    <row r="270" spans="1:43" ht="12"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row>
    <row r="271" spans="1:43" ht="12"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row>
    <row r="272" spans="1:43" ht="12"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row>
    <row r="273" spans="1:43" ht="12"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row>
    <row r="274" spans="1:43" ht="12"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row>
    <row r="275" spans="1:43" ht="12"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row>
    <row r="276" spans="1:43" ht="12"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row>
    <row r="277" spans="1:43" ht="12"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row>
    <row r="278" spans="1:43" ht="12"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row>
    <row r="279" spans="1:43" ht="12"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row>
    <row r="280" spans="1:43" ht="12"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row>
    <row r="281" spans="1:43" ht="12"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800-000000000000}">
      <formula1>"TOU,non-TOU"</formula1>
    </dataValidation>
    <dataValidation type="list" allowBlank="1" showErrorMessage="1" sqref="E15:E28 E30:E36 E38:E39 E41:E49 E55 E61" xr:uid="{00000000-0002-0000-0800-000001000000}">
      <formula1>#REF!</formula1>
    </dataValidation>
    <dataValidation type="list" allowBlank="1" showInputMessage="1" showErrorMessage="1" prompt="Select Charge Unit - monthly, per kWh, per kW" sqref="D15:D28 D30:D36 D38:D39 D41:D49 D55 D61" xr:uid="{00000000-0002-0000-0800-000002000000}">
      <formula1>"Monthly,per kWh,per kW"</formula1>
    </dataValidation>
  </dataValidations>
  <pageMargins left="0.74803149606299213" right="0.74803149606299213" top="0.98425196850393704" bottom="0.98425196850393704"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Summary</vt:lpstr>
      <vt:lpstr>2026</vt:lpstr>
      <vt:lpstr>Summary for future Impacts</vt:lpstr>
      <vt:lpstr>2027</vt:lpstr>
      <vt:lpstr>2028</vt:lpstr>
      <vt:lpstr>2029</vt:lpstr>
      <vt:lpstr>2030</vt:lpstr>
      <vt:lpstr>Proposed Rates</vt:lpstr>
      <vt:lpstr>Res (100)</vt:lpstr>
      <vt:lpstr>Res (232)</vt:lpstr>
      <vt:lpstr>Res (250)</vt:lpstr>
      <vt:lpstr>Res (500)</vt:lpstr>
      <vt:lpstr>Res (620)</vt:lpstr>
      <vt:lpstr>Res (640)</vt:lpstr>
      <vt:lpstr>Res (750)</vt:lpstr>
      <vt:lpstr>Res (1000)</vt:lpstr>
      <vt:lpstr>Res (1500)</vt:lpstr>
      <vt:lpstr>Res (2000)</vt:lpstr>
      <vt:lpstr>SC (1000)</vt:lpstr>
      <vt:lpstr>SC (2000)</vt:lpstr>
      <vt:lpstr>SC (2400)</vt:lpstr>
      <vt:lpstr>SC (5000)</vt:lpstr>
      <vt:lpstr>SC (10000)</vt:lpstr>
      <vt:lpstr>SC (15000)</vt:lpstr>
      <vt:lpstr>&gt;50 (100)</vt:lpstr>
      <vt:lpstr>&gt;50 (185)</vt:lpstr>
      <vt:lpstr>&gt;50 (250)</vt:lpstr>
      <vt:lpstr>&gt;50 (250) 51,000</vt:lpstr>
      <vt:lpstr>&gt;50 (500)</vt:lpstr>
      <vt:lpstr>&gt;50 (1000)</vt:lpstr>
      <vt:lpstr>&gt;1500(1925)</vt:lpstr>
      <vt:lpstr>&gt;1500(2500)</vt:lpstr>
      <vt:lpstr>&gt;1500(4000)</vt:lpstr>
      <vt:lpstr>LU(7500)</vt:lpstr>
      <vt:lpstr>LU(7900)</vt:lpstr>
      <vt:lpstr>LU(10000)</vt:lpstr>
      <vt:lpstr>SN (.4)</vt:lpstr>
      <vt:lpstr>StLght(1)</vt:lpstr>
      <vt:lpstr>StLght(50)</vt:lpstr>
      <vt:lpstr>StLght (4910)</vt:lpstr>
      <vt:lpstr>USL (470)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Ladouceur, Melissa</dc:creator>
  <cp:lastModifiedBy>Thompson, Shayne</cp:lastModifiedBy>
  <cp:lastPrinted>2025-12-19T01:26:37Z</cp:lastPrinted>
  <dcterms:created xsi:type="dcterms:W3CDTF">2025-01-31T14:02:41Z</dcterms:created>
  <dcterms:modified xsi:type="dcterms:W3CDTF">2025-12-19T01:58:08Z</dcterms:modified>
</cp:coreProperties>
</file>