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0E9654EC-FC27-4F5D-8889-B7A89DF70D0D}" xr6:coauthVersionLast="47" xr6:coauthVersionMax="47" xr10:uidLastSave="{00000000-0000-0000-0000-000000000000}"/>
  <bookViews>
    <workbookView xWindow="-120" yWindow="-120" windowWidth="29040" windowHeight="15720" xr2:uid="{467B117D-CA9B-42AC-AA5B-F7094585458E}"/>
  </bookViews>
  <sheets>
    <sheet name="Tables" sheetId="2" r:id="rId1"/>
    <sheet name="Data" sheetId="1" r:id="rId2"/>
  </sheets>
  <definedNames>
    <definedName name="_Parse_Out">#REF!</definedName>
    <definedName name="BridgeYear">#REF!</definedName>
    <definedName name="Cash">#REF!</definedName>
    <definedName name="contactf">#REF!</definedName>
    <definedName name="EBNUMBER">#REF!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ebaseYear">#REF!</definedName>
    <definedName name="SALBENF">#REF!</definedName>
    <definedName name="salreg">#REF!</definedName>
    <definedName name="SALREGF">#REF!</definedName>
    <definedName name="TEMPA">#REF!</definedName>
    <definedName name="TestYear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2" l="1"/>
  <c r="P11" i="2"/>
  <c r="P12" i="2"/>
  <c r="P15" i="2"/>
  <c r="P16" i="2"/>
  <c r="P19" i="2"/>
  <c r="P20" i="2"/>
  <c r="P23" i="2"/>
  <c r="P24" i="2"/>
  <c r="T24" i="2"/>
  <c r="T23" i="2"/>
  <c r="T20" i="2"/>
  <c r="T19" i="2"/>
  <c r="T16" i="2"/>
  <c r="T15" i="2"/>
  <c r="T12" i="2"/>
  <c r="T11" i="2"/>
  <c r="AA42" i="1" l="1"/>
  <c r="Z42" i="1"/>
  <c r="AB42" i="1" s="1"/>
  <c r="AE41" i="1"/>
  <c r="AD41" i="1"/>
  <c r="AA41" i="1"/>
  <c r="Z41" i="1"/>
  <c r="AA40" i="1"/>
  <c r="Z40" i="1"/>
  <c r="AA39" i="1"/>
  <c r="Z39" i="1"/>
  <c r="AE38" i="1"/>
  <c r="AD38" i="1"/>
  <c r="AA38" i="1"/>
  <c r="Z38" i="1"/>
  <c r="AB38" i="1" s="1"/>
  <c r="AE37" i="1"/>
  <c r="AD37" i="1"/>
  <c r="AA37" i="1"/>
  <c r="Z37" i="1"/>
  <c r="AA36" i="1"/>
  <c r="Z36" i="1"/>
  <c r="AE35" i="1"/>
  <c r="AD35" i="1"/>
  <c r="AA35" i="1"/>
  <c r="Z35" i="1"/>
  <c r="AA34" i="1"/>
  <c r="Z34" i="1"/>
  <c r="AE33" i="1"/>
  <c r="AD33" i="1"/>
  <c r="AF33" i="1" s="1"/>
  <c r="AA33" i="1"/>
  <c r="Z33" i="1"/>
  <c r="AA32" i="1"/>
  <c r="Z32" i="1"/>
  <c r="AE31" i="1"/>
  <c r="AD31" i="1"/>
  <c r="AF31" i="1" s="1"/>
  <c r="AA31" i="1"/>
  <c r="Z31" i="1"/>
  <c r="AE29" i="1"/>
  <c r="AD29" i="1"/>
  <c r="AF29" i="1" s="1"/>
  <c r="AA29" i="1"/>
  <c r="Z29" i="1"/>
  <c r="AE27" i="1"/>
  <c r="AD27" i="1"/>
  <c r="AA27" i="1"/>
  <c r="Z27" i="1"/>
  <c r="AA26" i="1"/>
  <c r="Z26" i="1"/>
  <c r="AE25" i="1"/>
  <c r="AD25" i="1"/>
  <c r="AA25" i="1"/>
  <c r="Z25" i="1"/>
  <c r="AE24" i="1"/>
  <c r="AD24" i="1"/>
  <c r="AA24" i="1"/>
  <c r="Z24" i="1"/>
  <c r="AE23" i="1"/>
  <c r="AD23" i="1"/>
  <c r="AA23" i="1"/>
  <c r="Z23" i="1"/>
  <c r="AE22" i="1"/>
  <c r="AD22" i="1"/>
  <c r="AA22" i="1"/>
  <c r="Z22" i="1"/>
  <c r="AE21" i="1"/>
  <c r="AD21" i="1"/>
  <c r="AA21" i="1"/>
  <c r="Z21" i="1"/>
  <c r="AE20" i="1"/>
  <c r="AD20" i="1"/>
  <c r="AA20" i="1"/>
  <c r="Z20" i="1"/>
  <c r="AA19" i="1"/>
  <c r="Z19" i="1"/>
  <c r="AE18" i="1"/>
  <c r="AD18" i="1"/>
  <c r="AF18" i="1" s="1"/>
  <c r="AA18" i="1"/>
  <c r="Z18" i="1"/>
  <c r="AA17" i="1"/>
  <c r="Z17" i="1"/>
  <c r="AE16" i="1"/>
  <c r="AD16" i="1"/>
  <c r="AF16" i="1" s="1"/>
  <c r="AA16" i="1"/>
  <c r="Z16" i="1"/>
  <c r="AA15" i="1"/>
  <c r="Z15" i="1"/>
  <c r="AB15" i="1" s="1"/>
  <c r="AE13" i="1"/>
  <c r="AD13" i="1"/>
  <c r="AA13" i="1"/>
  <c r="Z13" i="1"/>
  <c r="AB13" i="1" s="1"/>
  <c r="AE12" i="1"/>
  <c r="AD12" i="1"/>
  <c r="AA12" i="1"/>
  <c r="Z12" i="1"/>
  <c r="AA11" i="1"/>
  <c r="Z11" i="1"/>
  <c r="AE9" i="1"/>
  <c r="AD9" i="1"/>
  <c r="AA9" i="1"/>
  <c r="Z9" i="1"/>
  <c r="AE8" i="1"/>
  <c r="AD8" i="1"/>
  <c r="AA8" i="1"/>
  <c r="Z8" i="1"/>
  <c r="AE7" i="1"/>
  <c r="AD7" i="1"/>
  <c r="AA7" i="1"/>
  <c r="Z7" i="1"/>
  <c r="AE5" i="1"/>
  <c r="AD5" i="1"/>
  <c r="AA5" i="1"/>
  <c r="Z5" i="1"/>
  <c r="AF23" i="1" l="1"/>
  <c r="AF27" i="1"/>
  <c r="AB23" i="1"/>
  <c r="AF41" i="1"/>
  <c r="AB34" i="1"/>
  <c r="AF21" i="1"/>
  <c r="AB24" i="1"/>
  <c r="AB32" i="1"/>
  <c r="X44" i="1"/>
  <c r="G11" i="2" s="1"/>
  <c r="AB22" i="1"/>
  <c r="O44" i="1"/>
  <c r="F11" i="2" s="1"/>
  <c r="X56" i="1"/>
  <c r="G23" i="2" s="1"/>
  <c r="X48" i="1"/>
  <c r="G15" i="2" s="1"/>
  <c r="X50" i="1"/>
  <c r="G17" i="2" s="1"/>
  <c r="X58" i="1"/>
  <c r="G25" i="2" s="1"/>
  <c r="X52" i="1"/>
  <c r="G19" i="2" s="1"/>
  <c r="X54" i="1"/>
  <c r="G21" i="2" s="1"/>
  <c r="AD45" i="1"/>
  <c r="AE45" i="1"/>
  <c r="AE53" i="1"/>
  <c r="AE57" i="1"/>
  <c r="AB31" i="1"/>
  <c r="O57" i="1"/>
  <c r="F24" i="2" s="1"/>
  <c r="O45" i="1"/>
  <c r="F12" i="2" s="1"/>
  <c r="O46" i="1"/>
  <c r="F13" i="2" s="1"/>
  <c r="O53" i="1"/>
  <c r="F20" i="2" s="1"/>
  <c r="X45" i="1"/>
  <c r="G12" i="2" s="1"/>
  <c r="X46" i="1"/>
  <c r="G13" i="2" s="1"/>
  <c r="X53" i="1"/>
  <c r="G20" i="2" s="1"/>
  <c r="AE44" i="1"/>
  <c r="AD44" i="1"/>
  <c r="AA57" i="1"/>
  <c r="Z46" i="1"/>
  <c r="AA45" i="1"/>
  <c r="AA53" i="1"/>
  <c r="Z45" i="1"/>
  <c r="O56" i="1"/>
  <c r="F23" i="2" s="1"/>
  <c r="O48" i="1"/>
  <c r="F15" i="2" s="1"/>
  <c r="O58" i="1"/>
  <c r="F25" i="2" s="1"/>
  <c r="O54" i="1"/>
  <c r="F21" i="2" s="1"/>
  <c r="O50" i="1"/>
  <c r="F17" i="2" s="1"/>
  <c r="O52" i="1"/>
  <c r="F19" i="2" s="1"/>
  <c r="O49" i="1"/>
  <c r="F16" i="2" s="1"/>
  <c r="AD49" i="1"/>
  <c r="X57" i="1"/>
  <c r="G24" i="2" s="1"/>
  <c r="Z57" i="1"/>
  <c r="Z53" i="1"/>
  <c r="AB53" i="1" s="1"/>
  <c r="I20" i="2" s="1"/>
  <c r="AD53" i="1"/>
  <c r="AF53" i="1" s="1"/>
  <c r="J20" i="2" s="1"/>
  <c r="AD57" i="1"/>
  <c r="AF57" i="1" s="1"/>
  <c r="J24" i="2" s="1"/>
  <c r="Z56" i="1"/>
  <c r="Z52" i="1"/>
  <c r="Z50" i="1"/>
  <c r="AA56" i="1"/>
  <c r="AA52" i="1"/>
  <c r="Z48" i="1"/>
  <c r="X49" i="1"/>
  <c r="G16" i="2" s="1"/>
  <c r="AD56" i="1"/>
  <c r="AD52" i="1"/>
  <c r="AB9" i="1"/>
  <c r="Z44" i="1"/>
  <c r="AA44" i="1"/>
  <c r="AE52" i="1"/>
  <c r="AE56" i="1"/>
  <c r="AE58" i="1" s="1"/>
  <c r="AD48" i="1"/>
  <c r="Z49" i="1"/>
  <c r="AF35" i="1"/>
  <c r="AB40" i="1"/>
  <c r="AB21" i="1"/>
  <c r="AB7" i="1"/>
  <c r="AB27" i="1"/>
  <c r="AF38" i="1"/>
  <c r="AB39" i="1"/>
  <c r="AF5" i="1"/>
  <c r="AB8" i="1"/>
  <c r="AB29" i="1"/>
  <c r="AB33" i="1"/>
  <c r="AF9" i="1"/>
  <c r="AE49" i="1" s="1"/>
  <c r="AB35" i="1"/>
  <c r="AB18" i="1"/>
  <c r="AF8" i="1"/>
  <c r="AB12" i="1"/>
  <c r="AB16" i="1"/>
  <c r="AB25" i="1"/>
  <c r="AF24" i="1"/>
  <c r="AB19" i="1"/>
  <c r="AB36" i="1"/>
  <c r="AB5" i="1"/>
  <c r="AB20" i="1"/>
  <c r="AF25" i="1"/>
  <c r="AB37" i="1"/>
  <c r="AF12" i="1"/>
  <c r="AB17" i="1"/>
  <c r="AF20" i="1"/>
  <c r="AB26" i="1"/>
  <c r="AF37" i="1"/>
  <c r="AB41" i="1"/>
  <c r="AF7" i="1"/>
  <c r="AB11" i="1"/>
  <c r="AF13" i="1"/>
  <c r="AF22" i="1"/>
  <c r="Q20" i="2" l="1"/>
  <c r="U20" i="2"/>
  <c r="Q24" i="2"/>
  <c r="U24" i="2"/>
  <c r="AA58" i="1"/>
  <c r="AB45" i="1"/>
  <c r="I12" i="2" s="1"/>
  <c r="AE48" i="1"/>
  <c r="AE50" i="1" s="1"/>
  <c r="AB57" i="1"/>
  <c r="I24" i="2" s="1"/>
  <c r="AB44" i="1"/>
  <c r="I11" i="2" s="1"/>
  <c r="AF45" i="1"/>
  <c r="J12" i="2" s="1"/>
  <c r="AE46" i="1"/>
  <c r="AA54" i="1"/>
  <c r="AB48" i="1"/>
  <c r="I15" i="2" s="1"/>
  <c r="Z58" i="1"/>
  <c r="AB58" i="1" s="1"/>
  <c r="I25" i="2" s="1"/>
  <c r="AB56" i="1"/>
  <c r="I23" i="2" s="1"/>
  <c r="AD50" i="1"/>
  <c r="AF48" i="1"/>
  <c r="J15" i="2" s="1"/>
  <c r="AA46" i="1"/>
  <c r="AB46" i="1" s="1"/>
  <c r="I13" i="2" s="1"/>
  <c r="AA50" i="1"/>
  <c r="AB50" i="1" s="1"/>
  <c r="I17" i="2" s="1"/>
  <c r="AA48" i="1"/>
  <c r="AB52" i="1"/>
  <c r="I19" i="2" s="1"/>
  <c r="Z54" i="1"/>
  <c r="AA49" i="1"/>
  <c r="AB49" i="1" s="1"/>
  <c r="I16" i="2" s="1"/>
  <c r="AE54" i="1"/>
  <c r="AD58" i="1"/>
  <c r="AF58" i="1" s="1"/>
  <c r="J25" i="2" s="1"/>
  <c r="AF56" i="1"/>
  <c r="J23" i="2" s="1"/>
  <c r="AD46" i="1"/>
  <c r="AF46" i="1" s="1"/>
  <c r="J13" i="2" s="1"/>
  <c r="AF44" i="1"/>
  <c r="J11" i="2" s="1"/>
  <c r="AF52" i="1"/>
  <c r="J19" i="2" s="1"/>
  <c r="AD54" i="1"/>
  <c r="AF49" i="1"/>
  <c r="J16" i="2" s="1"/>
  <c r="Q16" i="2" l="1"/>
  <c r="U16" i="2"/>
  <c r="Q12" i="2"/>
  <c r="U12" i="2"/>
  <c r="Q19" i="2"/>
  <c r="Q21" i="2" s="1"/>
  <c r="U19" i="2"/>
  <c r="U21" i="2" s="1"/>
  <c r="Q11" i="2"/>
  <c r="U11" i="2"/>
  <c r="U13" i="2" s="1"/>
  <c r="Q23" i="2"/>
  <c r="Q25" i="2" s="1"/>
  <c r="U23" i="2"/>
  <c r="U25" i="2" s="1"/>
  <c r="Q15" i="2"/>
  <c r="U15" i="2"/>
  <c r="U17" i="2" s="1"/>
  <c r="AB54" i="1"/>
  <c r="I21" i="2" s="1"/>
  <c r="AF54" i="1"/>
  <c r="J21" i="2" s="1"/>
  <c r="AF50" i="1"/>
  <c r="J17" i="2" s="1"/>
  <c r="Q17" i="2" l="1"/>
</calcChain>
</file>

<file path=xl/sharedStrings.xml><?xml version="1.0" encoding="utf-8"?>
<sst xmlns="http://schemas.openxmlformats.org/spreadsheetml/2006/main" count="896" uniqueCount="293">
  <si>
    <t>All compensation data in $CAD
000s</t>
  </si>
  <si>
    <t>HOL</t>
  </si>
  <si>
    <t>Base Salary</t>
  </si>
  <si>
    <t>As % of P50</t>
  </si>
  <si>
    <t>Target Total Cash Compensation</t>
  </si>
  <si>
    <t>TTC</t>
  </si>
  <si>
    <t>Job #</t>
  </si>
  <si>
    <t>HOL Position Title</t>
  </si>
  <si>
    <t>Benchmark Title</t>
  </si>
  <si>
    <t>Survey</t>
  </si>
  <si>
    <t>Market Scope</t>
  </si>
  <si>
    <t>Category (1)</t>
  </si>
  <si>
    <t>FTE (1)</t>
  </si>
  <si>
    <t>Actual</t>
  </si>
  <si>
    <t>Orgs #</t>
  </si>
  <si>
    <t>Obs #</t>
  </si>
  <si>
    <t>P25</t>
  </si>
  <si>
    <t>P50</t>
  </si>
  <si>
    <t>P75</t>
  </si>
  <si>
    <t>Avg</t>
  </si>
  <si>
    <t>Target TCC</t>
  </si>
  <si>
    <t>1</t>
  </si>
  <si>
    <t>Manager, Distribution
Operations</t>
  </si>
  <si>
    <t>--</t>
  </si>
  <si>
    <t>MBD</t>
  </si>
  <si>
    <t>National</t>
  </si>
  <si>
    <t>Management</t>
  </si>
  <si>
    <t>$134</t>
  </si>
  <si>
    <t>$147</t>
  </si>
  <si>
    <t>Manager Operations</t>
  </si>
  <si>
    <t>MEARIE</t>
  </si>
  <si>
    <t>Provincial (Ont)</t>
  </si>
  <si>
    <t>20</t>
  </si>
  <si>
    <t>35</t>
  </si>
  <si>
    <t>$131</t>
  </si>
  <si>
    <t>$135</t>
  </si>
  <si>
    <t>$151</t>
  </si>
  <si>
    <t>$140</t>
  </si>
  <si>
    <t>$146</t>
  </si>
  <si>
    <t>$166</t>
  </si>
  <si>
    <t>$149</t>
  </si>
  <si>
    <t>2</t>
  </si>
  <si>
    <t>Supervisor, Distribution
Operations</t>
  </si>
  <si>
    <t>$123</t>
  </si>
  <si>
    <t>Line Supervisor</t>
  </si>
  <si>
    <t>24</t>
  </si>
  <si>
    <t>113</t>
  </si>
  <si>
    <t>$115</t>
  </si>
  <si>
    <t>$117</t>
  </si>
  <si>
    <t>$124</t>
  </si>
  <si>
    <t>$119</t>
  </si>
  <si>
    <t>$116</t>
  </si>
  <si>
    <t>$121</t>
  </si>
  <si>
    <t>$125</t>
  </si>
  <si>
    <t>3</t>
  </si>
  <si>
    <t>Distribution Engineer</t>
  </si>
  <si>
    <t>Electrical Engineering - Senior
Professional (P3)</t>
  </si>
  <si>
    <t>National ex
Mining</t>
  </si>
  <si>
    <t>Non-Union</t>
  </si>
  <si>
    <t>$113</t>
  </si>
  <si>
    <t>97</t>
  </si>
  <si>
    <t>578</t>
  </si>
  <si>
    <t>$106</t>
  </si>
  <si>
    <t>$127</t>
  </si>
  <si>
    <t>81</t>
  </si>
  <si>
    <t>495</t>
  </si>
  <si>
    <t>$109</t>
  </si>
  <si>
    <t>$122</t>
  </si>
  <si>
    <t>$132</t>
  </si>
  <si>
    <t>Project Engineer</t>
  </si>
  <si>
    <t>16</t>
  </si>
  <si>
    <t>34</t>
  </si>
  <si>
    <t>$104</t>
  </si>
  <si>
    <t>$110</t>
  </si>
  <si>
    <t>$111</t>
  </si>
  <si>
    <t>$105</t>
  </si>
  <si>
    <t>4</t>
  </si>
  <si>
    <t>System Operator</t>
  </si>
  <si>
    <t>Union</t>
  </si>
  <si>
    <t>$112</t>
  </si>
  <si>
    <t>System Control Operator</t>
  </si>
  <si>
    <t>12</t>
  </si>
  <si>
    <t>$100</t>
  </si>
  <si>
    <t>$108</t>
  </si>
  <si>
    <t>5</t>
  </si>
  <si>
    <t>Network Administrator</t>
  </si>
  <si>
    <t>IT Data/Voice Network
Administration - Senior Professional
(P3)</t>
  </si>
  <si>
    <t>86</t>
  </si>
  <si>
    <t>689</t>
  </si>
  <si>
    <t>$89</t>
  </si>
  <si>
    <t>$101</t>
  </si>
  <si>
    <t>78</t>
  </si>
  <si>
    <t>632</t>
  </si>
  <si>
    <t>$93</t>
  </si>
  <si>
    <t>$103</t>
  </si>
  <si>
    <t>Systems/Program Administrator or
Applications/Systems Support
Professional</t>
  </si>
  <si>
    <t>15</t>
  </si>
  <si>
    <t>21</t>
  </si>
  <si>
    <t>$94</t>
  </si>
  <si>
    <t>$99</t>
  </si>
  <si>
    <t>$98</t>
  </si>
  <si>
    <t>6</t>
  </si>
  <si>
    <t>Powerline Technician</t>
  </si>
  <si>
    <t>Lineperson</t>
  </si>
  <si>
    <t>30</t>
  </si>
  <si>
    <t>$97</t>
  </si>
  <si>
    <t>7</t>
  </si>
  <si>
    <t>Management Accountant</t>
  </si>
  <si>
    <t>Accounting - Senior Professional (P3)</t>
  </si>
  <si>
    <t>$95</t>
  </si>
  <si>
    <t>433</t>
  </si>
  <si>
    <t>2128</t>
  </si>
  <si>
    <t>$102</t>
  </si>
  <si>
    <t>383</t>
  </si>
  <si>
    <t>1914</t>
  </si>
  <si>
    <t>$96</t>
  </si>
  <si>
    <t>$126</t>
  </si>
  <si>
    <t>Accountant</t>
  </si>
  <si>
    <t>$90</t>
  </si>
  <si>
    <t>$107</t>
  </si>
  <si>
    <t>8</t>
  </si>
  <si>
    <t>System Designer</t>
  </si>
  <si>
    <t>Electrical Engineering
Technologist/Technician - Specialist
Para-Professional (S4)</t>
  </si>
  <si>
    <t>65</t>
  </si>
  <si>
    <t>$85</t>
  </si>
  <si>
    <t>$87</t>
  </si>
  <si>
    <t>10</t>
  </si>
  <si>
    <t>63</t>
  </si>
  <si>
    <t>$86</t>
  </si>
  <si>
    <t>Design Technician / Engineering
Technician / Engineering
Technologist</t>
  </si>
  <si>
    <t>27</t>
  </si>
  <si>
    <t>9</t>
  </si>
  <si>
    <t>Communications Officer</t>
  </si>
  <si>
    <t>General Communications &amp;
Corporate Affairs - Experienced
Professional (P2)</t>
  </si>
  <si>
    <t>144</t>
  </si>
  <si>
    <t>386</t>
  </si>
  <si>
    <t>$75</t>
  </si>
  <si>
    <t>$83</t>
  </si>
  <si>
    <t>$92</t>
  </si>
  <si>
    <t>$84</t>
  </si>
  <si>
    <t>133</t>
  </si>
  <si>
    <t>351</t>
  </si>
  <si>
    <t>$78</t>
  </si>
  <si>
    <t>$88</t>
  </si>
  <si>
    <t>Communications Specialist</t>
  </si>
  <si>
    <t>14</t>
  </si>
  <si>
    <t>18</t>
  </si>
  <si>
    <t>$81</t>
  </si>
  <si>
    <t>$82</t>
  </si>
  <si>
    <t>$91</t>
  </si>
  <si>
    <t>Supervisor, Billing</t>
  </si>
  <si>
    <t>Billing &amp; Invoicing - Team Leader
(Para-Professionals) (M1)</t>
  </si>
  <si>
    <t>32</t>
  </si>
  <si>
    <t>54</t>
  </si>
  <si>
    <t>$74</t>
  </si>
  <si>
    <t>23</t>
  </si>
  <si>
    <t>36</t>
  </si>
  <si>
    <t>$76</t>
  </si>
  <si>
    <t>Supervisor Customer Service and/or
Billing and/or Collections</t>
  </si>
  <si>
    <t>40</t>
  </si>
  <si>
    <t>11</t>
  </si>
  <si>
    <t>Senior Procurement Agent</t>
  </si>
  <si>
    <t>Procurement - Experienced
Professional (P2)</t>
  </si>
  <si>
    <t>332</t>
  </si>
  <si>
    <t>1862</t>
  </si>
  <si>
    <t>$70</t>
  </si>
  <si>
    <t>$79</t>
  </si>
  <si>
    <t>$80</t>
  </si>
  <si>
    <t>303</t>
  </si>
  <si>
    <t>1721</t>
  </si>
  <si>
    <t>$72</t>
  </si>
  <si>
    <t>Warehouse Attendant</t>
  </si>
  <si>
    <t>Warehouse Shipping &amp;
Receiving - Senior Para-Professional (S3)</t>
  </si>
  <si>
    <t>128</t>
  </si>
  <si>
    <t>1322</t>
  </si>
  <si>
    <t>$54</t>
  </si>
  <si>
    <t>$60</t>
  </si>
  <si>
    <t>$67</t>
  </si>
  <si>
    <t>$61</t>
  </si>
  <si>
    <t>120</t>
  </si>
  <si>
    <t>1305</t>
  </si>
  <si>
    <t>$55</t>
  </si>
  <si>
    <t>$68</t>
  </si>
  <si>
    <t>$62</t>
  </si>
  <si>
    <t>^{(2)} Stockkeeper
Material Handler
Stockperson</t>
  </si>
  <si>
    <t>38</t>
  </si>
  <si>
    <t>$51</t>
  </si>
  <si>
    <t>$59</t>
  </si>
  <si>
    <t>13</t>
  </si>
  <si>
    <t>IT Service Desk Technician</t>
  </si>
  <si>
    <t>General IT User Support -Entry Professional (P1)</t>
  </si>
  <si>
    <t>124</t>
  </si>
  <si>
    <t>796</t>
  </si>
  <si>
    <t>$56</t>
  </si>
  <si>
    <t>$64</t>
  </si>
  <si>
    <t>692</t>
  </si>
  <si>
    <t>$65</t>
  </si>
  <si>
    <t>GIS/CAD Technician</t>
  </si>
  <si>
    <t>Geographic Information
Systems (GIS) - Entry
Professional (P1)</t>
  </si>
  <si>
    <t>56</t>
  </si>
  <si>
    <t>44</t>
  </si>
  <si>
    <t>^{(3)} Technical DraftsPerson
Draftsperson</t>
  </si>
  <si>
    <t>Customer Contact Agent</t>
  </si>
  <si>
    <t>General Customer Service -Experienced Para-Professional
(S2)</t>
  </si>
  <si>
    <t>114</t>
  </si>
  <si>
    <t>1785</t>
  </si>
  <si>
    <t>$46</t>
  </si>
  <si>
    <t>$57</t>
  </si>
  <si>
    <t>105</t>
  </si>
  <si>
    <t>1691</t>
  </si>
  <si>
    <t>$53</t>
  </si>
  <si>
    <t>$58</t>
  </si>
  <si>
    <t>^{(4)} Customer Service Rep. /
Customer Service Clerk</t>
  </si>
  <si>
    <t>29</t>
  </si>
  <si>
    <t>Billing Service Associate</t>
  </si>
  <si>
    <t>Billing &amp; Invoicing - Experienced
Para-Professional (S2)</t>
  </si>
  <si>
    <t>67</t>
  </si>
  <si>
    <t>553</t>
  </si>
  <si>
    <t>61</t>
  </si>
  <si>
    <t>477</t>
  </si>
  <si>
    <t>$66</t>
  </si>
  <si>
    <t>Billing Clerk/ Cust Accts Rep</t>
  </si>
  <si>
    <t>$77</t>
  </si>
  <si>
    <t>17</t>
  </si>
  <si>
    <t>Collection Agent</t>
  </si>
  <si>
    <t>Credit &amp; Collections -Experienced Para-Professional
(S2)</t>
  </si>
  <si>
    <t>295</t>
  </si>
  <si>
    <t>265</t>
  </si>
  <si>
    <t>$52</t>
  </si>
  <si>
    <t>Collection Clerk</t>
  </si>
  <si>
    <t>$73</t>
  </si>
  <si>
    <t>Director, Distribution
Operations</t>
  </si>
  <si>
    <t>^{(5)} Engineering Operations
Management - Manager (M3)
and Physical Asset Management
- Manager (M3)</t>
  </si>
  <si>
    <t>$157</t>
  </si>
  <si>
    <t>28</t>
  </si>
  <si>
    <t>$152</t>
  </si>
  <si>
    <t>$174</t>
  </si>
  <si>
    <t>$155</t>
  </si>
  <si>
    <t>$189</t>
  </si>
  <si>
    <t>50.5</t>
  </si>
  <si>
    <t>$178</t>
  </si>
  <si>
    <t>$209</t>
  </si>
  <si>
    <t>$182</t>
  </si>
  <si>
    <t>Director Operations</t>
  </si>
  <si>
    <t>$143</t>
  </si>
  <si>
    <t>$154</t>
  </si>
  <si>
    <t>$184</t>
  </si>
  <si>
    <t>$164</t>
  </si>
  <si>
    <t>$183</t>
  </si>
  <si>
    <t>$220</t>
  </si>
  <si>
    <t>$187</t>
  </si>
  <si>
    <t>19</t>
  </si>
  <si>
    <t>IT Systems Support</t>
  </si>
  <si>
    <t>Enterprise Data Architecture -Experienced Professional (P2)</t>
  </si>
  <si>
    <t>^{(6)} Computer Programmer
IT/Analyst / System Analyst /
Technical Support Analyst</t>
  </si>
  <si>
    <t>Vehicle and Utility
Equipment Technician</t>
  </si>
  <si>
    <t>Heavy Equipment Mechanic -Experienced Para-Professional
(S2)</t>
  </si>
  <si>
    <t>436</t>
  </si>
  <si>
    <t>26</t>
  </si>
  <si>
    <t>412</t>
  </si>
  <si>
    <t>Trans. / Work Equip Mechanic</t>
  </si>
  <si>
    <t>(1) 1-SEC-23</t>
  </si>
  <si>
    <t>Base</t>
  </si>
  <si>
    <t>Total</t>
  </si>
  <si>
    <t>50/50 (where available)</t>
  </si>
  <si>
    <t>MBD if available, MEARIE IF NOT</t>
  </si>
  <si>
    <t>MBD if available, MEARIE If not</t>
  </si>
  <si>
    <t>Union and Non-Union</t>
  </si>
  <si>
    <t>HOL Actual</t>
  </si>
  <si>
    <t>50/50 (Where both MBD/MEARIE)</t>
  </si>
  <si>
    <t>Average</t>
  </si>
  <si>
    <t>FTE &amp; $ Weighted Average</t>
  </si>
  <si>
    <t>Allocated to OM&amp;A (2)</t>
  </si>
  <si>
    <t>(1) Appendix 2-K (1-Staff-1A)</t>
  </si>
  <si>
    <t>(2) 75.39% from Appendix 2-K (1-Staff-1A) , Row 30/32</t>
  </si>
  <si>
    <t>TTC Variance to P50</t>
  </si>
  <si>
    <t>2026 Total Salaries and Wages (1)</t>
  </si>
  <si>
    <t>Total Compensation (1)</t>
  </si>
  <si>
    <t>%</t>
  </si>
  <si>
    <t>Sources:</t>
  </si>
  <si>
    <t>Highlighted col from 1-3-3, App. F, p.8-11</t>
  </si>
  <si>
    <t>(a)</t>
  </si>
  <si>
    <t>(b)</t>
  </si>
  <si>
    <t xml:space="preserve">(c) </t>
  </si>
  <si>
    <t>(d)</t>
  </si>
  <si>
    <t>(e)</t>
  </si>
  <si>
    <t>(f) = (e) x 75.39%</t>
  </si>
  <si>
    <t>(h)</t>
  </si>
  <si>
    <t>(i) = (h) x 75.39%</t>
  </si>
  <si>
    <t>(g) = (f) x (d)</t>
  </si>
  <si>
    <t>(j) = (i) x (d)</t>
  </si>
  <si>
    <t>Table 2 - Hydro One Compensation Variance From P50</t>
  </si>
  <si>
    <t xml:space="preserve">Table 1 - Hydro One Compensation Variance From P50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</si>
</sst>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0" fontId="2" fillId="0" borderId="0" xfId="1" applyFont="1"/>
    <xf numFmtId="10" fontId="1" fillId="0" borderId="0" xfId="1" applyNumberFormat="1"/>
    <xf numFmtId="0" fontId="2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6" xfId="1" applyFont="1" applyBorder="1" applyAlignment="1">
      <alignment horizontal="center" wrapText="1"/>
    </xf>
    <xf numFmtId="0" fontId="1" fillId="0" borderId="0" xfId="1" applyAlignment="1">
      <alignment horizontal="center"/>
    </xf>
    <xf numFmtId="0" fontId="1" fillId="0" borderId="7" xfId="1" applyBorder="1" applyAlignment="1">
      <alignment horizontal="center" wrapText="1"/>
    </xf>
    <xf numFmtId="0" fontId="1" fillId="0" borderId="8" xfId="1" applyBorder="1" applyAlignment="1">
      <alignment horizontal="center" wrapText="1"/>
    </xf>
    <xf numFmtId="9" fontId="1" fillId="0" borderId="8" xfId="1" applyNumberFormat="1" applyBorder="1" applyAlignment="1">
      <alignment horizontal="center" wrapText="1"/>
    </xf>
    <xf numFmtId="0" fontId="1" fillId="0" borderId="9" xfId="1" applyBorder="1" applyAlignment="1">
      <alignment horizontal="center" wrapText="1"/>
    </xf>
    <xf numFmtId="0" fontId="1" fillId="0" borderId="10" xfId="1" applyBorder="1" applyAlignment="1">
      <alignment horizontal="center" wrapText="1"/>
    </xf>
    <xf numFmtId="164" fontId="1" fillId="0" borderId="7" xfId="1" applyNumberFormat="1" applyBorder="1" applyAlignment="1">
      <alignment horizontal="center" wrapText="1"/>
    </xf>
    <xf numFmtId="9" fontId="1" fillId="0" borderId="11" xfId="1" applyNumberFormat="1" applyBorder="1" applyAlignment="1">
      <alignment horizontal="center" wrapText="1"/>
    </xf>
    <xf numFmtId="0" fontId="1" fillId="0" borderId="8" xfId="1" applyBorder="1" applyAlignment="1">
      <alignment horizontal="center"/>
    </xf>
    <xf numFmtId="164" fontId="1" fillId="0" borderId="0" xfId="1" applyNumberFormat="1" applyAlignment="1">
      <alignment horizontal="center" wrapText="1"/>
    </xf>
    <xf numFmtId="164" fontId="1" fillId="0" borderId="9" xfId="1" applyNumberFormat="1" applyBorder="1" applyAlignment="1">
      <alignment horizontal="center" wrapText="1"/>
    </xf>
    <xf numFmtId="164" fontId="1" fillId="0" borderId="10" xfId="1" applyNumberFormat="1" applyBorder="1" applyAlignment="1">
      <alignment horizontal="center" wrapText="1"/>
    </xf>
    <xf numFmtId="0" fontId="2" fillId="0" borderId="0" xfId="1" applyFont="1" applyAlignment="1">
      <alignment horizontal="center"/>
    </xf>
    <xf numFmtId="166" fontId="1" fillId="0" borderId="0" xfId="1" applyNumberFormat="1"/>
    <xf numFmtId="0" fontId="2" fillId="0" borderId="0" xfId="1" applyFont="1" applyAlignment="1">
      <alignment vertic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164" fontId="1" fillId="0" borderId="0" xfId="1" applyNumberFormat="1"/>
    <xf numFmtId="0" fontId="3" fillId="0" borderId="0" xfId="0" applyFont="1"/>
    <xf numFmtId="10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0" fontId="2" fillId="2" borderId="0" xfId="1" applyFont="1" applyFill="1" applyAlignment="1">
      <alignment wrapText="1"/>
    </xf>
    <xf numFmtId="0" fontId="2" fillId="2" borderId="1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center" wrapText="1"/>
    </xf>
    <xf numFmtId="0" fontId="2" fillId="2" borderId="6" xfId="1" applyFont="1" applyFill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0" applyFont="1"/>
    <xf numFmtId="164" fontId="5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1" applyFont="1" applyAlignment="1">
      <alignment horizontal="left" wrapText="1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2" borderId="2" xfId="1" applyFont="1" applyFill="1" applyBorder="1" applyAlignment="1">
      <alignment horizontal="center"/>
    </xf>
  </cellXfs>
  <cellStyles count="2">
    <cellStyle name="Normal" xfId="0" builtinId="0"/>
    <cellStyle name="Normal 3" xfId="1" xr:uid="{1EC144CE-1768-46A0-89F9-411841CAE9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ABBC2-26DC-43FB-B1D9-8824B7B314AD}">
  <sheetPr>
    <pageSetUpPr fitToPage="1"/>
  </sheetPr>
  <dimension ref="B5:U29"/>
  <sheetViews>
    <sheetView tabSelected="1" topLeftCell="E1" workbookViewId="0">
      <selection activeCell="M5" sqref="M5:U5"/>
    </sheetView>
  </sheetViews>
  <sheetFormatPr defaultRowHeight="14.25" x14ac:dyDescent="0.2"/>
  <cols>
    <col min="2" max="2" width="30.5" customWidth="1"/>
    <col min="9" max="9" width="11.125" customWidth="1"/>
    <col min="10" max="10" width="14.375" customWidth="1"/>
    <col min="11" max="12" width="6.875" customWidth="1"/>
    <col min="13" max="13" width="31.25" customWidth="1"/>
    <col min="14" max="14" width="21.125" customWidth="1"/>
    <col min="15" max="15" width="18.25" customWidth="1"/>
    <col min="16" max="16" width="13.125" customWidth="1"/>
    <col min="17" max="17" width="16.75" customWidth="1"/>
    <col min="18" max="18" width="11.5" customWidth="1"/>
    <col min="19" max="19" width="17.625" customWidth="1"/>
    <col min="20" max="20" width="14" customWidth="1"/>
    <col min="21" max="21" width="13.625" customWidth="1"/>
  </cols>
  <sheetData>
    <row r="5" spans="2:21" ht="15" x14ac:dyDescent="0.25">
      <c r="B5" s="47" t="s">
        <v>292</v>
      </c>
      <c r="C5" s="47"/>
      <c r="D5" s="47"/>
      <c r="E5" s="47"/>
      <c r="F5" s="47"/>
      <c r="G5" s="47"/>
      <c r="H5" s="47"/>
      <c r="I5" s="47"/>
      <c r="J5" s="47"/>
      <c r="K5" s="30"/>
      <c r="L5" s="30"/>
      <c r="M5" s="47" t="s">
        <v>291</v>
      </c>
      <c r="N5" s="47"/>
      <c r="O5" s="47"/>
      <c r="P5" s="47"/>
      <c r="Q5" s="47"/>
      <c r="R5" s="47"/>
      <c r="S5" s="47"/>
      <c r="T5" s="47"/>
      <c r="U5" s="47"/>
    </row>
    <row r="6" spans="2:21" ht="15" x14ac:dyDescent="0.25">
      <c r="B6" s="33"/>
      <c r="C6" s="33"/>
      <c r="D6" s="33"/>
      <c r="E6" s="33"/>
      <c r="F6" s="33"/>
      <c r="G6" s="33"/>
      <c r="H6" s="33"/>
      <c r="I6" s="33"/>
      <c r="J6" s="33"/>
    </row>
    <row r="7" spans="2:21" ht="15" x14ac:dyDescent="0.25">
      <c r="F7" s="47" t="s">
        <v>270</v>
      </c>
      <c r="G7" s="47"/>
      <c r="I7" s="30" t="s">
        <v>271</v>
      </c>
      <c r="J7" s="30"/>
    </row>
    <row r="8" spans="2:21" ht="31.5" customHeight="1" x14ac:dyDescent="0.25">
      <c r="B8" s="1"/>
      <c r="C8" s="1"/>
      <c r="D8" s="1"/>
      <c r="E8" s="1"/>
      <c r="F8" s="23" t="s">
        <v>262</v>
      </c>
      <c r="G8" s="23" t="s">
        <v>5</v>
      </c>
      <c r="I8" s="23" t="s">
        <v>262</v>
      </c>
      <c r="J8" s="23" t="s">
        <v>5</v>
      </c>
      <c r="O8" s="3" t="s">
        <v>276</v>
      </c>
      <c r="P8" s="28" t="s">
        <v>272</v>
      </c>
      <c r="Q8" s="28" t="s">
        <v>275</v>
      </c>
      <c r="S8" s="28" t="s">
        <v>277</v>
      </c>
      <c r="T8" s="28" t="s">
        <v>272</v>
      </c>
      <c r="U8" s="28" t="s">
        <v>275</v>
      </c>
    </row>
    <row r="9" spans="2:21" ht="14.25" customHeight="1" x14ac:dyDescent="0.2">
      <c r="B9" s="1"/>
      <c r="C9" s="1"/>
      <c r="D9" s="1"/>
      <c r="E9" s="1"/>
      <c r="F9" s="41" t="s">
        <v>281</v>
      </c>
      <c r="G9" s="41" t="s">
        <v>282</v>
      </c>
      <c r="H9" s="42"/>
      <c r="I9" s="41" t="s">
        <v>283</v>
      </c>
      <c r="J9" s="41" t="s">
        <v>284</v>
      </c>
      <c r="O9" s="45" t="s">
        <v>285</v>
      </c>
      <c r="P9" s="45" t="s">
        <v>286</v>
      </c>
      <c r="Q9" s="46" t="s">
        <v>289</v>
      </c>
      <c r="R9" s="45"/>
      <c r="S9" s="45" t="s">
        <v>287</v>
      </c>
      <c r="T9" s="45" t="s">
        <v>288</v>
      </c>
      <c r="U9" s="46" t="s">
        <v>290</v>
      </c>
    </row>
    <row r="10" spans="2:21" x14ac:dyDescent="0.2">
      <c r="S10" s="32"/>
    </row>
    <row r="11" spans="2:21" ht="15" x14ac:dyDescent="0.25">
      <c r="B11" s="6" t="s">
        <v>24</v>
      </c>
      <c r="C11" t="s">
        <v>26</v>
      </c>
      <c r="F11" s="31">
        <f>Data!O44-1</f>
        <v>6.4999999999999947E-2</v>
      </c>
      <c r="G11" s="31">
        <f>Data!X44-1</f>
        <v>4.0000000000000036E-2</v>
      </c>
      <c r="I11" s="26">
        <f>Data!AB44-1</f>
        <v>4.6391752577319645E-2</v>
      </c>
      <c r="J11" s="26">
        <f>Data!AF44-1</f>
        <v>5.1454138702460961E-2</v>
      </c>
      <c r="M11" s="6" t="s">
        <v>24</v>
      </c>
      <c r="N11" t="s">
        <v>26</v>
      </c>
      <c r="O11" s="27">
        <v>18790759</v>
      </c>
      <c r="P11" s="27">
        <f>O11*0.7539</f>
        <v>14166353.210100001</v>
      </c>
      <c r="Q11" s="27">
        <f>$J11*$P11</f>
        <v>728917.50298053853</v>
      </c>
      <c r="R11" s="34"/>
      <c r="S11" s="27">
        <v>24109917</v>
      </c>
      <c r="T11" s="27">
        <f>S11*0.7539</f>
        <v>18176466.4263</v>
      </c>
      <c r="U11" s="27">
        <f>$J11*$T11</f>
        <v>935254.42461946514</v>
      </c>
    </row>
    <row r="12" spans="2:21" x14ac:dyDescent="0.2">
      <c r="C12" t="s">
        <v>267</v>
      </c>
      <c r="F12" s="31">
        <f>Data!O45-1</f>
        <v>0.18857142857142861</v>
      </c>
      <c r="G12" s="31">
        <f>Data!X45-1</f>
        <v>0.17692307692307696</v>
      </c>
      <c r="I12" s="26">
        <f>Data!AB45-1</f>
        <v>0.20630906450671804</v>
      </c>
      <c r="J12" s="26">
        <f>Data!AF45-1</f>
        <v>0.19624164801262522</v>
      </c>
      <c r="N12" t="s">
        <v>267</v>
      </c>
      <c r="O12" s="27">
        <v>62713881</v>
      </c>
      <c r="P12" s="27">
        <f>O12*0.7539</f>
        <v>47279994.885899998</v>
      </c>
      <c r="Q12" s="27">
        <f>$J12*$P12</f>
        <v>9278304.1144375075</v>
      </c>
      <c r="R12" s="34"/>
      <c r="S12" s="27">
        <v>80323209</v>
      </c>
      <c r="T12" s="27">
        <f>S12*0.7539</f>
        <v>60555667.265100002</v>
      </c>
      <c r="U12" s="27">
        <f>$J12*$T12</f>
        <v>11883543.940607406</v>
      </c>
    </row>
    <row r="13" spans="2:21" x14ac:dyDescent="0.2">
      <c r="C13" t="s">
        <v>263</v>
      </c>
      <c r="F13" s="31">
        <f>Data!O46-1</f>
        <v>0.17312499999999997</v>
      </c>
      <c r="G13" s="31">
        <f>Data!X46-1</f>
        <v>0.15866666666666651</v>
      </c>
      <c r="I13" s="26">
        <f>Data!AB46-1</f>
        <v>0.19674760917067591</v>
      </c>
      <c r="J13" s="26">
        <f>Data!AF46-1</f>
        <v>0.18605397951762859</v>
      </c>
      <c r="N13" t="s">
        <v>263</v>
      </c>
      <c r="O13" s="27"/>
      <c r="P13" s="27"/>
      <c r="Q13" s="43">
        <f>SUM(Q11:Q12)</f>
        <v>10007221.617418045</v>
      </c>
      <c r="R13" s="34"/>
      <c r="S13" s="27"/>
      <c r="T13" s="27"/>
      <c r="U13" s="43">
        <f>SUM(U11:U12)</f>
        <v>12818798.365226872</v>
      </c>
    </row>
    <row r="14" spans="2:21" x14ac:dyDescent="0.2">
      <c r="F14" s="31"/>
      <c r="G14" s="31"/>
      <c r="I14" s="26"/>
      <c r="J14" s="26"/>
      <c r="O14" s="27"/>
      <c r="P14" s="27"/>
      <c r="Q14" s="27"/>
      <c r="R14" s="34"/>
      <c r="S14" s="34"/>
      <c r="T14" s="27"/>
      <c r="U14" s="27"/>
    </row>
    <row r="15" spans="2:21" ht="15" x14ac:dyDescent="0.25">
      <c r="B15" s="6" t="s">
        <v>30</v>
      </c>
      <c r="C15" t="s">
        <v>26</v>
      </c>
      <c r="F15" s="31">
        <f>Data!O48-1</f>
        <v>-1.2499999999999956E-2</v>
      </c>
      <c r="G15" s="31">
        <f>Data!X48-1</f>
        <v>-2.2499999999999964E-2</v>
      </c>
      <c r="I15" s="26">
        <f>Data!AB48-1</f>
        <v>2.5508880239788922E-2</v>
      </c>
      <c r="J15" s="26">
        <f>Data!AF48-1</f>
        <v>8.7889806793237657E-3</v>
      </c>
      <c r="M15" s="6" t="s">
        <v>30</v>
      </c>
      <c r="N15" t="s">
        <v>26</v>
      </c>
      <c r="O15" s="27">
        <v>18790759</v>
      </c>
      <c r="P15" s="27">
        <f>O15*0.7539</f>
        <v>14166353.210100001</v>
      </c>
      <c r="Q15" s="27">
        <f>$J15*$P15</f>
        <v>124507.80466004512</v>
      </c>
      <c r="R15" s="34"/>
      <c r="S15" s="27">
        <v>24109917</v>
      </c>
      <c r="T15" s="27">
        <f>S15*0.7539</f>
        <v>18176466.4263</v>
      </c>
      <c r="U15" s="27">
        <f>$J15*$T15</f>
        <v>159752.6122391278</v>
      </c>
    </row>
    <row r="16" spans="2:21" x14ac:dyDescent="0.2">
      <c r="C16" t="s">
        <v>267</v>
      </c>
      <c r="F16" s="31">
        <f>Data!O49-1</f>
        <v>0.10846153846153839</v>
      </c>
      <c r="G16" s="31">
        <f>Data!X49-1</f>
        <v>6.6666666666668206E-3</v>
      </c>
      <c r="I16" s="26">
        <f>Data!AB49-1</f>
        <v>4.6674296105278845E-2</v>
      </c>
      <c r="J16" s="26">
        <f>Data!AF49-1</f>
        <v>2.9050620488102696E-2</v>
      </c>
      <c r="N16" t="s">
        <v>267</v>
      </c>
      <c r="O16" s="27">
        <v>62713881</v>
      </c>
      <c r="P16" s="27">
        <f>O16*0.7539</f>
        <v>47279994.885899998</v>
      </c>
      <c r="Q16" s="27">
        <f>$J16*$P16</f>
        <v>1373513.1881097171</v>
      </c>
      <c r="R16" s="34"/>
      <c r="S16" s="27">
        <v>80323209</v>
      </c>
      <c r="T16" s="27">
        <f>S16*0.7539</f>
        <v>60555667.265100002</v>
      </c>
      <c r="U16" s="27">
        <f>$J16*$T16</f>
        <v>1759179.7081222439</v>
      </c>
    </row>
    <row r="17" spans="2:21" x14ac:dyDescent="0.2">
      <c r="C17" t="s">
        <v>263</v>
      </c>
      <c r="F17" s="31">
        <f>Data!O50-1</f>
        <v>8.0000000000000071E-2</v>
      </c>
      <c r="G17" s="31">
        <f>Data!X50-1</f>
        <v>-9.9999999999998979E-3</v>
      </c>
      <c r="I17" s="26">
        <f>Data!AB50-1</f>
        <v>4.4142818999941769E-2</v>
      </c>
      <c r="J17" s="26">
        <f>Data!AF50-1</f>
        <v>1.441239671922756E-2</v>
      </c>
      <c r="N17" t="s">
        <v>263</v>
      </c>
      <c r="O17" s="27"/>
      <c r="P17" s="27"/>
      <c r="Q17" s="43">
        <f>SUM(Q15:Q16)</f>
        <v>1498020.9927697622</v>
      </c>
      <c r="R17" s="34"/>
      <c r="S17" s="27"/>
      <c r="T17" s="27"/>
      <c r="U17" s="43">
        <f>SUM(U15:U16)</f>
        <v>1918932.3203613716</v>
      </c>
    </row>
    <row r="18" spans="2:21" x14ac:dyDescent="0.2">
      <c r="F18" s="31"/>
      <c r="G18" s="31"/>
      <c r="I18" s="26"/>
      <c r="J18" s="26"/>
      <c r="O18" s="27"/>
      <c r="P18" s="27"/>
      <c r="Q18" s="27"/>
      <c r="R18" s="34"/>
      <c r="T18" s="27"/>
      <c r="U18" s="27"/>
    </row>
    <row r="19" spans="2:21" ht="15" x14ac:dyDescent="0.2">
      <c r="B19" s="25" t="s">
        <v>269</v>
      </c>
      <c r="C19" t="s">
        <v>26</v>
      </c>
      <c r="F19" s="31">
        <f>Data!O52-1</f>
        <v>1.5000000000000124E-2</v>
      </c>
      <c r="G19" s="31">
        <f>Data!X52-1</f>
        <v>2.4999999999999467E-3</v>
      </c>
      <c r="I19" s="26">
        <f>Data!AB52-1</f>
        <v>3.0812123392391477E-2</v>
      </c>
      <c r="J19" s="26">
        <f>Data!AF52-1</f>
        <v>1.4740337451750518E-2</v>
      </c>
      <c r="M19" s="25" t="s">
        <v>269</v>
      </c>
      <c r="N19" t="s">
        <v>26</v>
      </c>
      <c r="O19" s="27">
        <v>18790759</v>
      </c>
      <c r="P19" s="27">
        <f>O19*0.7539</f>
        <v>14166353.210100001</v>
      </c>
      <c r="Q19" s="27">
        <f>$J19*$P19</f>
        <v>208816.82677756323</v>
      </c>
      <c r="R19" s="34"/>
      <c r="S19" s="27">
        <v>24109917</v>
      </c>
      <c r="T19" s="27">
        <f>S19*0.7539</f>
        <v>18176466.4263</v>
      </c>
      <c r="U19" s="27">
        <f>$J19*$T19</f>
        <v>267927.24880407582</v>
      </c>
    </row>
    <row r="20" spans="2:21" x14ac:dyDescent="0.2">
      <c r="C20" t="s">
        <v>267</v>
      </c>
      <c r="F20" s="31">
        <f>Data!O53-1</f>
        <v>0.14937500000000004</v>
      </c>
      <c r="G20" s="31">
        <f>Data!X53-1</f>
        <v>0.17961538461538473</v>
      </c>
      <c r="I20" s="26">
        <f>Data!AB53-1</f>
        <v>7.5925887801770342E-2</v>
      </c>
      <c r="J20" s="26">
        <f>Data!AF53-1</f>
        <v>0.19928973631630509</v>
      </c>
      <c r="N20" t="s">
        <v>267</v>
      </c>
      <c r="O20" s="27">
        <v>62713881</v>
      </c>
      <c r="P20" s="27">
        <f>O20*0.7539</f>
        <v>47279994.885899998</v>
      </c>
      <c r="Q20" s="27">
        <f>$J20*$P20</f>
        <v>9422417.7138472646</v>
      </c>
      <c r="R20" s="34"/>
      <c r="S20" s="27">
        <v>80323209</v>
      </c>
      <c r="T20" s="27">
        <f>S20*0.7539</f>
        <v>60555667.265100002</v>
      </c>
      <c r="U20" s="27">
        <f>$J20*$T20</f>
        <v>12068122.961719688</v>
      </c>
    </row>
    <row r="21" spans="2:21" x14ac:dyDescent="0.2">
      <c r="C21" t="s">
        <v>263</v>
      </c>
      <c r="F21" s="31">
        <f>Data!O54-1</f>
        <v>0.12250000000000005</v>
      </c>
      <c r="G21" s="31">
        <f>Data!X54-1</f>
        <v>0.13794117647058846</v>
      </c>
      <c r="I21" s="26">
        <f>Data!AB54-1</f>
        <v>7.0772519854086058E-2</v>
      </c>
      <c r="J21" s="26">
        <f>Data!AF54-1</f>
        <v>0.14629379768509843</v>
      </c>
      <c r="N21" t="s">
        <v>263</v>
      </c>
      <c r="O21" s="27"/>
      <c r="P21" s="27"/>
      <c r="Q21" s="43">
        <f>SUM(Q19:Q20)</f>
        <v>9631234.5406248271</v>
      </c>
      <c r="R21" s="34"/>
      <c r="S21" s="27"/>
      <c r="T21" s="27"/>
      <c r="U21" s="43">
        <f>SUM(U19:U20)</f>
        <v>12336050.210523764</v>
      </c>
    </row>
    <row r="22" spans="2:21" x14ac:dyDescent="0.2">
      <c r="F22" s="31"/>
      <c r="G22" s="31"/>
      <c r="I22" s="26"/>
      <c r="J22" s="26"/>
      <c r="O22" s="27"/>
      <c r="P22" s="27"/>
      <c r="Q22" s="27"/>
      <c r="R22" s="34"/>
      <c r="T22" s="27"/>
      <c r="U22" s="27"/>
    </row>
    <row r="23" spans="2:21" ht="15" x14ac:dyDescent="0.25">
      <c r="B23" s="6" t="s">
        <v>266</v>
      </c>
      <c r="C23" t="s">
        <v>26</v>
      </c>
      <c r="F23" s="31">
        <f>Data!O56-1</f>
        <v>4.2499999999999982E-2</v>
      </c>
      <c r="G23" s="31">
        <f>Data!X56-1</f>
        <v>2.750000000000008E-2</v>
      </c>
      <c r="I23" s="26">
        <f>Data!AB56-1</f>
        <v>3.6170501288252055E-2</v>
      </c>
      <c r="J23" s="26">
        <f>Data!AF56-1</f>
        <v>2.0762331078217011E-2</v>
      </c>
      <c r="M23" s="6" t="s">
        <v>266</v>
      </c>
      <c r="N23" t="s">
        <v>26</v>
      </c>
      <c r="O23" s="27">
        <v>18790759</v>
      </c>
      <c r="P23" s="27">
        <f>O23*0.7539</f>
        <v>14166353.210100001</v>
      </c>
      <c r="Q23" s="27">
        <f>$J23*$P23</f>
        <v>294126.51551905856</v>
      </c>
      <c r="R23" s="34"/>
      <c r="S23" s="27">
        <v>24109917</v>
      </c>
      <c r="T23" s="27">
        <f>S23*0.7539</f>
        <v>18176466.4263</v>
      </c>
      <c r="U23" s="27">
        <f>$J23*$T23</f>
        <v>377385.8137749366</v>
      </c>
    </row>
    <row r="24" spans="2:21" x14ac:dyDescent="0.2">
      <c r="C24" t="s">
        <v>267</v>
      </c>
      <c r="F24" s="31">
        <f>Data!O57-1</f>
        <v>0.171875</v>
      </c>
      <c r="G24" s="31">
        <f>Data!X57-1</f>
        <v>0.10538461538461541</v>
      </c>
      <c r="I24" s="26">
        <f>Data!AB57-1</f>
        <v>9.9115286456666896E-2</v>
      </c>
      <c r="J24" s="26">
        <f>Data!AF57-1</f>
        <v>0.20145587925039821</v>
      </c>
      <c r="N24" t="s">
        <v>267</v>
      </c>
      <c r="O24" s="27">
        <v>62713881</v>
      </c>
      <c r="P24" s="27">
        <f>O24*0.7539</f>
        <v>47279994.885899998</v>
      </c>
      <c r="Q24" s="27">
        <f>$J24*$P24</f>
        <v>9524832.9406933151</v>
      </c>
      <c r="R24" s="34"/>
      <c r="S24" s="27">
        <v>80323209</v>
      </c>
      <c r="T24" s="27">
        <f>S24*0.7539</f>
        <v>60555667.265100002</v>
      </c>
      <c r="U24" s="27">
        <f>$J24*$T24</f>
        <v>12199295.192485277</v>
      </c>
    </row>
    <row r="25" spans="2:21" x14ac:dyDescent="0.2">
      <c r="C25" t="s">
        <v>263</v>
      </c>
      <c r="F25" s="31">
        <f>Data!O58-1</f>
        <v>0.14599999999999991</v>
      </c>
      <c r="G25" s="31">
        <f>Data!X58-1</f>
        <v>0.14176470588235301</v>
      </c>
      <c r="I25" s="26">
        <f>Data!AB58-1</f>
        <v>9.1821641558865741E-2</v>
      </c>
      <c r="J25" s="26">
        <f>Data!AF58-1</f>
        <v>0.15058104909885772</v>
      </c>
      <c r="N25" t="s">
        <v>263</v>
      </c>
      <c r="O25" s="27"/>
      <c r="P25" s="27"/>
      <c r="Q25" s="43">
        <f>SUM(Q23:Q24)</f>
        <v>9818959.4562123735</v>
      </c>
      <c r="R25" s="34"/>
      <c r="S25" s="27"/>
      <c r="T25" s="27"/>
      <c r="U25" s="43">
        <f>SUM(U23:U24)</f>
        <v>12576681.006260213</v>
      </c>
    </row>
    <row r="28" spans="2:21" x14ac:dyDescent="0.2">
      <c r="M28" s="44" t="s">
        <v>273</v>
      </c>
    </row>
    <row r="29" spans="2:21" x14ac:dyDescent="0.2">
      <c r="M29" s="44" t="s">
        <v>274</v>
      </c>
    </row>
  </sheetData>
  <mergeCells count="3">
    <mergeCell ref="F7:G7"/>
    <mergeCell ref="M5:U5"/>
    <mergeCell ref="B5:J5"/>
  </mergeCells>
  <pageMargins left="0.7" right="0.7" top="0.75" bottom="0.75" header="0.3" footer="0.3"/>
  <pageSetup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F1B0-901C-4CDF-B684-C63E3AAA2240}">
  <dimension ref="A1:AF65"/>
  <sheetViews>
    <sheetView topLeftCell="A4" zoomScale="73" zoomScaleNormal="73" workbookViewId="0">
      <selection activeCell="C64" sqref="C64"/>
    </sheetView>
  </sheetViews>
  <sheetFormatPr defaultRowHeight="14.25" x14ac:dyDescent="0.2"/>
  <cols>
    <col min="1" max="1" width="9" style="1"/>
    <col min="2" max="2" width="28.625" style="1" customWidth="1"/>
    <col min="3" max="3" width="35.125" style="1" customWidth="1"/>
    <col min="4" max="4" width="26.875" style="1" customWidth="1"/>
    <col min="5" max="5" width="26.75" style="1" customWidth="1"/>
    <col min="6" max="7" width="26.5" style="1" customWidth="1"/>
    <col min="8" max="14" width="8" style="1" customWidth="1"/>
    <col min="15" max="15" width="13.375" style="1" customWidth="1"/>
    <col min="16" max="19" width="9" style="1"/>
    <col min="20" max="20" width="8" style="1" customWidth="1"/>
    <col min="21" max="21" width="14.625" style="1" customWidth="1"/>
    <col min="22" max="22" width="9" style="1"/>
    <col min="23" max="23" width="10.25" style="1" customWidth="1"/>
    <col min="24" max="24" width="13.875" style="1" customWidth="1"/>
    <col min="25" max="25" width="9" style="1"/>
    <col min="26" max="26" width="10.375" style="1" bestFit="1" customWidth="1"/>
    <col min="27" max="27" width="10.375" style="1" customWidth="1"/>
    <col min="28" max="28" width="10.5" style="1" customWidth="1"/>
    <col min="29" max="29" width="12.75" style="1" bestFit="1" customWidth="1"/>
    <col min="30" max="30" width="11.625" style="1" bestFit="1" customWidth="1"/>
    <col min="31" max="16384" width="9" style="1"/>
  </cols>
  <sheetData>
    <row r="1" spans="1:32" ht="15" thickBot="1" x14ac:dyDescent="0.25"/>
    <row r="2" spans="1:32" ht="15.75" thickBot="1" x14ac:dyDescent="0.3">
      <c r="A2" s="1" t="s">
        <v>0</v>
      </c>
      <c r="H2" s="36" t="s">
        <v>1</v>
      </c>
      <c r="I2" s="52" t="s">
        <v>2</v>
      </c>
      <c r="J2" s="52"/>
      <c r="K2" s="52"/>
      <c r="L2" s="52"/>
      <c r="M2" s="52"/>
      <c r="N2" s="52"/>
      <c r="O2" s="37" t="s">
        <v>3</v>
      </c>
      <c r="Q2" s="36" t="s">
        <v>1</v>
      </c>
      <c r="R2" s="52" t="s">
        <v>4</v>
      </c>
      <c r="S2" s="52"/>
      <c r="T2" s="52"/>
      <c r="U2" s="52"/>
      <c r="V2" s="52"/>
      <c r="W2" s="52"/>
      <c r="X2" s="37" t="s">
        <v>3</v>
      </c>
      <c r="Z2" s="49" t="s">
        <v>2</v>
      </c>
      <c r="AA2" s="50"/>
      <c r="AB2" s="51"/>
      <c r="AD2" s="49" t="s">
        <v>5</v>
      </c>
      <c r="AE2" s="50"/>
      <c r="AF2" s="51"/>
    </row>
    <row r="3" spans="1:32" ht="30" x14ac:dyDescent="0.25">
      <c r="A3" s="35" t="s">
        <v>6</v>
      </c>
      <c r="B3" s="35" t="s">
        <v>7</v>
      </c>
      <c r="C3" s="35" t="s">
        <v>8</v>
      </c>
      <c r="D3" s="35" t="s">
        <v>9</v>
      </c>
      <c r="E3" s="35" t="s">
        <v>10</v>
      </c>
      <c r="F3" s="2" t="s">
        <v>11</v>
      </c>
      <c r="G3" s="3" t="s">
        <v>12</v>
      </c>
      <c r="H3" s="38" t="s">
        <v>13</v>
      </c>
      <c r="I3" s="39" t="s">
        <v>14</v>
      </c>
      <c r="J3" s="39" t="s">
        <v>15</v>
      </c>
      <c r="K3" s="39" t="s">
        <v>16</v>
      </c>
      <c r="L3" s="39" t="s">
        <v>17</v>
      </c>
      <c r="M3" s="39" t="s">
        <v>18</v>
      </c>
      <c r="N3" s="39" t="s">
        <v>19</v>
      </c>
      <c r="O3" s="40" t="s">
        <v>13</v>
      </c>
      <c r="P3" s="3"/>
      <c r="Q3" s="38" t="s">
        <v>20</v>
      </c>
      <c r="R3" s="39" t="s">
        <v>14</v>
      </c>
      <c r="S3" s="39" t="s">
        <v>15</v>
      </c>
      <c r="T3" s="39" t="s">
        <v>16</v>
      </c>
      <c r="U3" s="39" t="s">
        <v>17</v>
      </c>
      <c r="V3" s="39" t="s">
        <v>18</v>
      </c>
      <c r="W3" s="39" t="s">
        <v>19</v>
      </c>
      <c r="X3" s="40" t="s">
        <v>20</v>
      </c>
      <c r="Y3" s="11"/>
      <c r="Z3" s="8" t="s">
        <v>268</v>
      </c>
      <c r="AA3" s="9" t="s">
        <v>17</v>
      </c>
      <c r="AB3" s="10" t="s">
        <v>3</v>
      </c>
      <c r="AC3" s="11"/>
      <c r="AD3" s="8" t="s">
        <v>268</v>
      </c>
      <c r="AE3" s="9" t="s">
        <v>17</v>
      </c>
      <c r="AF3" s="10" t="s">
        <v>3</v>
      </c>
    </row>
    <row r="4" spans="1:32" ht="28.5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5">
        <v>3.98</v>
      </c>
      <c r="H4" s="12" t="s">
        <v>27</v>
      </c>
      <c r="I4" s="5" t="s">
        <v>23</v>
      </c>
      <c r="J4" s="5" t="s">
        <v>23</v>
      </c>
      <c r="K4" s="5" t="s">
        <v>23</v>
      </c>
      <c r="L4" s="5" t="s">
        <v>23</v>
      </c>
      <c r="M4" s="5" t="s">
        <v>23</v>
      </c>
      <c r="N4" s="5" t="s">
        <v>23</v>
      </c>
      <c r="O4" s="13"/>
      <c r="P4" s="5"/>
      <c r="Q4" s="12" t="s">
        <v>28</v>
      </c>
      <c r="R4" s="5" t="s">
        <v>23</v>
      </c>
      <c r="S4" s="5" t="s">
        <v>23</v>
      </c>
      <c r="T4" s="5" t="s">
        <v>23</v>
      </c>
      <c r="U4" s="5" t="s">
        <v>23</v>
      </c>
      <c r="V4" s="5" t="s">
        <v>23</v>
      </c>
      <c r="W4" s="5" t="s">
        <v>23</v>
      </c>
      <c r="X4" s="13"/>
      <c r="Y4" s="11"/>
      <c r="Z4" s="17"/>
      <c r="AA4" s="20"/>
      <c r="AB4" s="13"/>
      <c r="AC4" s="11"/>
      <c r="AD4" s="17"/>
      <c r="AE4" s="20"/>
      <c r="AF4" s="14"/>
    </row>
    <row r="5" spans="1:32" ht="28.5" x14ac:dyDescent="0.2">
      <c r="A5" s="4" t="s">
        <v>21</v>
      </c>
      <c r="B5" s="4" t="s">
        <v>22</v>
      </c>
      <c r="C5" s="4" t="s">
        <v>29</v>
      </c>
      <c r="D5" s="4" t="s">
        <v>30</v>
      </c>
      <c r="E5" s="4" t="s">
        <v>31</v>
      </c>
      <c r="F5" s="4" t="s">
        <v>26</v>
      </c>
      <c r="G5" s="5">
        <v>3.98</v>
      </c>
      <c r="H5" s="12" t="s">
        <v>27</v>
      </c>
      <c r="I5" s="5" t="s">
        <v>32</v>
      </c>
      <c r="J5" s="5" t="s">
        <v>33</v>
      </c>
      <c r="K5" s="5" t="s">
        <v>34</v>
      </c>
      <c r="L5" s="5" t="s">
        <v>35</v>
      </c>
      <c r="M5" s="5" t="s">
        <v>36</v>
      </c>
      <c r="N5" s="5" t="s">
        <v>37</v>
      </c>
      <c r="O5" s="14">
        <v>0.99</v>
      </c>
      <c r="P5" s="5"/>
      <c r="Q5" s="12" t="s">
        <v>28</v>
      </c>
      <c r="R5" s="5" t="s">
        <v>32</v>
      </c>
      <c r="S5" s="5" t="s">
        <v>33</v>
      </c>
      <c r="T5" s="5" t="s">
        <v>34</v>
      </c>
      <c r="U5" s="5" t="s">
        <v>38</v>
      </c>
      <c r="V5" s="5" t="s">
        <v>39</v>
      </c>
      <c r="W5" s="5" t="s">
        <v>40</v>
      </c>
      <c r="X5" s="14">
        <v>1.01</v>
      </c>
      <c r="Y5" s="11"/>
      <c r="Z5" s="17">
        <f t="shared" ref="Z5:Z42" si="0">H5*G5</f>
        <v>533.32000000000005</v>
      </c>
      <c r="AA5" s="20">
        <f>L5*G5</f>
        <v>537.29999999999995</v>
      </c>
      <c r="AB5" s="14">
        <f>Z5/AA5</f>
        <v>0.9925925925925928</v>
      </c>
      <c r="AC5" s="11"/>
      <c r="AD5" s="17">
        <f t="shared" ref="AD5:AD38" si="1">Q5*G5</f>
        <v>585.05999999999995</v>
      </c>
      <c r="AE5" s="20">
        <f>U5*G5</f>
        <v>581.08000000000004</v>
      </c>
      <c r="AF5" s="14">
        <f>AD5/AE5</f>
        <v>1.006849315068493</v>
      </c>
    </row>
    <row r="6" spans="1:32" ht="28.5" x14ac:dyDescent="0.2">
      <c r="A6" s="4" t="s">
        <v>41</v>
      </c>
      <c r="B6" s="4" t="s">
        <v>42</v>
      </c>
      <c r="C6" s="4" t="s">
        <v>23</v>
      </c>
      <c r="D6" s="4" t="s">
        <v>24</v>
      </c>
      <c r="E6" s="4" t="s">
        <v>25</v>
      </c>
      <c r="F6" s="4" t="s">
        <v>26</v>
      </c>
      <c r="G6" s="5">
        <v>11</v>
      </c>
      <c r="H6" s="12" t="s">
        <v>43</v>
      </c>
      <c r="I6" s="5" t="s">
        <v>23</v>
      </c>
      <c r="J6" s="5" t="s">
        <v>23</v>
      </c>
      <c r="K6" s="5" t="s">
        <v>23</v>
      </c>
      <c r="L6" s="5" t="s">
        <v>23</v>
      </c>
      <c r="M6" s="5" t="s">
        <v>23</v>
      </c>
      <c r="N6" s="5" t="s">
        <v>23</v>
      </c>
      <c r="O6" s="14"/>
      <c r="P6" s="5"/>
      <c r="Q6" s="12" t="s">
        <v>43</v>
      </c>
      <c r="R6" s="5" t="s">
        <v>23</v>
      </c>
      <c r="S6" s="5" t="s">
        <v>23</v>
      </c>
      <c r="T6" s="5" t="s">
        <v>23</v>
      </c>
      <c r="U6" s="5" t="s">
        <v>23</v>
      </c>
      <c r="V6" s="5" t="s">
        <v>23</v>
      </c>
      <c r="W6" s="5" t="s">
        <v>23</v>
      </c>
      <c r="X6" s="14"/>
      <c r="Y6" s="11"/>
      <c r="Z6" s="17"/>
      <c r="AA6" s="20"/>
      <c r="AB6" s="14"/>
      <c r="AC6" s="11"/>
      <c r="AD6" s="17"/>
      <c r="AE6" s="20"/>
      <c r="AF6" s="14"/>
    </row>
    <row r="7" spans="1:32" ht="28.5" x14ac:dyDescent="0.2">
      <c r="A7" s="4" t="s">
        <v>41</v>
      </c>
      <c r="B7" s="4" t="s">
        <v>42</v>
      </c>
      <c r="C7" s="4" t="s">
        <v>44</v>
      </c>
      <c r="D7" s="4" t="s">
        <v>30</v>
      </c>
      <c r="E7" s="4" t="s">
        <v>31</v>
      </c>
      <c r="F7" s="4" t="s">
        <v>26</v>
      </c>
      <c r="G7" s="5">
        <v>11</v>
      </c>
      <c r="H7" s="12" t="s">
        <v>43</v>
      </c>
      <c r="I7" s="5" t="s">
        <v>45</v>
      </c>
      <c r="J7" s="5" t="s">
        <v>46</v>
      </c>
      <c r="K7" s="5" t="s">
        <v>47</v>
      </c>
      <c r="L7" s="5" t="s">
        <v>48</v>
      </c>
      <c r="M7" s="5" t="s">
        <v>49</v>
      </c>
      <c r="N7" s="5" t="s">
        <v>50</v>
      </c>
      <c r="O7" s="14">
        <v>1.05</v>
      </c>
      <c r="P7" s="5"/>
      <c r="Q7" s="12" t="s">
        <v>43</v>
      </c>
      <c r="R7" s="5" t="s">
        <v>45</v>
      </c>
      <c r="S7" s="5" t="s">
        <v>46</v>
      </c>
      <c r="T7" s="5" t="s">
        <v>51</v>
      </c>
      <c r="U7" s="5" t="s">
        <v>52</v>
      </c>
      <c r="V7" s="5" t="s">
        <v>27</v>
      </c>
      <c r="W7" s="5" t="s">
        <v>53</v>
      </c>
      <c r="X7" s="14">
        <v>1.02</v>
      </c>
      <c r="Y7" s="11"/>
      <c r="Z7" s="17">
        <f t="shared" si="0"/>
        <v>1353</v>
      </c>
      <c r="AA7" s="20">
        <f>L7*G7</f>
        <v>1287</v>
      </c>
      <c r="AB7" s="14">
        <f>Z7/AA7</f>
        <v>1.0512820512820513</v>
      </c>
      <c r="AC7" s="11"/>
      <c r="AD7" s="17">
        <f t="shared" si="1"/>
        <v>1353</v>
      </c>
      <c r="AE7" s="20">
        <f>U7*G7</f>
        <v>1331</v>
      </c>
      <c r="AF7" s="14">
        <f>AD7/AE7</f>
        <v>1.0165289256198347</v>
      </c>
    </row>
    <row r="8" spans="1:32" ht="28.5" x14ac:dyDescent="0.2">
      <c r="A8" s="4" t="s">
        <v>54</v>
      </c>
      <c r="B8" s="4" t="s">
        <v>55</v>
      </c>
      <c r="C8" s="4" t="s">
        <v>56</v>
      </c>
      <c r="D8" s="4" t="s">
        <v>24</v>
      </c>
      <c r="E8" s="4" t="s">
        <v>57</v>
      </c>
      <c r="F8" s="4" t="s">
        <v>58</v>
      </c>
      <c r="G8" s="5">
        <v>2.82</v>
      </c>
      <c r="H8" s="12" t="s">
        <v>59</v>
      </c>
      <c r="I8" s="5" t="s">
        <v>60</v>
      </c>
      <c r="J8" s="5" t="s">
        <v>61</v>
      </c>
      <c r="K8" s="5" t="s">
        <v>62</v>
      </c>
      <c r="L8" s="5" t="s">
        <v>51</v>
      </c>
      <c r="M8" s="5" t="s">
        <v>63</v>
      </c>
      <c r="N8" s="5" t="s">
        <v>48</v>
      </c>
      <c r="O8" s="14">
        <v>0.98</v>
      </c>
      <c r="P8" s="5"/>
      <c r="Q8" s="12" t="s">
        <v>59</v>
      </c>
      <c r="R8" s="5" t="s">
        <v>64</v>
      </c>
      <c r="S8" s="5" t="s">
        <v>65</v>
      </c>
      <c r="T8" s="5" t="s">
        <v>66</v>
      </c>
      <c r="U8" s="5" t="s">
        <v>67</v>
      </c>
      <c r="V8" s="5" t="s">
        <v>68</v>
      </c>
      <c r="W8" s="5" t="s">
        <v>52</v>
      </c>
      <c r="X8" s="14">
        <v>0.93</v>
      </c>
      <c r="Y8" s="11"/>
      <c r="Z8" s="17">
        <f t="shared" si="0"/>
        <v>318.65999999999997</v>
      </c>
      <c r="AA8" s="20">
        <f>L8*G8</f>
        <v>327.12</v>
      </c>
      <c r="AB8" s="14">
        <f>Z8/AA8</f>
        <v>0.97413793103448265</v>
      </c>
      <c r="AC8" s="11"/>
      <c r="AD8" s="17">
        <f t="shared" si="1"/>
        <v>318.65999999999997</v>
      </c>
      <c r="AE8" s="20">
        <f>U8*G8</f>
        <v>344.03999999999996</v>
      </c>
      <c r="AF8" s="14">
        <f>AD8/AE8</f>
        <v>0.92622950819672134</v>
      </c>
    </row>
    <row r="9" spans="1:32" x14ac:dyDescent="0.2">
      <c r="A9" s="4" t="s">
        <v>54</v>
      </c>
      <c r="B9" s="4" t="s">
        <v>55</v>
      </c>
      <c r="C9" s="4" t="s">
        <v>69</v>
      </c>
      <c r="D9" s="4" t="s">
        <v>30</v>
      </c>
      <c r="E9" s="4" t="s">
        <v>31</v>
      </c>
      <c r="F9" s="4" t="s">
        <v>58</v>
      </c>
      <c r="G9" s="5">
        <v>2.82</v>
      </c>
      <c r="H9" s="12" t="s">
        <v>59</v>
      </c>
      <c r="I9" s="5" t="s">
        <v>70</v>
      </c>
      <c r="J9" s="5" t="s">
        <v>71</v>
      </c>
      <c r="K9" s="5" t="s">
        <v>72</v>
      </c>
      <c r="L9" s="5" t="s">
        <v>73</v>
      </c>
      <c r="M9" s="5" t="s">
        <v>67</v>
      </c>
      <c r="N9" s="5" t="s">
        <v>74</v>
      </c>
      <c r="O9" s="14">
        <v>1.03</v>
      </c>
      <c r="P9" s="5"/>
      <c r="Q9" s="12" t="s">
        <v>59</v>
      </c>
      <c r="R9" s="5" t="s">
        <v>70</v>
      </c>
      <c r="S9" s="5" t="s">
        <v>71</v>
      </c>
      <c r="T9" s="5" t="s">
        <v>75</v>
      </c>
      <c r="U9" s="5" t="s">
        <v>74</v>
      </c>
      <c r="V9" s="5" t="s">
        <v>68</v>
      </c>
      <c r="W9" s="5" t="s">
        <v>47</v>
      </c>
      <c r="X9" s="14">
        <v>1.02</v>
      </c>
      <c r="Y9" s="11"/>
      <c r="Z9" s="17">
        <f t="shared" si="0"/>
        <v>318.65999999999997</v>
      </c>
      <c r="AA9" s="20">
        <f>L9*G9</f>
        <v>310.2</v>
      </c>
      <c r="AB9" s="14">
        <f>Z9/AA9</f>
        <v>1.0272727272727271</v>
      </c>
      <c r="AC9" s="11"/>
      <c r="AD9" s="17">
        <f t="shared" si="1"/>
        <v>318.65999999999997</v>
      </c>
      <c r="AE9" s="20">
        <f>U9*G9</f>
        <v>313.02</v>
      </c>
      <c r="AF9" s="14">
        <f>AD9/AE9</f>
        <v>1.0180180180180181</v>
      </c>
    </row>
    <row r="10" spans="1:32" x14ac:dyDescent="0.2">
      <c r="A10" s="4" t="s">
        <v>76</v>
      </c>
      <c r="B10" s="4" t="s">
        <v>77</v>
      </c>
      <c r="C10" s="4" t="s">
        <v>23</v>
      </c>
      <c r="D10" s="4" t="s">
        <v>24</v>
      </c>
      <c r="E10" s="4" t="s">
        <v>25</v>
      </c>
      <c r="F10" s="4" t="s">
        <v>78</v>
      </c>
      <c r="G10" s="5">
        <v>19.170000000000002</v>
      </c>
      <c r="H10" s="12" t="s">
        <v>79</v>
      </c>
      <c r="I10" s="5" t="s">
        <v>23</v>
      </c>
      <c r="J10" s="5" t="s">
        <v>23</v>
      </c>
      <c r="K10" s="5" t="s">
        <v>23</v>
      </c>
      <c r="L10" s="5" t="s">
        <v>23</v>
      </c>
      <c r="M10" s="5" t="s">
        <v>23</v>
      </c>
      <c r="N10" s="5" t="s">
        <v>23</v>
      </c>
      <c r="O10" s="14"/>
      <c r="P10" s="5"/>
      <c r="Q10" s="12" t="s">
        <v>79</v>
      </c>
      <c r="R10" s="5" t="s">
        <v>23</v>
      </c>
      <c r="S10" s="5" t="s">
        <v>23</v>
      </c>
      <c r="T10" s="5" t="s">
        <v>23</v>
      </c>
      <c r="U10" s="5" t="s">
        <v>23</v>
      </c>
      <c r="V10" s="5" t="s">
        <v>23</v>
      </c>
      <c r="W10" s="5" t="s">
        <v>23</v>
      </c>
      <c r="X10" s="14"/>
      <c r="Y10" s="11"/>
      <c r="Z10" s="17"/>
      <c r="AA10" s="20"/>
      <c r="AB10" s="14"/>
      <c r="AC10" s="11"/>
      <c r="AD10" s="17"/>
      <c r="AE10" s="20"/>
      <c r="AF10" s="14"/>
    </row>
    <row r="11" spans="1:32" x14ac:dyDescent="0.2">
      <c r="A11" s="4" t="s">
        <v>76</v>
      </c>
      <c r="B11" s="4" t="s">
        <v>77</v>
      </c>
      <c r="C11" s="4" t="s">
        <v>80</v>
      </c>
      <c r="D11" s="4" t="s">
        <v>30</v>
      </c>
      <c r="E11" s="4" t="s">
        <v>31</v>
      </c>
      <c r="F11" s="4" t="s">
        <v>78</v>
      </c>
      <c r="G11" s="5">
        <v>19.170000000000002</v>
      </c>
      <c r="H11" s="12" t="s">
        <v>79</v>
      </c>
      <c r="I11" s="5" t="s">
        <v>81</v>
      </c>
      <c r="J11" s="5" t="s">
        <v>81</v>
      </c>
      <c r="K11" s="5" t="s">
        <v>82</v>
      </c>
      <c r="L11" s="5" t="s">
        <v>72</v>
      </c>
      <c r="M11" s="5" t="s">
        <v>83</v>
      </c>
      <c r="N11" s="5" t="s">
        <v>62</v>
      </c>
      <c r="O11" s="14">
        <v>1.08</v>
      </c>
      <c r="P11" s="5"/>
      <c r="Q11" s="12" t="s">
        <v>79</v>
      </c>
      <c r="R11" s="5" t="s">
        <v>23</v>
      </c>
      <c r="S11" s="5" t="s">
        <v>23</v>
      </c>
      <c r="T11" s="5" t="s">
        <v>23</v>
      </c>
      <c r="U11" s="5" t="s">
        <v>23</v>
      </c>
      <c r="V11" s="5" t="s">
        <v>23</v>
      </c>
      <c r="W11" s="5" t="s">
        <v>23</v>
      </c>
      <c r="X11" s="14"/>
      <c r="Y11" s="11"/>
      <c r="Z11" s="17">
        <f t="shared" si="0"/>
        <v>2147.04</v>
      </c>
      <c r="AA11" s="20">
        <f>L11*G11</f>
        <v>1993.6800000000003</v>
      </c>
      <c r="AB11" s="14">
        <f>Z11/AA11</f>
        <v>1.0769230769230766</v>
      </c>
      <c r="AC11" s="11"/>
      <c r="AD11" s="17"/>
      <c r="AE11" s="20"/>
      <c r="AF11" s="14"/>
    </row>
    <row r="12" spans="1:32" ht="42.75" x14ac:dyDescent="0.2">
      <c r="A12" s="4" t="s">
        <v>84</v>
      </c>
      <c r="B12" s="4" t="s">
        <v>85</v>
      </c>
      <c r="C12" s="4" t="s">
        <v>86</v>
      </c>
      <c r="D12" s="4" t="s">
        <v>24</v>
      </c>
      <c r="E12" s="4" t="s">
        <v>57</v>
      </c>
      <c r="F12" s="4" t="s">
        <v>78</v>
      </c>
      <c r="G12" s="5">
        <v>5</v>
      </c>
      <c r="H12" s="12" t="s">
        <v>83</v>
      </c>
      <c r="I12" s="5" t="s">
        <v>87</v>
      </c>
      <c r="J12" s="5" t="s">
        <v>88</v>
      </c>
      <c r="K12" s="5" t="s">
        <v>89</v>
      </c>
      <c r="L12" s="5" t="s">
        <v>82</v>
      </c>
      <c r="M12" s="5" t="s">
        <v>73</v>
      </c>
      <c r="N12" s="5" t="s">
        <v>90</v>
      </c>
      <c r="O12" s="14">
        <v>1.08</v>
      </c>
      <c r="P12" s="5"/>
      <c r="Q12" s="12" t="s">
        <v>83</v>
      </c>
      <c r="R12" s="5" t="s">
        <v>91</v>
      </c>
      <c r="S12" s="5" t="s">
        <v>92</v>
      </c>
      <c r="T12" s="5" t="s">
        <v>93</v>
      </c>
      <c r="U12" s="5" t="s">
        <v>94</v>
      </c>
      <c r="V12" s="5" t="s">
        <v>48</v>
      </c>
      <c r="W12" s="5" t="s">
        <v>75</v>
      </c>
      <c r="X12" s="14">
        <v>1.05</v>
      </c>
      <c r="Y12" s="11"/>
      <c r="Z12" s="17">
        <f t="shared" si="0"/>
        <v>540</v>
      </c>
      <c r="AA12" s="20">
        <f>L12*G12</f>
        <v>500</v>
      </c>
      <c r="AB12" s="14">
        <f>Z12/AA12</f>
        <v>1.08</v>
      </c>
      <c r="AC12" s="11"/>
      <c r="AD12" s="17">
        <f t="shared" si="1"/>
        <v>540</v>
      </c>
      <c r="AE12" s="20">
        <f>U12*G12</f>
        <v>515</v>
      </c>
      <c r="AF12" s="14">
        <f>AD12/AE12</f>
        <v>1.0485436893203883</v>
      </c>
    </row>
    <row r="13" spans="1:32" ht="42.75" x14ac:dyDescent="0.2">
      <c r="A13" s="4" t="s">
        <v>84</v>
      </c>
      <c r="B13" s="4" t="s">
        <v>85</v>
      </c>
      <c r="C13" s="4" t="s">
        <v>95</v>
      </c>
      <c r="D13" s="4" t="s">
        <v>30</v>
      </c>
      <c r="E13" s="4" t="s">
        <v>31</v>
      </c>
      <c r="F13" s="4" t="s">
        <v>78</v>
      </c>
      <c r="G13" s="5">
        <v>5</v>
      </c>
      <c r="H13" s="12" t="s">
        <v>83</v>
      </c>
      <c r="I13" s="5" t="s">
        <v>96</v>
      </c>
      <c r="J13" s="5" t="s">
        <v>97</v>
      </c>
      <c r="K13" s="5" t="s">
        <v>98</v>
      </c>
      <c r="L13" s="5" t="s">
        <v>99</v>
      </c>
      <c r="M13" s="5" t="s">
        <v>73</v>
      </c>
      <c r="N13" s="5" t="s">
        <v>82</v>
      </c>
      <c r="O13" s="14">
        <v>1.0900000000000001</v>
      </c>
      <c r="P13" s="5"/>
      <c r="Q13" s="12" t="s">
        <v>83</v>
      </c>
      <c r="R13" s="5" t="s">
        <v>96</v>
      </c>
      <c r="S13" s="5" t="s">
        <v>97</v>
      </c>
      <c r="T13" s="5" t="s">
        <v>100</v>
      </c>
      <c r="U13" s="5" t="s">
        <v>94</v>
      </c>
      <c r="V13" s="5" t="s">
        <v>51</v>
      </c>
      <c r="W13" s="5" t="s">
        <v>75</v>
      </c>
      <c r="X13" s="14">
        <v>1.05</v>
      </c>
      <c r="Y13" s="11"/>
      <c r="Z13" s="17">
        <f t="shared" si="0"/>
        <v>540</v>
      </c>
      <c r="AA13" s="20">
        <f>L13*G13</f>
        <v>495</v>
      </c>
      <c r="AB13" s="14">
        <f>Z13/AA13</f>
        <v>1.0909090909090908</v>
      </c>
      <c r="AC13" s="11"/>
      <c r="AD13" s="17">
        <f t="shared" si="1"/>
        <v>540</v>
      </c>
      <c r="AE13" s="20">
        <f>U13*G13</f>
        <v>515</v>
      </c>
      <c r="AF13" s="14">
        <f>AD13/AE13</f>
        <v>1.0485436893203883</v>
      </c>
    </row>
    <row r="14" spans="1:32" ht="28.5" x14ac:dyDescent="0.2">
      <c r="A14" s="4" t="s">
        <v>101</v>
      </c>
      <c r="B14" s="4" t="s">
        <v>102</v>
      </c>
      <c r="C14" s="4" t="s">
        <v>23</v>
      </c>
      <c r="D14" s="4" t="s">
        <v>24</v>
      </c>
      <c r="E14" s="4" t="s">
        <v>57</v>
      </c>
      <c r="F14" s="4" t="s">
        <v>78</v>
      </c>
      <c r="G14" s="5">
        <v>86.98</v>
      </c>
      <c r="H14" s="12" t="s">
        <v>72</v>
      </c>
      <c r="I14" s="5" t="s">
        <v>23</v>
      </c>
      <c r="J14" s="5" t="s">
        <v>23</v>
      </c>
      <c r="K14" s="5" t="s">
        <v>23</v>
      </c>
      <c r="L14" s="5" t="s">
        <v>23</v>
      </c>
      <c r="M14" s="5" t="s">
        <v>23</v>
      </c>
      <c r="N14" s="5" t="s">
        <v>23</v>
      </c>
      <c r="O14" s="14"/>
      <c r="P14" s="11"/>
      <c r="Q14" s="12" t="s">
        <v>72</v>
      </c>
      <c r="R14" s="5" t="s">
        <v>23</v>
      </c>
      <c r="S14" s="5" t="s">
        <v>23</v>
      </c>
      <c r="T14" s="5" t="s">
        <v>23</v>
      </c>
      <c r="U14" s="5" t="s">
        <v>23</v>
      </c>
      <c r="V14" s="5" t="s">
        <v>23</v>
      </c>
      <c r="W14" s="5" t="s">
        <v>23</v>
      </c>
      <c r="X14" s="19"/>
      <c r="Y14" s="11"/>
      <c r="Z14" s="17"/>
      <c r="AA14" s="20"/>
      <c r="AB14" s="14"/>
      <c r="AC14" s="11"/>
      <c r="AD14" s="17"/>
      <c r="AE14" s="20"/>
      <c r="AF14" s="14"/>
    </row>
    <row r="15" spans="1:32" x14ac:dyDescent="0.2">
      <c r="A15" s="4" t="s">
        <v>101</v>
      </c>
      <c r="B15" s="4" t="s">
        <v>102</v>
      </c>
      <c r="C15" s="4" t="s">
        <v>103</v>
      </c>
      <c r="D15" s="4" t="s">
        <v>30</v>
      </c>
      <c r="E15" s="4" t="s">
        <v>31</v>
      </c>
      <c r="F15" s="4" t="s">
        <v>78</v>
      </c>
      <c r="G15" s="5">
        <v>86.98</v>
      </c>
      <c r="H15" s="12" t="s">
        <v>72</v>
      </c>
      <c r="I15" s="5" t="s">
        <v>104</v>
      </c>
      <c r="J15" s="5" t="s">
        <v>104</v>
      </c>
      <c r="K15" s="5" t="s">
        <v>105</v>
      </c>
      <c r="L15" s="5" t="s">
        <v>90</v>
      </c>
      <c r="M15" s="5" t="s">
        <v>72</v>
      </c>
      <c r="N15" s="5" t="s">
        <v>82</v>
      </c>
      <c r="O15" s="14">
        <v>1.03</v>
      </c>
      <c r="P15" s="11"/>
      <c r="Q15" s="12" t="s">
        <v>72</v>
      </c>
      <c r="R15" s="5" t="s">
        <v>23</v>
      </c>
      <c r="S15" s="5" t="s">
        <v>23</v>
      </c>
      <c r="T15" s="5" t="s">
        <v>23</v>
      </c>
      <c r="U15" s="5" t="s">
        <v>23</v>
      </c>
      <c r="V15" s="5" t="s">
        <v>23</v>
      </c>
      <c r="W15" s="5" t="s">
        <v>23</v>
      </c>
      <c r="X15" s="14"/>
      <c r="Y15" s="11"/>
      <c r="Z15" s="17">
        <f t="shared" si="0"/>
        <v>9045.92</v>
      </c>
      <c r="AA15" s="20">
        <f t="shared" ref="AA15:AA27" si="2">L15*G15</f>
        <v>8784.98</v>
      </c>
      <c r="AB15" s="14">
        <f t="shared" ref="AB15:AB27" si="3">Z15/AA15</f>
        <v>1.0297029702970297</v>
      </c>
      <c r="AC15" s="11"/>
      <c r="AD15" s="17"/>
      <c r="AE15" s="20"/>
      <c r="AF15" s="14"/>
    </row>
    <row r="16" spans="1:32" ht="28.5" x14ac:dyDescent="0.2">
      <c r="A16" s="4" t="s">
        <v>106</v>
      </c>
      <c r="B16" s="4" t="s">
        <v>107</v>
      </c>
      <c r="C16" s="4" t="s">
        <v>108</v>
      </c>
      <c r="D16" s="4" t="s">
        <v>24</v>
      </c>
      <c r="E16" s="4" t="s">
        <v>57</v>
      </c>
      <c r="F16" s="4" t="s">
        <v>58</v>
      </c>
      <c r="G16" s="5">
        <v>3.54</v>
      </c>
      <c r="H16" s="12" t="s">
        <v>109</v>
      </c>
      <c r="I16" s="5" t="s">
        <v>110</v>
      </c>
      <c r="J16" s="5" t="s">
        <v>111</v>
      </c>
      <c r="K16" s="5" t="s">
        <v>89</v>
      </c>
      <c r="L16" s="5" t="s">
        <v>82</v>
      </c>
      <c r="M16" s="5" t="s">
        <v>47</v>
      </c>
      <c r="N16" s="5" t="s">
        <v>112</v>
      </c>
      <c r="O16" s="14">
        <v>0.96</v>
      </c>
      <c r="P16" s="11"/>
      <c r="Q16" s="12" t="s">
        <v>109</v>
      </c>
      <c r="R16" s="5" t="s">
        <v>113</v>
      </c>
      <c r="S16" s="5" t="s">
        <v>114</v>
      </c>
      <c r="T16" s="5" t="s">
        <v>115</v>
      </c>
      <c r="U16" s="5" t="s">
        <v>66</v>
      </c>
      <c r="V16" s="5" t="s">
        <v>116</v>
      </c>
      <c r="W16" s="5" t="s">
        <v>66</v>
      </c>
      <c r="X16" s="14">
        <v>0.87</v>
      </c>
      <c r="Y16" s="11"/>
      <c r="Z16" s="17">
        <f t="shared" si="0"/>
        <v>336.3</v>
      </c>
      <c r="AA16" s="20">
        <f t="shared" si="2"/>
        <v>354</v>
      </c>
      <c r="AB16" s="14">
        <f t="shared" si="3"/>
        <v>0.95000000000000007</v>
      </c>
      <c r="AC16" s="11"/>
      <c r="AD16" s="17">
        <f t="shared" si="1"/>
        <v>336.3</v>
      </c>
      <c r="AE16" s="20">
        <f>U16*G16</f>
        <v>385.86</v>
      </c>
      <c r="AF16" s="14">
        <f>AD16/AE16</f>
        <v>0.87155963302752293</v>
      </c>
    </row>
    <row r="17" spans="1:32" x14ac:dyDescent="0.2">
      <c r="A17" s="4" t="s">
        <v>106</v>
      </c>
      <c r="B17" s="4" t="s">
        <v>107</v>
      </c>
      <c r="C17" s="4" t="s">
        <v>117</v>
      </c>
      <c r="D17" s="4" t="s">
        <v>30</v>
      </c>
      <c r="E17" s="4" t="s">
        <v>31</v>
      </c>
      <c r="F17" s="4" t="s">
        <v>58</v>
      </c>
      <c r="G17" s="5">
        <v>3.54</v>
      </c>
      <c r="H17" s="12" t="s">
        <v>109</v>
      </c>
      <c r="I17" s="5" t="s">
        <v>54</v>
      </c>
      <c r="J17" s="5" t="s">
        <v>54</v>
      </c>
      <c r="K17" s="5" t="s">
        <v>118</v>
      </c>
      <c r="L17" s="5" t="s">
        <v>119</v>
      </c>
      <c r="M17" s="5" t="s">
        <v>74</v>
      </c>
      <c r="N17" s="5" t="s">
        <v>94</v>
      </c>
      <c r="O17" s="14">
        <v>0.89</v>
      </c>
      <c r="P17" s="11"/>
      <c r="Q17" s="12" t="s">
        <v>109</v>
      </c>
      <c r="R17" s="5" t="s">
        <v>23</v>
      </c>
      <c r="S17" s="5" t="s">
        <v>23</v>
      </c>
      <c r="T17" s="5" t="s">
        <v>23</v>
      </c>
      <c r="U17" s="5" t="s">
        <v>23</v>
      </c>
      <c r="V17" s="5" t="s">
        <v>23</v>
      </c>
      <c r="W17" s="5" t="s">
        <v>23</v>
      </c>
      <c r="X17" s="14" t="s">
        <v>278</v>
      </c>
      <c r="Y17" s="11"/>
      <c r="Z17" s="17">
        <f t="shared" si="0"/>
        <v>336.3</v>
      </c>
      <c r="AA17" s="20">
        <f t="shared" si="2"/>
        <v>378.78000000000003</v>
      </c>
      <c r="AB17" s="14">
        <f t="shared" si="3"/>
        <v>0.88785046728971961</v>
      </c>
      <c r="AC17" s="11"/>
      <c r="AD17" s="17"/>
      <c r="AE17" s="20"/>
      <c r="AF17" s="14"/>
    </row>
    <row r="18" spans="1:32" ht="42.75" x14ac:dyDescent="0.2">
      <c r="A18" s="4" t="s">
        <v>120</v>
      </c>
      <c r="B18" s="4" t="s">
        <v>121</v>
      </c>
      <c r="C18" s="4" t="s">
        <v>122</v>
      </c>
      <c r="D18" s="4" t="s">
        <v>24</v>
      </c>
      <c r="E18" s="4" t="s">
        <v>57</v>
      </c>
      <c r="F18" s="4" t="s">
        <v>78</v>
      </c>
      <c r="G18" s="5">
        <v>18.7</v>
      </c>
      <c r="H18" s="12" t="s">
        <v>59</v>
      </c>
      <c r="I18" s="5" t="s">
        <v>81</v>
      </c>
      <c r="J18" s="5" t="s">
        <v>123</v>
      </c>
      <c r="K18" s="5" t="s">
        <v>23</v>
      </c>
      <c r="L18" s="5" t="s">
        <v>124</v>
      </c>
      <c r="M18" s="5" t="s">
        <v>23</v>
      </c>
      <c r="N18" s="5" t="s">
        <v>125</v>
      </c>
      <c r="O18" s="14">
        <v>1.32</v>
      </c>
      <c r="P18" s="11"/>
      <c r="Q18" s="12" t="s">
        <v>59</v>
      </c>
      <c r="R18" s="5" t="s">
        <v>126</v>
      </c>
      <c r="S18" s="5" t="s">
        <v>127</v>
      </c>
      <c r="T18" s="5" t="s">
        <v>23</v>
      </c>
      <c r="U18" s="5" t="s">
        <v>128</v>
      </c>
      <c r="V18" s="5" t="s">
        <v>23</v>
      </c>
      <c r="W18" s="5" t="s">
        <v>125</v>
      </c>
      <c r="X18" s="14">
        <v>1.31</v>
      </c>
      <c r="Y18" s="11"/>
      <c r="Z18" s="17">
        <f t="shared" si="0"/>
        <v>2113.1</v>
      </c>
      <c r="AA18" s="20">
        <f t="shared" si="2"/>
        <v>1589.5</v>
      </c>
      <c r="AB18" s="14">
        <f t="shared" si="3"/>
        <v>1.3294117647058823</v>
      </c>
      <c r="AC18" s="11"/>
      <c r="AD18" s="17">
        <f t="shared" si="1"/>
        <v>2113.1</v>
      </c>
      <c r="AE18" s="20">
        <f>U18*G18</f>
        <v>1608.2</v>
      </c>
      <c r="AF18" s="14">
        <f>AD18/AE18</f>
        <v>1.3139534883720929</v>
      </c>
    </row>
    <row r="19" spans="1:32" ht="42.75" x14ac:dyDescent="0.2">
      <c r="A19" s="4" t="s">
        <v>120</v>
      </c>
      <c r="B19" s="4" t="s">
        <v>121</v>
      </c>
      <c r="C19" s="4" t="s">
        <v>129</v>
      </c>
      <c r="D19" s="4" t="s">
        <v>30</v>
      </c>
      <c r="E19" s="4" t="s">
        <v>31</v>
      </c>
      <c r="F19" s="4" t="s">
        <v>78</v>
      </c>
      <c r="G19" s="5">
        <v>18.7</v>
      </c>
      <c r="H19" s="12" t="s">
        <v>59</v>
      </c>
      <c r="I19" s="5" t="s">
        <v>130</v>
      </c>
      <c r="J19" s="5" t="s">
        <v>130</v>
      </c>
      <c r="K19" s="5" t="s">
        <v>115</v>
      </c>
      <c r="L19" s="5" t="s">
        <v>90</v>
      </c>
      <c r="M19" s="5" t="s">
        <v>62</v>
      </c>
      <c r="N19" s="5" t="s">
        <v>90</v>
      </c>
      <c r="O19" s="14">
        <v>1.1200000000000001</v>
      </c>
      <c r="P19" s="11"/>
      <c r="Q19" s="12" t="s">
        <v>59</v>
      </c>
      <c r="R19" s="5" t="s">
        <v>23</v>
      </c>
      <c r="S19" s="5" t="s">
        <v>23</v>
      </c>
      <c r="T19" s="5" t="s">
        <v>23</v>
      </c>
      <c r="U19" s="5" t="s">
        <v>23</v>
      </c>
      <c r="V19" s="5" t="s">
        <v>23</v>
      </c>
      <c r="W19" s="5" t="s">
        <v>23</v>
      </c>
      <c r="X19" s="14"/>
      <c r="Y19" s="11"/>
      <c r="Z19" s="17">
        <f t="shared" si="0"/>
        <v>2113.1</v>
      </c>
      <c r="AA19" s="20">
        <f t="shared" si="2"/>
        <v>1888.6999999999998</v>
      </c>
      <c r="AB19" s="14">
        <f t="shared" si="3"/>
        <v>1.1188118811881189</v>
      </c>
      <c r="AC19" s="11"/>
      <c r="AD19" s="17"/>
      <c r="AE19" s="20"/>
      <c r="AF19" s="14"/>
    </row>
    <row r="20" spans="1:32" ht="42.75" x14ac:dyDescent="0.2">
      <c r="A20" s="4" t="s">
        <v>131</v>
      </c>
      <c r="B20" s="4" t="s">
        <v>132</v>
      </c>
      <c r="C20" s="4" t="s">
        <v>133</v>
      </c>
      <c r="D20" s="4" t="s">
        <v>24</v>
      </c>
      <c r="E20" s="4" t="s">
        <v>57</v>
      </c>
      <c r="F20" s="4" t="s">
        <v>78</v>
      </c>
      <c r="G20" s="5">
        <v>1</v>
      </c>
      <c r="H20" s="12" t="s">
        <v>124</v>
      </c>
      <c r="I20" s="5" t="s">
        <v>134</v>
      </c>
      <c r="J20" s="5" t="s">
        <v>135</v>
      </c>
      <c r="K20" s="5" t="s">
        <v>136</v>
      </c>
      <c r="L20" s="5" t="s">
        <v>137</v>
      </c>
      <c r="M20" s="5" t="s">
        <v>138</v>
      </c>
      <c r="N20" s="5" t="s">
        <v>139</v>
      </c>
      <c r="O20" s="14">
        <v>1.02</v>
      </c>
      <c r="P20" s="11"/>
      <c r="Q20" s="12" t="s">
        <v>124</v>
      </c>
      <c r="R20" s="5" t="s">
        <v>140</v>
      </c>
      <c r="S20" s="5" t="s">
        <v>141</v>
      </c>
      <c r="T20" s="5" t="s">
        <v>142</v>
      </c>
      <c r="U20" s="5" t="s">
        <v>143</v>
      </c>
      <c r="V20" s="5" t="s">
        <v>105</v>
      </c>
      <c r="W20" s="5" t="s">
        <v>89</v>
      </c>
      <c r="X20" s="14">
        <v>0.97</v>
      </c>
      <c r="Y20" s="11"/>
      <c r="Z20" s="17">
        <f t="shared" si="0"/>
        <v>85</v>
      </c>
      <c r="AA20" s="20">
        <f t="shared" si="2"/>
        <v>83</v>
      </c>
      <c r="AB20" s="14">
        <f t="shared" si="3"/>
        <v>1.0240963855421688</v>
      </c>
      <c r="AC20" s="11"/>
      <c r="AD20" s="17">
        <f t="shared" si="1"/>
        <v>85</v>
      </c>
      <c r="AE20" s="20">
        <f t="shared" ref="AE20:AE25" si="4">U20*G20</f>
        <v>88</v>
      </c>
      <c r="AF20" s="14">
        <f t="shared" ref="AF20:AF25" si="5">AD20/AE20</f>
        <v>0.96590909090909094</v>
      </c>
    </row>
    <row r="21" spans="1:32" x14ac:dyDescent="0.2">
      <c r="A21" s="4" t="s">
        <v>131</v>
      </c>
      <c r="B21" s="4" t="s">
        <v>132</v>
      </c>
      <c r="C21" s="4" t="s">
        <v>144</v>
      </c>
      <c r="D21" s="4" t="s">
        <v>30</v>
      </c>
      <c r="E21" s="4" t="s">
        <v>31</v>
      </c>
      <c r="F21" s="4" t="s">
        <v>78</v>
      </c>
      <c r="G21" s="5">
        <v>1</v>
      </c>
      <c r="H21" s="12" t="s">
        <v>124</v>
      </c>
      <c r="I21" s="5" t="s">
        <v>145</v>
      </c>
      <c r="J21" s="5" t="s">
        <v>146</v>
      </c>
      <c r="K21" s="5" t="s">
        <v>147</v>
      </c>
      <c r="L21" s="5" t="s">
        <v>125</v>
      </c>
      <c r="M21" s="5" t="s">
        <v>98</v>
      </c>
      <c r="N21" s="5" t="s">
        <v>143</v>
      </c>
      <c r="O21" s="14">
        <v>0.98</v>
      </c>
      <c r="P21" s="11"/>
      <c r="Q21" s="12" t="s">
        <v>124</v>
      </c>
      <c r="R21" s="5" t="s">
        <v>145</v>
      </c>
      <c r="S21" s="5" t="s">
        <v>146</v>
      </c>
      <c r="T21" s="5" t="s">
        <v>148</v>
      </c>
      <c r="U21" s="5" t="s">
        <v>89</v>
      </c>
      <c r="V21" s="5" t="s">
        <v>105</v>
      </c>
      <c r="W21" s="5" t="s">
        <v>149</v>
      </c>
      <c r="X21" s="14">
        <v>0.95</v>
      </c>
      <c r="Y21" s="11"/>
      <c r="Z21" s="17">
        <f t="shared" si="0"/>
        <v>85</v>
      </c>
      <c r="AA21" s="20">
        <f t="shared" si="2"/>
        <v>87</v>
      </c>
      <c r="AB21" s="14">
        <f t="shared" si="3"/>
        <v>0.97701149425287359</v>
      </c>
      <c r="AC21" s="11"/>
      <c r="AD21" s="17">
        <f t="shared" si="1"/>
        <v>85</v>
      </c>
      <c r="AE21" s="20">
        <f t="shared" si="4"/>
        <v>89</v>
      </c>
      <c r="AF21" s="14">
        <f t="shared" si="5"/>
        <v>0.9550561797752809</v>
      </c>
    </row>
    <row r="22" spans="1:32" ht="28.5" x14ac:dyDescent="0.2">
      <c r="A22" s="4" t="s">
        <v>126</v>
      </c>
      <c r="B22" s="4" t="s">
        <v>150</v>
      </c>
      <c r="C22" s="4" t="s">
        <v>151</v>
      </c>
      <c r="D22" s="4" t="s">
        <v>24</v>
      </c>
      <c r="E22" s="4" t="s">
        <v>57</v>
      </c>
      <c r="F22" s="4" t="s">
        <v>26</v>
      </c>
      <c r="G22" s="5">
        <v>1</v>
      </c>
      <c r="H22" s="12" t="s">
        <v>138</v>
      </c>
      <c r="I22" s="5" t="s">
        <v>152</v>
      </c>
      <c r="J22" s="5" t="s">
        <v>153</v>
      </c>
      <c r="K22" s="5" t="s">
        <v>154</v>
      </c>
      <c r="L22" s="5" t="s">
        <v>139</v>
      </c>
      <c r="M22" s="5" t="s">
        <v>93</v>
      </c>
      <c r="N22" s="5" t="s">
        <v>137</v>
      </c>
      <c r="O22" s="14">
        <v>1.1000000000000001</v>
      </c>
      <c r="P22" s="11"/>
      <c r="Q22" s="12" t="s">
        <v>138</v>
      </c>
      <c r="R22" s="5" t="s">
        <v>155</v>
      </c>
      <c r="S22" s="5" t="s">
        <v>156</v>
      </c>
      <c r="T22" s="5" t="s">
        <v>157</v>
      </c>
      <c r="U22" s="5" t="s">
        <v>149</v>
      </c>
      <c r="V22" s="5" t="s">
        <v>100</v>
      </c>
      <c r="W22" s="5" t="s">
        <v>149</v>
      </c>
      <c r="X22" s="14">
        <v>1.02</v>
      </c>
      <c r="Y22" s="11"/>
      <c r="Z22" s="17">
        <f t="shared" si="0"/>
        <v>92</v>
      </c>
      <c r="AA22" s="20">
        <f t="shared" si="2"/>
        <v>84</v>
      </c>
      <c r="AB22" s="14">
        <f t="shared" si="3"/>
        <v>1.0952380952380953</v>
      </c>
      <c r="AC22" s="11"/>
      <c r="AD22" s="17">
        <f t="shared" si="1"/>
        <v>92</v>
      </c>
      <c r="AE22" s="20">
        <f t="shared" si="4"/>
        <v>91</v>
      </c>
      <c r="AF22" s="14">
        <f t="shared" si="5"/>
        <v>1.0109890109890109</v>
      </c>
    </row>
    <row r="23" spans="1:32" ht="28.5" x14ac:dyDescent="0.2">
      <c r="A23" s="4" t="s">
        <v>126</v>
      </c>
      <c r="B23" s="4" t="s">
        <v>150</v>
      </c>
      <c r="C23" s="4" t="s">
        <v>158</v>
      </c>
      <c r="D23" s="4" t="s">
        <v>30</v>
      </c>
      <c r="E23" s="4" t="s">
        <v>31</v>
      </c>
      <c r="F23" s="4" t="s">
        <v>26</v>
      </c>
      <c r="G23" s="5">
        <v>1</v>
      </c>
      <c r="H23" s="12" t="s">
        <v>138</v>
      </c>
      <c r="I23" s="5" t="s">
        <v>32</v>
      </c>
      <c r="J23" s="5" t="s">
        <v>159</v>
      </c>
      <c r="K23" s="5" t="s">
        <v>138</v>
      </c>
      <c r="L23" s="5" t="s">
        <v>94</v>
      </c>
      <c r="M23" s="5" t="s">
        <v>51</v>
      </c>
      <c r="N23" s="5" t="s">
        <v>72</v>
      </c>
      <c r="O23" s="14">
        <v>0.89</v>
      </c>
      <c r="P23" s="11"/>
      <c r="Q23" s="12" t="s">
        <v>138</v>
      </c>
      <c r="R23" s="5" t="s">
        <v>32</v>
      </c>
      <c r="S23" s="5" t="s">
        <v>159</v>
      </c>
      <c r="T23" s="5" t="s">
        <v>115</v>
      </c>
      <c r="U23" s="5" t="s">
        <v>66</v>
      </c>
      <c r="V23" s="5" t="s">
        <v>49</v>
      </c>
      <c r="W23" s="5" t="s">
        <v>73</v>
      </c>
      <c r="X23" s="14">
        <v>0.85</v>
      </c>
      <c r="Y23" s="11"/>
      <c r="Z23" s="17">
        <f t="shared" si="0"/>
        <v>92</v>
      </c>
      <c r="AA23" s="20">
        <f t="shared" si="2"/>
        <v>103</v>
      </c>
      <c r="AB23" s="14">
        <f t="shared" si="3"/>
        <v>0.89320388349514568</v>
      </c>
      <c r="AC23" s="11"/>
      <c r="AD23" s="17">
        <f t="shared" si="1"/>
        <v>92</v>
      </c>
      <c r="AE23" s="20">
        <f t="shared" si="4"/>
        <v>109</v>
      </c>
      <c r="AF23" s="14">
        <f t="shared" si="5"/>
        <v>0.84403669724770647</v>
      </c>
    </row>
    <row r="24" spans="1:32" ht="28.5" x14ac:dyDescent="0.2">
      <c r="A24" s="4" t="s">
        <v>160</v>
      </c>
      <c r="B24" s="4" t="s">
        <v>161</v>
      </c>
      <c r="C24" s="4" t="s">
        <v>162</v>
      </c>
      <c r="D24" s="4" t="s">
        <v>24</v>
      </c>
      <c r="E24" s="4" t="s">
        <v>57</v>
      </c>
      <c r="F24" s="4" t="s">
        <v>78</v>
      </c>
      <c r="G24" s="5">
        <v>2.2400000000000002</v>
      </c>
      <c r="H24" s="12" t="s">
        <v>138</v>
      </c>
      <c r="I24" s="5" t="s">
        <v>163</v>
      </c>
      <c r="J24" s="5" t="s">
        <v>164</v>
      </c>
      <c r="K24" s="5" t="s">
        <v>165</v>
      </c>
      <c r="L24" s="5" t="s">
        <v>166</v>
      </c>
      <c r="M24" s="5" t="s">
        <v>89</v>
      </c>
      <c r="N24" s="5" t="s">
        <v>167</v>
      </c>
      <c r="O24" s="14">
        <v>1.1599999999999999</v>
      </c>
      <c r="P24" s="5"/>
      <c r="Q24" s="12" t="s">
        <v>138</v>
      </c>
      <c r="R24" s="5" t="s">
        <v>168</v>
      </c>
      <c r="S24" s="5" t="s">
        <v>169</v>
      </c>
      <c r="T24" s="5" t="s">
        <v>170</v>
      </c>
      <c r="U24" s="5" t="s">
        <v>148</v>
      </c>
      <c r="V24" s="5" t="s">
        <v>98</v>
      </c>
      <c r="W24" s="5" t="s">
        <v>139</v>
      </c>
      <c r="X24" s="14">
        <v>1.1200000000000001</v>
      </c>
      <c r="Y24" s="11"/>
      <c r="Z24" s="17">
        <f t="shared" si="0"/>
        <v>206.08</v>
      </c>
      <c r="AA24" s="20">
        <f t="shared" si="2"/>
        <v>176.96</v>
      </c>
      <c r="AB24" s="14">
        <f t="shared" si="3"/>
        <v>1.1645569620253164</v>
      </c>
      <c r="AC24" s="11"/>
      <c r="AD24" s="17">
        <f t="shared" si="1"/>
        <v>206.08</v>
      </c>
      <c r="AE24" s="20">
        <f t="shared" si="4"/>
        <v>183.68</v>
      </c>
      <c r="AF24" s="14">
        <f t="shared" si="5"/>
        <v>1.1219512195121952</v>
      </c>
    </row>
    <row r="25" spans="1:32" ht="42.75" x14ac:dyDescent="0.2">
      <c r="A25" s="4" t="s">
        <v>81</v>
      </c>
      <c r="B25" s="4" t="s">
        <v>171</v>
      </c>
      <c r="C25" s="4" t="s">
        <v>172</v>
      </c>
      <c r="D25" s="4" t="s">
        <v>24</v>
      </c>
      <c r="E25" s="4" t="s">
        <v>57</v>
      </c>
      <c r="F25" s="4" t="s">
        <v>78</v>
      </c>
      <c r="G25" s="5">
        <v>6.04</v>
      </c>
      <c r="H25" s="12" t="s">
        <v>89</v>
      </c>
      <c r="I25" s="5" t="s">
        <v>173</v>
      </c>
      <c r="J25" s="5" t="s">
        <v>174</v>
      </c>
      <c r="K25" s="5" t="s">
        <v>175</v>
      </c>
      <c r="L25" s="5" t="s">
        <v>176</v>
      </c>
      <c r="M25" s="5" t="s">
        <v>177</v>
      </c>
      <c r="N25" s="5" t="s">
        <v>178</v>
      </c>
      <c r="O25" s="14">
        <v>1.5</v>
      </c>
      <c r="P25" s="5"/>
      <c r="Q25" s="12" t="s">
        <v>89</v>
      </c>
      <c r="R25" s="5" t="s">
        <v>179</v>
      </c>
      <c r="S25" s="5" t="s">
        <v>180</v>
      </c>
      <c r="T25" s="5" t="s">
        <v>181</v>
      </c>
      <c r="U25" s="5" t="s">
        <v>176</v>
      </c>
      <c r="V25" s="5" t="s">
        <v>182</v>
      </c>
      <c r="W25" s="5" t="s">
        <v>183</v>
      </c>
      <c r="X25" s="14">
        <v>1.48</v>
      </c>
      <c r="Y25" s="11"/>
      <c r="Z25" s="17">
        <f t="shared" si="0"/>
        <v>537.56000000000006</v>
      </c>
      <c r="AA25" s="20">
        <f t="shared" si="2"/>
        <v>362.4</v>
      </c>
      <c r="AB25" s="14">
        <f t="shared" si="3"/>
        <v>1.4833333333333336</v>
      </c>
      <c r="AC25" s="11"/>
      <c r="AD25" s="17">
        <f t="shared" si="1"/>
        <v>537.56000000000006</v>
      </c>
      <c r="AE25" s="20">
        <f t="shared" si="4"/>
        <v>362.4</v>
      </c>
      <c r="AF25" s="14">
        <f t="shared" si="5"/>
        <v>1.4833333333333336</v>
      </c>
    </row>
    <row r="26" spans="1:32" ht="42.75" x14ac:dyDescent="0.2">
      <c r="A26" s="4" t="s">
        <v>81</v>
      </c>
      <c r="B26" s="4" t="s">
        <v>171</v>
      </c>
      <c r="C26" s="4" t="s">
        <v>184</v>
      </c>
      <c r="D26" s="4" t="s">
        <v>30</v>
      </c>
      <c r="E26" s="4" t="s">
        <v>31</v>
      </c>
      <c r="F26" s="4" t="s">
        <v>78</v>
      </c>
      <c r="G26" s="5">
        <v>6.04</v>
      </c>
      <c r="H26" s="12" t="s">
        <v>89</v>
      </c>
      <c r="I26" s="5" t="s">
        <v>185</v>
      </c>
      <c r="J26" s="5" t="s">
        <v>185</v>
      </c>
      <c r="K26" s="5" t="s">
        <v>186</v>
      </c>
      <c r="L26" s="5" t="s">
        <v>142</v>
      </c>
      <c r="M26" s="5" t="s">
        <v>187</v>
      </c>
      <c r="N26" s="5" t="s">
        <v>166</v>
      </c>
      <c r="O26" s="14">
        <v>1.1399999999999999</v>
      </c>
      <c r="P26" s="5"/>
      <c r="Q26" s="12" t="s">
        <v>89</v>
      </c>
      <c r="R26" s="5" t="s">
        <v>23</v>
      </c>
      <c r="S26" s="5" t="s">
        <v>23</v>
      </c>
      <c r="T26" s="5" t="s">
        <v>23</v>
      </c>
      <c r="U26" s="5" t="s">
        <v>23</v>
      </c>
      <c r="V26" s="5" t="s">
        <v>23</v>
      </c>
      <c r="W26" s="5" t="s">
        <v>23</v>
      </c>
      <c r="X26" s="14"/>
      <c r="Y26" s="11"/>
      <c r="Z26" s="17">
        <f t="shared" si="0"/>
        <v>537.56000000000006</v>
      </c>
      <c r="AA26" s="20">
        <f t="shared" si="2"/>
        <v>471.12</v>
      </c>
      <c r="AB26" s="14">
        <f t="shared" si="3"/>
        <v>1.1410256410256412</v>
      </c>
      <c r="AC26" s="11"/>
      <c r="AD26" s="17"/>
      <c r="AE26" s="20"/>
      <c r="AF26" s="14"/>
    </row>
    <row r="27" spans="1:32" ht="28.5" x14ac:dyDescent="0.2">
      <c r="A27" s="4" t="s">
        <v>188</v>
      </c>
      <c r="B27" s="4" t="s">
        <v>189</v>
      </c>
      <c r="C27" s="4" t="s">
        <v>190</v>
      </c>
      <c r="D27" s="4" t="s">
        <v>24</v>
      </c>
      <c r="E27" s="4" t="s">
        <v>57</v>
      </c>
      <c r="F27" s="4" t="s">
        <v>78</v>
      </c>
      <c r="G27" s="5">
        <v>4</v>
      </c>
      <c r="H27" s="12" t="s">
        <v>124</v>
      </c>
      <c r="I27" s="5" t="s">
        <v>191</v>
      </c>
      <c r="J27" s="5" t="s">
        <v>192</v>
      </c>
      <c r="K27" s="5" t="s">
        <v>193</v>
      </c>
      <c r="L27" s="5" t="s">
        <v>178</v>
      </c>
      <c r="M27" s="5" t="s">
        <v>165</v>
      </c>
      <c r="N27" s="5" t="s">
        <v>194</v>
      </c>
      <c r="O27" s="14">
        <v>1.39</v>
      </c>
      <c r="P27" s="5"/>
      <c r="Q27" s="12" t="s">
        <v>124</v>
      </c>
      <c r="R27" s="5" t="s">
        <v>46</v>
      </c>
      <c r="S27" s="5" t="s">
        <v>195</v>
      </c>
      <c r="T27" s="5" t="s">
        <v>187</v>
      </c>
      <c r="U27" s="5" t="s">
        <v>196</v>
      </c>
      <c r="V27" s="5" t="s">
        <v>170</v>
      </c>
      <c r="W27" s="5" t="s">
        <v>177</v>
      </c>
      <c r="X27" s="14">
        <v>1.31</v>
      </c>
      <c r="Y27" s="11"/>
      <c r="Z27" s="17">
        <f t="shared" si="0"/>
        <v>340</v>
      </c>
      <c r="AA27" s="20">
        <f t="shared" si="2"/>
        <v>244</v>
      </c>
      <c r="AB27" s="14">
        <f t="shared" si="3"/>
        <v>1.3934426229508197</v>
      </c>
      <c r="AC27" s="11"/>
      <c r="AD27" s="17">
        <f t="shared" si="1"/>
        <v>340</v>
      </c>
      <c r="AE27" s="20">
        <f>U27*G27</f>
        <v>260</v>
      </c>
      <c r="AF27" s="14">
        <f>AD27/AE27</f>
        <v>1.3076923076923077</v>
      </c>
    </row>
    <row r="28" spans="1:32" x14ac:dyDescent="0.2">
      <c r="A28" s="4" t="s">
        <v>188</v>
      </c>
      <c r="B28" s="4" t="s">
        <v>189</v>
      </c>
      <c r="C28" s="4" t="s">
        <v>23</v>
      </c>
      <c r="D28" s="4" t="s">
        <v>30</v>
      </c>
      <c r="E28" s="4" t="s">
        <v>31</v>
      </c>
      <c r="F28" s="4" t="s">
        <v>78</v>
      </c>
      <c r="G28" s="5">
        <v>4</v>
      </c>
      <c r="H28" s="12" t="s">
        <v>124</v>
      </c>
      <c r="I28" s="5" t="s">
        <v>23</v>
      </c>
      <c r="J28" s="5" t="s">
        <v>23</v>
      </c>
      <c r="K28" s="5" t="s">
        <v>23</v>
      </c>
      <c r="L28" s="5" t="s">
        <v>23</v>
      </c>
      <c r="M28" s="5" t="s">
        <v>23</v>
      </c>
      <c r="N28" s="5" t="s">
        <v>23</v>
      </c>
      <c r="O28" s="14"/>
      <c r="P28" s="5"/>
      <c r="Q28" s="12" t="s">
        <v>124</v>
      </c>
      <c r="R28" s="5" t="s">
        <v>23</v>
      </c>
      <c r="S28" s="5" t="s">
        <v>23</v>
      </c>
      <c r="T28" s="5" t="s">
        <v>23</v>
      </c>
      <c r="U28" s="5" t="s">
        <v>23</v>
      </c>
      <c r="V28" s="5" t="s">
        <v>23</v>
      </c>
      <c r="W28" s="5" t="s">
        <v>23</v>
      </c>
      <c r="X28" s="14"/>
      <c r="Y28" s="11"/>
      <c r="Z28" s="17"/>
      <c r="AA28" s="20"/>
      <c r="AB28" s="14"/>
      <c r="AC28" s="11"/>
      <c r="AD28" s="17"/>
      <c r="AE28" s="20"/>
      <c r="AF28" s="14"/>
    </row>
    <row r="29" spans="1:32" ht="42.75" x14ac:dyDescent="0.2">
      <c r="A29" s="4" t="s">
        <v>145</v>
      </c>
      <c r="B29" s="4" t="s">
        <v>197</v>
      </c>
      <c r="C29" s="4" t="s">
        <v>198</v>
      </c>
      <c r="D29" s="4" t="s">
        <v>24</v>
      </c>
      <c r="E29" s="4" t="s">
        <v>57</v>
      </c>
      <c r="F29" s="4" t="s">
        <v>78</v>
      </c>
      <c r="G29" s="5">
        <v>10.47</v>
      </c>
      <c r="H29" s="12" t="s">
        <v>136</v>
      </c>
      <c r="I29" s="5" t="s">
        <v>70</v>
      </c>
      <c r="J29" s="5" t="s">
        <v>199</v>
      </c>
      <c r="K29" s="5" t="s">
        <v>183</v>
      </c>
      <c r="L29" s="5" t="s">
        <v>165</v>
      </c>
      <c r="M29" s="5" t="s">
        <v>142</v>
      </c>
      <c r="N29" s="5" t="s">
        <v>165</v>
      </c>
      <c r="O29" s="14">
        <v>1.07</v>
      </c>
      <c r="P29" s="5"/>
      <c r="Q29" s="12" t="s">
        <v>136</v>
      </c>
      <c r="R29" s="5" t="s">
        <v>145</v>
      </c>
      <c r="S29" s="5" t="s">
        <v>200</v>
      </c>
      <c r="T29" s="5" t="s">
        <v>178</v>
      </c>
      <c r="U29" s="5" t="s">
        <v>177</v>
      </c>
      <c r="V29" s="5" t="s">
        <v>142</v>
      </c>
      <c r="W29" s="5" t="s">
        <v>165</v>
      </c>
      <c r="X29" s="14">
        <v>1.1200000000000001</v>
      </c>
      <c r="Y29" s="11"/>
      <c r="Z29" s="17">
        <f t="shared" si="0"/>
        <v>785.25</v>
      </c>
      <c r="AA29" s="20">
        <f>L29*G29</f>
        <v>732.90000000000009</v>
      </c>
      <c r="AB29" s="14">
        <f>Z29/AA29</f>
        <v>1.0714285714285714</v>
      </c>
      <c r="AC29" s="11"/>
      <c r="AD29" s="17">
        <f t="shared" si="1"/>
        <v>785.25</v>
      </c>
      <c r="AE29" s="20">
        <f>U29*G29</f>
        <v>701.49</v>
      </c>
      <c r="AF29" s="14">
        <f>AD29/AE29</f>
        <v>1.1194029850746268</v>
      </c>
    </row>
    <row r="30" spans="1:32" ht="28.5" x14ac:dyDescent="0.2">
      <c r="A30" s="4" t="s">
        <v>145</v>
      </c>
      <c r="B30" s="4" t="s">
        <v>197</v>
      </c>
      <c r="C30" s="4" t="s">
        <v>201</v>
      </c>
      <c r="D30" s="4" t="s">
        <v>30</v>
      </c>
      <c r="E30" s="4" t="s">
        <v>31</v>
      </c>
      <c r="F30" s="4" t="s">
        <v>78</v>
      </c>
      <c r="G30" s="5">
        <v>10.47</v>
      </c>
      <c r="H30" s="12" t="s">
        <v>136</v>
      </c>
      <c r="I30" s="5" t="s">
        <v>76</v>
      </c>
      <c r="J30" s="5" t="s">
        <v>76</v>
      </c>
      <c r="K30" s="5" t="s">
        <v>23</v>
      </c>
      <c r="L30" s="5" t="s">
        <v>23</v>
      </c>
      <c r="M30" s="5" t="s">
        <v>23</v>
      </c>
      <c r="N30" s="5" t="s">
        <v>23</v>
      </c>
      <c r="O30" s="14"/>
      <c r="P30" s="5"/>
      <c r="Q30" s="12" t="s">
        <v>136</v>
      </c>
      <c r="R30" s="5" t="s">
        <v>23</v>
      </c>
      <c r="S30" s="5" t="s">
        <v>23</v>
      </c>
      <c r="T30" s="5" t="s">
        <v>23</v>
      </c>
      <c r="U30" s="5" t="s">
        <v>23</v>
      </c>
      <c r="V30" s="5" t="s">
        <v>23</v>
      </c>
      <c r="W30" s="5" t="s">
        <v>23</v>
      </c>
      <c r="X30" s="14"/>
      <c r="Y30" s="11"/>
      <c r="Z30" s="17"/>
      <c r="AA30" s="20"/>
      <c r="AB30" s="14"/>
      <c r="AC30" s="11"/>
      <c r="AD30" s="17"/>
      <c r="AE30" s="20"/>
      <c r="AF30" s="14"/>
    </row>
    <row r="31" spans="1:32" ht="42.75" x14ac:dyDescent="0.2">
      <c r="A31" s="4" t="s">
        <v>96</v>
      </c>
      <c r="B31" s="4" t="s">
        <v>202</v>
      </c>
      <c r="C31" s="4" t="s">
        <v>203</v>
      </c>
      <c r="D31" s="4" t="s">
        <v>24</v>
      </c>
      <c r="E31" s="4" t="s">
        <v>57</v>
      </c>
      <c r="F31" s="4" t="s">
        <v>78</v>
      </c>
      <c r="G31" s="5">
        <v>2.15</v>
      </c>
      <c r="H31" s="12" t="s">
        <v>142</v>
      </c>
      <c r="I31" s="5" t="s">
        <v>204</v>
      </c>
      <c r="J31" s="5" t="s">
        <v>205</v>
      </c>
      <c r="K31" s="5" t="s">
        <v>206</v>
      </c>
      <c r="L31" s="5" t="s">
        <v>186</v>
      </c>
      <c r="M31" s="5" t="s">
        <v>207</v>
      </c>
      <c r="N31" s="5" t="s">
        <v>186</v>
      </c>
      <c r="O31" s="14">
        <v>1.42</v>
      </c>
      <c r="P31" s="5"/>
      <c r="Q31" s="12" t="s">
        <v>142</v>
      </c>
      <c r="R31" s="5" t="s">
        <v>208</v>
      </c>
      <c r="S31" s="5" t="s">
        <v>209</v>
      </c>
      <c r="T31" s="5" t="s">
        <v>206</v>
      </c>
      <c r="U31" s="5" t="s">
        <v>210</v>
      </c>
      <c r="V31" s="5" t="s">
        <v>211</v>
      </c>
      <c r="W31" s="5" t="s">
        <v>210</v>
      </c>
      <c r="X31" s="14">
        <v>1.47</v>
      </c>
      <c r="Y31" s="11"/>
      <c r="Z31" s="17">
        <f t="shared" si="0"/>
        <v>167.7</v>
      </c>
      <c r="AA31" s="20">
        <f t="shared" ref="AA31:AA42" si="6">L31*G31</f>
        <v>109.64999999999999</v>
      </c>
      <c r="AB31" s="14">
        <f t="shared" ref="AB31:AB42" si="7">Z31/AA31</f>
        <v>1.5294117647058825</v>
      </c>
      <c r="AC31" s="11"/>
      <c r="AD31" s="17">
        <f t="shared" si="1"/>
        <v>167.7</v>
      </c>
      <c r="AE31" s="20">
        <f>U31*G31</f>
        <v>113.94999999999999</v>
      </c>
      <c r="AF31" s="14">
        <f>AD31/AE31</f>
        <v>1.4716981132075473</v>
      </c>
    </row>
    <row r="32" spans="1:32" ht="28.5" x14ac:dyDescent="0.2">
      <c r="A32" s="4" t="s">
        <v>96</v>
      </c>
      <c r="B32" s="4" t="s">
        <v>202</v>
      </c>
      <c r="C32" s="4" t="s">
        <v>212</v>
      </c>
      <c r="D32" s="4" t="s">
        <v>30</v>
      </c>
      <c r="E32" s="4" t="s">
        <v>31</v>
      </c>
      <c r="F32" s="4" t="s">
        <v>78</v>
      </c>
      <c r="G32" s="5">
        <v>2.15</v>
      </c>
      <c r="H32" s="12" t="s">
        <v>142</v>
      </c>
      <c r="I32" s="5" t="s">
        <v>213</v>
      </c>
      <c r="J32" s="5" t="s">
        <v>213</v>
      </c>
      <c r="K32" s="5" t="s">
        <v>194</v>
      </c>
      <c r="L32" s="5" t="s">
        <v>165</v>
      </c>
      <c r="M32" s="5" t="s">
        <v>136</v>
      </c>
      <c r="N32" s="5" t="s">
        <v>165</v>
      </c>
      <c r="O32" s="14">
        <v>1.1100000000000001</v>
      </c>
      <c r="P32" s="5"/>
      <c r="Q32" s="12" t="s">
        <v>142</v>
      </c>
      <c r="R32" s="5" t="s">
        <v>23</v>
      </c>
      <c r="S32" s="5" t="s">
        <v>23</v>
      </c>
      <c r="T32" s="5" t="s">
        <v>23</v>
      </c>
      <c r="U32" s="5" t="s">
        <v>23</v>
      </c>
      <c r="V32" s="5" t="s">
        <v>23</v>
      </c>
      <c r="W32" s="5" t="s">
        <v>23</v>
      </c>
      <c r="X32" s="14"/>
      <c r="Y32" s="11"/>
      <c r="Z32" s="17">
        <f t="shared" si="0"/>
        <v>167.7</v>
      </c>
      <c r="AA32" s="20">
        <f t="shared" si="6"/>
        <v>150.5</v>
      </c>
      <c r="AB32" s="14">
        <f t="shared" si="7"/>
        <v>1.1142857142857141</v>
      </c>
      <c r="AC32" s="11"/>
      <c r="AD32" s="17"/>
      <c r="AE32" s="20"/>
      <c r="AF32" s="14"/>
    </row>
    <row r="33" spans="1:32" ht="28.5" x14ac:dyDescent="0.2">
      <c r="A33" s="4" t="s">
        <v>70</v>
      </c>
      <c r="B33" s="4" t="s">
        <v>214</v>
      </c>
      <c r="C33" s="4" t="s">
        <v>215</v>
      </c>
      <c r="D33" s="4" t="s">
        <v>24</v>
      </c>
      <c r="E33" s="4" t="s">
        <v>57</v>
      </c>
      <c r="F33" s="4" t="s">
        <v>78</v>
      </c>
      <c r="G33" s="5">
        <v>10.73</v>
      </c>
      <c r="H33" s="12" t="s">
        <v>136</v>
      </c>
      <c r="I33" s="5" t="s">
        <v>216</v>
      </c>
      <c r="J33" s="5" t="s">
        <v>217</v>
      </c>
      <c r="K33" s="5" t="s">
        <v>210</v>
      </c>
      <c r="L33" s="5" t="s">
        <v>187</v>
      </c>
      <c r="M33" s="5" t="s">
        <v>196</v>
      </c>
      <c r="N33" s="5" t="s">
        <v>187</v>
      </c>
      <c r="O33" s="14">
        <v>1.29</v>
      </c>
      <c r="P33" s="5"/>
      <c r="Q33" s="12" t="s">
        <v>136</v>
      </c>
      <c r="R33" s="5" t="s">
        <v>218</v>
      </c>
      <c r="S33" s="5" t="s">
        <v>219</v>
      </c>
      <c r="T33" s="5" t="s">
        <v>175</v>
      </c>
      <c r="U33" s="5" t="s">
        <v>176</v>
      </c>
      <c r="V33" s="5" t="s">
        <v>220</v>
      </c>
      <c r="W33" s="5" t="s">
        <v>176</v>
      </c>
      <c r="X33" s="14">
        <v>1.25</v>
      </c>
      <c r="Y33" s="11"/>
      <c r="Z33" s="17">
        <f t="shared" si="0"/>
        <v>804.75</v>
      </c>
      <c r="AA33" s="20">
        <f t="shared" si="6"/>
        <v>633.07000000000005</v>
      </c>
      <c r="AB33" s="14">
        <f t="shared" si="7"/>
        <v>1.271186440677966</v>
      </c>
      <c r="AC33" s="11"/>
      <c r="AD33" s="17">
        <f t="shared" si="1"/>
        <v>804.75</v>
      </c>
      <c r="AE33" s="20">
        <f>U33*G33</f>
        <v>643.80000000000007</v>
      </c>
      <c r="AF33" s="14">
        <f>AD33/AE33</f>
        <v>1.2499999999999998</v>
      </c>
    </row>
    <row r="34" spans="1:32" x14ac:dyDescent="0.2">
      <c r="A34" s="4" t="s">
        <v>70</v>
      </c>
      <c r="B34" s="4" t="s">
        <v>214</v>
      </c>
      <c r="C34" s="4" t="s">
        <v>221</v>
      </c>
      <c r="D34" s="4" t="s">
        <v>30</v>
      </c>
      <c r="E34" s="4" t="s">
        <v>31</v>
      </c>
      <c r="F34" s="4" t="s">
        <v>78</v>
      </c>
      <c r="G34" s="5">
        <v>10.73</v>
      </c>
      <c r="H34" s="12" t="s">
        <v>136</v>
      </c>
      <c r="I34" s="5" t="s">
        <v>97</v>
      </c>
      <c r="J34" s="5" t="s">
        <v>97</v>
      </c>
      <c r="K34" s="5" t="s">
        <v>182</v>
      </c>
      <c r="L34" s="5" t="s">
        <v>170</v>
      </c>
      <c r="M34" s="5" t="s">
        <v>222</v>
      </c>
      <c r="N34" s="5" t="s">
        <v>170</v>
      </c>
      <c r="O34" s="14">
        <v>1.05</v>
      </c>
      <c r="P34" s="5"/>
      <c r="Q34" s="12" t="s">
        <v>136</v>
      </c>
      <c r="R34" s="5" t="s">
        <v>23</v>
      </c>
      <c r="S34" s="5" t="s">
        <v>23</v>
      </c>
      <c r="T34" s="5" t="s">
        <v>23</v>
      </c>
      <c r="U34" s="5" t="s">
        <v>23</v>
      </c>
      <c r="V34" s="5" t="s">
        <v>23</v>
      </c>
      <c r="W34" s="5" t="s">
        <v>23</v>
      </c>
      <c r="X34" s="14"/>
      <c r="Y34" s="11"/>
      <c r="Z34" s="17">
        <f t="shared" si="0"/>
        <v>804.75</v>
      </c>
      <c r="AA34" s="20">
        <f t="shared" si="6"/>
        <v>772.56000000000006</v>
      </c>
      <c r="AB34" s="14">
        <f t="shared" si="7"/>
        <v>1.0416666666666665</v>
      </c>
      <c r="AC34" s="11"/>
      <c r="AD34" s="17"/>
      <c r="AE34" s="20"/>
      <c r="AF34" s="14"/>
    </row>
    <row r="35" spans="1:32" ht="42.75" x14ac:dyDescent="0.2">
      <c r="A35" s="4" t="s">
        <v>223</v>
      </c>
      <c r="B35" s="4" t="s">
        <v>224</v>
      </c>
      <c r="C35" s="4" t="s">
        <v>225</v>
      </c>
      <c r="D35" s="4" t="s">
        <v>24</v>
      </c>
      <c r="E35" s="4" t="s">
        <v>57</v>
      </c>
      <c r="F35" s="4" t="s">
        <v>78</v>
      </c>
      <c r="G35" s="5">
        <v>5.29</v>
      </c>
      <c r="H35" s="12" t="s">
        <v>136</v>
      </c>
      <c r="I35" s="5" t="s">
        <v>216</v>
      </c>
      <c r="J35" s="5" t="s">
        <v>226</v>
      </c>
      <c r="K35" s="5" t="s">
        <v>186</v>
      </c>
      <c r="L35" s="5" t="s">
        <v>181</v>
      </c>
      <c r="M35" s="5" t="s">
        <v>183</v>
      </c>
      <c r="N35" s="5" t="s">
        <v>193</v>
      </c>
      <c r="O35" s="14">
        <v>1.38</v>
      </c>
      <c r="P35" s="5"/>
      <c r="Q35" s="12" t="s">
        <v>136</v>
      </c>
      <c r="R35" s="5" t="s">
        <v>127</v>
      </c>
      <c r="S35" s="5" t="s">
        <v>227</v>
      </c>
      <c r="T35" s="5" t="s">
        <v>228</v>
      </c>
      <c r="U35" s="5" t="s">
        <v>207</v>
      </c>
      <c r="V35" s="5" t="s">
        <v>194</v>
      </c>
      <c r="W35" s="5" t="s">
        <v>211</v>
      </c>
      <c r="X35" s="14">
        <v>1.33</v>
      </c>
      <c r="Y35" s="11"/>
      <c r="Z35" s="17">
        <f t="shared" si="0"/>
        <v>396.75</v>
      </c>
      <c r="AA35" s="20">
        <f t="shared" si="6"/>
        <v>290.95</v>
      </c>
      <c r="AB35" s="14">
        <f t="shared" si="7"/>
        <v>1.3636363636363638</v>
      </c>
      <c r="AC35" s="11"/>
      <c r="AD35" s="17">
        <f t="shared" si="1"/>
        <v>396.75</v>
      </c>
      <c r="AE35" s="20">
        <f>U35*G35</f>
        <v>301.53000000000003</v>
      </c>
      <c r="AF35" s="14">
        <f>AD35/AE35</f>
        <v>1.3157894736842104</v>
      </c>
    </row>
    <row r="36" spans="1:32" x14ac:dyDescent="0.2">
      <c r="A36" s="4" t="s">
        <v>223</v>
      </c>
      <c r="B36" s="4" t="s">
        <v>224</v>
      </c>
      <c r="C36" s="4" t="s">
        <v>229</v>
      </c>
      <c r="D36" s="4" t="s">
        <v>30</v>
      </c>
      <c r="E36" s="4" t="s">
        <v>31</v>
      </c>
      <c r="F36" s="4" t="s">
        <v>78</v>
      </c>
      <c r="G36" s="5">
        <v>5.29</v>
      </c>
      <c r="H36" s="12" t="s">
        <v>136</v>
      </c>
      <c r="I36" s="5" t="s">
        <v>145</v>
      </c>
      <c r="J36" s="5" t="s">
        <v>145</v>
      </c>
      <c r="K36" s="5" t="s">
        <v>177</v>
      </c>
      <c r="L36" s="5" t="s">
        <v>230</v>
      </c>
      <c r="M36" s="5" t="s">
        <v>222</v>
      </c>
      <c r="N36" s="5" t="s">
        <v>170</v>
      </c>
      <c r="O36" s="14">
        <v>1.03</v>
      </c>
      <c r="P36" s="5"/>
      <c r="Q36" s="12" t="s">
        <v>136</v>
      </c>
      <c r="R36" s="5" t="s">
        <v>23</v>
      </c>
      <c r="S36" s="5" t="s">
        <v>23</v>
      </c>
      <c r="T36" s="5" t="s">
        <v>23</v>
      </c>
      <c r="U36" s="5" t="s">
        <v>23</v>
      </c>
      <c r="V36" s="5" t="s">
        <v>23</v>
      </c>
      <c r="W36" s="5" t="s">
        <v>23</v>
      </c>
      <c r="X36" s="14"/>
      <c r="Y36" s="11"/>
      <c r="Z36" s="17">
        <f t="shared" si="0"/>
        <v>396.75</v>
      </c>
      <c r="AA36" s="20">
        <f t="shared" si="6"/>
        <v>386.17</v>
      </c>
      <c r="AB36" s="14">
        <f t="shared" si="7"/>
        <v>1.0273972602739725</v>
      </c>
      <c r="AC36" s="11"/>
      <c r="AD36" s="17"/>
      <c r="AE36" s="20"/>
      <c r="AF36" s="14"/>
    </row>
    <row r="37" spans="1:32" ht="57" x14ac:dyDescent="0.2">
      <c r="A37" s="4" t="s">
        <v>146</v>
      </c>
      <c r="B37" s="4" t="s">
        <v>231</v>
      </c>
      <c r="C37" s="4" t="s">
        <v>232</v>
      </c>
      <c r="D37" s="4" t="s">
        <v>24</v>
      </c>
      <c r="E37" s="4" t="s">
        <v>57</v>
      </c>
      <c r="F37" s="4" t="s">
        <v>26</v>
      </c>
      <c r="G37" s="5">
        <v>2</v>
      </c>
      <c r="H37" s="12" t="s">
        <v>233</v>
      </c>
      <c r="I37" s="5" t="s">
        <v>234</v>
      </c>
      <c r="J37" s="5" t="s">
        <v>218</v>
      </c>
      <c r="K37" s="5" t="s">
        <v>27</v>
      </c>
      <c r="L37" s="5" t="s">
        <v>235</v>
      </c>
      <c r="M37" s="5" t="s">
        <v>236</v>
      </c>
      <c r="N37" s="5" t="s">
        <v>237</v>
      </c>
      <c r="O37" s="14">
        <v>1.03</v>
      </c>
      <c r="P37" s="5"/>
      <c r="Q37" s="12" t="s">
        <v>238</v>
      </c>
      <c r="R37" s="5" t="s">
        <v>155</v>
      </c>
      <c r="S37" s="5" t="s">
        <v>239</v>
      </c>
      <c r="T37" s="5" t="s">
        <v>237</v>
      </c>
      <c r="U37" s="5" t="s">
        <v>240</v>
      </c>
      <c r="V37" s="5" t="s">
        <v>241</v>
      </c>
      <c r="W37" s="5" t="s">
        <v>242</v>
      </c>
      <c r="X37" s="14">
        <v>1.06</v>
      </c>
      <c r="Y37" s="11"/>
      <c r="Z37" s="17">
        <f t="shared" si="0"/>
        <v>314</v>
      </c>
      <c r="AA37" s="20">
        <f t="shared" si="6"/>
        <v>304</v>
      </c>
      <c r="AB37" s="14">
        <f t="shared" si="7"/>
        <v>1.0328947368421053</v>
      </c>
      <c r="AC37" s="11"/>
      <c r="AD37" s="17">
        <f t="shared" si="1"/>
        <v>378</v>
      </c>
      <c r="AE37" s="20">
        <f>U37*G37</f>
        <v>356</v>
      </c>
      <c r="AF37" s="14">
        <f>AD37/AE37</f>
        <v>1.0617977528089888</v>
      </c>
    </row>
    <row r="38" spans="1:32" ht="28.5" x14ac:dyDescent="0.2">
      <c r="A38" s="4" t="s">
        <v>146</v>
      </c>
      <c r="B38" s="4" t="s">
        <v>231</v>
      </c>
      <c r="C38" s="4" t="s">
        <v>243</v>
      </c>
      <c r="D38" s="4" t="s">
        <v>30</v>
      </c>
      <c r="E38" s="4" t="s">
        <v>31</v>
      </c>
      <c r="F38" s="4" t="s">
        <v>26</v>
      </c>
      <c r="G38" s="5">
        <v>2</v>
      </c>
      <c r="H38" s="12" t="s">
        <v>233</v>
      </c>
      <c r="I38" s="5" t="s">
        <v>160</v>
      </c>
      <c r="J38" s="5" t="s">
        <v>96</v>
      </c>
      <c r="K38" s="5" t="s">
        <v>244</v>
      </c>
      <c r="L38" s="5" t="s">
        <v>245</v>
      </c>
      <c r="M38" s="5" t="s">
        <v>246</v>
      </c>
      <c r="N38" s="5" t="s">
        <v>247</v>
      </c>
      <c r="O38" s="14">
        <v>1.02</v>
      </c>
      <c r="P38" s="5"/>
      <c r="Q38" s="12" t="s">
        <v>238</v>
      </c>
      <c r="R38" s="5" t="s">
        <v>160</v>
      </c>
      <c r="S38" s="5" t="s">
        <v>96</v>
      </c>
      <c r="T38" s="5" t="s">
        <v>38</v>
      </c>
      <c r="U38" s="5" t="s">
        <v>248</v>
      </c>
      <c r="V38" s="5" t="s">
        <v>249</v>
      </c>
      <c r="W38" s="5" t="s">
        <v>250</v>
      </c>
      <c r="X38" s="14">
        <v>1.03</v>
      </c>
      <c r="Y38" s="11"/>
      <c r="Z38" s="17">
        <f t="shared" si="0"/>
        <v>314</v>
      </c>
      <c r="AA38" s="20">
        <f t="shared" si="6"/>
        <v>308</v>
      </c>
      <c r="AB38" s="14">
        <f t="shared" si="7"/>
        <v>1.0194805194805194</v>
      </c>
      <c r="AC38" s="11"/>
      <c r="AD38" s="17">
        <f t="shared" si="1"/>
        <v>378</v>
      </c>
      <c r="AE38" s="20">
        <f>U38*G38</f>
        <v>366</v>
      </c>
      <c r="AF38" s="14">
        <f>AD38/AE38</f>
        <v>1.0327868852459017</v>
      </c>
    </row>
    <row r="39" spans="1:32" ht="28.5" x14ac:dyDescent="0.2">
      <c r="A39" s="4" t="s">
        <v>251</v>
      </c>
      <c r="B39" s="4" t="s">
        <v>252</v>
      </c>
      <c r="C39" s="4" t="s">
        <v>253</v>
      </c>
      <c r="D39" s="4" t="s">
        <v>24</v>
      </c>
      <c r="E39" s="4" t="s">
        <v>57</v>
      </c>
      <c r="F39" s="4" t="s">
        <v>78</v>
      </c>
      <c r="G39" s="5">
        <v>3</v>
      </c>
      <c r="H39" s="12" t="s">
        <v>98</v>
      </c>
      <c r="I39" s="5" t="s">
        <v>76</v>
      </c>
      <c r="J39" s="5" t="s">
        <v>120</v>
      </c>
      <c r="K39" s="5" t="s">
        <v>23</v>
      </c>
      <c r="L39" s="5" t="s">
        <v>82</v>
      </c>
      <c r="M39" s="5" t="s">
        <v>23</v>
      </c>
      <c r="N39" s="5" t="s">
        <v>105</v>
      </c>
      <c r="O39" s="14">
        <v>0.95</v>
      </c>
      <c r="P39" s="5"/>
      <c r="Q39" s="12" t="s">
        <v>23</v>
      </c>
      <c r="R39" s="5" t="s">
        <v>76</v>
      </c>
      <c r="S39" s="5" t="s">
        <v>120</v>
      </c>
      <c r="T39" s="5" t="s">
        <v>23</v>
      </c>
      <c r="U39" s="5" t="s">
        <v>82</v>
      </c>
      <c r="V39" s="5" t="s">
        <v>23</v>
      </c>
      <c r="W39" s="5" t="s">
        <v>100</v>
      </c>
      <c r="X39" s="14"/>
      <c r="Y39" s="11"/>
      <c r="Z39" s="17">
        <f t="shared" si="0"/>
        <v>282</v>
      </c>
      <c r="AA39" s="20">
        <f t="shared" si="6"/>
        <v>300</v>
      </c>
      <c r="AB39" s="14">
        <f t="shared" si="7"/>
        <v>0.94</v>
      </c>
      <c r="AC39" s="11"/>
      <c r="AD39" s="17"/>
      <c r="AE39" s="20"/>
      <c r="AF39" s="14"/>
    </row>
    <row r="40" spans="1:32" ht="42.75" x14ac:dyDescent="0.2">
      <c r="A40" s="4" t="s">
        <v>251</v>
      </c>
      <c r="B40" s="4" t="s">
        <v>252</v>
      </c>
      <c r="C40" s="4" t="s">
        <v>254</v>
      </c>
      <c r="D40" s="4" t="s">
        <v>30</v>
      </c>
      <c r="E40" s="4" t="s">
        <v>31</v>
      </c>
      <c r="F40" s="4" t="s">
        <v>78</v>
      </c>
      <c r="G40" s="5">
        <v>3</v>
      </c>
      <c r="H40" s="12" t="s">
        <v>98</v>
      </c>
      <c r="I40" s="5" t="s">
        <v>160</v>
      </c>
      <c r="J40" s="5" t="s">
        <v>160</v>
      </c>
      <c r="K40" s="5" t="s">
        <v>23</v>
      </c>
      <c r="L40" s="5" t="s">
        <v>112</v>
      </c>
      <c r="M40" s="5" t="s">
        <v>23</v>
      </c>
      <c r="N40" s="5" t="s">
        <v>72</v>
      </c>
      <c r="O40" s="14">
        <v>0.93</v>
      </c>
      <c r="P40" s="5"/>
      <c r="Q40" s="12" t="s">
        <v>23</v>
      </c>
      <c r="R40" s="5" t="s">
        <v>23</v>
      </c>
      <c r="S40" s="5" t="s">
        <v>23</v>
      </c>
      <c r="T40" s="5" t="s">
        <v>23</v>
      </c>
      <c r="U40" s="5" t="s">
        <v>23</v>
      </c>
      <c r="V40" s="5" t="s">
        <v>23</v>
      </c>
      <c r="W40" s="5" t="s">
        <v>23</v>
      </c>
      <c r="X40" s="14"/>
      <c r="Y40" s="11"/>
      <c r="Z40" s="17">
        <f t="shared" si="0"/>
        <v>282</v>
      </c>
      <c r="AA40" s="20">
        <f t="shared" si="6"/>
        <v>306</v>
      </c>
      <c r="AB40" s="14">
        <f t="shared" si="7"/>
        <v>0.92156862745098034</v>
      </c>
      <c r="AC40" s="11"/>
      <c r="AD40" s="17"/>
      <c r="AE40" s="20"/>
      <c r="AF40" s="14"/>
    </row>
    <row r="41" spans="1:32" ht="42.75" x14ac:dyDescent="0.2">
      <c r="A41" s="4" t="s">
        <v>32</v>
      </c>
      <c r="B41" s="4" t="s">
        <v>255</v>
      </c>
      <c r="C41" s="4" t="s">
        <v>256</v>
      </c>
      <c r="D41" s="4" t="s">
        <v>24</v>
      </c>
      <c r="E41" s="4" t="s">
        <v>57</v>
      </c>
      <c r="F41" s="4" t="s">
        <v>78</v>
      </c>
      <c r="G41" s="5">
        <v>4.47</v>
      </c>
      <c r="H41" s="12" t="s">
        <v>82</v>
      </c>
      <c r="I41" s="5" t="s">
        <v>213</v>
      </c>
      <c r="J41" s="5" t="s">
        <v>257</v>
      </c>
      <c r="K41" s="5" t="s">
        <v>136</v>
      </c>
      <c r="L41" s="5" t="s">
        <v>89</v>
      </c>
      <c r="M41" s="5" t="s">
        <v>94</v>
      </c>
      <c r="N41" s="5" t="s">
        <v>149</v>
      </c>
      <c r="O41" s="14">
        <v>1.1200000000000001</v>
      </c>
      <c r="P41" s="5"/>
      <c r="Q41" s="12" t="s">
        <v>105</v>
      </c>
      <c r="R41" s="5" t="s">
        <v>258</v>
      </c>
      <c r="S41" s="5" t="s">
        <v>259</v>
      </c>
      <c r="T41" s="5" t="s">
        <v>136</v>
      </c>
      <c r="U41" s="5" t="s">
        <v>89</v>
      </c>
      <c r="V41" s="5" t="s">
        <v>90</v>
      </c>
      <c r="W41" s="5" t="s">
        <v>118</v>
      </c>
      <c r="X41" s="14">
        <v>1.0900000000000001</v>
      </c>
      <c r="Y41" s="11"/>
      <c r="Z41" s="17">
        <f t="shared" si="0"/>
        <v>447</v>
      </c>
      <c r="AA41" s="20">
        <f t="shared" si="6"/>
        <v>397.83</v>
      </c>
      <c r="AB41" s="14">
        <f t="shared" si="7"/>
        <v>1.1235955056179776</v>
      </c>
      <c r="AC41" s="11"/>
      <c r="AD41" s="17">
        <f>Q41*G41</f>
        <v>433.59</v>
      </c>
      <c r="AE41" s="20">
        <f>U41*G41</f>
        <v>397.83</v>
      </c>
      <c r="AF41" s="14">
        <f>AD41/AE41</f>
        <v>1.0898876404494382</v>
      </c>
    </row>
    <row r="42" spans="1:32" ht="29.25" thickBot="1" x14ac:dyDescent="0.25">
      <c r="A42" s="4" t="s">
        <v>32</v>
      </c>
      <c r="B42" s="4" t="s">
        <v>255</v>
      </c>
      <c r="C42" s="4" t="s">
        <v>260</v>
      </c>
      <c r="D42" s="4" t="s">
        <v>30</v>
      </c>
      <c r="E42" s="4" t="s">
        <v>31</v>
      </c>
      <c r="F42" s="4" t="s">
        <v>78</v>
      </c>
      <c r="G42" s="5">
        <v>4.47</v>
      </c>
      <c r="H42" s="15" t="s">
        <v>82</v>
      </c>
      <c r="I42" s="16" t="s">
        <v>96</v>
      </c>
      <c r="J42" s="16" t="s">
        <v>96</v>
      </c>
      <c r="K42" s="16" t="s">
        <v>138</v>
      </c>
      <c r="L42" s="16" t="s">
        <v>115</v>
      </c>
      <c r="M42" s="16" t="s">
        <v>94</v>
      </c>
      <c r="N42" s="16" t="s">
        <v>105</v>
      </c>
      <c r="O42" s="18">
        <v>1.93</v>
      </c>
      <c r="P42" s="5"/>
      <c r="Q42" s="15" t="s">
        <v>105</v>
      </c>
      <c r="R42" s="16" t="s">
        <v>23</v>
      </c>
      <c r="S42" s="16" t="s">
        <v>23</v>
      </c>
      <c r="T42" s="16" t="s">
        <v>23</v>
      </c>
      <c r="U42" s="16" t="s">
        <v>23</v>
      </c>
      <c r="V42" s="16" t="s">
        <v>23</v>
      </c>
      <c r="W42" s="16" t="s">
        <v>23</v>
      </c>
      <c r="X42" s="18"/>
      <c r="Y42" s="11"/>
      <c r="Z42" s="21">
        <f t="shared" si="0"/>
        <v>447</v>
      </c>
      <c r="AA42" s="22">
        <f t="shared" si="6"/>
        <v>429.12</v>
      </c>
      <c r="AB42" s="18">
        <f t="shared" si="7"/>
        <v>1.0416666666666667</v>
      </c>
      <c r="AC42" s="11"/>
      <c r="AD42" s="21"/>
      <c r="AE42" s="22"/>
      <c r="AF42" s="18"/>
    </row>
    <row r="44" spans="1:32" ht="15" x14ac:dyDescent="0.25">
      <c r="E44" s="6" t="s">
        <v>24</v>
      </c>
      <c r="G44" s="1" t="s">
        <v>26</v>
      </c>
      <c r="O44" s="7">
        <f>AVERAGEIFS(O$4:O$42,$D$4:$D$42,"MBD",$F$4:$F$42,"Management")</f>
        <v>1.0649999999999999</v>
      </c>
      <c r="X44" s="7">
        <f>AVERAGEIFS(X$4:X$42,$D$4:$D$42,"MBD",$F$4:$F$42,"Management")</f>
        <v>1.04</v>
      </c>
      <c r="Z44" s="1">
        <f>SUMIFS(Z$4:Z$42,$D$4:$D$42,"MBD",$F$4:$F$42,"Management",AA$4:AA$42,"&gt;0")</f>
        <v>406</v>
      </c>
      <c r="AA44" s="1">
        <f>SUMIFS(AA$4:AA$42,$D$4:$D$42,"MBD",$F$4:$F$42,"Management",AA$4:AA$42,"&gt;0")</f>
        <v>388</v>
      </c>
      <c r="AB44" s="7">
        <f>Z44/AA44</f>
        <v>1.0463917525773196</v>
      </c>
      <c r="AD44" s="1">
        <f>SUMIFS(AD$4:AD$42,$D$4:$D$42,"MBD",$F$4:$F$42,"Management",AE$4:AE$42,"&gt;0")</f>
        <v>470</v>
      </c>
      <c r="AE44" s="1">
        <f>SUMIFS(AE$4:AE$42,$D$4:$D$42,"MBD",$F$4:$F$42,"Management",AE$4:AE$42,"&gt;0")</f>
        <v>447</v>
      </c>
      <c r="AF44" s="7">
        <f>AD44/AE44</f>
        <v>1.051454138702461</v>
      </c>
    </row>
    <row r="45" spans="1:32" x14ac:dyDescent="0.2">
      <c r="G45" s="1" t="s">
        <v>267</v>
      </c>
      <c r="O45" s="7">
        <f>AVERAGEIFS(O$4:O$42,$D$4:$D$42,"MBD",$F$4:$F$42,"&lt;&gt;Management")</f>
        <v>1.1885714285714286</v>
      </c>
      <c r="X45" s="7">
        <f>AVERAGEIFS(X$4:X$42,$D$4:$D$42,"MBD",$F$4:$F$42,"&lt;&gt;Management")</f>
        <v>1.176923076923077</v>
      </c>
      <c r="Z45" s="24">
        <f>SUMIFS(Z$4:Z$42,$D$4:$D$42,"MBD",$F$4:$F$42,"Non-Union",AA$4:AA$42,"&gt;0")+SUMIFS(Z$4:Z$42,$D$4:$D$42,"MBD",$F$4:$F$42,"Union",AA$4:AA$42,"&gt;0")</f>
        <v>7360.15</v>
      </c>
      <c r="AA45" s="24">
        <f>SUMIFS(AA$4:AA$42,$D$4:$D$42,"MBD",$F$4:$F$42,"Non-Union",AA$4:AA$42,"&gt;0")+SUMIFS(AA$4:AA$42,$D$4:$D$42,"MBD",$F$4:$F$42,"Union",AA$4:AA$42,"&gt;0")</f>
        <v>6101.38</v>
      </c>
      <c r="AB45" s="7">
        <f>Z45/AA45</f>
        <v>1.206309064506718</v>
      </c>
      <c r="AD45" s="24">
        <f>SUMIFS(AD$4:AD$42,$D$4:$D$42,"MBD",$F$4:$F$42,"Non-Union",AE$4:AE$42,"&gt;0")+SUMIFS(AD$4:AD$42,$D$4:$D$42,"MBD",$F$4:$F$42,"Union",AE$4:AE$42,"&gt;0")</f>
        <v>7064.74</v>
      </c>
      <c r="AE45" s="24">
        <f>SUMIFS(AE$4:AE$42,$D$4:$D$42,"MBD",$F$4:$F$42,"Non-Union",AE$4:AE$42,"&gt;0")+SUMIFS(AE$4:AE$42,$D$4:$D$42,"MBD",$F$4:$F$42,"Union",AE$4:AE$42,"&gt;0")</f>
        <v>5905.7799999999988</v>
      </c>
      <c r="AF45" s="7">
        <f>AD45/AE45</f>
        <v>1.1962416480126252</v>
      </c>
    </row>
    <row r="46" spans="1:32" x14ac:dyDescent="0.2">
      <c r="G46" s="1" t="s">
        <v>263</v>
      </c>
      <c r="O46" s="7">
        <f>AVERAGEIF($D$4:$D$42,"MBD",O$4:O$42)</f>
        <v>1.173125</v>
      </c>
      <c r="X46" s="7">
        <f>AVERAGEIF($D$4:$D$42,"MBD",X$4:X$42)</f>
        <v>1.1586666666666665</v>
      </c>
      <c r="Z46" s="1">
        <f>SUMIFS(Z$4:Z$42,$D$4:$D$42,"MBD",AA$4:AA$42,"&gt;0")</f>
        <v>7766.15</v>
      </c>
      <c r="AA46" s="1">
        <f>SUMIFS(AA$4:AA$42,$D$4:$D$42,"MBD",AB$4:AB$42,"&gt;0")</f>
        <v>6489.3799999999992</v>
      </c>
      <c r="AB46" s="7">
        <f>Z46/AA46</f>
        <v>1.1967476091706759</v>
      </c>
      <c r="AD46" s="24">
        <f>AD44+AD45</f>
        <v>7534.74</v>
      </c>
      <c r="AE46" s="24">
        <f>AE44+AE45</f>
        <v>6352.7799999999988</v>
      </c>
      <c r="AF46" s="7">
        <f>AD46/AE46</f>
        <v>1.1860539795176286</v>
      </c>
    </row>
    <row r="47" spans="1:32" x14ac:dyDescent="0.2">
      <c r="O47" s="7"/>
      <c r="X47" s="7"/>
    </row>
    <row r="48" spans="1:32" ht="15" x14ac:dyDescent="0.25">
      <c r="E48" s="6" t="s">
        <v>30</v>
      </c>
      <c r="G48" s="1" t="s">
        <v>26</v>
      </c>
      <c r="O48" s="7">
        <f>AVERAGEIFS(O$4:O$42,$D$4:$D$42,"MEARIE",$F$4:$F$42,"Management")</f>
        <v>0.98750000000000004</v>
      </c>
      <c r="X48" s="7">
        <f>AVERAGEIFS(X$4:X$42,$D$4:$D$42,"MEARIE",$F$4:$F$42,"Management")</f>
        <v>0.97750000000000004</v>
      </c>
      <c r="Z48" s="1">
        <f>SUMIFS(Z$4:Z$42,$D$4:$D$42,"MEARIE",$F$4:$F$42,"Management",AA$4:AA$42,"&gt;0")</f>
        <v>2292.3200000000002</v>
      </c>
      <c r="AA48" s="1">
        <f>SUMIFS(AA$4:AA$42,$D$4:$D$42,"MEARIE",$F$4:$F$42,"Management",AB$4:AB$42,"&gt;0")</f>
        <v>2235.3000000000002</v>
      </c>
      <c r="AB48" s="7">
        <f>Z48/AA48</f>
        <v>1.0255088802397889</v>
      </c>
      <c r="AD48" s="1">
        <f>SUMIFS(AD$4:AD$42,$D$4:$D$42,"MEARIE",$F$4:$F$42,"Management",AE$4:AE$42,"&gt;0")</f>
        <v>2408.06</v>
      </c>
      <c r="AE48" s="1">
        <f>SUMIFS(AE$4:AE$42,$D$4:$D$42,"MEARIE",$F$4:$F$42,"Management",AF$4:AF$42,"&gt;0")</f>
        <v>2387.08</v>
      </c>
      <c r="AF48" s="7">
        <f>AD48/AE48</f>
        <v>1.0087889806793238</v>
      </c>
    </row>
    <row r="49" spans="2:32" x14ac:dyDescent="0.2">
      <c r="G49" s="1" t="s">
        <v>267</v>
      </c>
      <c r="O49" s="7">
        <f>AVERAGEIFS(O$4:O$42,$D$4:$D$42,"MEARIE",$F$4:$F$42,"&lt;&gt;Management")</f>
        <v>1.1084615384615384</v>
      </c>
      <c r="X49" s="7">
        <f>AVERAGEIFS(X$4:X$42,$D$4:$D$42,"MEARIE",$F$4:$F$42,"&lt;&gt;Management")</f>
        <v>1.0066666666666668</v>
      </c>
      <c r="Z49" s="24">
        <f>SUMIFS(Z$4:Z$42,$D$4:$D$42,"MEARIE",$F$4:$F$42,"Non-Union",AA$4:AA$42,"&gt;0")+SUMIFS(Z$4:Z$42,$D$4:$D$42,"MEARIE",$F$4:$F$42,"Union",AA$4:AA$42,"&gt;0")</f>
        <v>17221.78</v>
      </c>
      <c r="AA49" s="24">
        <f>SUMIFS(AA$4:AA$42,$D$4:$D$42,"MEARIE",$F$4:$F$42,"Non-Union",AB$4:AB$42,"&gt;0")+SUMIFS(AA$4:AA$42,$D$4:$D$42,"MEARIE",$F$4:$F$42,"Union",AB$4:AB$42,"&gt;0")</f>
        <v>16453.810000000001</v>
      </c>
      <c r="AB49" s="7">
        <f>Z49/AA49</f>
        <v>1.0466742961052788</v>
      </c>
      <c r="AD49" s="24">
        <f>SUMIFS(AD$4:AD$42,$D$4:$D$42,"MEARIE",$F$4:$F$42,"Non-Union",AE$4:AE$42,"&gt;0")+SUMIFS(AD$4:AD$42,$D$4:$D$42,"MEARIE",$F$4:$F$42,"Union",AE$4:AE$42,"&gt;0")</f>
        <v>943.66</v>
      </c>
      <c r="AE49" s="24">
        <f>SUMIFS(AE$4:AE$42,$D$4:$D$42,"MEARIE",$F$4:$F$42,"Non-Union",AF$4:AF$42,"&gt;0")+SUMIFS(AE$4:AE$42,$D$4:$D$42,"MEARIE",$F$4:$F$42,"Union",AF$4:AF$42,"&gt;0")</f>
        <v>917.02</v>
      </c>
      <c r="AF49" s="7">
        <f>AD49/AE49</f>
        <v>1.0290506204881027</v>
      </c>
    </row>
    <row r="50" spans="2:32" ht="15" customHeight="1" x14ac:dyDescent="0.2">
      <c r="G50" s="1" t="s">
        <v>263</v>
      </c>
      <c r="O50" s="7">
        <f>AVERAGEIF($D$4:$D$42,"MEARIE",O$4:O$42)</f>
        <v>1.08</v>
      </c>
      <c r="X50" s="7">
        <f>AVERAGEIF($D$4:$D$42,"MEARIE",X$4:X$42)</f>
        <v>0.9900000000000001</v>
      </c>
      <c r="Z50" s="1">
        <f>SUMIFS(Z$4:Z$42,$D$4:$D$42,"MEARIE",AA$4:AA$42,"&gt;0")</f>
        <v>19514.100000000002</v>
      </c>
      <c r="AA50" s="1">
        <f>SUMIFS(AA$4:AA$42,$D$4:$D$42,"MEARIE",AB$4:AB$42,"&gt;0")</f>
        <v>18689.11</v>
      </c>
      <c r="AB50" s="7">
        <f>Z50/AA50</f>
        <v>1.0441428189999418</v>
      </c>
      <c r="AD50" s="24">
        <f>AD48+AD49</f>
        <v>3351.72</v>
      </c>
      <c r="AE50" s="24">
        <f>AE48+AE49</f>
        <v>3304.1</v>
      </c>
      <c r="AF50" s="7">
        <f>AD50/AE50</f>
        <v>1.0144123967192276</v>
      </c>
    </row>
    <row r="51" spans="2:32" x14ac:dyDescent="0.2">
      <c r="O51" s="7"/>
    </row>
    <row r="52" spans="2:32" ht="15" x14ac:dyDescent="0.25">
      <c r="E52" s="6" t="s">
        <v>264</v>
      </c>
      <c r="G52" s="1" t="s">
        <v>26</v>
      </c>
      <c r="O52" s="7">
        <f>(O5+O7+((O22+O23)/2)+((O37+O38)/2))/4</f>
        <v>1.0150000000000001</v>
      </c>
      <c r="X52" s="7">
        <f>(X5+X7+((X22+X23)/2)+((X37+X38)/2))/4</f>
        <v>1.0024999999999999</v>
      </c>
      <c r="Z52" s="24">
        <f>Z5+Z7+((Z22+Z23)/2)+((Z37+Z38)/2)</f>
        <v>2292.3200000000002</v>
      </c>
      <c r="AA52" s="24">
        <f>AA5+AA7+((AA22+AA23)/2)+((AA37+AA38)/2)</f>
        <v>2223.8000000000002</v>
      </c>
      <c r="AB52" s="7">
        <f>Z52/AA52</f>
        <v>1.0308121233923915</v>
      </c>
      <c r="AD52" s="24">
        <f>((AD5+AD7+((AD22+AD23)/2)+((AD37+AD38)/2)))</f>
        <v>2408.06</v>
      </c>
      <c r="AE52" s="24">
        <f>((AE5+AE7+((AE22+AE23)/2)+((AE37+AE38)/2)))</f>
        <v>2373.08</v>
      </c>
      <c r="AF52" s="7">
        <f>AD52/AE52</f>
        <v>1.0147403374517505</v>
      </c>
    </row>
    <row r="53" spans="2:32" x14ac:dyDescent="0.2">
      <c r="G53" s="1" t="s">
        <v>267</v>
      </c>
      <c r="O53" s="7">
        <f>(((O8+O9)/2)+O11+((O12+O13)/2)+O15+((O16+O17)/2)+((O18+O19)/2)+((O20+O21)/2)+O24+((O25+O26)/2)+O27+O29+((O31+O32)/2)+((O33+O34)/2)+((O35+O36)/2)+((O39+O40)/2)+((O41+O42)/2))/16</f>
        <v>1.149375</v>
      </c>
      <c r="X53" s="7">
        <f>(((X8+X9)/2)+((X12+X13)/2)+X16+X18+((X20+X21)/2)+X24+X25+X27+X29+X31+X33+X35+X41)/13</f>
        <v>1.1796153846153847</v>
      </c>
      <c r="Z53" s="24">
        <f>((Z8+Z9)/2)+Z11+((Z12+Z13)/2)+Z15+((Z16+Z17)/2)+((Z18+Z19)/2)+((Z20+Z21)/2)+Z24+((Z25+Z26)/2)+Z27+Z29+((Z31+Z32)/2)+((Z33+Z34)/2)+((Z35+Z36)/2)+((Z39+Z40)/2)+((Z41+Z42)/2)</f>
        <v>18553.109999999997</v>
      </c>
      <c r="AA53" s="24">
        <f>((AA8+AA9)/2)+AA11+((AA12+AA13)/2)+AA15+((AA16+AA17)/2)+((AA18+AA19)/2)+((AA20+AA21)/2)+AA24+((AA25+AA26)/2)+AA27+AA29+((AA31+AA32)/2)+((AA33+AA34)/2)+((AA35+AA36)/2)+((AA39+AA40)/2)+((AA41+AA42)/2)</f>
        <v>17243.855</v>
      </c>
      <c r="AB53" s="7">
        <f>Z53/AA53</f>
        <v>1.0759258878017703</v>
      </c>
      <c r="AD53" s="24">
        <f>((AD8+AD9)/2)+((AD12+AD13)/2)+AD16+AD18+((AD20+AD21)/2)+AD24+AD25+AD27+AD29+AD31+AD33+AD35+AD41</f>
        <v>7064.74</v>
      </c>
      <c r="AE53" s="24">
        <f>((AE8+AE9)/2)+((AE12+AE13)/2)+AE16+AE18+((AE20+AE21)/2)+AE24+AE25+AE27+AE29+AE31+AE33+AE35+AE41</f>
        <v>5890.7699999999995</v>
      </c>
      <c r="AF53" s="7">
        <f>AD53/AE53</f>
        <v>1.1992897363163051</v>
      </c>
    </row>
    <row r="54" spans="2:32" x14ac:dyDescent="0.2">
      <c r="G54" s="1" t="s">
        <v>263</v>
      </c>
      <c r="O54" s="7">
        <f>(O5+O7+((O8+O9)/2)+O11+((O12+O13)/2)+O15+((O16+O17)/2)+((O18+O19)/2)+((O20+O21)/2)+((O22+O23)/2)+O24+((O25+O26)/2)+O27+O29+((O31+O32)/2)+((O33+O34)/2)+((O35+O36)/2)+((O37+O38)/2)+((O39+O40)/2)+((O41+O42)/2))/20</f>
        <v>1.1225000000000001</v>
      </c>
      <c r="X54" s="7">
        <f>((X5+X7+((X8+X9)/2))+((X12+X13)/2)+X16+X18+((X20+X21)/2)+((X22+X23)/2)+X24+X25+X27+X29+X31+X33+X35+((X37+X38)/2)+X41)/17</f>
        <v>1.1379411764705885</v>
      </c>
      <c r="Z54" s="24">
        <f>Z52+Z53</f>
        <v>20845.429999999997</v>
      </c>
      <c r="AA54" s="24">
        <f>AA52+AA53</f>
        <v>19467.654999999999</v>
      </c>
      <c r="AB54" s="7">
        <f>Z54/AA54</f>
        <v>1.0707725198540861</v>
      </c>
      <c r="AD54" s="24">
        <f>AD52+AD53</f>
        <v>9472.7999999999993</v>
      </c>
      <c r="AE54" s="24">
        <f>AE52+AE53</f>
        <v>8263.8499999999985</v>
      </c>
      <c r="AF54" s="7">
        <f>AD54/AE54</f>
        <v>1.1462937976850984</v>
      </c>
    </row>
    <row r="55" spans="2:32" x14ac:dyDescent="0.2">
      <c r="O55" s="7"/>
      <c r="X55" s="7"/>
    </row>
    <row r="56" spans="2:32" ht="15" x14ac:dyDescent="0.25">
      <c r="E56" s="48" t="s">
        <v>265</v>
      </c>
      <c r="F56" s="48"/>
      <c r="G56" s="1" t="s">
        <v>26</v>
      </c>
      <c r="O56" s="7">
        <f>AVERAGE(O5,O7,O22,O37)</f>
        <v>1.0425</v>
      </c>
      <c r="X56" s="7">
        <f>AVERAGE(X5,X7,X22,X37)</f>
        <v>1.0275000000000001</v>
      </c>
      <c r="Z56" s="29">
        <f>Z5+Z7+Z22+Z37</f>
        <v>2292.3200000000002</v>
      </c>
      <c r="AA56" s="29">
        <f>AA5+AA7+AA22+AA37</f>
        <v>2212.3000000000002</v>
      </c>
      <c r="AB56" s="7">
        <f>Z56/AA56</f>
        <v>1.0361705012882521</v>
      </c>
      <c r="AD56" s="29">
        <f>AD5+AD7+AD22+AD37</f>
        <v>2408.06</v>
      </c>
      <c r="AE56" s="29">
        <f>AE5+AE7+AE22+AE37</f>
        <v>2359.08</v>
      </c>
      <c r="AF56" s="7">
        <f>AD56/AE56</f>
        <v>1.020762331078217</v>
      </c>
    </row>
    <row r="57" spans="2:32" x14ac:dyDescent="0.2">
      <c r="G57" s="1" t="s">
        <v>267</v>
      </c>
      <c r="O57" s="7">
        <f>AVERAGE(O8,O11,O12,O15,O16,O18,O20,O24,O25,O27,O29,O31,O33,O35,O39,O41)</f>
        <v>1.171875</v>
      </c>
      <c r="X57" s="7">
        <f>AVERAGE(,X12,X16,X18,X20,X24,X25,X27,X29,X31,X33,X35,X41)</f>
        <v>1.1053846153846154</v>
      </c>
      <c r="Z57" s="29">
        <f>Z8+Z11+Z12+Z15+Z16+Z18+Z20+Z24+Z25+Z27+Z29+Z31+Z33+Z35+Z39+Z41</f>
        <v>18553.109999999997</v>
      </c>
      <c r="AA57" s="29">
        <f>AA8+AA11+AA12+AA15+AA16+AA18+AA20+AA24+AA25+AA27+AA29+AA31+AA33+AA35+AA39+AA41</f>
        <v>16880.04</v>
      </c>
      <c r="AB57" s="7">
        <f>Z57/AA57</f>
        <v>1.0991152864566669</v>
      </c>
      <c r="AD57" s="24">
        <f>AD8+AD12+AD16+AD18+AD20+AD24+AD25+AD27+AD29+AD31+AD31+AD33+AD35+AD41</f>
        <v>7232.44</v>
      </c>
      <c r="AE57" s="24">
        <f>AE8+AE12+AE16+AE18+AE20+AE24+AE25+AE27+AE29+AE31+AE31+AE33+AE35+AE41</f>
        <v>6019.73</v>
      </c>
      <c r="AF57" s="7">
        <f>AD57/AE57</f>
        <v>1.2014558792503982</v>
      </c>
    </row>
    <row r="58" spans="2:32" ht="14.25" customHeight="1" x14ac:dyDescent="0.2">
      <c r="G58" s="1" t="s">
        <v>263</v>
      </c>
      <c r="O58" s="7">
        <f>AVERAGE(O5,O7,O8,O11,O12,O15,O16,O18,O20,O22,O24,O25,O27,O29,O31,O33,O35,O37,O39,O41)</f>
        <v>1.1459999999999999</v>
      </c>
      <c r="X58" s="7">
        <f>AVERAGE(X5,X7,X8,X12,X16,X18,X20,X22,X24,X25,X27,X29,X31,X33,X35,X37,X41)</f>
        <v>1.141764705882353</v>
      </c>
      <c r="Z58" s="24">
        <f>Z56+Z57</f>
        <v>20845.429999999997</v>
      </c>
      <c r="AA58" s="24">
        <f>AA56+AA57</f>
        <v>19092.34</v>
      </c>
      <c r="AB58" s="7">
        <f>Z58/AA58</f>
        <v>1.0918216415588657</v>
      </c>
      <c r="AD58" s="24">
        <f>AD56+AD57</f>
        <v>9640.5</v>
      </c>
      <c r="AE58" s="24">
        <f>AE56+AE57</f>
        <v>8378.81</v>
      </c>
      <c r="AF58" s="7">
        <f>AD58/AE58</f>
        <v>1.1505810490988577</v>
      </c>
    </row>
    <row r="60" spans="2:32" ht="20.25" customHeight="1" x14ac:dyDescent="0.2">
      <c r="B60" s="1" t="s">
        <v>279</v>
      </c>
    </row>
    <row r="61" spans="2:32" x14ac:dyDescent="0.2">
      <c r="B61" s="1" t="s">
        <v>261</v>
      </c>
      <c r="W61" s="7"/>
      <c r="X61" s="7"/>
    </row>
    <row r="62" spans="2:32" x14ac:dyDescent="0.2">
      <c r="B62" s="1" t="s">
        <v>280</v>
      </c>
    </row>
    <row r="65" ht="33.75" customHeight="1" x14ac:dyDescent="0.2"/>
  </sheetData>
  <mergeCells count="5">
    <mergeCell ref="E56:F56"/>
    <mergeCell ref="AD2:AF2"/>
    <mergeCell ref="I2:N2"/>
    <mergeCell ref="R2:W2"/>
    <mergeCell ref="Z2:A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2026-01-07T02:56:07Z</dcterms:created>
  <dcterms:modified xsi:type="dcterms:W3CDTF">2026-01-11T03:06:59Z</dcterms:modified>
</cp:coreProperties>
</file>