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13_ncr:1_{8430CF5A-F295-4883-82D3-08D5539C3546}" xr6:coauthVersionLast="47" xr6:coauthVersionMax="47" xr10:uidLastSave="{00000000-0000-0000-0000-000000000000}"/>
  <bookViews>
    <workbookView xWindow="-108" yWindow="-108" windowWidth="23256" windowHeight="12456" tabRatio="857" activeTab="2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-WN" sheetId="85" r:id="rId4"/>
    <sheet name="Rate Class Energy Model" sheetId="9" r:id="rId5"/>
    <sheet name="Rate Class Customer Model" sheetId="17" r:id="rId6"/>
    <sheet name="Rate Class Load Model" sheetId="18" r:id="rId7"/>
    <sheet name="Standby Forecast" sheetId="79" r:id="rId8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Summary'!$A$3:$M$48</definedName>
    <definedName name="_xlnm.Print_Area" localSheetId="2">'Power Purchased Model'!$A$1:$K$168</definedName>
    <definedName name="_xlnm.Print_Area" localSheetId="3">'Power Purchased Model-WN'!$A$1:$K$168</definedName>
    <definedName name="_xlnm.Print_Area" localSheetId="5">'Rate Class Customer Model'!$A$1:$K$34</definedName>
    <definedName name="_xlnm.Print_Area" localSheetId="4">'Rate Class Energy Model'!#REF!</definedName>
    <definedName name="_xlnm.Print_Area" localSheetId="6">'Rate Class Load Model'!$A$1:$I$30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2">'Power Purchased Model'!$A:$K,'Power Purchased Model'!$1:$2</definedName>
    <definedName name="_xlnm.Print_Titles" localSheetId="3">'Power Purchased Model-WN'!$A:$K,'Power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3" i="72" l="1"/>
  <c r="H142" i="72"/>
  <c r="H141" i="72"/>
  <c r="H140" i="72"/>
  <c r="H139" i="72"/>
  <c r="H138" i="72"/>
  <c r="H137" i="72"/>
  <c r="H136" i="72"/>
  <c r="H135" i="72"/>
  <c r="H134" i="72"/>
  <c r="H146" i="72" s="1"/>
  <c r="H133" i="72"/>
  <c r="H145" i="72" s="1"/>
  <c r="H144" i="72"/>
  <c r="H143" i="72"/>
  <c r="B27" i="17" l="1"/>
  <c r="I11" i="85" l="1"/>
  <c r="E22" i="85"/>
  <c r="E34" i="85" s="1"/>
  <c r="E46" i="85" s="1"/>
  <c r="E58" i="85" s="1"/>
  <c r="E70" i="85" s="1"/>
  <c r="E82" i="85" s="1"/>
  <c r="E94" i="85" s="1"/>
  <c r="E106" i="85" s="1"/>
  <c r="E118" i="85" s="1"/>
  <c r="E130" i="85" s="1"/>
  <c r="E142" i="85" s="1"/>
  <c r="F21" i="85"/>
  <c r="F33" i="85" s="1"/>
  <c r="F45" i="85" s="1"/>
  <c r="F57" i="85" s="1"/>
  <c r="F69" i="85" s="1"/>
  <c r="F81" i="85" s="1"/>
  <c r="F93" i="85" s="1"/>
  <c r="F105" i="85" s="1"/>
  <c r="F117" i="85" s="1"/>
  <c r="F129" i="85" s="1"/>
  <c r="F141" i="85" s="1"/>
  <c r="E21" i="85"/>
  <c r="E33" i="85" s="1"/>
  <c r="E45" i="85" s="1"/>
  <c r="E57" i="85" s="1"/>
  <c r="E69" i="85" s="1"/>
  <c r="E81" i="85" s="1"/>
  <c r="E93" i="85" s="1"/>
  <c r="E105" i="85" s="1"/>
  <c r="E117" i="85" s="1"/>
  <c r="E129" i="85" s="1"/>
  <c r="E141" i="85" s="1"/>
  <c r="I4" i="85"/>
  <c r="F15" i="85"/>
  <c r="F27" i="85" s="1"/>
  <c r="F39" i="85" s="1"/>
  <c r="F51" i="85" s="1"/>
  <c r="F63" i="85" s="1"/>
  <c r="F75" i="85" s="1"/>
  <c r="F87" i="85" s="1"/>
  <c r="F99" i="85" s="1"/>
  <c r="F111" i="85" s="1"/>
  <c r="F123" i="85" s="1"/>
  <c r="F135" i="85" s="1"/>
  <c r="I3" i="85"/>
  <c r="J3" i="85" s="1"/>
  <c r="K3" i="85" s="1"/>
  <c r="L3" i="85" s="1"/>
  <c r="F144" i="72"/>
  <c r="F145" i="72"/>
  <c r="F146" i="72"/>
  <c r="E145" i="72"/>
  <c r="E146" i="72"/>
  <c r="E144" i="72"/>
  <c r="F16" i="85"/>
  <c r="E17" i="85"/>
  <c r="F17" i="85"/>
  <c r="E18" i="85"/>
  <c r="F18" i="85"/>
  <c r="E19" i="85"/>
  <c r="E31" i="85" s="1"/>
  <c r="E43" i="85" s="1"/>
  <c r="E55" i="85" s="1"/>
  <c r="E67" i="85" s="1"/>
  <c r="E79" i="85" s="1"/>
  <c r="E91" i="85" s="1"/>
  <c r="E103" i="85" s="1"/>
  <c r="E115" i="85" s="1"/>
  <c r="E127" i="85" s="1"/>
  <c r="E139" i="85" s="1"/>
  <c r="F19" i="85"/>
  <c r="F31" i="85" s="1"/>
  <c r="F43" i="85" s="1"/>
  <c r="F55" i="85" s="1"/>
  <c r="F67" i="85" s="1"/>
  <c r="F79" i="85" s="1"/>
  <c r="F91" i="85" s="1"/>
  <c r="F103" i="85" s="1"/>
  <c r="F115" i="85" s="1"/>
  <c r="F127" i="85" s="1"/>
  <c r="F139" i="85" s="1"/>
  <c r="E20" i="85"/>
  <c r="F20" i="85"/>
  <c r="F32" i="85" s="1"/>
  <c r="F44" i="85" s="1"/>
  <c r="F56" i="85" s="1"/>
  <c r="F68" i="85" s="1"/>
  <c r="F80" i="85" s="1"/>
  <c r="F92" i="85" s="1"/>
  <c r="F104" i="85" s="1"/>
  <c r="F116" i="85" s="1"/>
  <c r="F128" i="85" s="1"/>
  <c r="F140" i="85" s="1"/>
  <c r="F22" i="85"/>
  <c r="F34" i="85" s="1"/>
  <c r="F46" i="85" s="1"/>
  <c r="F58" i="85" s="1"/>
  <c r="F70" i="85" s="1"/>
  <c r="F82" i="85" s="1"/>
  <c r="F94" i="85" s="1"/>
  <c r="F106" i="85" s="1"/>
  <c r="F118" i="85" s="1"/>
  <c r="F130" i="85" s="1"/>
  <c r="F142" i="85" s="1"/>
  <c r="E23" i="85"/>
  <c r="E35" i="85" s="1"/>
  <c r="E47" i="85" s="1"/>
  <c r="E59" i="85" s="1"/>
  <c r="E71" i="85" s="1"/>
  <c r="E83" i="85" s="1"/>
  <c r="E95" i="85" s="1"/>
  <c r="E107" i="85" s="1"/>
  <c r="E119" i="85" s="1"/>
  <c r="E131" i="85" s="1"/>
  <c r="E143" i="85" s="1"/>
  <c r="F23" i="85"/>
  <c r="F35" i="85" s="1"/>
  <c r="F47" i="85" s="1"/>
  <c r="F59" i="85" s="1"/>
  <c r="F71" i="85" s="1"/>
  <c r="F83" i="85" s="1"/>
  <c r="F95" i="85" s="1"/>
  <c r="F107" i="85" s="1"/>
  <c r="F119" i="85" s="1"/>
  <c r="F131" i="85" s="1"/>
  <c r="F143" i="85" s="1"/>
  <c r="E24" i="85"/>
  <c r="F24" i="85"/>
  <c r="F36" i="85" s="1"/>
  <c r="F48" i="85" s="1"/>
  <c r="F60" i="85" s="1"/>
  <c r="F72" i="85" s="1"/>
  <c r="F84" i="85" s="1"/>
  <c r="F96" i="85" s="1"/>
  <c r="F108" i="85" s="1"/>
  <c r="F120" i="85" s="1"/>
  <c r="F132" i="85" s="1"/>
  <c r="F144" i="85" s="1"/>
  <c r="E25" i="85"/>
  <c r="E37" i="85" s="1"/>
  <c r="E49" i="85" s="1"/>
  <c r="E61" i="85" s="1"/>
  <c r="E73" i="85" s="1"/>
  <c r="E85" i="85" s="1"/>
  <c r="E97" i="85" s="1"/>
  <c r="E109" i="85" s="1"/>
  <c r="E121" i="85" s="1"/>
  <c r="E133" i="85" s="1"/>
  <c r="E145" i="85" s="1"/>
  <c r="F25" i="85"/>
  <c r="F37" i="85" s="1"/>
  <c r="F49" i="85" s="1"/>
  <c r="F61" i="85" s="1"/>
  <c r="F73" i="85" s="1"/>
  <c r="F85" i="85" s="1"/>
  <c r="F97" i="85" s="1"/>
  <c r="F109" i="85" s="1"/>
  <c r="F121" i="85" s="1"/>
  <c r="F133" i="85" s="1"/>
  <c r="F145" i="85" s="1"/>
  <c r="E26" i="85"/>
  <c r="E38" i="85" s="1"/>
  <c r="E50" i="85" s="1"/>
  <c r="E62" i="85" s="1"/>
  <c r="E74" i="85" s="1"/>
  <c r="E86" i="85" s="1"/>
  <c r="E98" i="85" s="1"/>
  <c r="E110" i="85" s="1"/>
  <c r="E122" i="85" s="1"/>
  <c r="E134" i="85" s="1"/>
  <c r="E146" i="85" s="1"/>
  <c r="F26" i="85"/>
  <c r="F38" i="85" s="1"/>
  <c r="F50" i="85" s="1"/>
  <c r="F62" i="85" s="1"/>
  <c r="F74" i="85" s="1"/>
  <c r="F86" i="85" s="1"/>
  <c r="F98" i="85" s="1"/>
  <c r="F110" i="85" s="1"/>
  <c r="F122" i="85" s="1"/>
  <c r="F134" i="85" s="1"/>
  <c r="F146" i="85" s="1"/>
  <c r="F28" i="85"/>
  <c r="F40" i="85" s="1"/>
  <c r="F52" i="85" s="1"/>
  <c r="F64" i="85" s="1"/>
  <c r="F76" i="85" s="1"/>
  <c r="F88" i="85" s="1"/>
  <c r="F100" i="85" s="1"/>
  <c r="F112" i="85" s="1"/>
  <c r="F124" i="85" s="1"/>
  <c r="F136" i="85" s="1"/>
  <c r="E29" i="85"/>
  <c r="E41" i="85" s="1"/>
  <c r="E53" i="85" s="1"/>
  <c r="E65" i="85" s="1"/>
  <c r="E77" i="85" s="1"/>
  <c r="E89" i="85" s="1"/>
  <c r="E101" i="85" s="1"/>
  <c r="E113" i="85" s="1"/>
  <c r="E125" i="85" s="1"/>
  <c r="E137" i="85" s="1"/>
  <c r="F29" i="85"/>
  <c r="F41" i="85" s="1"/>
  <c r="F53" i="85" s="1"/>
  <c r="F65" i="85" s="1"/>
  <c r="F77" i="85" s="1"/>
  <c r="F89" i="85" s="1"/>
  <c r="F101" i="85" s="1"/>
  <c r="F113" i="85" s="1"/>
  <c r="F125" i="85" s="1"/>
  <c r="F137" i="85" s="1"/>
  <c r="E30" i="85"/>
  <c r="E42" i="85" s="1"/>
  <c r="E54" i="85" s="1"/>
  <c r="E66" i="85" s="1"/>
  <c r="E78" i="85" s="1"/>
  <c r="E90" i="85" s="1"/>
  <c r="E102" i="85" s="1"/>
  <c r="E114" i="85" s="1"/>
  <c r="E126" i="85" s="1"/>
  <c r="E138" i="85" s="1"/>
  <c r="F30" i="85"/>
  <c r="F42" i="85" s="1"/>
  <c r="F54" i="85" s="1"/>
  <c r="F66" i="85" s="1"/>
  <c r="F78" i="85" s="1"/>
  <c r="F90" i="85" s="1"/>
  <c r="F102" i="85" s="1"/>
  <c r="F114" i="85" s="1"/>
  <c r="F126" i="85" s="1"/>
  <c r="F138" i="85" s="1"/>
  <c r="E32" i="85"/>
  <c r="E44" i="85" s="1"/>
  <c r="E56" i="85" s="1"/>
  <c r="I12" i="85"/>
  <c r="F136" i="72"/>
  <c r="F137" i="72"/>
  <c r="F138" i="72"/>
  <c r="F139" i="72"/>
  <c r="F140" i="72"/>
  <c r="F141" i="72"/>
  <c r="F142" i="72"/>
  <c r="F143" i="72"/>
  <c r="F135" i="72"/>
  <c r="E136" i="72"/>
  <c r="E137" i="72"/>
  <c r="E138" i="72"/>
  <c r="E139" i="72"/>
  <c r="E140" i="72"/>
  <c r="E141" i="72"/>
  <c r="E142" i="72"/>
  <c r="E143" i="72"/>
  <c r="E135" i="72"/>
  <c r="H145" i="85"/>
  <c r="H142" i="85"/>
  <c r="H141" i="85"/>
  <c r="H140" i="85"/>
  <c r="H139" i="85"/>
  <c r="H138" i="85"/>
  <c r="H137" i="85"/>
  <c r="H136" i="85"/>
  <c r="H135" i="85"/>
  <c r="H134" i="85"/>
  <c r="H146" i="85" s="1"/>
  <c r="H133" i="85"/>
  <c r="H132" i="85"/>
  <c r="H144" i="85" s="1"/>
  <c r="H131" i="85"/>
  <c r="H143" i="85" s="1"/>
  <c r="B130" i="85"/>
  <c r="B129" i="85"/>
  <c r="B128" i="85"/>
  <c r="B127" i="85"/>
  <c r="B126" i="85"/>
  <c r="B125" i="85"/>
  <c r="B124" i="85"/>
  <c r="B123" i="85"/>
  <c r="B122" i="85"/>
  <c r="B121" i="85"/>
  <c r="B120" i="85"/>
  <c r="B119" i="85"/>
  <c r="B118" i="85"/>
  <c r="B117" i="85"/>
  <c r="B116" i="85"/>
  <c r="B115" i="85"/>
  <c r="B114" i="85"/>
  <c r="B113" i="85"/>
  <c r="B112" i="85"/>
  <c r="B111" i="85"/>
  <c r="B110" i="85"/>
  <c r="B109" i="85"/>
  <c r="B108" i="85"/>
  <c r="B107" i="85"/>
  <c r="B106" i="85"/>
  <c r="B105" i="85"/>
  <c r="B104" i="85"/>
  <c r="B103" i="85"/>
  <c r="B102" i="85"/>
  <c r="B101" i="85"/>
  <c r="B100" i="85"/>
  <c r="B99" i="85"/>
  <c r="B98" i="85"/>
  <c r="B97" i="85"/>
  <c r="B96" i="85"/>
  <c r="B95" i="85"/>
  <c r="B94" i="85"/>
  <c r="B93" i="85"/>
  <c r="B159" i="85" s="1"/>
  <c r="B92" i="85"/>
  <c r="B91" i="85"/>
  <c r="B90" i="85"/>
  <c r="B89" i="85"/>
  <c r="B88" i="85"/>
  <c r="B87" i="85"/>
  <c r="B86" i="85"/>
  <c r="B85" i="85"/>
  <c r="B84" i="85"/>
  <c r="B83" i="85"/>
  <c r="B82" i="85"/>
  <c r="B81" i="85"/>
  <c r="B80" i="85"/>
  <c r="B79" i="85"/>
  <c r="B78" i="85"/>
  <c r="B77" i="85"/>
  <c r="B76" i="85"/>
  <c r="B75" i="85"/>
  <c r="B74" i="85"/>
  <c r="B73" i="85"/>
  <c r="B72" i="85"/>
  <c r="B71" i="85"/>
  <c r="B70" i="85"/>
  <c r="B69" i="85"/>
  <c r="B68" i="85"/>
  <c r="B67" i="85"/>
  <c r="B66" i="85"/>
  <c r="B65" i="85"/>
  <c r="B64" i="85"/>
  <c r="B157" i="85" s="1"/>
  <c r="B63" i="85"/>
  <c r="B62" i="85"/>
  <c r="B61" i="85"/>
  <c r="B60" i="85"/>
  <c r="B59" i="85"/>
  <c r="B58" i="85"/>
  <c r="B57" i="85"/>
  <c r="D56" i="85"/>
  <c r="D68" i="85" s="1"/>
  <c r="B56" i="85"/>
  <c r="B55" i="85"/>
  <c r="B54" i="85"/>
  <c r="B53" i="85"/>
  <c r="B52" i="85"/>
  <c r="B51" i="85"/>
  <c r="B50" i="85"/>
  <c r="B49" i="85"/>
  <c r="D48" i="85"/>
  <c r="D60" i="85" s="1"/>
  <c r="B48" i="85"/>
  <c r="B47" i="85"/>
  <c r="B46" i="85"/>
  <c r="B45" i="85"/>
  <c r="D44" i="85"/>
  <c r="B44" i="85"/>
  <c r="B43" i="85"/>
  <c r="B42" i="85"/>
  <c r="B41" i="85"/>
  <c r="B40" i="85"/>
  <c r="B39" i="85"/>
  <c r="B38" i="85"/>
  <c r="D37" i="85"/>
  <c r="B37" i="85"/>
  <c r="D36" i="85"/>
  <c r="B36" i="85"/>
  <c r="D35" i="85"/>
  <c r="B35" i="85"/>
  <c r="D34" i="85"/>
  <c r="D46" i="85" s="1"/>
  <c r="B34" i="85"/>
  <c r="D33" i="85"/>
  <c r="B33" i="85"/>
  <c r="D32" i="85"/>
  <c r="B32" i="85"/>
  <c r="D31" i="85"/>
  <c r="D43" i="85" s="1"/>
  <c r="B31" i="85"/>
  <c r="B30" i="85"/>
  <c r="B29" i="85"/>
  <c r="B28" i="85"/>
  <c r="B27" i="85"/>
  <c r="D26" i="85"/>
  <c r="D38" i="85" s="1"/>
  <c r="B26" i="85"/>
  <c r="D25" i="85"/>
  <c r="B25" i="85"/>
  <c r="D24" i="85"/>
  <c r="B24" i="85"/>
  <c r="D23" i="85"/>
  <c r="B23" i="85"/>
  <c r="D22" i="85"/>
  <c r="B22" i="85"/>
  <c r="D21" i="85"/>
  <c r="B21" i="85"/>
  <c r="D20" i="85"/>
  <c r="B20" i="85"/>
  <c r="D19" i="85"/>
  <c r="B19" i="85"/>
  <c r="D18" i="85"/>
  <c r="B18" i="85"/>
  <c r="D17" i="85"/>
  <c r="D29" i="85" s="1"/>
  <c r="B17" i="85"/>
  <c r="D16" i="85"/>
  <c r="D28" i="85" s="1"/>
  <c r="B16" i="85"/>
  <c r="D15" i="85"/>
  <c r="B15" i="85"/>
  <c r="B153" i="85" s="1"/>
  <c r="I14" i="85"/>
  <c r="B14" i="85"/>
  <c r="B13" i="85"/>
  <c r="B12" i="85"/>
  <c r="B11" i="85"/>
  <c r="B10" i="85"/>
  <c r="B9" i="85"/>
  <c r="I8" i="85"/>
  <c r="B8" i="85"/>
  <c r="I7" i="85"/>
  <c r="J7" i="85" s="1"/>
  <c r="B7" i="85"/>
  <c r="I6" i="85"/>
  <c r="B6" i="85"/>
  <c r="I5" i="85"/>
  <c r="J5" i="85" s="1"/>
  <c r="B5" i="85"/>
  <c r="B4" i="85"/>
  <c r="B3" i="85"/>
  <c r="E30" i="18"/>
  <c r="D30" i="18"/>
  <c r="C30" i="18"/>
  <c r="B30" i="18"/>
  <c r="E26" i="18"/>
  <c r="D26" i="18"/>
  <c r="C26" i="18"/>
  <c r="B26" i="18"/>
  <c r="V156" i="73"/>
  <c r="S156" i="73"/>
  <c r="N156" i="73"/>
  <c r="K156" i="73"/>
  <c r="H21" i="9"/>
  <c r="E33" i="17"/>
  <c r="E27" i="17"/>
  <c r="C46" i="17"/>
  <c r="D46" i="17"/>
  <c r="D56" i="17" s="1"/>
  <c r="D67" i="17" s="1"/>
  <c r="D68" i="17" s="1"/>
  <c r="D69" i="17" s="1"/>
  <c r="E46" i="17"/>
  <c r="E56" i="17" s="1"/>
  <c r="E67" i="17" s="1"/>
  <c r="E68" i="17" s="1"/>
  <c r="E69" i="17" s="1"/>
  <c r="F46" i="17"/>
  <c r="G46" i="17"/>
  <c r="H46" i="17"/>
  <c r="C47" i="17"/>
  <c r="D47" i="17"/>
  <c r="E47" i="17"/>
  <c r="F47" i="17"/>
  <c r="F56" i="17" s="1"/>
  <c r="F67" i="17" s="1"/>
  <c r="F68" i="17" s="1"/>
  <c r="F69" i="17" s="1"/>
  <c r="G47" i="17"/>
  <c r="G56" i="17" s="1"/>
  <c r="G67" i="17" s="1"/>
  <c r="G68" i="17" s="1"/>
  <c r="G69" i="17" s="1"/>
  <c r="H47" i="17"/>
  <c r="C48" i="17"/>
  <c r="D48" i="17"/>
  <c r="E48" i="17"/>
  <c r="F48" i="17"/>
  <c r="G48" i="17"/>
  <c r="H48" i="17"/>
  <c r="C49" i="17"/>
  <c r="D49" i="17"/>
  <c r="E49" i="17"/>
  <c r="F49" i="17"/>
  <c r="G49" i="17"/>
  <c r="H49" i="17"/>
  <c r="C50" i="17"/>
  <c r="D50" i="17"/>
  <c r="E50" i="17"/>
  <c r="F50" i="17"/>
  <c r="G50" i="17"/>
  <c r="H50" i="17"/>
  <c r="C51" i="17"/>
  <c r="D51" i="17"/>
  <c r="E51" i="17"/>
  <c r="F51" i="17"/>
  <c r="G51" i="17"/>
  <c r="H51" i="17"/>
  <c r="C52" i="17"/>
  <c r="D52" i="17"/>
  <c r="E52" i="17"/>
  <c r="F52" i="17"/>
  <c r="G52" i="17"/>
  <c r="H52" i="17"/>
  <c r="C53" i="17"/>
  <c r="D53" i="17"/>
  <c r="E53" i="17"/>
  <c r="F53" i="17"/>
  <c r="G53" i="17"/>
  <c r="H53" i="17"/>
  <c r="C54" i="17"/>
  <c r="D54" i="17"/>
  <c r="E54" i="17"/>
  <c r="F54" i="17"/>
  <c r="G54" i="17"/>
  <c r="H54" i="17"/>
  <c r="C58" i="17"/>
  <c r="D58" i="17"/>
  <c r="E58" i="17"/>
  <c r="F58" i="17"/>
  <c r="G58" i="17"/>
  <c r="H58" i="17"/>
  <c r="C59" i="17"/>
  <c r="D59" i="17"/>
  <c r="E59" i="17"/>
  <c r="F59" i="17"/>
  <c r="G59" i="17"/>
  <c r="H59" i="17"/>
  <c r="C60" i="17"/>
  <c r="D60" i="17"/>
  <c r="E60" i="17"/>
  <c r="F60" i="17"/>
  <c r="G60" i="17"/>
  <c r="H60" i="17"/>
  <c r="C61" i="17"/>
  <c r="D61" i="17"/>
  <c r="E61" i="17"/>
  <c r="F61" i="17"/>
  <c r="G61" i="17"/>
  <c r="H61" i="17"/>
  <c r="C62" i="17"/>
  <c r="D62" i="17"/>
  <c r="E62" i="17"/>
  <c r="F62" i="17"/>
  <c r="G62" i="17"/>
  <c r="H62" i="17"/>
  <c r="C63" i="17"/>
  <c r="D63" i="17"/>
  <c r="E63" i="17"/>
  <c r="F63" i="17"/>
  <c r="G63" i="17"/>
  <c r="H63" i="17"/>
  <c r="C64" i="17"/>
  <c r="D64" i="17"/>
  <c r="E64" i="17"/>
  <c r="F64" i="17"/>
  <c r="G64" i="17"/>
  <c r="H64" i="17"/>
  <c r="C65" i="17"/>
  <c r="D65" i="17"/>
  <c r="E65" i="17"/>
  <c r="F65" i="17"/>
  <c r="G65" i="17"/>
  <c r="H65" i="17"/>
  <c r="C66" i="17"/>
  <c r="D66" i="17"/>
  <c r="E66" i="17"/>
  <c r="F66" i="17"/>
  <c r="G66" i="17"/>
  <c r="H66" i="17"/>
  <c r="H36" i="17"/>
  <c r="H37" i="17"/>
  <c r="H38" i="17"/>
  <c r="H39" i="17"/>
  <c r="H40" i="17"/>
  <c r="H41" i="17"/>
  <c r="H42" i="17"/>
  <c r="H43" i="17"/>
  <c r="H44" i="17"/>
  <c r="G36" i="17"/>
  <c r="G37" i="17"/>
  <c r="G38" i="17"/>
  <c r="G39" i="17"/>
  <c r="G40" i="17"/>
  <c r="G41" i="17"/>
  <c r="G42" i="17"/>
  <c r="G43" i="17"/>
  <c r="G44" i="17"/>
  <c r="F36" i="17"/>
  <c r="F37" i="17"/>
  <c r="F38" i="17"/>
  <c r="F39" i="17"/>
  <c r="F40" i="17"/>
  <c r="F41" i="17"/>
  <c r="F42" i="17"/>
  <c r="F43" i="17"/>
  <c r="F44" i="17"/>
  <c r="E36" i="17"/>
  <c r="E37" i="17"/>
  <c r="E38" i="17"/>
  <c r="E39" i="17"/>
  <c r="E40" i="17"/>
  <c r="E41" i="17"/>
  <c r="E42" i="17"/>
  <c r="E43" i="17"/>
  <c r="E44" i="17"/>
  <c r="D36" i="17"/>
  <c r="D37" i="17"/>
  <c r="D38" i="17"/>
  <c r="D39" i="17"/>
  <c r="D40" i="17"/>
  <c r="D41" i="17"/>
  <c r="D42" i="17"/>
  <c r="D43" i="17"/>
  <c r="D44" i="17"/>
  <c r="C36" i="17"/>
  <c r="C37" i="17"/>
  <c r="C38" i="17"/>
  <c r="C39" i="17"/>
  <c r="C40" i="17"/>
  <c r="C41" i="17"/>
  <c r="C42" i="17"/>
  <c r="C43" i="17"/>
  <c r="C44" i="17"/>
  <c r="B59" i="17"/>
  <c r="B60" i="17"/>
  <c r="B61" i="17"/>
  <c r="B62" i="17"/>
  <c r="B63" i="17"/>
  <c r="B64" i="17"/>
  <c r="B65" i="17"/>
  <c r="B66" i="17"/>
  <c r="B58" i="17"/>
  <c r="B54" i="17"/>
  <c r="B47" i="17"/>
  <c r="B48" i="17"/>
  <c r="B49" i="17"/>
  <c r="B50" i="17"/>
  <c r="B51" i="17"/>
  <c r="B52" i="17"/>
  <c r="B53" i="17"/>
  <c r="B46" i="17"/>
  <c r="B56" i="17" s="1"/>
  <c r="B67" i="17" s="1"/>
  <c r="B36" i="17"/>
  <c r="B37" i="17"/>
  <c r="B38" i="17"/>
  <c r="B39" i="17"/>
  <c r="B40" i="17"/>
  <c r="B41" i="17"/>
  <c r="B42" i="17"/>
  <c r="B43" i="17"/>
  <c r="B44" i="17"/>
  <c r="A68" i="17"/>
  <c r="A69" i="17" s="1"/>
  <c r="A67" i="17"/>
  <c r="A59" i="17"/>
  <c r="A60" i="17"/>
  <c r="A61" i="17"/>
  <c r="A62" i="17"/>
  <c r="A63" i="17"/>
  <c r="A64" i="17"/>
  <c r="A65" i="17"/>
  <c r="A66" i="17"/>
  <c r="A58" i="17"/>
  <c r="A47" i="17"/>
  <c r="A48" i="17"/>
  <c r="A49" i="17"/>
  <c r="A50" i="17"/>
  <c r="A51" i="17"/>
  <c r="A52" i="17"/>
  <c r="A53" i="17"/>
  <c r="A54" i="17"/>
  <c r="A46" i="17"/>
  <c r="B165" i="72"/>
  <c r="B162" i="72"/>
  <c r="H56" i="17" l="1"/>
  <c r="H67" i="17" s="1"/>
  <c r="H68" i="17" s="1"/>
  <c r="H69" i="17" s="1"/>
  <c r="B68" i="17"/>
  <c r="B69" i="17" s="1"/>
  <c r="E71" i="17"/>
  <c r="C56" i="17"/>
  <c r="C67" i="17" s="1"/>
  <c r="C68" i="17" s="1"/>
  <c r="C69" i="17" s="1"/>
  <c r="I20" i="85"/>
  <c r="J20" i="85" s="1"/>
  <c r="I24" i="85"/>
  <c r="J24" i="85" s="1"/>
  <c r="K24" i="85" s="1"/>
  <c r="L24" i="85" s="1"/>
  <c r="I10" i="85"/>
  <c r="J10" i="85" s="1"/>
  <c r="E15" i="85"/>
  <c r="E27" i="85" s="1"/>
  <c r="E39" i="85" s="1"/>
  <c r="E51" i="85" s="1"/>
  <c r="E63" i="85" s="1"/>
  <c r="E75" i="85" s="1"/>
  <c r="E87" i="85" s="1"/>
  <c r="E99" i="85" s="1"/>
  <c r="E111" i="85" s="1"/>
  <c r="E123" i="85" s="1"/>
  <c r="E135" i="85" s="1"/>
  <c r="J4" i="85"/>
  <c r="N5" i="85" s="1"/>
  <c r="O5" i="85" s="1"/>
  <c r="E16" i="85"/>
  <c r="E28" i="85" s="1"/>
  <c r="E40" i="85" s="1"/>
  <c r="E52" i="85" s="1"/>
  <c r="E64" i="85" s="1"/>
  <c r="E76" i="85" s="1"/>
  <c r="E88" i="85" s="1"/>
  <c r="E100" i="85" s="1"/>
  <c r="E112" i="85" s="1"/>
  <c r="E124" i="85" s="1"/>
  <c r="E136" i="85" s="1"/>
  <c r="I22" i="85"/>
  <c r="J22" i="85" s="1"/>
  <c r="K22" i="85" s="1"/>
  <c r="L22" i="85" s="1"/>
  <c r="I46" i="85"/>
  <c r="J46" i="85" s="1"/>
  <c r="I56" i="85"/>
  <c r="J56" i="85" s="1"/>
  <c r="M56" i="85" s="1"/>
  <c r="E68" i="85"/>
  <c r="E80" i="85" s="1"/>
  <c r="E92" i="85" s="1"/>
  <c r="E104" i="85" s="1"/>
  <c r="E116" i="85" s="1"/>
  <c r="E128" i="85" s="1"/>
  <c r="E140" i="85" s="1"/>
  <c r="M46" i="85"/>
  <c r="K46" i="85"/>
  <c r="L46" i="85" s="1"/>
  <c r="I25" i="85"/>
  <c r="J25" i="85" s="1"/>
  <c r="K25" i="85" s="1"/>
  <c r="L25" i="85" s="1"/>
  <c r="I32" i="85"/>
  <c r="J32" i="85" s="1"/>
  <c r="I21" i="85"/>
  <c r="J21" i="85" s="1"/>
  <c r="E36" i="85"/>
  <c r="E48" i="85" s="1"/>
  <c r="E60" i="85" s="1"/>
  <c r="E72" i="85" s="1"/>
  <c r="E84" i="85" s="1"/>
  <c r="E96" i="85" s="1"/>
  <c r="E108" i="85" s="1"/>
  <c r="E120" i="85" s="1"/>
  <c r="E132" i="85" s="1"/>
  <c r="E144" i="85" s="1"/>
  <c r="I23" i="85"/>
  <c r="J23" i="85" s="1"/>
  <c r="N24" i="85" s="1"/>
  <c r="O24" i="85" s="1"/>
  <c r="I38" i="85"/>
  <c r="J38" i="85" s="1"/>
  <c r="M38" i="85" s="1"/>
  <c r="I33" i="85"/>
  <c r="J33" i="85" s="1"/>
  <c r="I35" i="85"/>
  <c r="J35" i="85" s="1"/>
  <c r="I44" i="85"/>
  <c r="J44" i="85" s="1"/>
  <c r="I19" i="85"/>
  <c r="J19" i="85" s="1"/>
  <c r="I9" i="85"/>
  <c r="J9" i="85" s="1"/>
  <c r="M9" i="85" s="1"/>
  <c r="I13" i="85"/>
  <c r="J13" i="85" s="1"/>
  <c r="K13" i="85" s="1"/>
  <c r="L13" i="85" s="1"/>
  <c r="J11" i="85"/>
  <c r="K11" i="85" s="1"/>
  <c r="L11" i="85" s="1"/>
  <c r="J8" i="85"/>
  <c r="K8" i="85" s="1"/>
  <c r="L8" i="85" s="1"/>
  <c r="J14" i="85"/>
  <c r="M20" i="85"/>
  <c r="K20" i="85"/>
  <c r="L20" i="85" s="1"/>
  <c r="C157" i="85"/>
  <c r="N4" i="85"/>
  <c r="O4" i="85" s="1"/>
  <c r="M4" i="85"/>
  <c r="K4" i="85"/>
  <c r="L4" i="85" s="1"/>
  <c r="C159" i="85"/>
  <c r="M24" i="85"/>
  <c r="I43" i="85"/>
  <c r="J43" i="85" s="1"/>
  <c r="D55" i="85"/>
  <c r="I18" i="85"/>
  <c r="J18" i="85" s="1"/>
  <c r="D30" i="85"/>
  <c r="B154" i="85"/>
  <c r="C154" i="85" s="1"/>
  <c r="D47" i="85"/>
  <c r="M3" i="85"/>
  <c r="D27" i="85"/>
  <c r="I37" i="85"/>
  <c r="J37" i="85" s="1"/>
  <c r="D49" i="85"/>
  <c r="I31" i="85"/>
  <c r="J31" i="85" s="1"/>
  <c r="M5" i="85"/>
  <c r="B161" i="85"/>
  <c r="J6" i="85"/>
  <c r="B155" i="85"/>
  <c r="B158" i="85"/>
  <c r="C158" i="85" s="1"/>
  <c r="K7" i="85"/>
  <c r="L7" i="85" s="1"/>
  <c r="K5" i="85"/>
  <c r="L5" i="85" s="1"/>
  <c r="M7" i="85"/>
  <c r="D41" i="85"/>
  <c r="I29" i="85"/>
  <c r="J29" i="85" s="1"/>
  <c r="D45" i="85"/>
  <c r="B162" i="85"/>
  <c r="I17" i="85"/>
  <c r="J17" i="85" s="1"/>
  <c r="D40" i="85"/>
  <c r="D72" i="85"/>
  <c r="D50" i="85"/>
  <c r="I26" i="85"/>
  <c r="J26" i="85" s="1"/>
  <c r="I48" i="85"/>
  <c r="J48" i="85" s="1"/>
  <c r="J12" i="85"/>
  <c r="I34" i="85"/>
  <c r="J34" i="85" s="1"/>
  <c r="D80" i="85"/>
  <c r="I68" i="85"/>
  <c r="J68" i="85" s="1"/>
  <c r="D58" i="85"/>
  <c r="B152" i="85"/>
  <c r="C153" i="85" s="1"/>
  <c r="B160" i="85"/>
  <c r="C160" i="85" s="1"/>
  <c r="B156" i="85"/>
  <c r="C156" i="85" s="1"/>
  <c r="H71" i="17"/>
  <c r="H13" i="17" s="1"/>
  <c r="H27" i="17" s="1"/>
  <c r="H33" i="17" s="1"/>
  <c r="G71" i="17"/>
  <c r="G13" i="17" s="1"/>
  <c r="G27" i="17" s="1"/>
  <c r="G33" i="17" s="1"/>
  <c r="F71" i="17"/>
  <c r="F13" i="17" s="1"/>
  <c r="F27" i="17" s="1"/>
  <c r="F33" i="17" s="1"/>
  <c r="D71" i="17"/>
  <c r="D13" i="17" s="1"/>
  <c r="D27" i="17" s="1"/>
  <c r="D33" i="17" s="1"/>
  <c r="C71" i="17" l="1"/>
  <c r="C13" i="17" s="1"/>
  <c r="C27" i="17" s="1"/>
  <c r="C33" i="17" s="1"/>
  <c r="B71" i="17"/>
  <c r="B13" i="17" s="1"/>
  <c r="B33" i="17" s="1"/>
  <c r="I152" i="85"/>
  <c r="N22" i="85"/>
  <c r="O22" i="85" s="1"/>
  <c r="N13" i="85"/>
  <c r="O13" i="85" s="1"/>
  <c r="I16" i="85"/>
  <c r="J16" i="85" s="1"/>
  <c r="N8" i="85"/>
  <c r="O8" i="85" s="1"/>
  <c r="N9" i="85"/>
  <c r="O9" i="85" s="1"/>
  <c r="I28" i="85"/>
  <c r="J28" i="85" s="1"/>
  <c r="N29" i="85" s="1"/>
  <c r="O29" i="85" s="1"/>
  <c r="N35" i="85"/>
  <c r="O35" i="85" s="1"/>
  <c r="M13" i="85"/>
  <c r="M22" i="85"/>
  <c r="M8" i="85"/>
  <c r="K9" i="85"/>
  <c r="L9" i="85" s="1"/>
  <c r="I15" i="85"/>
  <c r="J15" i="85" s="1"/>
  <c r="K15" i="85" s="1"/>
  <c r="L15" i="85" s="1"/>
  <c r="N14" i="85"/>
  <c r="O14" i="85" s="1"/>
  <c r="K56" i="85"/>
  <c r="L56" i="85" s="1"/>
  <c r="M35" i="85"/>
  <c r="N21" i="85"/>
  <c r="O21" i="85" s="1"/>
  <c r="K21" i="85"/>
  <c r="L21" i="85" s="1"/>
  <c r="N25" i="85"/>
  <c r="O25" i="85" s="1"/>
  <c r="K35" i="85"/>
  <c r="L35" i="85" s="1"/>
  <c r="K23" i="85"/>
  <c r="L23" i="85" s="1"/>
  <c r="I60" i="85"/>
  <c r="J60" i="85" s="1"/>
  <c r="K60" i="85" s="1"/>
  <c r="L60" i="85" s="1"/>
  <c r="N23" i="85"/>
  <c r="O23" i="85" s="1"/>
  <c r="M32" i="85"/>
  <c r="K32" i="85"/>
  <c r="L32" i="85" s="1"/>
  <c r="M23" i="85"/>
  <c r="M21" i="85"/>
  <c r="I36" i="85"/>
  <c r="J36" i="85" s="1"/>
  <c r="M25" i="85"/>
  <c r="K38" i="85"/>
  <c r="L38" i="85" s="1"/>
  <c r="K14" i="85"/>
  <c r="L14" i="85" s="1"/>
  <c r="M14" i="85"/>
  <c r="M11" i="85"/>
  <c r="M6" i="85"/>
  <c r="K6" i="85"/>
  <c r="L6" i="85" s="1"/>
  <c r="N6" i="85"/>
  <c r="O6" i="85" s="1"/>
  <c r="I41" i="85"/>
  <c r="J41" i="85" s="1"/>
  <c r="D53" i="85"/>
  <c r="I58" i="85"/>
  <c r="J58" i="85" s="1"/>
  <c r="D70" i="85"/>
  <c r="K68" i="85"/>
  <c r="L68" i="85" s="1"/>
  <c r="M68" i="85"/>
  <c r="N18" i="85"/>
  <c r="O18" i="85" s="1"/>
  <c r="M18" i="85"/>
  <c r="K18" i="85"/>
  <c r="L18" i="85" s="1"/>
  <c r="I55" i="85"/>
  <c r="J55" i="85" s="1"/>
  <c r="D67" i="85"/>
  <c r="M17" i="85"/>
  <c r="N17" i="85"/>
  <c r="O17" i="85" s="1"/>
  <c r="K17" i="85"/>
  <c r="L17" i="85" s="1"/>
  <c r="M29" i="85"/>
  <c r="K29" i="85"/>
  <c r="L29" i="85" s="1"/>
  <c r="C161" i="85"/>
  <c r="N37" i="85"/>
  <c r="O37" i="85" s="1"/>
  <c r="M37" i="85"/>
  <c r="K37" i="85"/>
  <c r="L37" i="85" s="1"/>
  <c r="D84" i="85"/>
  <c r="I72" i="85"/>
  <c r="J72" i="85" s="1"/>
  <c r="N33" i="85"/>
  <c r="O33" i="85" s="1"/>
  <c r="K33" i="85"/>
  <c r="L33" i="85" s="1"/>
  <c r="M33" i="85"/>
  <c r="B165" i="85"/>
  <c r="D52" i="85"/>
  <c r="I40" i="85"/>
  <c r="J40" i="85" s="1"/>
  <c r="I30" i="85"/>
  <c r="J30" i="85" s="1"/>
  <c r="D42" i="85"/>
  <c r="N10" i="85"/>
  <c r="O10" i="85" s="1"/>
  <c r="K10" i="85"/>
  <c r="L10" i="85" s="1"/>
  <c r="M10" i="85"/>
  <c r="M16" i="85"/>
  <c r="K16" i="85"/>
  <c r="L16" i="85" s="1"/>
  <c r="D92" i="85"/>
  <c r="I80" i="85"/>
  <c r="J80" i="85" s="1"/>
  <c r="N32" i="85"/>
  <c r="O32" i="85" s="1"/>
  <c r="M31" i="85"/>
  <c r="K31" i="85"/>
  <c r="L31" i="85" s="1"/>
  <c r="M36" i="85"/>
  <c r="K36" i="85"/>
  <c r="L36" i="85" s="1"/>
  <c r="N36" i="85"/>
  <c r="O36" i="85" s="1"/>
  <c r="K28" i="85"/>
  <c r="L28" i="85" s="1"/>
  <c r="M28" i="85"/>
  <c r="I49" i="85"/>
  <c r="J49" i="85" s="1"/>
  <c r="D61" i="85"/>
  <c r="K43" i="85"/>
  <c r="L43" i="85" s="1"/>
  <c r="M43" i="85"/>
  <c r="N34" i="85"/>
  <c r="O34" i="85" s="1"/>
  <c r="K34" i="85"/>
  <c r="L34" i="85" s="1"/>
  <c r="M34" i="85"/>
  <c r="M19" i="85"/>
  <c r="K19" i="85"/>
  <c r="L19" i="85" s="1"/>
  <c r="N19" i="85"/>
  <c r="O19" i="85" s="1"/>
  <c r="N38" i="85"/>
  <c r="O38" i="85" s="1"/>
  <c r="M12" i="85"/>
  <c r="K12" i="85"/>
  <c r="L12" i="85" s="1"/>
  <c r="N12" i="85"/>
  <c r="O12" i="85" s="1"/>
  <c r="D39" i="85"/>
  <c r="I27" i="85"/>
  <c r="N20" i="85"/>
  <c r="O20" i="85" s="1"/>
  <c r="M48" i="85"/>
  <c r="K48" i="85"/>
  <c r="L48" i="85" s="1"/>
  <c r="N26" i="85"/>
  <c r="O26" i="85" s="1"/>
  <c r="M26" i="85"/>
  <c r="K26" i="85"/>
  <c r="L26" i="85" s="1"/>
  <c r="N7" i="85"/>
  <c r="O7" i="85" s="1"/>
  <c r="I50" i="85"/>
  <c r="J50" i="85" s="1"/>
  <c r="D62" i="85"/>
  <c r="I47" i="85"/>
  <c r="J47" i="85" s="1"/>
  <c r="N48" i="85" s="1"/>
  <c r="O48" i="85" s="1"/>
  <c r="D59" i="85"/>
  <c r="I45" i="85"/>
  <c r="J45" i="85" s="1"/>
  <c r="D57" i="85"/>
  <c r="C155" i="85"/>
  <c r="K44" i="85"/>
  <c r="L44" i="85" s="1"/>
  <c r="N44" i="85"/>
  <c r="O44" i="85" s="1"/>
  <c r="M44" i="85"/>
  <c r="N11" i="85"/>
  <c r="O11" i="85" s="1"/>
  <c r="N16" i="85" l="1"/>
  <c r="O16" i="85" s="1"/>
  <c r="N15" i="85"/>
  <c r="O15" i="85" s="1"/>
  <c r="M15" i="85"/>
  <c r="I153" i="85"/>
  <c r="M60" i="85"/>
  <c r="N50" i="85"/>
  <c r="O50" i="85" s="1"/>
  <c r="K50" i="85"/>
  <c r="L50" i="85" s="1"/>
  <c r="M50" i="85"/>
  <c r="M30" i="85"/>
  <c r="N30" i="85"/>
  <c r="O30" i="85" s="1"/>
  <c r="K30" i="85"/>
  <c r="L30" i="85" s="1"/>
  <c r="I39" i="85"/>
  <c r="D51" i="85"/>
  <c r="I61" i="85"/>
  <c r="J61" i="85" s="1"/>
  <c r="D73" i="85"/>
  <c r="N47" i="85"/>
  <c r="O47" i="85" s="1"/>
  <c r="M47" i="85"/>
  <c r="K47" i="85"/>
  <c r="L47" i="85" s="1"/>
  <c r="M55" i="85"/>
  <c r="K55" i="85"/>
  <c r="L55" i="85" s="1"/>
  <c r="N56" i="85"/>
  <c r="O56" i="85" s="1"/>
  <c r="I62" i="85"/>
  <c r="J62" i="85" s="1"/>
  <c r="D74" i="85"/>
  <c r="I42" i="85"/>
  <c r="J42" i="85" s="1"/>
  <c r="D54" i="85"/>
  <c r="I154" i="85"/>
  <c r="J27" i="85"/>
  <c r="M40" i="85"/>
  <c r="K40" i="85"/>
  <c r="L40" i="85" s="1"/>
  <c r="I57" i="85"/>
  <c r="J57" i="85" s="1"/>
  <c r="D69" i="85"/>
  <c r="N31" i="85"/>
  <c r="O31" i="85" s="1"/>
  <c r="I52" i="85"/>
  <c r="J52" i="85" s="1"/>
  <c r="D64" i="85"/>
  <c r="N45" i="85"/>
  <c r="O45" i="85" s="1"/>
  <c r="M45" i="85"/>
  <c r="K45" i="85"/>
  <c r="L45" i="85" s="1"/>
  <c r="N46" i="85"/>
  <c r="O46" i="85" s="1"/>
  <c r="M80" i="85"/>
  <c r="K80" i="85"/>
  <c r="L80" i="85" s="1"/>
  <c r="K49" i="85"/>
  <c r="L49" i="85" s="1"/>
  <c r="N49" i="85"/>
  <c r="O49" i="85" s="1"/>
  <c r="M49" i="85"/>
  <c r="D104" i="85"/>
  <c r="I92" i="85"/>
  <c r="J92" i="85" s="1"/>
  <c r="I70" i="85"/>
  <c r="J70" i="85" s="1"/>
  <c r="D82" i="85"/>
  <c r="K58" i="85"/>
  <c r="L58" i="85" s="1"/>
  <c r="M58" i="85"/>
  <c r="I53" i="85"/>
  <c r="J53" i="85" s="1"/>
  <c r="D65" i="85"/>
  <c r="M72" i="85"/>
  <c r="K72" i="85"/>
  <c r="L72" i="85" s="1"/>
  <c r="K41" i="85"/>
  <c r="L41" i="85" s="1"/>
  <c r="N41" i="85"/>
  <c r="O41" i="85" s="1"/>
  <c r="M41" i="85"/>
  <c r="I59" i="85"/>
  <c r="J59" i="85" s="1"/>
  <c r="D71" i="85"/>
  <c r="D96" i="85"/>
  <c r="I84" i="85"/>
  <c r="J84" i="85" s="1"/>
  <c r="D79" i="85"/>
  <c r="I67" i="85"/>
  <c r="J67" i="85" s="1"/>
  <c r="N62" i="85" l="1"/>
  <c r="O62" i="85" s="1"/>
  <c r="M62" i="85"/>
  <c r="K62" i="85"/>
  <c r="L62" i="85" s="1"/>
  <c r="I69" i="85"/>
  <c r="J69" i="85" s="1"/>
  <c r="D81" i="85"/>
  <c r="I65" i="85"/>
  <c r="J65" i="85" s="1"/>
  <c r="D77" i="85"/>
  <c r="K57" i="85"/>
  <c r="L57" i="85" s="1"/>
  <c r="N57" i="85"/>
  <c r="O57" i="85" s="1"/>
  <c r="M57" i="85"/>
  <c r="N53" i="85"/>
  <c r="O53" i="85" s="1"/>
  <c r="M53" i="85"/>
  <c r="K53" i="85"/>
  <c r="L53" i="85" s="1"/>
  <c r="D108" i="85"/>
  <c r="I96" i="85"/>
  <c r="J96" i="85" s="1"/>
  <c r="I71" i="85"/>
  <c r="J71" i="85" s="1"/>
  <c r="D83" i="85"/>
  <c r="N27" i="85"/>
  <c r="O27" i="85" s="1"/>
  <c r="M27" i="85"/>
  <c r="K27" i="85"/>
  <c r="L27" i="85" s="1"/>
  <c r="N28" i="85"/>
  <c r="O28" i="85" s="1"/>
  <c r="M92" i="85"/>
  <c r="K92" i="85"/>
  <c r="L92" i="85" s="1"/>
  <c r="D76" i="85"/>
  <c r="I64" i="85"/>
  <c r="J64" i="85" s="1"/>
  <c r="I74" i="85"/>
  <c r="J74" i="85" s="1"/>
  <c r="D86" i="85"/>
  <c r="I73" i="85"/>
  <c r="J73" i="85" s="1"/>
  <c r="D85" i="85"/>
  <c r="D116" i="85"/>
  <c r="I104" i="85"/>
  <c r="J104" i="85" s="1"/>
  <c r="K52" i="85"/>
  <c r="L52" i="85" s="1"/>
  <c r="M52" i="85"/>
  <c r="M61" i="85"/>
  <c r="N61" i="85"/>
  <c r="O61" i="85" s="1"/>
  <c r="K61" i="85"/>
  <c r="L61" i="85" s="1"/>
  <c r="D63" i="85"/>
  <c r="I51" i="85"/>
  <c r="I155" i="85"/>
  <c r="J39" i="85"/>
  <c r="M67" i="85"/>
  <c r="K67" i="85"/>
  <c r="L67" i="85" s="1"/>
  <c r="N68" i="85"/>
  <c r="O68" i="85" s="1"/>
  <c r="I79" i="85"/>
  <c r="J79" i="85" s="1"/>
  <c r="D91" i="85"/>
  <c r="M84" i="85"/>
  <c r="K84" i="85"/>
  <c r="L84" i="85" s="1"/>
  <c r="N59" i="85"/>
  <c r="O59" i="85" s="1"/>
  <c r="M59" i="85"/>
  <c r="K59" i="85"/>
  <c r="L59" i="85" s="1"/>
  <c r="N60" i="85"/>
  <c r="O60" i="85" s="1"/>
  <c r="N58" i="85"/>
  <c r="O58" i="85" s="1"/>
  <c r="I82" i="85"/>
  <c r="J82" i="85" s="1"/>
  <c r="D94" i="85"/>
  <c r="I54" i="85"/>
  <c r="J54" i="85" s="1"/>
  <c r="D66" i="85"/>
  <c r="M70" i="85"/>
  <c r="K70" i="85"/>
  <c r="L70" i="85" s="1"/>
  <c r="N42" i="85"/>
  <c r="O42" i="85" s="1"/>
  <c r="M42" i="85"/>
  <c r="K42" i="85"/>
  <c r="L42" i="85" s="1"/>
  <c r="N43" i="85"/>
  <c r="O43" i="85" s="1"/>
  <c r="K82" i="85" l="1"/>
  <c r="L82" i="85" s="1"/>
  <c r="M82" i="85"/>
  <c r="D128" i="85"/>
  <c r="I116" i="85"/>
  <c r="J116" i="85" s="1"/>
  <c r="I77" i="85"/>
  <c r="J77" i="85" s="1"/>
  <c r="D89" i="85"/>
  <c r="N39" i="85"/>
  <c r="O39" i="85" s="1"/>
  <c r="M39" i="85"/>
  <c r="K39" i="85"/>
  <c r="L39" i="85" s="1"/>
  <c r="N40" i="85"/>
  <c r="O40" i="85" s="1"/>
  <c r="I85" i="85"/>
  <c r="J85" i="85" s="1"/>
  <c r="D97" i="85"/>
  <c r="K65" i="85"/>
  <c r="L65" i="85" s="1"/>
  <c r="N65" i="85"/>
  <c r="O65" i="85" s="1"/>
  <c r="M65" i="85"/>
  <c r="K73" i="85"/>
  <c r="L73" i="85" s="1"/>
  <c r="M73" i="85"/>
  <c r="N73" i="85"/>
  <c r="O73" i="85" s="1"/>
  <c r="D95" i="85"/>
  <c r="I83" i="85"/>
  <c r="J83" i="85" s="1"/>
  <c r="I81" i="85"/>
  <c r="J81" i="85" s="1"/>
  <c r="D93" i="85"/>
  <c r="I156" i="85"/>
  <c r="J51" i="85"/>
  <c r="I86" i="85"/>
  <c r="J86" i="85" s="1"/>
  <c r="D98" i="85"/>
  <c r="N71" i="85"/>
  <c r="O71" i="85" s="1"/>
  <c r="M71" i="85"/>
  <c r="K71" i="85"/>
  <c r="L71" i="85" s="1"/>
  <c r="N72" i="85"/>
  <c r="O72" i="85" s="1"/>
  <c r="N69" i="85"/>
  <c r="O69" i="85" s="1"/>
  <c r="M69" i="85"/>
  <c r="K69" i="85"/>
  <c r="L69" i="85" s="1"/>
  <c r="D75" i="85"/>
  <c r="I63" i="85"/>
  <c r="N74" i="85"/>
  <c r="O74" i="85" s="1"/>
  <c r="M74" i="85"/>
  <c r="K74" i="85"/>
  <c r="L74" i="85" s="1"/>
  <c r="M96" i="85"/>
  <c r="K96" i="85"/>
  <c r="L96" i="85" s="1"/>
  <c r="N70" i="85"/>
  <c r="O70" i="85" s="1"/>
  <c r="M64" i="85"/>
  <c r="K64" i="85"/>
  <c r="L64" i="85" s="1"/>
  <c r="D120" i="85"/>
  <c r="I108" i="85"/>
  <c r="J108" i="85" s="1"/>
  <c r="I66" i="85"/>
  <c r="J66" i="85" s="1"/>
  <c r="D78" i="85"/>
  <c r="D103" i="85"/>
  <c r="I91" i="85"/>
  <c r="J91" i="85" s="1"/>
  <c r="D88" i="85"/>
  <c r="I76" i="85"/>
  <c r="J76" i="85" s="1"/>
  <c r="I94" i="85"/>
  <c r="J94" i="85" s="1"/>
  <c r="D106" i="85"/>
  <c r="M104" i="85"/>
  <c r="K104" i="85"/>
  <c r="L104" i="85" s="1"/>
  <c r="N54" i="85"/>
  <c r="O54" i="85" s="1"/>
  <c r="M54" i="85"/>
  <c r="K54" i="85"/>
  <c r="L54" i="85" s="1"/>
  <c r="N55" i="85"/>
  <c r="O55" i="85" s="1"/>
  <c r="M79" i="85"/>
  <c r="K79" i="85"/>
  <c r="L79" i="85" s="1"/>
  <c r="N80" i="85"/>
  <c r="O80" i="85" s="1"/>
  <c r="I106" i="85" l="1"/>
  <c r="J106" i="85" s="1"/>
  <c r="D118" i="85"/>
  <c r="I103" i="85"/>
  <c r="J103" i="85" s="1"/>
  <c r="D115" i="85"/>
  <c r="I98" i="85"/>
  <c r="J98" i="85" s="1"/>
  <c r="D110" i="85"/>
  <c r="D140" i="85"/>
  <c r="I140" i="85" s="1"/>
  <c r="I128" i="85"/>
  <c r="I78" i="85"/>
  <c r="J78" i="85" s="1"/>
  <c r="D90" i="85"/>
  <c r="I95" i="85"/>
  <c r="J95" i="85" s="1"/>
  <c r="D107" i="85"/>
  <c r="M94" i="85"/>
  <c r="K94" i="85"/>
  <c r="L94" i="85" s="1"/>
  <c r="I89" i="85"/>
  <c r="J89" i="85" s="1"/>
  <c r="D101" i="85"/>
  <c r="D100" i="85"/>
  <c r="I88" i="85"/>
  <c r="J88" i="85" s="1"/>
  <c r="K77" i="85"/>
  <c r="L77" i="85" s="1"/>
  <c r="M77" i="85"/>
  <c r="N77" i="85"/>
  <c r="O77" i="85" s="1"/>
  <c r="N66" i="85"/>
  <c r="O66" i="85" s="1"/>
  <c r="K66" i="85"/>
  <c r="L66" i="85" s="1"/>
  <c r="M66" i="85"/>
  <c r="N67" i="85"/>
  <c r="O67" i="85" s="1"/>
  <c r="N51" i="85"/>
  <c r="O51" i="85" s="1"/>
  <c r="M51" i="85"/>
  <c r="K51" i="85"/>
  <c r="L51" i="85" s="1"/>
  <c r="N52" i="85"/>
  <c r="O52" i="85" s="1"/>
  <c r="K108" i="85"/>
  <c r="L108" i="85" s="1"/>
  <c r="M108" i="85"/>
  <c r="I97" i="85"/>
  <c r="J97" i="85" s="1"/>
  <c r="D109" i="85"/>
  <c r="D132" i="85"/>
  <c r="I120" i="85"/>
  <c r="J120" i="85" s="1"/>
  <c r="I75" i="85"/>
  <c r="D87" i="85"/>
  <c r="I93" i="85"/>
  <c r="J93" i="85" s="1"/>
  <c r="N94" i="85" s="1"/>
  <c r="O94" i="85" s="1"/>
  <c r="D105" i="85"/>
  <c r="K85" i="85"/>
  <c r="L85" i="85" s="1"/>
  <c r="M85" i="85"/>
  <c r="N85" i="85"/>
  <c r="O85" i="85" s="1"/>
  <c r="N83" i="85"/>
  <c r="O83" i="85" s="1"/>
  <c r="M83" i="85"/>
  <c r="K83" i="85"/>
  <c r="L83" i="85" s="1"/>
  <c r="N84" i="85"/>
  <c r="O84" i="85" s="1"/>
  <c r="M76" i="85"/>
  <c r="K76" i="85"/>
  <c r="L76" i="85" s="1"/>
  <c r="M91" i="85"/>
  <c r="K91" i="85"/>
  <c r="L91" i="85" s="1"/>
  <c r="N92" i="85"/>
  <c r="O92" i="85" s="1"/>
  <c r="M116" i="85"/>
  <c r="K116" i="85"/>
  <c r="L116" i="85" s="1"/>
  <c r="N86" i="85"/>
  <c r="O86" i="85" s="1"/>
  <c r="K86" i="85"/>
  <c r="L86" i="85" s="1"/>
  <c r="M86" i="85"/>
  <c r="J63" i="85"/>
  <c r="I157" i="85"/>
  <c r="K81" i="85"/>
  <c r="L81" i="85" s="1"/>
  <c r="N81" i="85"/>
  <c r="O81" i="85" s="1"/>
  <c r="M81" i="85"/>
  <c r="N82" i="85"/>
  <c r="O82" i="85" s="1"/>
  <c r="N95" i="85" l="1"/>
  <c r="O95" i="85" s="1"/>
  <c r="K95" i="85"/>
  <c r="L95" i="85" s="1"/>
  <c r="M95" i="85"/>
  <c r="N96" i="85"/>
  <c r="O96" i="85" s="1"/>
  <c r="N78" i="85"/>
  <c r="O78" i="85" s="1"/>
  <c r="M78" i="85"/>
  <c r="K78" i="85"/>
  <c r="L78" i="85" s="1"/>
  <c r="N79" i="85"/>
  <c r="O79" i="85" s="1"/>
  <c r="D112" i="85"/>
  <c r="I100" i="85"/>
  <c r="J100" i="85" s="1"/>
  <c r="I110" i="85"/>
  <c r="J110" i="85" s="1"/>
  <c r="D122" i="85"/>
  <c r="I105" i="85"/>
  <c r="J105" i="85" s="1"/>
  <c r="D117" i="85"/>
  <c r="I101" i="85"/>
  <c r="J101" i="85" s="1"/>
  <c r="D113" i="85"/>
  <c r="N98" i="85"/>
  <c r="O98" i="85" s="1"/>
  <c r="M98" i="85"/>
  <c r="K98" i="85"/>
  <c r="L98" i="85" s="1"/>
  <c r="M120" i="85"/>
  <c r="K120" i="85"/>
  <c r="L120" i="85" s="1"/>
  <c r="D127" i="85"/>
  <c r="I115" i="85"/>
  <c r="J115" i="85" s="1"/>
  <c r="M106" i="85"/>
  <c r="K106" i="85"/>
  <c r="L106" i="85" s="1"/>
  <c r="I132" i="85"/>
  <c r="D144" i="85"/>
  <c r="I144" i="85" s="1"/>
  <c r="D119" i="85"/>
  <c r="I107" i="85"/>
  <c r="J107" i="85" s="1"/>
  <c r="I109" i="85"/>
  <c r="J109" i="85" s="1"/>
  <c r="D121" i="85"/>
  <c r="K97" i="85"/>
  <c r="L97" i="85" s="1"/>
  <c r="N97" i="85"/>
  <c r="O97" i="85" s="1"/>
  <c r="M97" i="85"/>
  <c r="I90" i="85"/>
  <c r="J90" i="85" s="1"/>
  <c r="D102" i="85"/>
  <c r="M88" i="85"/>
  <c r="K88" i="85"/>
  <c r="L88" i="85" s="1"/>
  <c r="K93" i="85"/>
  <c r="L93" i="85" s="1"/>
  <c r="M93" i="85"/>
  <c r="N93" i="85"/>
  <c r="O93" i="85" s="1"/>
  <c r="K89" i="85"/>
  <c r="L89" i="85" s="1"/>
  <c r="M89" i="85"/>
  <c r="N89" i="85"/>
  <c r="O89" i="85" s="1"/>
  <c r="D99" i="85"/>
  <c r="I87" i="85"/>
  <c r="M103" i="85"/>
  <c r="K103" i="85"/>
  <c r="L103" i="85" s="1"/>
  <c r="N104" i="85"/>
  <c r="O104" i="85" s="1"/>
  <c r="N63" i="85"/>
  <c r="O63" i="85" s="1"/>
  <c r="M63" i="85"/>
  <c r="K63" i="85"/>
  <c r="L63" i="85" s="1"/>
  <c r="N64" i="85"/>
  <c r="O64" i="85" s="1"/>
  <c r="I158" i="85"/>
  <c r="J75" i="85"/>
  <c r="I118" i="85"/>
  <c r="J118" i="85" s="1"/>
  <c r="D130" i="85"/>
  <c r="K105" i="85" l="1"/>
  <c r="L105" i="85" s="1"/>
  <c r="N105" i="85"/>
  <c r="O105" i="85" s="1"/>
  <c r="M105" i="85"/>
  <c r="N75" i="85"/>
  <c r="O75" i="85" s="1"/>
  <c r="M75" i="85"/>
  <c r="K75" i="85"/>
  <c r="L75" i="85" s="1"/>
  <c r="N76" i="85"/>
  <c r="O76" i="85" s="1"/>
  <c r="M118" i="85"/>
  <c r="K118" i="85"/>
  <c r="L118" i="85" s="1"/>
  <c r="D139" i="85"/>
  <c r="I139" i="85" s="1"/>
  <c r="I127" i="85"/>
  <c r="N106" i="85"/>
  <c r="O106" i="85" s="1"/>
  <c r="M115" i="85"/>
  <c r="K115" i="85"/>
  <c r="L115" i="85" s="1"/>
  <c r="N116" i="85"/>
  <c r="O116" i="85" s="1"/>
  <c r="K100" i="85"/>
  <c r="L100" i="85" s="1"/>
  <c r="M100" i="85"/>
  <c r="I99" i="85"/>
  <c r="D111" i="85"/>
  <c r="N90" i="85"/>
  <c r="O90" i="85" s="1"/>
  <c r="K90" i="85"/>
  <c r="L90" i="85" s="1"/>
  <c r="M90" i="85"/>
  <c r="N91" i="85"/>
  <c r="O91" i="85" s="1"/>
  <c r="I122" i="85"/>
  <c r="J122" i="85" s="1"/>
  <c r="D134" i="85"/>
  <c r="N110" i="85"/>
  <c r="O110" i="85" s="1"/>
  <c r="M110" i="85"/>
  <c r="K110" i="85"/>
  <c r="L110" i="85" s="1"/>
  <c r="I121" i="85"/>
  <c r="J121" i="85" s="1"/>
  <c r="D133" i="85"/>
  <c r="D124" i="85"/>
  <c r="I112" i="85"/>
  <c r="J112" i="85" s="1"/>
  <c r="K109" i="85"/>
  <c r="L109" i="85" s="1"/>
  <c r="N109" i="85"/>
  <c r="O109" i="85" s="1"/>
  <c r="M109" i="85"/>
  <c r="N107" i="85"/>
  <c r="O107" i="85" s="1"/>
  <c r="K107" i="85"/>
  <c r="L107" i="85" s="1"/>
  <c r="M107" i="85"/>
  <c r="N108" i="85"/>
  <c r="O108" i="85" s="1"/>
  <c r="I119" i="85"/>
  <c r="J119" i="85" s="1"/>
  <c r="D131" i="85"/>
  <c r="D125" i="85"/>
  <c r="I113" i="85"/>
  <c r="J113" i="85" s="1"/>
  <c r="K101" i="85"/>
  <c r="L101" i="85" s="1"/>
  <c r="N101" i="85"/>
  <c r="O101" i="85" s="1"/>
  <c r="M101" i="85"/>
  <c r="D142" i="85"/>
  <c r="I142" i="85" s="1"/>
  <c r="I130" i="85"/>
  <c r="I159" i="85"/>
  <c r="J87" i="85"/>
  <c r="I102" i="85"/>
  <c r="J102" i="85" s="1"/>
  <c r="D114" i="85"/>
  <c r="D129" i="85"/>
  <c r="I117" i="85"/>
  <c r="J117" i="85" s="1"/>
  <c r="K112" i="85" l="1"/>
  <c r="L112" i="85" s="1"/>
  <c r="M112" i="85"/>
  <c r="K117" i="85"/>
  <c r="L117" i="85" s="1"/>
  <c r="N117" i="85"/>
  <c r="O117" i="85" s="1"/>
  <c r="M117" i="85"/>
  <c r="K113" i="85"/>
  <c r="L113" i="85" s="1"/>
  <c r="M113" i="85"/>
  <c r="N113" i="85"/>
  <c r="O113" i="85" s="1"/>
  <c r="I124" i="85"/>
  <c r="D136" i="85"/>
  <c r="I136" i="85" s="1"/>
  <c r="D123" i="85"/>
  <c r="I111" i="85"/>
  <c r="D137" i="85"/>
  <c r="I137" i="85" s="1"/>
  <c r="I125" i="85"/>
  <c r="D145" i="85"/>
  <c r="I145" i="85" s="1"/>
  <c r="I133" i="85"/>
  <c r="K121" i="85"/>
  <c r="L121" i="85" s="1"/>
  <c r="N121" i="85"/>
  <c r="O121" i="85" s="1"/>
  <c r="M121" i="85"/>
  <c r="N118" i="85"/>
  <c r="O118" i="85" s="1"/>
  <c r="I114" i="85"/>
  <c r="J114" i="85" s="1"/>
  <c r="D126" i="85"/>
  <c r="N119" i="85"/>
  <c r="O119" i="85" s="1"/>
  <c r="M119" i="85"/>
  <c r="K119" i="85"/>
  <c r="L119" i="85" s="1"/>
  <c r="N120" i="85"/>
  <c r="O120" i="85" s="1"/>
  <c r="N102" i="85"/>
  <c r="O102" i="85" s="1"/>
  <c r="M102" i="85"/>
  <c r="K102" i="85"/>
  <c r="L102" i="85" s="1"/>
  <c r="N103" i="85"/>
  <c r="O103" i="85" s="1"/>
  <c r="N87" i="85"/>
  <c r="O87" i="85" s="1"/>
  <c r="M87" i="85"/>
  <c r="K87" i="85"/>
  <c r="L87" i="85" s="1"/>
  <c r="N88" i="85"/>
  <c r="O88" i="85" s="1"/>
  <c r="I134" i="85"/>
  <c r="D146" i="85"/>
  <c r="I146" i="85" s="1"/>
  <c r="N122" i="85"/>
  <c r="O122" i="85" s="1"/>
  <c r="M122" i="85"/>
  <c r="K122" i="85"/>
  <c r="L122" i="85" s="1"/>
  <c r="J99" i="85"/>
  <c r="I160" i="85"/>
  <c r="I129" i="85"/>
  <c r="D141" i="85"/>
  <c r="I141" i="85" s="1"/>
  <c r="I131" i="85"/>
  <c r="D143" i="85"/>
  <c r="I143" i="85" s="1"/>
  <c r="D135" i="85" l="1"/>
  <c r="I135" i="85" s="1"/>
  <c r="I123" i="85"/>
  <c r="I126" i="85"/>
  <c r="D138" i="85"/>
  <c r="I138" i="85" s="1"/>
  <c r="N114" i="85"/>
  <c r="O114" i="85" s="1"/>
  <c r="M114" i="85"/>
  <c r="K114" i="85"/>
  <c r="L114" i="85" s="1"/>
  <c r="N115" i="85"/>
  <c r="O115" i="85" s="1"/>
  <c r="N99" i="85"/>
  <c r="O99" i="85" s="1"/>
  <c r="K99" i="85"/>
  <c r="L99" i="85" s="1"/>
  <c r="M99" i="85"/>
  <c r="N100" i="85"/>
  <c r="O100" i="85" s="1"/>
  <c r="I161" i="85"/>
  <c r="J111" i="85"/>
  <c r="I162" i="85" l="1"/>
  <c r="I165" i="85"/>
  <c r="J165" i="85" s="1"/>
  <c r="N111" i="85"/>
  <c r="O111" i="85" s="1"/>
  <c r="K111" i="85"/>
  <c r="L111" i="85" s="1"/>
  <c r="L123" i="85" s="1"/>
  <c r="M111" i="85"/>
  <c r="M123" i="85" s="1"/>
  <c r="R28" i="85" s="1"/>
  <c r="R30" i="85" s="1"/>
  <c r="N112" i="85"/>
  <c r="O112" i="85" s="1"/>
  <c r="I150" i="85"/>
  <c r="I163" i="85"/>
  <c r="I167" i="85" s="1"/>
  <c r="O123" i="85" l="1"/>
  <c r="J167" i="85"/>
  <c r="B123" i="72" l="1"/>
  <c r="B124" i="72"/>
  <c r="B125" i="72"/>
  <c r="B126" i="72"/>
  <c r="B127" i="72"/>
  <c r="B128" i="72"/>
  <c r="B129" i="72"/>
  <c r="B130" i="72"/>
  <c r="K12" i="9" l="1"/>
  <c r="K21" i="9" s="1"/>
  <c r="K27" i="9" s="1"/>
  <c r="K11" i="9"/>
  <c r="K10" i="9"/>
  <c r="K9" i="9"/>
  <c r="K8" i="9"/>
  <c r="K7" i="9"/>
  <c r="K6" i="9"/>
  <c r="K5" i="9"/>
  <c r="K4" i="9"/>
  <c r="B28" i="11" l="1"/>
  <c r="K3" i="9"/>
  <c r="C6" i="79"/>
  <c r="B6" i="79"/>
  <c r="I3" i="72" l="1"/>
  <c r="I4" i="72" l="1"/>
  <c r="I5" i="72"/>
  <c r="I6" i="72"/>
  <c r="I7" i="72"/>
  <c r="I8" i="72"/>
  <c r="I9" i="72"/>
  <c r="I10" i="72"/>
  <c r="I11" i="72"/>
  <c r="I12" i="72"/>
  <c r="I13" i="72"/>
  <c r="I14" i="72"/>
  <c r="K28" i="11" l="1"/>
  <c r="H12" i="9"/>
  <c r="J28" i="11"/>
  <c r="I28" i="11"/>
  <c r="H28" i="11"/>
  <c r="G28" i="11"/>
  <c r="F28" i="11"/>
  <c r="E28" i="11"/>
  <c r="D28" i="11"/>
  <c r="C28" i="11"/>
  <c r="D16" i="72" l="1"/>
  <c r="I16" i="72" s="1"/>
  <c r="D17" i="72"/>
  <c r="I17" i="72" s="1"/>
  <c r="D18" i="72"/>
  <c r="I18" i="72" s="1"/>
  <c r="D19" i="72"/>
  <c r="I19" i="72" s="1"/>
  <c r="D20" i="72"/>
  <c r="I20" i="72" s="1"/>
  <c r="D21" i="72"/>
  <c r="I21" i="72" s="1"/>
  <c r="D22" i="72"/>
  <c r="I22" i="72" s="1"/>
  <c r="D23" i="72"/>
  <c r="I23" i="72" s="1"/>
  <c r="D24" i="72"/>
  <c r="I24" i="72" s="1"/>
  <c r="D25" i="72"/>
  <c r="I25" i="72" s="1"/>
  <c r="D26" i="72"/>
  <c r="I26" i="72" s="1"/>
  <c r="D15" i="72"/>
  <c r="I15" i="72" s="1"/>
  <c r="D34" i="72" l="1"/>
  <c r="I34" i="72" s="1"/>
  <c r="D33" i="72"/>
  <c r="I33" i="72" s="1"/>
  <c r="D32" i="72"/>
  <c r="I32" i="72" s="1"/>
  <c r="D31" i="72"/>
  <c r="I31" i="72" s="1"/>
  <c r="D30" i="72"/>
  <c r="I30" i="72" s="1"/>
  <c r="D29" i="72"/>
  <c r="I29" i="72" s="1"/>
  <c r="D38" i="72"/>
  <c r="I38" i="72" s="1"/>
  <c r="D36" i="72"/>
  <c r="I36" i="72" s="1"/>
  <c r="D27" i="72"/>
  <c r="I27" i="72" s="1"/>
  <c r="D37" i="72"/>
  <c r="I37" i="72" s="1"/>
  <c r="D28" i="72"/>
  <c r="I28" i="72" s="1"/>
  <c r="D45" i="72"/>
  <c r="I45" i="72" s="1"/>
  <c r="D35" i="72"/>
  <c r="I35" i="72" s="1"/>
  <c r="F132" i="72"/>
  <c r="F133" i="72"/>
  <c r="F134" i="72"/>
  <c r="D41" i="72" l="1"/>
  <c r="I41" i="72" s="1"/>
  <c r="D42" i="72"/>
  <c r="I42" i="72" s="1"/>
  <c r="D39" i="72"/>
  <c r="I39" i="72" s="1"/>
  <c r="D49" i="72"/>
  <c r="I49" i="72" s="1"/>
  <c r="D43" i="72"/>
  <c r="I43" i="72" s="1"/>
  <c r="D44" i="72"/>
  <c r="I44" i="72" s="1"/>
  <c r="D48" i="72"/>
  <c r="I48" i="72" s="1"/>
  <c r="D40" i="72"/>
  <c r="I40" i="72" s="1"/>
  <c r="D50" i="72"/>
  <c r="I50" i="72" s="1"/>
  <c r="D46" i="72"/>
  <c r="I46" i="72" s="1"/>
  <c r="D47" i="72"/>
  <c r="I47" i="72" s="1"/>
  <c r="E133" i="72"/>
  <c r="D57" i="72"/>
  <c r="I57" i="72" s="1"/>
  <c r="E132" i="72"/>
  <c r="E134" i="72"/>
  <c r="M27" i="11"/>
  <c r="L27" i="11"/>
  <c r="D52" i="72" l="1"/>
  <c r="I52" i="72" s="1"/>
  <c r="D55" i="72"/>
  <c r="I55" i="72" s="1"/>
  <c r="D56" i="72"/>
  <c r="I56" i="72" s="1"/>
  <c r="D54" i="72"/>
  <c r="I54" i="72" s="1"/>
  <c r="D62" i="72"/>
  <c r="I62" i="72" s="1"/>
  <c r="D60" i="72"/>
  <c r="I60" i="72" s="1"/>
  <c r="D61" i="72"/>
  <c r="I61" i="72" s="1"/>
  <c r="D58" i="72"/>
  <c r="I58" i="72" s="1"/>
  <c r="D51" i="72"/>
  <c r="I51" i="72" s="1"/>
  <c r="D53" i="72"/>
  <c r="I53" i="72" s="1"/>
  <c r="D67" i="72"/>
  <c r="I67" i="72" s="1"/>
  <c r="D69" i="72"/>
  <c r="I69" i="72" s="1"/>
  <c r="D64" i="72"/>
  <c r="I64" i="72" s="1"/>
  <c r="D59" i="72"/>
  <c r="I59" i="72" s="1"/>
  <c r="H34" i="9"/>
  <c r="D68" i="72" l="1"/>
  <c r="I68" i="72" s="1"/>
  <c r="D66" i="72"/>
  <c r="I66" i="72" s="1"/>
  <c r="D63" i="72"/>
  <c r="I63" i="72" s="1"/>
  <c r="D72" i="72"/>
  <c r="I72" i="72" s="1"/>
  <c r="D70" i="72"/>
  <c r="I70" i="72" s="1"/>
  <c r="D73" i="72"/>
  <c r="I73" i="72" s="1"/>
  <c r="D65" i="72"/>
  <c r="I65" i="72" s="1"/>
  <c r="D74" i="72"/>
  <c r="I74" i="72" s="1"/>
  <c r="D80" i="72"/>
  <c r="I80" i="72" s="1"/>
  <c r="D76" i="72"/>
  <c r="I76" i="72" s="1"/>
  <c r="D78" i="72"/>
  <c r="I78" i="72" s="1"/>
  <c r="D81" i="72"/>
  <c r="I81" i="72" s="1"/>
  <c r="D71" i="72"/>
  <c r="I71" i="72" s="1"/>
  <c r="D79" i="72"/>
  <c r="I79" i="72" s="1"/>
  <c r="I152" i="72"/>
  <c r="M152" i="85" l="1"/>
  <c r="N152" i="85" s="1"/>
  <c r="B5" i="11"/>
  <c r="C3" i="9"/>
  <c r="D86" i="72"/>
  <c r="I86" i="72" s="1"/>
  <c r="D85" i="72"/>
  <c r="I85" i="72" s="1"/>
  <c r="D84" i="72"/>
  <c r="I84" i="72" s="1"/>
  <c r="D82" i="72"/>
  <c r="I82" i="72" s="1"/>
  <c r="D77" i="72"/>
  <c r="I77" i="72" s="1"/>
  <c r="D75" i="72"/>
  <c r="I75" i="72" s="1"/>
  <c r="D83" i="72"/>
  <c r="I83" i="72" s="1"/>
  <c r="D93" i="72"/>
  <c r="I93" i="72" s="1"/>
  <c r="D90" i="72"/>
  <c r="I90" i="72" s="1"/>
  <c r="D88" i="72"/>
  <c r="I88" i="72" s="1"/>
  <c r="D91" i="72"/>
  <c r="I91" i="72" s="1"/>
  <c r="D92" i="72"/>
  <c r="I92" i="72" s="1"/>
  <c r="D94" i="72" l="1"/>
  <c r="I94" i="72" s="1"/>
  <c r="D96" i="72"/>
  <c r="I96" i="72" s="1"/>
  <c r="D97" i="72"/>
  <c r="I97" i="72" s="1"/>
  <c r="D87" i="72"/>
  <c r="I87" i="72" s="1"/>
  <c r="D89" i="72"/>
  <c r="I89" i="72" s="1"/>
  <c r="D98" i="72"/>
  <c r="I98" i="72" s="1"/>
  <c r="D100" i="72"/>
  <c r="I100" i="72" s="1"/>
  <c r="D102" i="72"/>
  <c r="I102" i="72" s="1"/>
  <c r="D105" i="72"/>
  <c r="I105" i="72" s="1"/>
  <c r="D104" i="72"/>
  <c r="I104" i="72" s="1"/>
  <c r="D103" i="72"/>
  <c r="I103" i="72" s="1"/>
  <c r="D95" i="72"/>
  <c r="I95" i="72" s="1"/>
  <c r="D99" i="72" l="1"/>
  <c r="I99" i="72" s="1"/>
  <c r="D110" i="72"/>
  <c r="I110" i="72" s="1"/>
  <c r="D101" i="72"/>
  <c r="I101" i="72" s="1"/>
  <c r="D109" i="72"/>
  <c r="I109" i="72" s="1"/>
  <c r="D108" i="72"/>
  <c r="I108" i="72" s="1"/>
  <c r="D106" i="72"/>
  <c r="I106" i="72" s="1"/>
  <c r="D115" i="72"/>
  <c r="I115" i="72" s="1"/>
  <c r="D116" i="72"/>
  <c r="I116" i="72" s="1"/>
  <c r="D117" i="72"/>
  <c r="I117" i="72" s="1"/>
  <c r="D114" i="72"/>
  <c r="I114" i="72" s="1"/>
  <c r="D107" i="72"/>
  <c r="I107" i="72" s="1"/>
  <c r="D112" i="72"/>
  <c r="I112" i="72" s="1"/>
  <c r="D113" i="72" l="1"/>
  <c r="I113" i="72" s="1"/>
  <c r="D118" i="72"/>
  <c r="I118" i="72" s="1"/>
  <c r="D121" i="72"/>
  <c r="I121" i="72" s="1"/>
  <c r="D120" i="72"/>
  <c r="I120" i="72" s="1"/>
  <c r="D122" i="72"/>
  <c r="I122" i="72" s="1"/>
  <c r="D111" i="72"/>
  <c r="I111" i="72" s="1"/>
  <c r="D119" i="72"/>
  <c r="I119" i="72" s="1"/>
  <c r="D126" i="72"/>
  <c r="I126" i="72" s="1"/>
  <c r="D129" i="72"/>
  <c r="I129" i="72" s="1"/>
  <c r="D128" i="72"/>
  <c r="I128" i="72" s="1"/>
  <c r="D125" i="72"/>
  <c r="I125" i="72" s="1"/>
  <c r="D124" i="72"/>
  <c r="I124" i="72" s="1"/>
  <c r="D127" i="72"/>
  <c r="I127" i="72" s="1"/>
  <c r="D134" i="72" l="1"/>
  <c r="I134" i="72" s="1"/>
  <c r="D123" i="72"/>
  <c r="D132" i="72"/>
  <c r="I132" i="72" s="1"/>
  <c r="D133" i="72"/>
  <c r="I133" i="72" s="1"/>
  <c r="D130" i="72"/>
  <c r="I130" i="72" s="1"/>
  <c r="D136" i="72"/>
  <c r="I136" i="72" s="1"/>
  <c r="D137" i="72"/>
  <c r="I137" i="72" s="1"/>
  <c r="D140" i="72"/>
  <c r="I140" i="72" s="1"/>
  <c r="D141" i="72"/>
  <c r="I141" i="72" s="1"/>
  <c r="D138" i="72"/>
  <c r="I138" i="72" s="1"/>
  <c r="D139" i="72"/>
  <c r="I139" i="72" s="1"/>
  <c r="D131" i="72"/>
  <c r="I131" i="72" s="1"/>
  <c r="L3" i="9"/>
  <c r="I162" i="72" l="1"/>
  <c r="M162" i="85" s="1"/>
  <c r="N162" i="85" s="1"/>
  <c r="D144" i="72"/>
  <c r="I144" i="72" s="1"/>
  <c r="D142" i="72"/>
  <c r="I142" i="72" s="1"/>
  <c r="D145" i="72"/>
  <c r="I145" i="72" s="1"/>
  <c r="D135" i="72"/>
  <c r="I135" i="72" s="1"/>
  <c r="D146" i="72"/>
  <c r="I146" i="72" s="1"/>
  <c r="D143" i="72"/>
  <c r="I143" i="72" s="1"/>
  <c r="W133" i="73"/>
  <c r="W134" i="73" s="1"/>
  <c r="W135" i="73" s="1"/>
  <c r="W136" i="73" s="1"/>
  <c r="W137" i="73" s="1"/>
  <c r="W138" i="73" s="1"/>
  <c r="W139" i="73" s="1"/>
  <c r="W140" i="73" s="1"/>
  <c r="W141" i="73" s="1"/>
  <c r="W142" i="73" s="1"/>
  <c r="W143" i="73" s="1"/>
  <c r="T133" i="73"/>
  <c r="T134" i="73" s="1"/>
  <c r="T135" i="73" s="1"/>
  <c r="T136" i="73" s="1"/>
  <c r="T137" i="73" s="1"/>
  <c r="T138" i="73" s="1"/>
  <c r="T139" i="73" s="1"/>
  <c r="T140" i="73" s="1"/>
  <c r="T141" i="73" s="1"/>
  <c r="T142" i="73" s="1"/>
  <c r="T143" i="73" s="1"/>
  <c r="Q133" i="73"/>
  <c r="Q134" i="73" s="1"/>
  <c r="Q135" i="73" s="1"/>
  <c r="Q136" i="73" s="1"/>
  <c r="Q137" i="73" s="1"/>
  <c r="Q138" i="73" s="1"/>
  <c r="Q139" i="73" s="1"/>
  <c r="Q140" i="73" s="1"/>
  <c r="Q141" i="73" s="1"/>
  <c r="Q142" i="73" s="1"/>
  <c r="Q143" i="73" s="1"/>
  <c r="O133" i="73"/>
  <c r="O134" i="73" s="1"/>
  <c r="O135" i="73" s="1"/>
  <c r="O136" i="73" s="1"/>
  <c r="O137" i="73" s="1"/>
  <c r="O138" i="73" s="1"/>
  <c r="O139" i="73" s="1"/>
  <c r="O140" i="73" s="1"/>
  <c r="O141" i="73" s="1"/>
  <c r="O142" i="73" s="1"/>
  <c r="O143" i="73" s="1"/>
  <c r="L133" i="73"/>
  <c r="L134" i="73" s="1"/>
  <c r="L135" i="73" s="1"/>
  <c r="L136" i="73" s="1"/>
  <c r="L137" i="73" s="1"/>
  <c r="L138" i="73" s="1"/>
  <c r="L139" i="73" s="1"/>
  <c r="L140" i="73" s="1"/>
  <c r="L141" i="73" s="1"/>
  <c r="L142" i="73" s="1"/>
  <c r="L143" i="73" s="1"/>
  <c r="I133" i="73"/>
  <c r="I134" i="73" s="1"/>
  <c r="I135" i="73" s="1"/>
  <c r="I136" i="73" s="1"/>
  <c r="I137" i="73" s="1"/>
  <c r="I138" i="73" s="1"/>
  <c r="I139" i="73" s="1"/>
  <c r="I140" i="73" s="1"/>
  <c r="I141" i="73" s="1"/>
  <c r="I142" i="73" s="1"/>
  <c r="I143" i="73" s="1"/>
  <c r="G133" i="73"/>
  <c r="G134" i="73" s="1"/>
  <c r="G135" i="73" s="1"/>
  <c r="G136" i="73" s="1"/>
  <c r="G137" i="73" s="1"/>
  <c r="G138" i="73" s="1"/>
  <c r="G139" i="73" s="1"/>
  <c r="G140" i="73" s="1"/>
  <c r="G141" i="73" s="1"/>
  <c r="G142" i="73" s="1"/>
  <c r="G143" i="73" s="1"/>
  <c r="W121" i="73"/>
  <c r="W122" i="73" s="1"/>
  <c r="W123" i="73" s="1"/>
  <c r="W124" i="73" s="1"/>
  <c r="W125" i="73" s="1"/>
  <c r="W126" i="73" s="1"/>
  <c r="W127" i="73" s="1"/>
  <c r="W128" i="73" s="1"/>
  <c r="W129" i="73" s="1"/>
  <c r="W130" i="73" s="1"/>
  <c r="W131" i="73" s="1"/>
  <c r="T121" i="73"/>
  <c r="T122" i="73" s="1"/>
  <c r="T123" i="73" s="1"/>
  <c r="T124" i="73" s="1"/>
  <c r="T125" i="73" s="1"/>
  <c r="T126" i="73" s="1"/>
  <c r="T127" i="73" s="1"/>
  <c r="T128" i="73" s="1"/>
  <c r="T129" i="73" s="1"/>
  <c r="T130" i="73" s="1"/>
  <c r="T131" i="73" s="1"/>
  <c r="Q121" i="73"/>
  <c r="Q122" i="73" s="1"/>
  <c r="Q123" i="73" s="1"/>
  <c r="Q124" i="73" s="1"/>
  <c r="Q125" i="73" s="1"/>
  <c r="Q126" i="73" s="1"/>
  <c r="Q127" i="73" s="1"/>
  <c r="Q128" i="73" s="1"/>
  <c r="Q129" i="73" s="1"/>
  <c r="Q130" i="73" s="1"/>
  <c r="Q131" i="73" s="1"/>
  <c r="O121" i="73"/>
  <c r="O122" i="73" s="1"/>
  <c r="O123" i="73" s="1"/>
  <c r="O124" i="73" s="1"/>
  <c r="O125" i="73" s="1"/>
  <c r="O126" i="73" s="1"/>
  <c r="O127" i="73" s="1"/>
  <c r="O128" i="73" s="1"/>
  <c r="O129" i="73" s="1"/>
  <c r="O130" i="73" s="1"/>
  <c r="O131" i="73" s="1"/>
  <c r="L121" i="73"/>
  <c r="L122" i="73" s="1"/>
  <c r="L123" i="73" s="1"/>
  <c r="L124" i="73" s="1"/>
  <c r="L125" i="73" s="1"/>
  <c r="L126" i="73" s="1"/>
  <c r="L127" i="73" s="1"/>
  <c r="L128" i="73" s="1"/>
  <c r="L129" i="73" s="1"/>
  <c r="L130" i="73" s="1"/>
  <c r="L131" i="73" s="1"/>
  <c r="I121" i="73"/>
  <c r="I122" i="73" s="1"/>
  <c r="I123" i="73" s="1"/>
  <c r="I124" i="73" s="1"/>
  <c r="I125" i="73" s="1"/>
  <c r="I126" i="73" s="1"/>
  <c r="I127" i="73" s="1"/>
  <c r="I128" i="73" s="1"/>
  <c r="I129" i="73" s="1"/>
  <c r="I130" i="73" s="1"/>
  <c r="I131" i="73" s="1"/>
  <c r="W109" i="73"/>
  <c r="W110" i="73" s="1"/>
  <c r="W111" i="73" s="1"/>
  <c r="W112" i="73" s="1"/>
  <c r="W113" i="73" s="1"/>
  <c r="W114" i="73" s="1"/>
  <c r="W115" i="73" s="1"/>
  <c r="W116" i="73" s="1"/>
  <c r="W117" i="73" s="1"/>
  <c r="W118" i="73" s="1"/>
  <c r="W119" i="73" s="1"/>
  <c r="T109" i="73"/>
  <c r="T110" i="73" s="1"/>
  <c r="T111" i="73" s="1"/>
  <c r="T112" i="73" s="1"/>
  <c r="T113" i="73" s="1"/>
  <c r="T114" i="73" s="1"/>
  <c r="T115" i="73" s="1"/>
  <c r="T116" i="73" s="1"/>
  <c r="T117" i="73" s="1"/>
  <c r="T118" i="73" s="1"/>
  <c r="T119" i="73" s="1"/>
  <c r="Q109" i="73"/>
  <c r="Q110" i="73" s="1"/>
  <c r="Q111" i="73" s="1"/>
  <c r="Q112" i="73" s="1"/>
  <c r="Q113" i="73" s="1"/>
  <c r="Q114" i="73" s="1"/>
  <c r="Q115" i="73" s="1"/>
  <c r="Q116" i="73" s="1"/>
  <c r="Q117" i="73" s="1"/>
  <c r="Q118" i="73" s="1"/>
  <c r="Q119" i="73" s="1"/>
  <c r="O109" i="73"/>
  <c r="O110" i="73" s="1"/>
  <c r="O111" i="73" s="1"/>
  <c r="O112" i="73" s="1"/>
  <c r="O113" i="73" s="1"/>
  <c r="O114" i="73" s="1"/>
  <c r="O115" i="73" s="1"/>
  <c r="O116" i="73" s="1"/>
  <c r="O117" i="73" s="1"/>
  <c r="O118" i="73" s="1"/>
  <c r="O119" i="73" s="1"/>
  <c r="L109" i="73"/>
  <c r="L110" i="73" s="1"/>
  <c r="L111" i="73" s="1"/>
  <c r="L112" i="73" s="1"/>
  <c r="L113" i="73" s="1"/>
  <c r="L114" i="73" s="1"/>
  <c r="L115" i="73" s="1"/>
  <c r="L116" i="73" s="1"/>
  <c r="L117" i="73" s="1"/>
  <c r="L118" i="73" s="1"/>
  <c r="L119" i="73" s="1"/>
  <c r="I109" i="73"/>
  <c r="I110" i="73" s="1"/>
  <c r="I111" i="73" s="1"/>
  <c r="I112" i="73" s="1"/>
  <c r="I113" i="73" s="1"/>
  <c r="I114" i="73" s="1"/>
  <c r="I115" i="73" s="1"/>
  <c r="I116" i="73" s="1"/>
  <c r="I117" i="73" s="1"/>
  <c r="I118" i="73" s="1"/>
  <c r="I119" i="73" s="1"/>
  <c r="W97" i="73"/>
  <c r="W98" i="73" s="1"/>
  <c r="W99" i="73" s="1"/>
  <c r="W100" i="73" s="1"/>
  <c r="W101" i="73" s="1"/>
  <c r="W102" i="73" s="1"/>
  <c r="W103" i="73" s="1"/>
  <c r="W104" i="73" s="1"/>
  <c r="W105" i="73" s="1"/>
  <c r="W106" i="73" s="1"/>
  <c r="W107" i="73" s="1"/>
  <c r="T97" i="73"/>
  <c r="T98" i="73" s="1"/>
  <c r="T99" i="73" s="1"/>
  <c r="T100" i="73" s="1"/>
  <c r="T101" i="73" s="1"/>
  <c r="T102" i="73" s="1"/>
  <c r="T103" i="73" s="1"/>
  <c r="T104" i="73" s="1"/>
  <c r="T105" i="73" s="1"/>
  <c r="T106" i="73" s="1"/>
  <c r="T107" i="73" s="1"/>
  <c r="Q97" i="73"/>
  <c r="Q98" i="73" s="1"/>
  <c r="Q99" i="73" s="1"/>
  <c r="Q100" i="73" s="1"/>
  <c r="Q101" i="73" s="1"/>
  <c r="Q102" i="73" s="1"/>
  <c r="Q103" i="73" s="1"/>
  <c r="Q104" i="73" s="1"/>
  <c r="Q105" i="73" s="1"/>
  <c r="Q106" i="73" s="1"/>
  <c r="Q107" i="73" s="1"/>
  <c r="O97" i="73"/>
  <c r="O98" i="73" s="1"/>
  <c r="O99" i="73" s="1"/>
  <c r="O100" i="73" s="1"/>
  <c r="O101" i="73" s="1"/>
  <c r="O102" i="73" s="1"/>
  <c r="O103" i="73" s="1"/>
  <c r="O104" i="73" s="1"/>
  <c r="O105" i="73" s="1"/>
  <c r="O106" i="73" s="1"/>
  <c r="O107" i="73" s="1"/>
  <c r="L97" i="73"/>
  <c r="L98" i="73" s="1"/>
  <c r="L99" i="73" s="1"/>
  <c r="L100" i="73" s="1"/>
  <c r="L101" i="73" s="1"/>
  <c r="L102" i="73" s="1"/>
  <c r="L103" i="73" s="1"/>
  <c r="L104" i="73" s="1"/>
  <c r="L105" i="73" s="1"/>
  <c r="L106" i="73" s="1"/>
  <c r="L107" i="73" s="1"/>
  <c r="I97" i="73"/>
  <c r="I98" i="73" s="1"/>
  <c r="I99" i="73" s="1"/>
  <c r="I100" i="73" s="1"/>
  <c r="I101" i="73" s="1"/>
  <c r="I102" i="73" s="1"/>
  <c r="I103" i="73" s="1"/>
  <c r="I104" i="73" s="1"/>
  <c r="I105" i="73" s="1"/>
  <c r="I106" i="73" s="1"/>
  <c r="I107" i="73" s="1"/>
  <c r="W85" i="73"/>
  <c r="W86" i="73" s="1"/>
  <c r="W87" i="73" s="1"/>
  <c r="W88" i="73" s="1"/>
  <c r="W89" i="73" s="1"/>
  <c r="W90" i="73" s="1"/>
  <c r="W91" i="73" s="1"/>
  <c r="W92" i="73" s="1"/>
  <c r="W93" i="73" s="1"/>
  <c r="W94" i="73" s="1"/>
  <c r="W95" i="73" s="1"/>
  <c r="T85" i="73"/>
  <c r="T86" i="73" s="1"/>
  <c r="T87" i="73" s="1"/>
  <c r="T88" i="73" s="1"/>
  <c r="T89" i="73" s="1"/>
  <c r="T90" i="73" s="1"/>
  <c r="T91" i="73" s="1"/>
  <c r="T92" i="73" s="1"/>
  <c r="T93" i="73" s="1"/>
  <c r="T94" i="73" s="1"/>
  <c r="T95" i="73" s="1"/>
  <c r="Q85" i="73"/>
  <c r="Q86" i="73" s="1"/>
  <c r="Q87" i="73" s="1"/>
  <c r="Q88" i="73" s="1"/>
  <c r="Q89" i="73" s="1"/>
  <c r="Q90" i="73" s="1"/>
  <c r="Q91" i="73" s="1"/>
  <c r="Q92" i="73" s="1"/>
  <c r="Q93" i="73" s="1"/>
  <c r="Q94" i="73" s="1"/>
  <c r="Q95" i="73" s="1"/>
  <c r="O85" i="73"/>
  <c r="O86" i="73" s="1"/>
  <c r="O87" i="73" s="1"/>
  <c r="O88" i="73" s="1"/>
  <c r="O89" i="73" s="1"/>
  <c r="O90" i="73" s="1"/>
  <c r="O91" i="73" s="1"/>
  <c r="O92" i="73" s="1"/>
  <c r="O93" i="73" s="1"/>
  <c r="O94" i="73" s="1"/>
  <c r="O95" i="73" s="1"/>
  <c r="L85" i="73"/>
  <c r="L86" i="73" s="1"/>
  <c r="L87" i="73" s="1"/>
  <c r="L88" i="73" s="1"/>
  <c r="L89" i="73" s="1"/>
  <c r="L90" i="73" s="1"/>
  <c r="L91" i="73" s="1"/>
  <c r="L92" i="73" s="1"/>
  <c r="L93" i="73" s="1"/>
  <c r="L94" i="73" s="1"/>
  <c r="L95" i="73" s="1"/>
  <c r="I85" i="73"/>
  <c r="I86" i="73" s="1"/>
  <c r="I87" i="73" s="1"/>
  <c r="I88" i="73" s="1"/>
  <c r="I89" i="73" s="1"/>
  <c r="I90" i="73" s="1"/>
  <c r="I91" i="73" s="1"/>
  <c r="I92" i="73" s="1"/>
  <c r="I93" i="73" s="1"/>
  <c r="I94" i="73" s="1"/>
  <c r="I95" i="73" s="1"/>
  <c r="W73" i="73"/>
  <c r="W74" i="73" s="1"/>
  <c r="W75" i="73" s="1"/>
  <c r="W76" i="73" s="1"/>
  <c r="W77" i="73" s="1"/>
  <c r="W78" i="73" s="1"/>
  <c r="W79" i="73" s="1"/>
  <c r="W80" i="73" s="1"/>
  <c r="W81" i="73" s="1"/>
  <c r="W82" i="73" s="1"/>
  <c r="W83" i="73" s="1"/>
  <c r="T73" i="73"/>
  <c r="T74" i="73" s="1"/>
  <c r="T75" i="73" s="1"/>
  <c r="T76" i="73" s="1"/>
  <c r="T77" i="73" s="1"/>
  <c r="T78" i="73" s="1"/>
  <c r="T79" i="73" s="1"/>
  <c r="T80" i="73" s="1"/>
  <c r="T81" i="73" s="1"/>
  <c r="T82" i="73" s="1"/>
  <c r="T83" i="73" s="1"/>
  <c r="Q73" i="73"/>
  <c r="Q74" i="73" s="1"/>
  <c r="Q75" i="73" s="1"/>
  <c r="Q76" i="73" s="1"/>
  <c r="Q77" i="73" s="1"/>
  <c r="Q78" i="73" s="1"/>
  <c r="Q79" i="73" s="1"/>
  <c r="Q80" i="73" s="1"/>
  <c r="Q81" i="73" s="1"/>
  <c r="Q82" i="73" s="1"/>
  <c r="Q83" i="73" s="1"/>
  <c r="O73" i="73"/>
  <c r="O74" i="73" s="1"/>
  <c r="O75" i="73" s="1"/>
  <c r="O76" i="73" s="1"/>
  <c r="O77" i="73" s="1"/>
  <c r="O78" i="73" s="1"/>
  <c r="O79" i="73" s="1"/>
  <c r="O80" i="73" s="1"/>
  <c r="O81" i="73" s="1"/>
  <c r="O82" i="73" s="1"/>
  <c r="O83" i="73" s="1"/>
  <c r="L73" i="73"/>
  <c r="L74" i="73" s="1"/>
  <c r="L75" i="73" s="1"/>
  <c r="L76" i="73" s="1"/>
  <c r="L77" i="73" s="1"/>
  <c r="L78" i="73" s="1"/>
  <c r="L79" i="73" s="1"/>
  <c r="L80" i="73" s="1"/>
  <c r="L81" i="73" s="1"/>
  <c r="L82" i="73" s="1"/>
  <c r="L83" i="73" s="1"/>
  <c r="I73" i="73"/>
  <c r="I74" i="73" s="1"/>
  <c r="I75" i="73" s="1"/>
  <c r="I76" i="73" s="1"/>
  <c r="I77" i="73" s="1"/>
  <c r="I78" i="73" s="1"/>
  <c r="I79" i="73" s="1"/>
  <c r="I80" i="73" s="1"/>
  <c r="I81" i="73" s="1"/>
  <c r="I82" i="73" s="1"/>
  <c r="I83" i="73" s="1"/>
  <c r="W61" i="73"/>
  <c r="W62" i="73" s="1"/>
  <c r="W63" i="73" s="1"/>
  <c r="W64" i="73" s="1"/>
  <c r="W65" i="73" s="1"/>
  <c r="W66" i="73" s="1"/>
  <c r="W67" i="73" s="1"/>
  <c r="W68" i="73" s="1"/>
  <c r="W69" i="73" s="1"/>
  <c r="W70" i="73" s="1"/>
  <c r="W71" i="73" s="1"/>
  <c r="T61" i="73"/>
  <c r="T62" i="73" s="1"/>
  <c r="T63" i="73" s="1"/>
  <c r="T64" i="73" s="1"/>
  <c r="T65" i="73" s="1"/>
  <c r="T66" i="73" s="1"/>
  <c r="T67" i="73" s="1"/>
  <c r="T68" i="73" s="1"/>
  <c r="T69" i="73" s="1"/>
  <c r="T70" i="73" s="1"/>
  <c r="T71" i="73" s="1"/>
  <c r="Q61" i="73"/>
  <c r="Q62" i="73" s="1"/>
  <c r="Q63" i="73" s="1"/>
  <c r="Q64" i="73" s="1"/>
  <c r="Q65" i="73" s="1"/>
  <c r="Q66" i="73" s="1"/>
  <c r="Q67" i="73" s="1"/>
  <c r="Q68" i="73" s="1"/>
  <c r="Q69" i="73" s="1"/>
  <c r="Q70" i="73" s="1"/>
  <c r="Q71" i="73" s="1"/>
  <c r="O61" i="73"/>
  <c r="O62" i="73" s="1"/>
  <c r="O63" i="73" s="1"/>
  <c r="O64" i="73" s="1"/>
  <c r="O65" i="73" s="1"/>
  <c r="O66" i="73" s="1"/>
  <c r="O67" i="73" s="1"/>
  <c r="O68" i="73" s="1"/>
  <c r="O69" i="73" s="1"/>
  <c r="O70" i="73" s="1"/>
  <c r="O71" i="73" s="1"/>
  <c r="L61" i="73"/>
  <c r="L62" i="73" s="1"/>
  <c r="L63" i="73" s="1"/>
  <c r="L64" i="73" s="1"/>
  <c r="L65" i="73" s="1"/>
  <c r="L66" i="73" s="1"/>
  <c r="L67" i="73" s="1"/>
  <c r="L68" i="73" s="1"/>
  <c r="L69" i="73" s="1"/>
  <c r="L70" i="73" s="1"/>
  <c r="L71" i="73" s="1"/>
  <c r="I61" i="73"/>
  <c r="I62" i="73" s="1"/>
  <c r="I63" i="73" s="1"/>
  <c r="I64" i="73" s="1"/>
  <c r="I65" i="73" s="1"/>
  <c r="I66" i="73" s="1"/>
  <c r="I67" i="73" s="1"/>
  <c r="I68" i="73" s="1"/>
  <c r="I69" i="73" s="1"/>
  <c r="I70" i="73" s="1"/>
  <c r="I71" i="73" s="1"/>
  <c r="W49" i="73"/>
  <c r="W50" i="73" s="1"/>
  <c r="W51" i="73" s="1"/>
  <c r="W52" i="73" s="1"/>
  <c r="W53" i="73" s="1"/>
  <c r="W54" i="73" s="1"/>
  <c r="W55" i="73" s="1"/>
  <c r="W56" i="73" s="1"/>
  <c r="W57" i="73" s="1"/>
  <c r="W58" i="73" s="1"/>
  <c r="W59" i="73" s="1"/>
  <c r="T49" i="73"/>
  <c r="T50" i="73" s="1"/>
  <c r="T51" i="73" s="1"/>
  <c r="T52" i="73" s="1"/>
  <c r="T53" i="73" s="1"/>
  <c r="T54" i="73" s="1"/>
  <c r="T55" i="73" s="1"/>
  <c r="T56" i="73" s="1"/>
  <c r="T57" i="73" s="1"/>
  <c r="T58" i="73" s="1"/>
  <c r="T59" i="73" s="1"/>
  <c r="Q49" i="73"/>
  <c r="Q50" i="73" s="1"/>
  <c r="Q51" i="73" s="1"/>
  <c r="Q52" i="73" s="1"/>
  <c r="Q53" i="73" s="1"/>
  <c r="Q54" i="73" s="1"/>
  <c r="Q55" i="73" s="1"/>
  <c r="Q56" i="73" s="1"/>
  <c r="Q57" i="73" s="1"/>
  <c r="Q58" i="73" s="1"/>
  <c r="Q59" i="73" s="1"/>
  <c r="O49" i="73"/>
  <c r="O50" i="73" s="1"/>
  <c r="O51" i="73" s="1"/>
  <c r="O52" i="73" s="1"/>
  <c r="O53" i="73" s="1"/>
  <c r="O54" i="73" s="1"/>
  <c r="O55" i="73" s="1"/>
  <c r="O56" i="73" s="1"/>
  <c r="O57" i="73" s="1"/>
  <c r="O58" i="73" s="1"/>
  <c r="O59" i="73" s="1"/>
  <c r="L49" i="73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G49" i="73"/>
  <c r="G50" i="73" s="1"/>
  <c r="G51" i="73" s="1"/>
  <c r="G52" i="73" s="1"/>
  <c r="G53" i="73" s="1"/>
  <c r="G54" i="73" s="1"/>
  <c r="G55" i="73" s="1"/>
  <c r="G56" i="73" s="1"/>
  <c r="G57" i="73" s="1"/>
  <c r="G58" i="73" s="1"/>
  <c r="G59" i="73" s="1"/>
  <c r="W37" i="73"/>
  <c r="W38" i="73" s="1"/>
  <c r="W39" i="73" s="1"/>
  <c r="W40" i="73" s="1"/>
  <c r="W41" i="73" s="1"/>
  <c r="W42" i="73" s="1"/>
  <c r="W43" i="73" s="1"/>
  <c r="W44" i="73" s="1"/>
  <c r="W45" i="73" s="1"/>
  <c r="W46" i="73" s="1"/>
  <c r="W47" i="73" s="1"/>
  <c r="T37" i="73"/>
  <c r="T38" i="73" s="1"/>
  <c r="T39" i="73" s="1"/>
  <c r="T40" i="73" s="1"/>
  <c r="T41" i="73" s="1"/>
  <c r="T42" i="73" s="1"/>
  <c r="T43" i="73" s="1"/>
  <c r="T44" i="73" s="1"/>
  <c r="T45" i="73" s="1"/>
  <c r="T46" i="73" s="1"/>
  <c r="T47" i="73" s="1"/>
  <c r="Q37" i="73"/>
  <c r="Q38" i="73" s="1"/>
  <c r="Q39" i="73" s="1"/>
  <c r="Q40" i="73" s="1"/>
  <c r="Q41" i="73" s="1"/>
  <c r="Q42" i="73" s="1"/>
  <c r="Q43" i="73" s="1"/>
  <c r="Q44" i="73" s="1"/>
  <c r="Q45" i="73" s="1"/>
  <c r="Q46" i="73" s="1"/>
  <c r="Q47" i="73" s="1"/>
  <c r="O37" i="73"/>
  <c r="O38" i="73" s="1"/>
  <c r="O39" i="73" s="1"/>
  <c r="O40" i="73" s="1"/>
  <c r="O41" i="73" s="1"/>
  <c r="O42" i="73" s="1"/>
  <c r="O43" i="73" s="1"/>
  <c r="O44" i="73" s="1"/>
  <c r="O45" i="73" s="1"/>
  <c r="O46" i="73" s="1"/>
  <c r="O47" i="73" s="1"/>
  <c r="L37" i="73"/>
  <c r="L38" i="73" s="1"/>
  <c r="L39" i="73" s="1"/>
  <c r="L40" i="73" s="1"/>
  <c r="L41" i="73" s="1"/>
  <c r="L42" i="73" s="1"/>
  <c r="L43" i="73" s="1"/>
  <c r="L44" i="73" s="1"/>
  <c r="L45" i="73" s="1"/>
  <c r="L46" i="73" s="1"/>
  <c r="L47" i="73" s="1"/>
  <c r="I37" i="73"/>
  <c r="I38" i="73" s="1"/>
  <c r="I39" i="73" s="1"/>
  <c r="I40" i="73" s="1"/>
  <c r="I41" i="73" s="1"/>
  <c r="I42" i="73" s="1"/>
  <c r="I43" i="73" s="1"/>
  <c r="I44" i="73" s="1"/>
  <c r="I45" i="73" s="1"/>
  <c r="I46" i="73" s="1"/>
  <c r="I47" i="73" s="1"/>
  <c r="W25" i="73"/>
  <c r="W26" i="73" s="1"/>
  <c r="W27" i="73" s="1"/>
  <c r="W28" i="73" s="1"/>
  <c r="W29" i="73" s="1"/>
  <c r="W30" i="73" s="1"/>
  <c r="W31" i="73" s="1"/>
  <c r="W32" i="73" s="1"/>
  <c r="W33" i="73" s="1"/>
  <c r="W34" i="73" s="1"/>
  <c r="W35" i="73" s="1"/>
  <c r="T25" i="73"/>
  <c r="T26" i="73" s="1"/>
  <c r="T27" i="73" s="1"/>
  <c r="T28" i="73" s="1"/>
  <c r="T29" i="73" s="1"/>
  <c r="T30" i="73" s="1"/>
  <c r="T31" i="73" s="1"/>
  <c r="T32" i="73" s="1"/>
  <c r="T33" i="73" s="1"/>
  <c r="T34" i="73" s="1"/>
  <c r="T35" i="73" s="1"/>
  <c r="Q25" i="73"/>
  <c r="Q26" i="73" s="1"/>
  <c r="Q27" i="73" s="1"/>
  <c r="Q28" i="73" s="1"/>
  <c r="Q29" i="73" s="1"/>
  <c r="Q30" i="73" s="1"/>
  <c r="Q31" i="73" s="1"/>
  <c r="Q32" i="73" s="1"/>
  <c r="Q33" i="73" s="1"/>
  <c r="Q34" i="73" s="1"/>
  <c r="Q35" i="73" s="1"/>
  <c r="O25" i="73"/>
  <c r="O26" i="73" s="1"/>
  <c r="O27" i="73" s="1"/>
  <c r="O28" i="73" s="1"/>
  <c r="O29" i="73" s="1"/>
  <c r="O30" i="73" s="1"/>
  <c r="O31" i="73" s="1"/>
  <c r="O32" i="73" s="1"/>
  <c r="O33" i="73" s="1"/>
  <c r="O34" i="73" s="1"/>
  <c r="O35" i="73" s="1"/>
  <c r="L25" i="73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I25" i="73"/>
  <c r="I26" i="73" s="1"/>
  <c r="I27" i="73" s="1"/>
  <c r="I28" i="73" s="1"/>
  <c r="I29" i="73" s="1"/>
  <c r="I30" i="73" s="1"/>
  <c r="I31" i="73" s="1"/>
  <c r="I32" i="73" s="1"/>
  <c r="I33" i="73" s="1"/>
  <c r="I34" i="73" s="1"/>
  <c r="I35" i="73" s="1"/>
  <c r="G85" i="73" l="1"/>
  <c r="G86" i="73" s="1"/>
  <c r="G87" i="73" s="1"/>
  <c r="G88" i="73" s="1"/>
  <c r="G89" i="73" s="1"/>
  <c r="G90" i="73" s="1"/>
  <c r="G91" i="73" s="1"/>
  <c r="G92" i="73" s="1"/>
  <c r="G93" i="73" s="1"/>
  <c r="G94" i="73" s="1"/>
  <c r="G95" i="73" s="1"/>
  <c r="G37" i="73"/>
  <c r="G38" i="73" s="1"/>
  <c r="G39" i="73" s="1"/>
  <c r="G40" i="73" s="1"/>
  <c r="G41" i="73" s="1"/>
  <c r="G42" i="73" s="1"/>
  <c r="G43" i="73" s="1"/>
  <c r="G44" i="73" s="1"/>
  <c r="G45" i="73" s="1"/>
  <c r="G46" i="73" s="1"/>
  <c r="G47" i="73" s="1"/>
  <c r="G25" i="73"/>
  <c r="G109" i="73"/>
  <c r="G110" i="73" s="1"/>
  <c r="G111" i="73" s="1"/>
  <c r="G112" i="73" s="1"/>
  <c r="G113" i="73" s="1"/>
  <c r="G114" i="73" s="1"/>
  <c r="G115" i="73" s="1"/>
  <c r="G116" i="73" s="1"/>
  <c r="G117" i="73" s="1"/>
  <c r="G118" i="73" s="1"/>
  <c r="G119" i="73" s="1"/>
  <c r="G97" i="73"/>
  <c r="G98" i="73" s="1"/>
  <c r="G99" i="73" s="1"/>
  <c r="G100" i="73" s="1"/>
  <c r="G101" i="73" s="1"/>
  <c r="G102" i="73" s="1"/>
  <c r="G103" i="73" s="1"/>
  <c r="G104" i="73" s="1"/>
  <c r="G105" i="73" s="1"/>
  <c r="G106" i="73" s="1"/>
  <c r="G107" i="73" s="1"/>
  <c r="G121" i="73"/>
  <c r="G122" i="73" s="1"/>
  <c r="G123" i="73" s="1"/>
  <c r="G124" i="73" s="1"/>
  <c r="G125" i="73" s="1"/>
  <c r="G126" i="73" s="1"/>
  <c r="G127" i="73" s="1"/>
  <c r="G128" i="73" s="1"/>
  <c r="G129" i="73" s="1"/>
  <c r="G130" i="73" s="1"/>
  <c r="G131" i="73" s="1"/>
  <c r="G61" i="73"/>
  <c r="G62" i="73" s="1"/>
  <c r="G63" i="73" s="1"/>
  <c r="G64" i="73" s="1"/>
  <c r="G65" i="73" s="1"/>
  <c r="G66" i="73" s="1"/>
  <c r="G67" i="73" s="1"/>
  <c r="G68" i="73" s="1"/>
  <c r="G69" i="73" s="1"/>
  <c r="G70" i="73" s="1"/>
  <c r="G71" i="73" s="1"/>
  <c r="I49" i="73"/>
  <c r="I50" i="73" s="1"/>
  <c r="I51" i="73" s="1"/>
  <c r="I52" i="73" s="1"/>
  <c r="I53" i="73" s="1"/>
  <c r="I54" i="73" s="1"/>
  <c r="I55" i="73" s="1"/>
  <c r="I56" i="73" s="1"/>
  <c r="I57" i="73" s="1"/>
  <c r="I58" i="73" s="1"/>
  <c r="I59" i="73" s="1"/>
  <c r="G73" i="73"/>
  <c r="G74" i="73" s="1"/>
  <c r="G75" i="73" s="1"/>
  <c r="G76" i="73" s="1"/>
  <c r="G77" i="73" s="1"/>
  <c r="G78" i="73" s="1"/>
  <c r="G79" i="73" s="1"/>
  <c r="G80" i="73" s="1"/>
  <c r="G81" i="73" s="1"/>
  <c r="G82" i="73" s="1"/>
  <c r="G83" i="73" s="1"/>
  <c r="G26" i="73" l="1"/>
  <c r="G27" i="73" s="1"/>
  <c r="G28" i="73" s="1"/>
  <c r="G29" i="73" s="1"/>
  <c r="G30" i="73" s="1"/>
  <c r="G31" i="73" s="1"/>
  <c r="G32" i="73" s="1"/>
  <c r="G33" i="73" s="1"/>
  <c r="G34" i="73" s="1"/>
  <c r="G35" i="73" s="1"/>
  <c r="B5" i="73"/>
  <c r="E6" i="73" l="1"/>
  <c r="E4" i="17" s="1"/>
  <c r="E7" i="73"/>
  <c r="E5" i="17" s="1"/>
  <c r="E8" i="73"/>
  <c r="E6" i="17" s="1"/>
  <c r="E9" i="73"/>
  <c r="E10" i="73"/>
  <c r="E8" i="17" s="1"/>
  <c r="E11" i="73"/>
  <c r="E9" i="17" s="1"/>
  <c r="E12" i="73"/>
  <c r="E13" i="73"/>
  <c r="E11" i="17" s="1"/>
  <c r="E14" i="73"/>
  <c r="E12" i="17" s="1"/>
  <c r="E5" i="73"/>
  <c r="M21" i="73"/>
  <c r="A26" i="11" s="1"/>
  <c r="E26" i="17" l="1"/>
  <c r="E3" i="17"/>
  <c r="E18" i="17" s="1"/>
  <c r="E10" i="17"/>
  <c r="I27" i="11" s="1"/>
  <c r="E7" i="17"/>
  <c r="E22" i="17" s="1"/>
  <c r="K27" i="11"/>
  <c r="K22" i="9"/>
  <c r="J27" i="11"/>
  <c r="H27" i="11"/>
  <c r="E23" i="17"/>
  <c r="G27" i="11"/>
  <c r="E20" i="17"/>
  <c r="E27" i="11"/>
  <c r="E19" i="17"/>
  <c r="D27" i="11"/>
  <c r="C27" i="11"/>
  <c r="A13" i="18"/>
  <c r="A12" i="18"/>
  <c r="A11" i="18"/>
  <c r="A10" i="18"/>
  <c r="A9" i="18"/>
  <c r="A8" i="18"/>
  <c r="A7" i="18"/>
  <c r="A6" i="18"/>
  <c r="A5" i="18"/>
  <c r="A4" i="18"/>
  <c r="A3" i="18"/>
  <c r="A2" i="18"/>
  <c r="A26" i="17"/>
  <c r="A25" i="17"/>
  <c r="A24" i="17"/>
  <c r="A23" i="17"/>
  <c r="A22" i="17"/>
  <c r="A21" i="17"/>
  <c r="A20" i="17"/>
  <c r="A19" i="17"/>
  <c r="A18" i="17"/>
  <c r="H2" i="17"/>
  <c r="G2" i="17"/>
  <c r="D1" i="18" s="1"/>
  <c r="F2" i="17"/>
  <c r="D2" i="17"/>
  <c r="B1" i="18" s="1"/>
  <c r="C2" i="17"/>
  <c r="B2" i="17"/>
  <c r="I34" i="9"/>
  <c r="A28" i="9"/>
  <c r="A32" i="9" s="1"/>
  <c r="A36" i="9" s="1"/>
  <c r="A40" i="9" s="1"/>
  <c r="A27" i="9"/>
  <c r="A31" i="9" s="1"/>
  <c r="A35" i="9" s="1"/>
  <c r="A39" i="9" s="1"/>
  <c r="N12" i="9"/>
  <c r="K42" i="11" s="1"/>
  <c r="M12" i="9"/>
  <c r="L12" i="9"/>
  <c r="J12" i="9"/>
  <c r="K23" i="11" s="1"/>
  <c r="I12" i="9"/>
  <c r="K19" i="11" s="1"/>
  <c r="N11" i="9"/>
  <c r="J42" i="11" s="1"/>
  <c r="M11" i="9"/>
  <c r="J37" i="11" s="1"/>
  <c r="L11" i="9"/>
  <c r="J11" i="9"/>
  <c r="J23" i="11" s="1"/>
  <c r="I11" i="9"/>
  <c r="J19" i="11" s="1"/>
  <c r="H11" i="9"/>
  <c r="J15" i="11" s="1"/>
  <c r="N10" i="9"/>
  <c r="I42" i="11" s="1"/>
  <c r="M10" i="9"/>
  <c r="I37" i="11" s="1"/>
  <c r="L10" i="9"/>
  <c r="J10" i="9"/>
  <c r="I23" i="11" s="1"/>
  <c r="I10" i="9"/>
  <c r="I19" i="11" s="1"/>
  <c r="H10" i="9"/>
  <c r="N9" i="9"/>
  <c r="H42" i="11" s="1"/>
  <c r="M9" i="9"/>
  <c r="H37" i="11" s="1"/>
  <c r="L9" i="9"/>
  <c r="J9" i="9"/>
  <c r="H23" i="11" s="1"/>
  <c r="I9" i="9"/>
  <c r="H19" i="11" s="1"/>
  <c r="H9" i="9"/>
  <c r="H15" i="11" s="1"/>
  <c r="N8" i="9"/>
  <c r="G42" i="11" s="1"/>
  <c r="M8" i="9"/>
  <c r="G37" i="11" s="1"/>
  <c r="L8" i="9"/>
  <c r="J8" i="9"/>
  <c r="G23" i="11" s="1"/>
  <c r="I8" i="9"/>
  <c r="G19" i="11" s="1"/>
  <c r="H8" i="9"/>
  <c r="G15" i="11" s="1"/>
  <c r="N7" i="9"/>
  <c r="F42" i="11" s="1"/>
  <c r="M7" i="9"/>
  <c r="F37" i="11" s="1"/>
  <c r="L7" i="9"/>
  <c r="J7" i="9"/>
  <c r="F23" i="11" s="1"/>
  <c r="I7" i="9"/>
  <c r="F19" i="11" s="1"/>
  <c r="H7" i="9"/>
  <c r="F15" i="11" s="1"/>
  <c r="N6" i="9"/>
  <c r="E42" i="11" s="1"/>
  <c r="M6" i="9"/>
  <c r="E37" i="11" s="1"/>
  <c r="L6" i="9"/>
  <c r="J6" i="9"/>
  <c r="E23" i="11" s="1"/>
  <c r="I6" i="9"/>
  <c r="E19" i="11" s="1"/>
  <c r="H6" i="9"/>
  <c r="E15" i="11" s="1"/>
  <c r="N5" i="9"/>
  <c r="D42" i="11" s="1"/>
  <c r="M5" i="9"/>
  <c r="D37" i="11" s="1"/>
  <c r="L5" i="9"/>
  <c r="J5" i="9"/>
  <c r="D23" i="11" s="1"/>
  <c r="I5" i="9"/>
  <c r="D19" i="11" s="1"/>
  <c r="H5" i="9"/>
  <c r="N4" i="9"/>
  <c r="C42" i="11" s="1"/>
  <c r="M4" i="9"/>
  <c r="C37" i="11" s="1"/>
  <c r="L4" i="9"/>
  <c r="J4" i="9"/>
  <c r="C23" i="11" s="1"/>
  <c r="I4" i="9"/>
  <c r="C19" i="11" s="1"/>
  <c r="H4" i="9"/>
  <c r="C15" i="11" s="1"/>
  <c r="N3" i="9"/>
  <c r="B42" i="11" s="1"/>
  <c r="M3" i="9"/>
  <c r="B37" i="11" s="1"/>
  <c r="J3" i="9"/>
  <c r="I3" i="9"/>
  <c r="B19" i="11" s="1"/>
  <c r="H3" i="9"/>
  <c r="B15" i="11" s="1"/>
  <c r="N2" i="9"/>
  <c r="E1" i="18" s="1"/>
  <c r="M2" i="9"/>
  <c r="A35" i="11" s="1"/>
  <c r="L2" i="9"/>
  <c r="J2" i="9"/>
  <c r="I2" i="9"/>
  <c r="A17" i="11" s="1"/>
  <c r="H2" i="9"/>
  <c r="A13" i="11" s="1"/>
  <c r="B122" i="72"/>
  <c r="B121" i="72"/>
  <c r="B120" i="72"/>
  <c r="B119" i="72"/>
  <c r="B118" i="72"/>
  <c r="B117" i="72"/>
  <c r="B116" i="72"/>
  <c r="B115" i="72"/>
  <c r="B114" i="72"/>
  <c r="B113" i="72"/>
  <c r="B112" i="72"/>
  <c r="B111" i="72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I153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H61" i="11"/>
  <c r="H60" i="11"/>
  <c r="H59" i="11"/>
  <c r="H58" i="11"/>
  <c r="H57" i="11"/>
  <c r="M56" i="11"/>
  <c r="M60" i="11" s="1"/>
  <c r="L56" i="11"/>
  <c r="L60" i="11" s="1"/>
  <c r="I56" i="11"/>
  <c r="I60" i="11" s="1"/>
  <c r="H56" i="11"/>
  <c r="M55" i="11"/>
  <c r="M59" i="11" s="1"/>
  <c r="L55" i="11"/>
  <c r="L59" i="11" s="1"/>
  <c r="I55" i="11"/>
  <c r="I59" i="11" s="1"/>
  <c r="M54" i="11"/>
  <c r="M58" i="11" s="1"/>
  <c r="L54" i="11"/>
  <c r="L58" i="11" s="1"/>
  <c r="I54" i="11"/>
  <c r="I58" i="11" s="1"/>
  <c r="A31" i="11"/>
  <c r="A21" i="11"/>
  <c r="U21" i="73"/>
  <c r="R21" i="73"/>
  <c r="P21" i="73"/>
  <c r="J21" i="73"/>
  <c r="H21" i="73"/>
  <c r="F21" i="73"/>
  <c r="H14" i="73"/>
  <c r="H12" i="17" s="1"/>
  <c r="G14" i="73"/>
  <c r="G12" i="17" s="1"/>
  <c r="F14" i="73"/>
  <c r="F12" i="17" s="1"/>
  <c r="D14" i="73"/>
  <c r="D12" i="17" s="1"/>
  <c r="C14" i="73"/>
  <c r="C12" i="17" s="1"/>
  <c r="B14" i="73"/>
  <c r="H13" i="73"/>
  <c r="H11" i="17" s="1"/>
  <c r="G13" i="73"/>
  <c r="G11" i="17" s="1"/>
  <c r="F13" i="73"/>
  <c r="F11" i="17" s="1"/>
  <c r="J32" i="11" s="1"/>
  <c r="D13" i="73"/>
  <c r="D11" i="17" s="1"/>
  <c r="C13" i="73"/>
  <c r="C11" i="17" s="1"/>
  <c r="B13" i="73"/>
  <c r="H12" i="73"/>
  <c r="H10" i="17" s="1"/>
  <c r="G12" i="73"/>
  <c r="G10" i="17" s="1"/>
  <c r="F12" i="73"/>
  <c r="F10" i="17" s="1"/>
  <c r="D12" i="73"/>
  <c r="D10" i="17" s="1"/>
  <c r="C12" i="73"/>
  <c r="C10" i="17" s="1"/>
  <c r="B12" i="73"/>
  <c r="H11" i="73"/>
  <c r="H9" i="17" s="1"/>
  <c r="G11" i="73"/>
  <c r="G9" i="17" s="1"/>
  <c r="F11" i="73"/>
  <c r="F9" i="17" s="1"/>
  <c r="D11" i="73"/>
  <c r="D9" i="17" s="1"/>
  <c r="C11" i="73"/>
  <c r="C9" i="17" s="1"/>
  <c r="B11" i="73"/>
  <c r="H10" i="73"/>
  <c r="H8" i="17" s="1"/>
  <c r="G10" i="73"/>
  <c r="G8" i="17" s="1"/>
  <c r="F10" i="73"/>
  <c r="F8" i="17" s="1"/>
  <c r="D10" i="73"/>
  <c r="D8" i="17" s="1"/>
  <c r="C10" i="73"/>
  <c r="C8" i="17" s="1"/>
  <c r="B10" i="73"/>
  <c r="H9" i="73"/>
  <c r="H7" i="17" s="1"/>
  <c r="G9" i="73"/>
  <c r="G7" i="17" s="1"/>
  <c r="F9" i="73"/>
  <c r="F7" i="17" s="1"/>
  <c r="D9" i="73"/>
  <c r="D7" i="17" s="1"/>
  <c r="C9" i="73"/>
  <c r="C7" i="17" s="1"/>
  <c r="B9" i="73"/>
  <c r="H8" i="73"/>
  <c r="H6" i="17" s="1"/>
  <c r="G8" i="73"/>
  <c r="G6" i="17" s="1"/>
  <c r="F8" i="73"/>
  <c r="F6" i="17" s="1"/>
  <c r="D8" i="73"/>
  <c r="D6" i="17" s="1"/>
  <c r="C8" i="73"/>
  <c r="C6" i="17" s="1"/>
  <c r="B8" i="73"/>
  <c r="H7" i="73"/>
  <c r="H5" i="17" s="1"/>
  <c r="D41" i="11" s="1"/>
  <c r="G7" i="73"/>
  <c r="G5" i="17" s="1"/>
  <c r="D36" i="11" s="1"/>
  <c r="F7" i="73"/>
  <c r="F5" i="17" s="1"/>
  <c r="D32" i="11" s="1"/>
  <c r="D7" i="73"/>
  <c r="D5" i="17" s="1"/>
  <c r="D22" i="11" s="1"/>
  <c r="C7" i="73"/>
  <c r="C5" i="17" s="1"/>
  <c r="D18" i="11" s="1"/>
  <c r="B7" i="73"/>
  <c r="H6" i="73"/>
  <c r="H4" i="17" s="1"/>
  <c r="G6" i="73"/>
  <c r="G4" i="17" s="1"/>
  <c r="F6" i="73"/>
  <c r="F4" i="17" s="1"/>
  <c r="D6" i="73"/>
  <c r="D4" i="17" s="1"/>
  <c r="C22" i="11" s="1"/>
  <c r="C6" i="73"/>
  <c r="C4" i="17" s="1"/>
  <c r="B6" i="73"/>
  <c r="H5" i="73"/>
  <c r="H3" i="17" s="1"/>
  <c r="G5" i="73"/>
  <c r="G3" i="17" s="1"/>
  <c r="F5" i="73"/>
  <c r="F3" i="17" s="1"/>
  <c r="D5" i="73"/>
  <c r="D3" i="17" s="1"/>
  <c r="C5" i="73"/>
  <c r="M153" i="85" l="1"/>
  <c r="N153" i="85" s="1"/>
  <c r="C5" i="11"/>
  <c r="J67" i="11"/>
  <c r="C4" i="9"/>
  <c r="B23" i="11"/>
  <c r="G3" i="9"/>
  <c r="B10" i="11" s="1"/>
  <c r="B51" i="11" s="1"/>
  <c r="C3" i="17"/>
  <c r="E24" i="17"/>
  <c r="B4" i="17"/>
  <c r="C14" i="11" s="1"/>
  <c r="B3" i="17"/>
  <c r="B5" i="17"/>
  <c r="D14" i="11" s="1"/>
  <c r="D46" i="11" s="1"/>
  <c r="B7" i="17"/>
  <c r="I7" i="17" s="1"/>
  <c r="F50" i="11" s="1"/>
  <c r="B9" i="17"/>
  <c r="I9" i="17" s="1"/>
  <c r="H50" i="11" s="1"/>
  <c r="B11" i="17"/>
  <c r="I11" i="17" s="1"/>
  <c r="J50" i="11" s="1"/>
  <c r="B6" i="17"/>
  <c r="I6" i="17" s="1"/>
  <c r="E50" i="11" s="1"/>
  <c r="B12" i="17"/>
  <c r="B8" i="17"/>
  <c r="G14" i="11" s="1"/>
  <c r="B10" i="17"/>
  <c r="J3" i="72"/>
  <c r="E21" i="17"/>
  <c r="E25" i="17"/>
  <c r="J87" i="72"/>
  <c r="F27" i="11"/>
  <c r="B27" i="11"/>
  <c r="B8" i="18"/>
  <c r="B22" i="18" s="1"/>
  <c r="C8" i="18"/>
  <c r="A23" i="18"/>
  <c r="C9" i="18"/>
  <c r="C23" i="18" s="1"/>
  <c r="A17" i="18"/>
  <c r="C3" i="18"/>
  <c r="C17" i="18" s="1"/>
  <c r="A25" i="18"/>
  <c r="C11" i="18"/>
  <c r="C25" i="18" s="1"/>
  <c r="B11" i="18"/>
  <c r="B25" i="18" s="1"/>
  <c r="B10" i="18"/>
  <c r="B24" i="18" s="1"/>
  <c r="C10" i="18"/>
  <c r="B4" i="18"/>
  <c r="C4" i="18"/>
  <c r="E5" i="18"/>
  <c r="C5" i="18"/>
  <c r="B6" i="18"/>
  <c r="C6" i="18"/>
  <c r="A16" i="18"/>
  <c r="C2" i="18"/>
  <c r="C16" i="18" s="1"/>
  <c r="E7" i="18"/>
  <c r="C7" i="18"/>
  <c r="J58" i="72"/>
  <c r="M58" i="72" s="1"/>
  <c r="J64" i="72"/>
  <c r="M64" i="72" s="1"/>
  <c r="A40" i="11"/>
  <c r="K37" i="11"/>
  <c r="M21" i="9"/>
  <c r="M22" i="9" s="1"/>
  <c r="M23" i="9" s="1"/>
  <c r="J70" i="72"/>
  <c r="K70" i="72" s="1"/>
  <c r="L70" i="72" s="1"/>
  <c r="J76" i="72"/>
  <c r="M76" i="72" s="1"/>
  <c r="B152" i="72"/>
  <c r="B161" i="72"/>
  <c r="K23" i="9"/>
  <c r="K28" i="9" s="1"/>
  <c r="H67" i="11"/>
  <c r="I156" i="72"/>
  <c r="M156" i="85" s="1"/>
  <c r="N156" i="85" s="1"/>
  <c r="I157" i="72"/>
  <c r="M157" i="85" s="1"/>
  <c r="N157" i="85" s="1"/>
  <c r="I154" i="72"/>
  <c r="M154" i="85" s="1"/>
  <c r="N154" i="85" s="1"/>
  <c r="J60" i="72"/>
  <c r="M60" i="72" s="1"/>
  <c r="J72" i="72"/>
  <c r="K72" i="72" s="1"/>
  <c r="L72" i="72" s="1"/>
  <c r="J78" i="72"/>
  <c r="K78" i="72" s="1"/>
  <c r="L78" i="72" s="1"/>
  <c r="J68" i="72"/>
  <c r="M68" i="72" s="1"/>
  <c r="J74" i="72"/>
  <c r="K74" i="72" s="1"/>
  <c r="L74" i="72" s="1"/>
  <c r="C33" i="11"/>
  <c r="C47" i="11" s="1"/>
  <c r="G33" i="11"/>
  <c r="G47" i="11" s="1"/>
  <c r="K33" i="11"/>
  <c r="B33" i="11"/>
  <c r="F33" i="11"/>
  <c r="F47" i="11" s="1"/>
  <c r="J33" i="11"/>
  <c r="J47" i="11" s="1"/>
  <c r="E33" i="11"/>
  <c r="E47" i="11" s="1"/>
  <c r="I33" i="11"/>
  <c r="D33" i="11"/>
  <c r="H33" i="11"/>
  <c r="H47" i="11" s="1"/>
  <c r="D6" i="18"/>
  <c r="D20" i="18" s="1"/>
  <c r="D8" i="18"/>
  <c r="E2" i="18"/>
  <c r="E16" i="18" s="1"/>
  <c r="B3" i="18"/>
  <c r="B17" i="18" s="1"/>
  <c r="C18" i="11"/>
  <c r="C18" i="17"/>
  <c r="D4" i="18"/>
  <c r="D10" i="18"/>
  <c r="D2" i="18"/>
  <c r="D16" i="18" s="1"/>
  <c r="A18" i="18"/>
  <c r="A20" i="18"/>
  <c r="E4" i="18"/>
  <c r="E6" i="18"/>
  <c r="E8" i="18"/>
  <c r="E10" i="18"/>
  <c r="A19" i="18"/>
  <c r="B5" i="18"/>
  <c r="B7" i="18"/>
  <c r="B9" i="18"/>
  <c r="B23" i="18" s="1"/>
  <c r="A21" i="18"/>
  <c r="D5" i="18"/>
  <c r="D7" i="18"/>
  <c r="D9" i="18"/>
  <c r="D11" i="18"/>
  <c r="A22" i="18"/>
  <c r="E9" i="18"/>
  <c r="E11" i="18"/>
  <c r="A24" i="18"/>
  <c r="D3" i="18"/>
  <c r="E3" i="18"/>
  <c r="B2" i="18"/>
  <c r="B16" i="18" s="1"/>
  <c r="K15" i="11"/>
  <c r="G12" i="9"/>
  <c r="K10" i="11" s="1"/>
  <c r="J56" i="72"/>
  <c r="M56" i="72" s="1"/>
  <c r="I158" i="72"/>
  <c r="M158" i="85" s="1"/>
  <c r="N158" i="85" s="1"/>
  <c r="J62" i="72"/>
  <c r="M62" i="72" s="1"/>
  <c r="J66" i="72"/>
  <c r="K66" i="72" s="1"/>
  <c r="L66" i="72" s="1"/>
  <c r="I155" i="72"/>
  <c r="M155" i="85" s="1"/>
  <c r="N155" i="85" s="1"/>
  <c r="J59" i="72"/>
  <c r="K59" i="72" s="1"/>
  <c r="L59" i="72" s="1"/>
  <c r="J67" i="72"/>
  <c r="K67" i="72" s="1"/>
  <c r="L67" i="72" s="1"/>
  <c r="J57" i="72"/>
  <c r="J61" i="72"/>
  <c r="K61" i="72" s="1"/>
  <c r="L61" i="72" s="1"/>
  <c r="J65" i="72"/>
  <c r="K65" i="72" s="1"/>
  <c r="L65" i="72" s="1"/>
  <c r="J69" i="72"/>
  <c r="K69" i="72" s="1"/>
  <c r="L69" i="72" s="1"/>
  <c r="J73" i="72"/>
  <c r="J77" i="72"/>
  <c r="K77" i="72" s="1"/>
  <c r="L77" i="72" s="1"/>
  <c r="J71" i="72"/>
  <c r="K71" i="72" s="1"/>
  <c r="L71" i="72" s="1"/>
  <c r="J75" i="72"/>
  <c r="M75" i="72" s="1"/>
  <c r="J6" i="72"/>
  <c r="J10" i="72"/>
  <c r="J14" i="72"/>
  <c r="M14" i="72" s="1"/>
  <c r="J18" i="72"/>
  <c r="K18" i="72" s="1"/>
  <c r="L18" i="72" s="1"/>
  <c r="J22" i="72"/>
  <c r="K22" i="72" s="1"/>
  <c r="L22" i="72" s="1"/>
  <c r="J26" i="72"/>
  <c r="M26" i="72" s="1"/>
  <c r="J30" i="72"/>
  <c r="K30" i="72" s="1"/>
  <c r="L30" i="72" s="1"/>
  <c r="J34" i="72"/>
  <c r="K34" i="72" s="1"/>
  <c r="L34" i="72" s="1"/>
  <c r="J38" i="72"/>
  <c r="M38" i="72" s="1"/>
  <c r="J42" i="72"/>
  <c r="J46" i="72"/>
  <c r="J50" i="72"/>
  <c r="K50" i="72" s="1"/>
  <c r="L50" i="72" s="1"/>
  <c r="J54" i="72"/>
  <c r="K54" i="72" s="1"/>
  <c r="L54" i="72" s="1"/>
  <c r="J81" i="72"/>
  <c r="K81" i="72" s="1"/>
  <c r="L81" i="72" s="1"/>
  <c r="J85" i="72"/>
  <c r="K85" i="72" s="1"/>
  <c r="L85" i="72" s="1"/>
  <c r="J7" i="72"/>
  <c r="K7" i="72" s="1"/>
  <c r="L7" i="72" s="1"/>
  <c r="J11" i="72"/>
  <c r="M11" i="72" s="1"/>
  <c r="J15" i="72"/>
  <c r="M15" i="72" s="1"/>
  <c r="J19" i="72"/>
  <c r="J23" i="72"/>
  <c r="K23" i="72" s="1"/>
  <c r="L23" i="72" s="1"/>
  <c r="J31" i="72"/>
  <c r="M31" i="72" s="1"/>
  <c r="J35" i="72"/>
  <c r="K35" i="72" s="1"/>
  <c r="L35" i="72" s="1"/>
  <c r="J39" i="72"/>
  <c r="M39" i="72" s="1"/>
  <c r="J43" i="72"/>
  <c r="K43" i="72" s="1"/>
  <c r="L43" i="72" s="1"/>
  <c r="J47" i="72"/>
  <c r="J51" i="72"/>
  <c r="K51" i="72" s="1"/>
  <c r="L51" i="72" s="1"/>
  <c r="J55" i="72"/>
  <c r="J82" i="72"/>
  <c r="J86" i="72"/>
  <c r="M86" i="72" s="1"/>
  <c r="J4" i="72"/>
  <c r="M4" i="72" s="1"/>
  <c r="J8" i="72"/>
  <c r="M8" i="72" s="1"/>
  <c r="J12" i="72"/>
  <c r="J16" i="72"/>
  <c r="M16" i="72" s="1"/>
  <c r="J20" i="72"/>
  <c r="K20" i="72" s="1"/>
  <c r="L20" i="72" s="1"/>
  <c r="J24" i="72"/>
  <c r="J28" i="72"/>
  <c r="M28" i="72" s="1"/>
  <c r="J32" i="72"/>
  <c r="M32" i="72" s="1"/>
  <c r="J36" i="72"/>
  <c r="M36" i="72" s="1"/>
  <c r="J40" i="72"/>
  <c r="K40" i="72" s="1"/>
  <c r="L40" i="72" s="1"/>
  <c r="J44" i="72"/>
  <c r="J48" i="72"/>
  <c r="J52" i="72"/>
  <c r="M52" i="72" s="1"/>
  <c r="J79" i="72"/>
  <c r="J83" i="72"/>
  <c r="M83" i="72" s="1"/>
  <c r="J5" i="72"/>
  <c r="M5" i="72" s="1"/>
  <c r="J9" i="72"/>
  <c r="M9" i="72" s="1"/>
  <c r="J13" i="72"/>
  <c r="M13" i="72" s="1"/>
  <c r="J17" i="72"/>
  <c r="J21" i="72"/>
  <c r="K21" i="72" s="1"/>
  <c r="L21" i="72" s="1"/>
  <c r="J25" i="72"/>
  <c r="M25" i="72" s="1"/>
  <c r="J29" i="72"/>
  <c r="M29" i="72" s="1"/>
  <c r="J33" i="72"/>
  <c r="K33" i="72" s="1"/>
  <c r="L33" i="72" s="1"/>
  <c r="J37" i="72"/>
  <c r="M37" i="72" s="1"/>
  <c r="J41" i="72"/>
  <c r="M41" i="72" s="1"/>
  <c r="J45" i="72"/>
  <c r="M45" i="72" s="1"/>
  <c r="J49" i="72"/>
  <c r="M49" i="72" s="1"/>
  <c r="J53" i="72"/>
  <c r="J80" i="72"/>
  <c r="M80" i="72" s="1"/>
  <c r="J84" i="72"/>
  <c r="B154" i="72"/>
  <c r="B160" i="72"/>
  <c r="B159" i="72"/>
  <c r="B155" i="72"/>
  <c r="J27" i="72"/>
  <c r="B156" i="72"/>
  <c r="B158" i="72"/>
  <c r="B153" i="72"/>
  <c r="B157" i="72"/>
  <c r="J63" i="72"/>
  <c r="C23" i="17"/>
  <c r="G5" i="9"/>
  <c r="G7" i="9"/>
  <c r="G8" i="9"/>
  <c r="G10" i="11" s="1"/>
  <c r="G9" i="9"/>
  <c r="H10" i="11" s="1"/>
  <c r="G10" i="9"/>
  <c r="I10" i="11" s="1"/>
  <c r="G11" i="9"/>
  <c r="J10" i="11" s="1"/>
  <c r="G4" i="9"/>
  <c r="G6" i="9"/>
  <c r="I15" i="11"/>
  <c r="D15" i="11"/>
  <c r="G22" i="11"/>
  <c r="D22" i="17"/>
  <c r="G23" i="17"/>
  <c r="H36" i="11"/>
  <c r="D26" i="17"/>
  <c r="K22" i="11"/>
  <c r="J21" i="9"/>
  <c r="J22" i="9" s="1"/>
  <c r="J23" i="9" s="1"/>
  <c r="F18" i="11"/>
  <c r="C21" i="17"/>
  <c r="G32" i="11"/>
  <c r="F22" i="17"/>
  <c r="H41" i="11"/>
  <c r="H23" i="17"/>
  <c r="J18" i="11"/>
  <c r="C25" i="17"/>
  <c r="L21" i="9"/>
  <c r="F26" i="17"/>
  <c r="K32" i="11"/>
  <c r="E18" i="11"/>
  <c r="C20" i="17"/>
  <c r="G41" i="11"/>
  <c r="H22" i="17"/>
  <c r="I18" i="11"/>
  <c r="C24" i="17"/>
  <c r="H26" i="17"/>
  <c r="N21" i="9"/>
  <c r="N22" i="9" s="1"/>
  <c r="N23" i="9" s="1"/>
  <c r="K41" i="11"/>
  <c r="G36" i="11"/>
  <c r="G22" i="17"/>
  <c r="F21" i="17"/>
  <c r="F32" i="11"/>
  <c r="D20" i="17"/>
  <c r="E22" i="11"/>
  <c r="F36" i="11"/>
  <c r="G21" i="17"/>
  <c r="G25" i="17"/>
  <c r="J36" i="11"/>
  <c r="D24" i="17"/>
  <c r="E14" i="11"/>
  <c r="E36" i="11"/>
  <c r="G20" i="17"/>
  <c r="D23" i="17"/>
  <c r="H22" i="11"/>
  <c r="G26" i="17"/>
  <c r="F22" i="11"/>
  <c r="D21" i="17"/>
  <c r="D25" i="17"/>
  <c r="J22" i="11"/>
  <c r="E32" i="11"/>
  <c r="F20" i="17"/>
  <c r="H21" i="17"/>
  <c r="F41" i="11"/>
  <c r="F24" i="17"/>
  <c r="I32" i="11"/>
  <c r="J41" i="11"/>
  <c r="H25" i="17"/>
  <c r="I36" i="11"/>
  <c r="G24" i="17"/>
  <c r="H20" i="17"/>
  <c r="E41" i="11"/>
  <c r="C22" i="17"/>
  <c r="G18" i="11"/>
  <c r="H32" i="11"/>
  <c r="F23" i="17"/>
  <c r="I41" i="11"/>
  <c r="H24" i="17"/>
  <c r="C26" i="17"/>
  <c r="I21" i="9"/>
  <c r="I22" i="9" s="1"/>
  <c r="I23" i="9" s="1"/>
  <c r="K18" i="11"/>
  <c r="I22" i="11"/>
  <c r="K36" i="11"/>
  <c r="H18" i="11"/>
  <c r="F25" i="17"/>
  <c r="G19" i="17"/>
  <c r="C36" i="11"/>
  <c r="H19" i="17"/>
  <c r="C41" i="11"/>
  <c r="C32" i="11"/>
  <c r="F19" i="17"/>
  <c r="D19" i="17"/>
  <c r="C19" i="17"/>
  <c r="B18" i="11"/>
  <c r="B22" i="11"/>
  <c r="D18" i="17"/>
  <c r="B32" i="11"/>
  <c r="F18" i="17"/>
  <c r="B36" i="11"/>
  <c r="G18" i="17"/>
  <c r="B41" i="11"/>
  <c r="H18" i="17"/>
  <c r="C21" i="18" l="1"/>
  <c r="F5" i="11"/>
  <c r="E5" i="11"/>
  <c r="D5" i="11"/>
  <c r="G5" i="11"/>
  <c r="H5" i="11"/>
  <c r="B9" i="9"/>
  <c r="B7" i="9"/>
  <c r="B6" i="9"/>
  <c r="B10" i="9"/>
  <c r="F10" i="9" s="1"/>
  <c r="B11" i="9"/>
  <c r="B8" i="9"/>
  <c r="B5" i="9"/>
  <c r="B12" i="9"/>
  <c r="B4" i="9"/>
  <c r="B3" i="9"/>
  <c r="F10" i="11"/>
  <c r="F51" i="11" s="1"/>
  <c r="F64" i="11" s="1"/>
  <c r="D10" i="11"/>
  <c r="D51" i="11" s="1"/>
  <c r="E10" i="11"/>
  <c r="C10" i="11"/>
  <c r="C51" i="11" s="1"/>
  <c r="C64" i="11" s="1"/>
  <c r="C8" i="9"/>
  <c r="C7" i="9"/>
  <c r="C9" i="9"/>
  <c r="C5" i="9"/>
  <c r="K51" i="11"/>
  <c r="J51" i="11"/>
  <c r="J64" i="11" s="1"/>
  <c r="I51" i="11"/>
  <c r="H51" i="11"/>
  <c r="H64" i="11" s="1"/>
  <c r="G51" i="11"/>
  <c r="G64" i="11" s="1"/>
  <c r="I3" i="17"/>
  <c r="B50" i="11" s="1"/>
  <c r="B24" i="17"/>
  <c r="I12" i="17"/>
  <c r="K50" i="11" s="1"/>
  <c r="C19" i="18"/>
  <c r="C18" i="18"/>
  <c r="C24" i="18"/>
  <c r="C28" i="18" s="1"/>
  <c r="C20" i="18"/>
  <c r="C22" i="18"/>
  <c r="F14" i="11"/>
  <c r="F46" i="11" s="1"/>
  <c r="F63" i="11" s="1"/>
  <c r="H24" i="11"/>
  <c r="I8" i="17"/>
  <c r="G50" i="11" s="1"/>
  <c r="H14" i="11"/>
  <c r="H46" i="11" s="1"/>
  <c r="H63" i="11" s="1"/>
  <c r="J14" i="11"/>
  <c r="J46" i="11" s="1"/>
  <c r="J63" i="11" s="1"/>
  <c r="B26" i="17"/>
  <c r="K14" i="11"/>
  <c r="G69" i="11"/>
  <c r="B14" i="11"/>
  <c r="B46" i="11" s="1"/>
  <c r="I14" i="11"/>
  <c r="I46" i="11" s="1"/>
  <c r="B23" i="17"/>
  <c r="B22" i="17"/>
  <c r="B21" i="17"/>
  <c r="J24" i="11"/>
  <c r="I10" i="17"/>
  <c r="I50" i="11" s="1"/>
  <c r="I4" i="17"/>
  <c r="C50" i="11" s="1"/>
  <c r="B25" i="17"/>
  <c r="B19" i="17"/>
  <c r="B18" i="17"/>
  <c r="B20" i="17"/>
  <c r="I5" i="17"/>
  <c r="D50" i="11" s="1"/>
  <c r="D63" i="11" s="1"/>
  <c r="K3" i="72"/>
  <c r="L3" i="72" s="1"/>
  <c r="M3" i="72"/>
  <c r="K24" i="11"/>
  <c r="F69" i="11"/>
  <c r="D24" i="11"/>
  <c r="B18" i="18"/>
  <c r="H69" i="11"/>
  <c r="K47" i="11"/>
  <c r="K69" i="11" s="1"/>
  <c r="I24" i="11"/>
  <c r="G24" i="11"/>
  <c r="B21" i="18"/>
  <c r="B47" i="11"/>
  <c r="B64" i="11" s="1"/>
  <c r="F24" i="11"/>
  <c r="B20" i="18"/>
  <c r="E24" i="11"/>
  <c r="B19" i="18"/>
  <c r="K58" i="72"/>
  <c r="L58" i="72" s="1"/>
  <c r="F11" i="9"/>
  <c r="D4" i="9"/>
  <c r="E4" i="9" s="1"/>
  <c r="C6" i="9"/>
  <c r="F5" i="9"/>
  <c r="F3" i="9"/>
  <c r="F43" i="11"/>
  <c r="E20" i="18"/>
  <c r="H38" i="11"/>
  <c r="D22" i="18"/>
  <c r="D43" i="11"/>
  <c r="E18" i="18"/>
  <c r="K38" i="11"/>
  <c r="D25" i="18"/>
  <c r="H29" i="11"/>
  <c r="K43" i="11"/>
  <c r="E25" i="18"/>
  <c r="I38" i="11"/>
  <c r="D23" i="18"/>
  <c r="J38" i="11"/>
  <c r="D24" i="18"/>
  <c r="E29" i="11"/>
  <c r="K29" i="11"/>
  <c r="B29" i="11"/>
  <c r="L22" i="9"/>
  <c r="L23" i="9" s="1"/>
  <c r="C43" i="11"/>
  <c r="E17" i="18"/>
  <c r="G38" i="11"/>
  <c r="D21" i="18"/>
  <c r="J43" i="11"/>
  <c r="E24" i="18"/>
  <c r="D38" i="11"/>
  <c r="D18" i="18"/>
  <c r="G29" i="11"/>
  <c r="E43" i="11"/>
  <c r="E19" i="18"/>
  <c r="C38" i="11"/>
  <c r="D17" i="18"/>
  <c r="E38" i="11"/>
  <c r="D19" i="18"/>
  <c r="H43" i="11"/>
  <c r="E22" i="18"/>
  <c r="G43" i="11"/>
  <c r="E21" i="18"/>
  <c r="C29" i="11"/>
  <c r="D29" i="11"/>
  <c r="I29" i="11"/>
  <c r="C24" i="11"/>
  <c r="I43" i="11"/>
  <c r="E23" i="18"/>
  <c r="B43" i="11"/>
  <c r="F29" i="11"/>
  <c r="J29" i="11"/>
  <c r="K35" i="9"/>
  <c r="K36" i="9"/>
  <c r="K64" i="72"/>
  <c r="L64" i="72" s="1"/>
  <c r="C153" i="72"/>
  <c r="C46" i="11"/>
  <c r="B24" i="11"/>
  <c r="C156" i="72"/>
  <c r="M70" i="72"/>
  <c r="C157" i="72"/>
  <c r="K76" i="72"/>
  <c r="L76" i="72" s="1"/>
  <c r="C158" i="72"/>
  <c r="C159" i="72"/>
  <c r="C160" i="72"/>
  <c r="C161" i="72"/>
  <c r="D4" i="11"/>
  <c r="C154" i="72"/>
  <c r="C155" i="72"/>
  <c r="K60" i="72"/>
  <c r="L60" i="72" s="1"/>
  <c r="I67" i="11"/>
  <c r="I47" i="11"/>
  <c r="I69" i="11" s="1"/>
  <c r="G46" i="11"/>
  <c r="F6" i="18"/>
  <c r="K67" i="11"/>
  <c r="E46" i="11"/>
  <c r="E63" i="11" s="1"/>
  <c r="D47" i="11"/>
  <c r="E69" i="11" s="1"/>
  <c r="N73" i="72"/>
  <c r="O73" i="72" s="1"/>
  <c r="M72" i="72"/>
  <c r="N79" i="72"/>
  <c r="O79" i="72" s="1"/>
  <c r="N75" i="72"/>
  <c r="O75" i="72" s="1"/>
  <c r="K62" i="72"/>
  <c r="L62" i="72" s="1"/>
  <c r="N12" i="72"/>
  <c r="O12" i="72" s="1"/>
  <c r="N57" i="72"/>
  <c r="O57" i="72" s="1"/>
  <c r="M81" i="72"/>
  <c r="M74" i="72"/>
  <c r="K86" i="72"/>
  <c r="L86" i="72" s="1"/>
  <c r="M78" i="72"/>
  <c r="K68" i="72"/>
  <c r="L68" i="72" s="1"/>
  <c r="K83" i="72"/>
  <c r="L83" i="72" s="1"/>
  <c r="N76" i="72"/>
  <c r="O76" i="72" s="1"/>
  <c r="K31" i="72"/>
  <c r="L31" i="72" s="1"/>
  <c r="N59" i="72"/>
  <c r="O59" i="72" s="1"/>
  <c r="N28" i="72"/>
  <c r="O28" i="72" s="1"/>
  <c r="N24" i="72"/>
  <c r="O24" i="72" s="1"/>
  <c r="K41" i="72"/>
  <c r="L41" i="72" s="1"/>
  <c r="N58" i="72"/>
  <c r="O58" i="72" s="1"/>
  <c r="K75" i="72"/>
  <c r="L75" i="72" s="1"/>
  <c r="K57" i="72"/>
  <c r="L57" i="72" s="1"/>
  <c r="K28" i="72"/>
  <c r="L28" i="72" s="1"/>
  <c r="M57" i="72"/>
  <c r="K56" i="72"/>
  <c r="L56" i="72" s="1"/>
  <c r="K26" i="72"/>
  <c r="L26" i="72" s="1"/>
  <c r="N20" i="72"/>
  <c r="O20" i="72" s="1"/>
  <c r="F38" i="11"/>
  <c r="B38" i="11"/>
  <c r="F8" i="18"/>
  <c r="F3" i="18"/>
  <c r="F2" i="18"/>
  <c r="B52" i="11" s="1"/>
  <c r="F11" i="18"/>
  <c r="F4" i="18"/>
  <c r="F5" i="18"/>
  <c r="F9" i="18"/>
  <c r="F7" i="18"/>
  <c r="F10" i="18"/>
  <c r="N62" i="72"/>
  <c r="O62" i="72" s="1"/>
  <c r="N31" i="72"/>
  <c r="O31" i="72" s="1"/>
  <c r="M61" i="72"/>
  <c r="N61" i="72"/>
  <c r="O61" i="72" s="1"/>
  <c r="N86" i="72"/>
  <c r="O86" i="72" s="1"/>
  <c r="K79" i="72"/>
  <c r="L79" i="72" s="1"/>
  <c r="N32" i="72"/>
  <c r="O32" i="72" s="1"/>
  <c r="K5" i="72"/>
  <c r="L5" i="72" s="1"/>
  <c r="N44" i="72"/>
  <c r="O44" i="72" s="1"/>
  <c r="N19" i="72"/>
  <c r="O19" i="72" s="1"/>
  <c r="N60" i="72"/>
  <c r="O60" i="72" s="1"/>
  <c r="N53" i="72"/>
  <c r="O53" i="72" s="1"/>
  <c r="M59" i="72"/>
  <c r="K45" i="72"/>
  <c r="L45" i="72" s="1"/>
  <c r="K37" i="72"/>
  <c r="L37" i="72" s="1"/>
  <c r="K52" i="72"/>
  <c r="L52" i="72" s="1"/>
  <c r="K32" i="72"/>
  <c r="L32" i="72" s="1"/>
  <c r="M30" i="72"/>
  <c r="N38" i="72"/>
  <c r="O38" i="72" s="1"/>
  <c r="M67" i="72"/>
  <c r="N72" i="72"/>
  <c r="O72" i="72" s="1"/>
  <c r="N68" i="72"/>
  <c r="O68" i="72" s="1"/>
  <c r="N67" i="72"/>
  <c r="O67" i="72" s="1"/>
  <c r="N83" i="72"/>
  <c r="O83" i="72" s="1"/>
  <c r="N9" i="72"/>
  <c r="O9" i="72" s="1"/>
  <c r="M35" i="72"/>
  <c r="M85" i="72"/>
  <c r="N85" i="72"/>
  <c r="O85" i="72" s="1"/>
  <c r="N43" i="72"/>
  <c r="O43" i="72" s="1"/>
  <c r="N10" i="72"/>
  <c r="O10" i="72" s="1"/>
  <c r="N23" i="72"/>
  <c r="O23" i="72" s="1"/>
  <c r="M77" i="72"/>
  <c r="M69" i="72"/>
  <c r="N17" i="72"/>
  <c r="O17" i="72" s="1"/>
  <c r="N6" i="72"/>
  <c r="O6" i="72" s="1"/>
  <c r="M10" i="72"/>
  <c r="N77" i="72"/>
  <c r="O77" i="72" s="1"/>
  <c r="N51" i="72"/>
  <c r="O51" i="72" s="1"/>
  <c r="K80" i="72"/>
  <c r="L80" i="72" s="1"/>
  <c r="M66" i="72"/>
  <c r="N47" i="72"/>
  <c r="O47" i="72" s="1"/>
  <c r="N66" i="72"/>
  <c r="O66" i="72" s="1"/>
  <c r="N84" i="72"/>
  <c r="O84" i="72" s="1"/>
  <c r="N55" i="72"/>
  <c r="O55" i="72" s="1"/>
  <c r="K38" i="72"/>
  <c r="L38" i="72" s="1"/>
  <c r="K49" i="72"/>
  <c r="L49" i="72" s="1"/>
  <c r="N7" i="72"/>
  <c r="O7" i="72" s="1"/>
  <c r="N42" i="72"/>
  <c r="O42" i="72" s="1"/>
  <c r="K12" i="72"/>
  <c r="L12" i="72" s="1"/>
  <c r="M43" i="72"/>
  <c r="M40" i="72"/>
  <c r="K17" i="72"/>
  <c r="L17" i="72" s="1"/>
  <c r="N69" i="72"/>
  <c r="O69" i="72" s="1"/>
  <c r="N11" i="72"/>
  <c r="O11" i="72" s="1"/>
  <c r="M17" i="72"/>
  <c r="K42" i="72"/>
  <c r="L42" i="72" s="1"/>
  <c r="N30" i="72"/>
  <c r="O30" i="72" s="1"/>
  <c r="M12" i="72"/>
  <c r="N40" i="72"/>
  <c r="O40" i="72" s="1"/>
  <c r="K11" i="72"/>
  <c r="L11" i="72" s="1"/>
  <c r="K6" i="72"/>
  <c r="L6" i="72" s="1"/>
  <c r="M65" i="72"/>
  <c r="N41" i="72"/>
  <c r="O41" i="72" s="1"/>
  <c r="N74" i="72"/>
  <c r="O74" i="72" s="1"/>
  <c r="M6" i="72"/>
  <c r="K73" i="72"/>
  <c r="L73" i="72" s="1"/>
  <c r="N65" i="72"/>
  <c r="O65" i="72" s="1"/>
  <c r="N5" i="72"/>
  <c r="O5" i="72" s="1"/>
  <c r="M73" i="72"/>
  <c r="N8" i="72"/>
  <c r="O8" i="72" s="1"/>
  <c r="N50" i="72"/>
  <c r="O50" i="72" s="1"/>
  <c r="M42" i="72"/>
  <c r="K13" i="72"/>
  <c r="L13" i="72" s="1"/>
  <c r="N36" i="72"/>
  <c r="O36" i="72" s="1"/>
  <c r="M7" i="72"/>
  <c r="K10" i="72"/>
  <c r="L10" i="72" s="1"/>
  <c r="N48" i="72"/>
  <c r="O48" i="72" s="1"/>
  <c r="N46" i="72"/>
  <c r="O46" i="72" s="1"/>
  <c r="N21" i="72"/>
  <c r="O21" i="72" s="1"/>
  <c r="N49" i="72"/>
  <c r="O49" i="72" s="1"/>
  <c r="K15" i="72"/>
  <c r="L15" i="72" s="1"/>
  <c r="M19" i="72"/>
  <c r="K46" i="72"/>
  <c r="L46" i="72" s="1"/>
  <c r="M21" i="72"/>
  <c r="K53" i="72"/>
  <c r="L53" i="72" s="1"/>
  <c r="K19" i="72"/>
  <c r="L19" i="72" s="1"/>
  <c r="K14" i="72"/>
  <c r="L14" i="72" s="1"/>
  <c r="N15" i="72"/>
  <c r="O15" i="72" s="1"/>
  <c r="M18" i="72"/>
  <c r="N52" i="72"/>
  <c r="O52" i="72" s="1"/>
  <c r="M71" i="72"/>
  <c r="M53" i="72"/>
  <c r="N29" i="72"/>
  <c r="O29" i="72" s="1"/>
  <c r="M46" i="72"/>
  <c r="K16" i="72"/>
  <c r="L16" i="72" s="1"/>
  <c r="N70" i="72"/>
  <c r="O70" i="72" s="1"/>
  <c r="M47" i="72"/>
  <c r="M44" i="72"/>
  <c r="N71" i="72"/>
  <c r="O71" i="72" s="1"/>
  <c r="M55" i="72"/>
  <c r="K47" i="72"/>
  <c r="L47" i="72" s="1"/>
  <c r="K29" i="72"/>
  <c r="L29" i="72" s="1"/>
  <c r="N78" i="72"/>
  <c r="O78" i="72" s="1"/>
  <c r="N37" i="72"/>
  <c r="O37" i="72" s="1"/>
  <c r="M50" i="72"/>
  <c r="K39" i="72"/>
  <c r="L39" i="72" s="1"/>
  <c r="N16" i="72"/>
  <c r="O16" i="72" s="1"/>
  <c r="K48" i="72"/>
  <c r="L48" i="72" s="1"/>
  <c r="K8" i="72"/>
  <c r="L8" i="72" s="1"/>
  <c r="K9" i="72"/>
  <c r="L9" i="72" s="1"/>
  <c r="N56" i="72"/>
  <c r="O56" i="72" s="1"/>
  <c r="N18" i="72"/>
  <c r="O18" i="72" s="1"/>
  <c r="M20" i="72"/>
  <c r="N13" i="72"/>
  <c r="O13" i="72" s="1"/>
  <c r="K44" i="72"/>
  <c r="L44" i="72" s="1"/>
  <c r="K4" i="72"/>
  <c r="L4" i="72" s="1"/>
  <c r="K55" i="72"/>
  <c r="L55" i="72" s="1"/>
  <c r="N81" i="72"/>
  <c r="O81" i="72" s="1"/>
  <c r="N39" i="72"/>
  <c r="O39" i="72" s="1"/>
  <c r="M48" i="72"/>
  <c r="M51" i="72"/>
  <c r="K84" i="72"/>
  <c r="L84" i="72" s="1"/>
  <c r="N54" i="72"/>
  <c r="O54" i="72" s="1"/>
  <c r="N80" i="72"/>
  <c r="O80" i="72" s="1"/>
  <c r="M33" i="72"/>
  <c r="M82" i="72"/>
  <c r="M22" i="72"/>
  <c r="N35" i="72"/>
  <c r="O35" i="72" s="1"/>
  <c r="N22" i="72"/>
  <c r="O22" i="72" s="1"/>
  <c r="N34" i="72"/>
  <c r="O34" i="72" s="1"/>
  <c r="M23" i="72"/>
  <c r="N82" i="72"/>
  <c r="O82" i="72" s="1"/>
  <c r="M84" i="72"/>
  <c r="K25" i="72"/>
  <c r="L25" i="72" s="1"/>
  <c r="M79" i="72"/>
  <c r="K24" i="72"/>
  <c r="L24" i="72" s="1"/>
  <c r="N25" i="72"/>
  <c r="O25" i="72" s="1"/>
  <c r="K82" i="72"/>
  <c r="L82" i="72" s="1"/>
  <c r="M54" i="72"/>
  <c r="N45" i="72"/>
  <c r="O45" i="72" s="1"/>
  <c r="N14" i="72"/>
  <c r="O14" i="72" s="1"/>
  <c r="M24" i="72"/>
  <c r="M34" i="72"/>
  <c r="N33" i="72"/>
  <c r="O33" i="72" s="1"/>
  <c r="K36" i="72"/>
  <c r="L36" i="72" s="1"/>
  <c r="N26" i="72"/>
  <c r="O26" i="72" s="1"/>
  <c r="N4" i="72"/>
  <c r="O4" i="72" s="1"/>
  <c r="J4" i="11"/>
  <c r="I4" i="11"/>
  <c r="K4" i="11"/>
  <c r="C4" i="11"/>
  <c r="H4" i="11"/>
  <c r="F4" i="11"/>
  <c r="N87" i="72"/>
  <c r="O87" i="72" s="1"/>
  <c r="K87" i="72"/>
  <c r="L87" i="72" s="1"/>
  <c r="M87" i="72"/>
  <c r="N27" i="72"/>
  <c r="O27" i="72" s="1"/>
  <c r="K27" i="72"/>
  <c r="L27" i="72" s="1"/>
  <c r="M27" i="72"/>
  <c r="N63" i="72"/>
  <c r="O63" i="72" s="1"/>
  <c r="M63" i="72"/>
  <c r="K63" i="72"/>
  <c r="L63" i="72" s="1"/>
  <c r="B4" i="11"/>
  <c r="N64" i="72"/>
  <c r="O64" i="72" s="1"/>
  <c r="G4" i="11"/>
  <c r="E4" i="11"/>
  <c r="H31" i="17"/>
  <c r="G31" i="17"/>
  <c r="F31" i="17"/>
  <c r="D31" i="17"/>
  <c r="C31" i="17"/>
  <c r="E51" i="11" l="1"/>
  <c r="E64" i="11" s="1"/>
  <c r="C69" i="11"/>
  <c r="F5" i="79"/>
  <c r="K46" i="11"/>
  <c r="K63" i="11" s="1"/>
  <c r="G63" i="11"/>
  <c r="H22" i="9"/>
  <c r="B31" i="17"/>
  <c r="I63" i="11"/>
  <c r="E3" i="79"/>
  <c r="C63" i="11"/>
  <c r="H48" i="11"/>
  <c r="K48" i="11"/>
  <c r="J88" i="72"/>
  <c r="J89" i="72"/>
  <c r="J69" i="11"/>
  <c r="C48" i="11"/>
  <c r="I48" i="11"/>
  <c r="D64" i="11"/>
  <c r="D69" i="11"/>
  <c r="D48" i="11"/>
  <c r="J48" i="11"/>
  <c r="C6" i="11"/>
  <c r="F6" i="11"/>
  <c r="E6" i="11"/>
  <c r="H6" i="11"/>
  <c r="G6" i="11"/>
  <c r="D6" i="11"/>
  <c r="B63" i="11"/>
  <c r="D8" i="9"/>
  <c r="E8" i="9" s="1"/>
  <c r="D7" i="9"/>
  <c r="E7" i="9" s="1"/>
  <c r="E48" i="11"/>
  <c r="G48" i="11"/>
  <c r="L41" i="11"/>
  <c r="D52" i="11"/>
  <c r="L36" i="11"/>
  <c r="J52" i="11"/>
  <c r="L32" i="11"/>
  <c r="F48" i="11"/>
  <c r="F52" i="11"/>
  <c r="C52" i="11"/>
  <c r="L18" i="11"/>
  <c r="I52" i="11"/>
  <c r="K52" i="11"/>
  <c r="G52" i="11"/>
  <c r="H52" i="11"/>
  <c r="E52" i="11"/>
  <c r="D5" i="9"/>
  <c r="E5" i="9" s="1"/>
  <c r="D9" i="9"/>
  <c r="E9" i="9" s="1"/>
  <c r="B48" i="11"/>
  <c r="B65" i="11" s="1"/>
  <c r="K64" i="11"/>
  <c r="D6" i="9"/>
  <c r="E6" i="9" s="1"/>
  <c r="D28" i="18"/>
  <c r="E28" i="18"/>
  <c r="L22" i="11"/>
  <c r="B6" i="11"/>
  <c r="D3" i="9"/>
  <c r="E3" i="9" s="1"/>
  <c r="F12" i="9"/>
  <c r="F4" i="9"/>
  <c r="F6" i="9"/>
  <c r="F9" i="9"/>
  <c r="I64" i="11"/>
  <c r="F3" i="79" l="1"/>
  <c r="F4" i="79"/>
  <c r="B28" i="18"/>
  <c r="E4" i="79"/>
  <c r="E5" i="79"/>
  <c r="B14" i="17"/>
  <c r="E70" i="11"/>
  <c r="I70" i="11"/>
  <c r="F70" i="11"/>
  <c r="C70" i="11"/>
  <c r="G70" i="11"/>
  <c r="J70" i="11"/>
  <c r="D70" i="11"/>
  <c r="K70" i="11"/>
  <c r="H70" i="11"/>
  <c r="F7" i="9"/>
  <c r="H23" i="9"/>
  <c r="H65" i="11"/>
  <c r="J65" i="11"/>
  <c r="G65" i="11"/>
  <c r="N27" i="9"/>
  <c r="N35" i="9" s="1"/>
  <c r="I65" i="11"/>
  <c r="K65" i="11"/>
  <c r="M27" i="9"/>
  <c r="M35" i="9" s="1"/>
  <c r="L27" i="9"/>
  <c r="L35" i="9" s="1"/>
  <c r="D65" i="11"/>
  <c r="C65" i="11"/>
  <c r="E65" i="11"/>
  <c r="F8" i="9"/>
  <c r="F65" i="11"/>
  <c r="I27" i="9"/>
  <c r="I35" i="9" s="1"/>
  <c r="C14" i="17"/>
  <c r="H14" i="17"/>
  <c r="M89" i="72"/>
  <c r="N89" i="72"/>
  <c r="O89" i="72" s="1"/>
  <c r="K89" i="72"/>
  <c r="L89" i="72" s="1"/>
  <c r="J90" i="72"/>
  <c r="M88" i="72"/>
  <c r="N88" i="72"/>
  <c r="O88" i="72" s="1"/>
  <c r="K88" i="72"/>
  <c r="L88" i="72" s="1"/>
  <c r="G14" i="17"/>
  <c r="F14" i="17"/>
  <c r="J27" i="9"/>
  <c r="D14" i="17"/>
  <c r="F6" i="79" l="1"/>
  <c r="L14" i="11"/>
  <c r="L46" i="11" s="1"/>
  <c r="H28" i="9"/>
  <c r="E6" i="79"/>
  <c r="M36" i="11"/>
  <c r="N28" i="9"/>
  <c r="N36" i="9" s="1"/>
  <c r="I28" i="9"/>
  <c r="I36" i="9" s="1"/>
  <c r="M22" i="11"/>
  <c r="F16" i="9"/>
  <c r="H27" i="9"/>
  <c r="I13" i="17"/>
  <c r="L50" i="11" s="1"/>
  <c r="L63" i="11" s="1"/>
  <c r="M18" i="11"/>
  <c r="M41" i="11"/>
  <c r="K90" i="72"/>
  <c r="L90" i="72" s="1"/>
  <c r="N90" i="72"/>
  <c r="O90" i="72" s="1"/>
  <c r="M90" i="72"/>
  <c r="M28" i="9"/>
  <c r="M36" i="9" s="1"/>
  <c r="M32" i="11"/>
  <c r="L28" i="9"/>
  <c r="L36" i="9" s="1"/>
  <c r="J35" i="9"/>
  <c r="J28" i="9"/>
  <c r="M14" i="11" l="1"/>
  <c r="M46" i="11" s="1"/>
  <c r="I14" i="17"/>
  <c r="H36" i="9"/>
  <c r="H35" i="9"/>
  <c r="O35" i="9" s="1"/>
  <c r="G27" i="9"/>
  <c r="J91" i="72"/>
  <c r="J92" i="72"/>
  <c r="J36" i="9"/>
  <c r="G28" i="9" l="1"/>
  <c r="O36" i="9"/>
  <c r="M50" i="11"/>
  <c r="M63" i="11" s="1"/>
  <c r="M92" i="72"/>
  <c r="N92" i="72"/>
  <c r="O92" i="72" s="1"/>
  <c r="K92" i="72"/>
  <c r="L92" i="72" s="1"/>
  <c r="M91" i="72"/>
  <c r="K91" i="72"/>
  <c r="L91" i="72" s="1"/>
  <c r="N91" i="72"/>
  <c r="O91" i="72" s="1"/>
  <c r="J93" i="72" l="1"/>
  <c r="J94" i="72"/>
  <c r="M94" i="72" l="1"/>
  <c r="N94" i="72"/>
  <c r="O94" i="72" s="1"/>
  <c r="K94" i="72"/>
  <c r="L94" i="72" s="1"/>
  <c r="K93" i="72"/>
  <c r="L93" i="72" s="1"/>
  <c r="M93" i="72"/>
  <c r="N93" i="72"/>
  <c r="O93" i="72" s="1"/>
  <c r="J95" i="72" l="1"/>
  <c r="J96" i="72"/>
  <c r="K96" i="72" l="1"/>
  <c r="L96" i="72" s="1"/>
  <c r="M96" i="72"/>
  <c r="N96" i="72"/>
  <c r="O96" i="72" s="1"/>
  <c r="J97" i="72"/>
  <c r="K95" i="72"/>
  <c r="L95" i="72" s="1"/>
  <c r="N95" i="72"/>
  <c r="O95" i="72" s="1"/>
  <c r="M95" i="72"/>
  <c r="K97" i="72" l="1"/>
  <c r="L97" i="72" s="1"/>
  <c r="M97" i="72"/>
  <c r="N97" i="72"/>
  <c r="O97" i="72" s="1"/>
  <c r="J98" i="72" l="1"/>
  <c r="I159" i="72"/>
  <c r="M159" i="85" l="1"/>
  <c r="N159" i="85" s="1"/>
  <c r="I5" i="11"/>
  <c r="C10" i="9"/>
  <c r="D10" i="9" s="1"/>
  <c r="E10" i="9" s="1"/>
  <c r="K98" i="72"/>
  <c r="L98" i="72" s="1"/>
  <c r="M98" i="72"/>
  <c r="N98" i="72"/>
  <c r="O98" i="72" s="1"/>
  <c r="J99" i="72"/>
  <c r="J100" i="72"/>
  <c r="M100" i="72" l="1"/>
  <c r="K100" i="72"/>
  <c r="L100" i="72" s="1"/>
  <c r="N100" i="72"/>
  <c r="O100" i="72" s="1"/>
  <c r="N99" i="72"/>
  <c r="O99" i="72" s="1"/>
  <c r="K99" i="72"/>
  <c r="L99" i="72" s="1"/>
  <c r="M99" i="72"/>
  <c r="I6" i="11"/>
  <c r="J101" i="72" l="1"/>
  <c r="J102" i="72"/>
  <c r="M101" i="72" l="1"/>
  <c r="N101" i="72"/>
  <c r="O101" i="72" s="1"/>
  <c r="K101" i="72"/>
  <c r="L101" i="72" s="1"/>
  <c r="M102" i="72"/>
  <c r="K102" i="72"/>
  <c r="L102" i="72" s="1"/>
  <c r="N102" i="72"/>
  <c r="O102" i="72" s="1"/>
  <c r="J103" i="72" l="1"/>
  <c r="J104" i="72"/>
  <c r="K104" i="72" l="1"/>
  <c r="L104" i="72" s="1"/>
  <c r="M104" i="72"/>
  <c r="N104" i="72"/>
  <c r="O104" i="72" s="1"/>
  <c r="N103" i="72"/>
  <c r="O103" i="72" s="1"/>
  <c r="K103" i="72"/>
  <c r="L103" i="72" s="1"/>
  <c r="M103" i="72"/>
  <c r="J105" i="72"/>
  <c r="M105" i="72" l="1"/>
  <c r="K105" i="72"/>
  <c r="L105" i="72" s="1"/>
  <c r="N105" i="72"/>
  <c r="O105" i="72" s="1"/>
  <c r="J106" i="72"/>
  <c r="K106" i="72" l="1"/>
  <c r="L106" i="72" s="1"/>
  <c r="N106" i="72"/>
  <c r="O106" i="72" s="1"/>
  <c r="M106" i="72"/>
  <c r="J107" i="72"/>
  <c r="M107" i="72" l="1"/>
  <c r="N107" i="72"/>
  <c r="O107" i="72" s="1"/>
  <c r="K107" i="72"/>
  <c r="L107" i="72" s="1"/>
  <c r="J108" i="72"/>
  <c r="M108" i="72" l="1"/>
  <c r="K108" i="72"/>
  <c r="L108" i="72" s="1"/>
  <c r="N108" i="72"/>
  <c r="O108" i="72" s="1"/>
  <c r="J109" i="72"/>
  <c r="M109" i="72" l="1"/>
  <c r="K109" i="72"/>
  <c r="L109" i="72" s="1"/>
  <c r="N109" i="72"/>
  <c r="O109" i="72" s="1"/>
  <c r="J110" i="72" l="1"/>
  <c r="I160" i="72"/>
  <c r="M160" i="85" l="1"/>
  <c r="N160" i="85" s="1"/>
  <c r="J5" i="11"/>
  <c r="J112" i="72"/>
  <c r="J111" i="72"/>
  <c r="C11" i="9"/>
  <c r="D11" i="9" s="1"/>
  <c r="E11" i="9" s="1"/>
  <c r="M110" i="72"/>
  <c r="N110" i="72"/>
  <c r="O110" i="72" s="1"/>
  <c r="K110" i="72"/>
  <c r="L110" i="72" s="1"/>
  <c r="J6" i="11" l="1"/>
  <c r="K111" i="72"/>
  <c r="L111" i="72" s="1"/>
  <c r="N111" i="72"/>
  <c r="O111" i="72" s="1"/>
  <c r="M111" i="72"/>
  <c r="K112" i="72"/>
  <c r="L112" i="72" s="1"/>
  <c r="M112" i="72"/>
  <c r="N112" i="72"/>
  <c r="O112" i="72" s="1"/>
  <c r="J113" i="72" l="1"/>
  <c r="J114" i="72"/>
  <c r="J115" i="72" l="1"/>
  <c r="N114" i="72"/>
  <c r="O114" i="72" s="1"/>
  <c r="M114" i="72"/>
  <c r="K114" i="72"/>
  <c r="L114" i="72" s="1"/>
  <c r="K113" i="72"/>
  <c r="L113" i="72" s="1"/>
  <c r="N113" i="72"/>
  <c r="O113" i="72" s="1"/>
  <c r="M113" i="72"/>
  <c r="M115" i="72" l="1"/>
  <c r="N115" i="72"/>
  <c r="O115" i="72" s="1"/>
  <c r="K115" i="72"/>
  <c r="L115" i="72" s="1"/>
  <c r="J116" i="72" l="1"/>
  <c r="J117" i="72"/>
  <c r="M117" i="72" l="1"/>
  <c r="K117" i="72"/>
  <c r="L117" i="72" s="1"/>
  <c r="N117" i="72"/>
  <c r="O117" i="72" s="1"/>
  <c r="J118" i="72"/>
  <c r="N116" i="72"/>
  <c r="O116" i="72" s="1"/>
  <c r="M116" i="72"/>
  <c r="K116" i="72"/>
  <c r="L116" i="72" s="1"/>
  <c r="M118" i="72" l="1"/>
  <c r="N118" i="72"/>
  <c r="O118" i="72" s="1"/>
  <c r="K118" i="72"/>
  <c r="L118" i="72" s="1"/>
  <c r="J119" i="72"/>
  <c r="M119" i="72" l="1"/>
  <c r="K119" i="72"/>
  <c r="L119" i="72" s="1"/>
  <c r="N119" i="72"/>
  <c r="O119" i="72" s="1"/>
  <c r="J120" i="72"/>
  <c r="M120" i="72" l="1"/>
  <c r="K120" i="72"/>
  <c r="L120" i="72" s="1"/>
  <c r="N120" i="72"/>
  <c r="O120" i="72" s="1"/>
  <c r="J121" i="72"/>
  <c r="K121" i="72" l="1"/>
  <c r="L121" i="72" s="1"/>
  <c r="N121" i="72"/>
  <c r="O121" i="72" s="1"/>
  <c r="M121" i="72"/>
  <c r="J122" i="72" l="1"/>
  <c r="I161" i="72"/>
  <c r="M161" i="85" l="1"/>
  <c r="N161" i="85" s="1"/>
  <c r="I165" i="72"/>
  <c r="J165" i="72" s="1"/>
  <c r="K5" i="11"/>
  <c r="C12" i="9"/>
  <c r="D12" i="9" s="1"/>
  <c r="E12" i="9" s="1"/>
  <c r="M122" i="72"/>
  <c r="M123" i="72" s="1"/>
  <c r="R28" i="72" s="1"/>
  <c r="R30" i="72" s="1"/>
  <c r="N122" i="72"/>
  <c r="O122" i="72" s="1"/>
  <c r="O123" i="72" s="1"/>
  <c r="K122" i="72"/>
  <c r="L122" i="72" s="1"/>
  <c r="L123" i="72" s="1"/>
  <c r="K6" i="11" l="1"/>
  <c r="L5" i="11" l="1"/>
  <c r="C13" i="9"/>
  <c r="C18" i="9" l="1"/>
  <c r="G13" i="9"/>
  <c r="G35" i="9" s="1"/>
  <c r="H39" i="9" s="1"/>
  <c r="H31" i="9" s="1"/>
  <c r="G18" i="9" l="1"/>
  <c r="I39" i="9"/>
  <c r="I31" i="9" s="1"/>
  <c r="N39" i="9"/>
  <c r="N31" i="9" s="1"/>
  <c r="M39" i="9"/>
  <c r="M31" i="9" s="1"/>
  <c r="K39" i="9"/>
  <c r="K31" i="9" s="1"/>
  <c r="J39" i="9"/>
  <c r="J31" i="9" s="1"/>
  <c r="L39" i="9"/>
  <c r="L31" i="9" s="1"/>
  <c r="L19" i="11" l="1"/>
  <c r="L37" i="11"/>
  <c r="L42" i="11"/>
  <c r="G39" i="9"/>
  <c r="L15" i="11"/>
  <c r="L33" i="11"/>
  <c r="E12" i="18" l="1"/>
  <c r="L43" i="11" s="1"/>
  <c r="D12" i="18"/>
  <c r="L38" i="11" s="1"/>
  <c r="L51" i="11" l="1"/>
  <c r="G31" i="9"/>
  <c r="L10" i="11" s="1"/>
  <c r="L28" i="11"/>
  <c r="C12" i="18"/>
  <c r="L29" i="11" s="1"/>
  <c r="L23" i="11" l="1"/>
  <c r="O31" i="9"/>
  <c r="B12" i="18"/>
  <c r="L24" i="11" l="1"/>
  <c r="F12" i="18"/>
  <c r="L67" i="11"/>
  <c r="L47" i="11"/>
  <c r="L48" i="11" l="1"/>
  <c r="L70" i="11" s="1"/>
  <c r="L64" i="11"/>
  <c r="L69" i="11"/>
  <c r="H54" i="11"/>
  <c r="L52" i="11"/>
  <c r="L65" i="11" l="1"/>
  <c r="I163" i="72"/>
  <c r="M163" i="85" s="1"/>
  <c r="N163" i="85" s="1"/>
  <c r="I150" i="72"/>
  <c r="M5" i="11" l="1"/>
  <c r="C14" i="9"/>
  <c r="I167" i="72"/>
  <c r="J167" i="72" s="1"/>
  <c r="C19" i="9" l="1"/>
  <c r="G14" i="9"/>
  <c r="G36" i="9" l="1"/>
  <c r="G19" i="9"/>
  <c r="M40" i="9" l="1"/>
  <c r="M32" i="9" s="1"/>
  <c r="N40" i="9"/>
  <c r="N32" i="9" s="1"/>
  <c r="I40" i="9"/>
  <c r="I32" i="9" s="1"/>
  <c r="J40" i="9"/>
  <c r="J32" i="9" s="1"/>
  <c r="K40" i="9"/>
  <c r="H40" i="9"/>
  <c r="H32" i="9" s="1"/>
  <c r="L40" i="9"/>
  <c r="L32" i="9" s="1"/>
  <c r="K32" i="9" l="1"/>
  <c r="M28" i="11" s="1"/>
  <c r="G40" i="9"/>
  <c r="M19" i="11"/>
  <c r="E13" i="18"/>
  <c r="M42" i="11"/>
  <c r="M37" i="11"/>
  <c r="D13" i="18"/>
  <c r="M38" i="11" l="1"/>
  <c r="M43" i="11"/>
  <c r="M15" i="11"/>
  <c r="M33" i="11"/>
  <c r="M51" i="11" l="1"/>
  <c r="M23" i="11"/>
  <c r="B13" i="18"/>
  <c r="M24" i="11" l="1"/>
  <c r="C13" i="18"/>
  <c r="G32" i="9"/>
  <c r="M10" i="11" s="1"/>
  <c r="O32" i="9"/>
  <c r="M29" i="11" l="1"/>
  <c r="P32" i="9"/>
  <c r="F13" i="18"/>
  <c r="M47" i="11"/>
  <c r="M67" i="11"/>
  <c r="M48" i="11" l="1"/>
  <c r="M70" i="11" s="1"/>
  <c r="M64" i="11"/>
  <c r="M69" i="11"/>
  <c r="H55" i="11"/>
  <c r="M52" i="11"/>
  <c r="M6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1" authorId="0" shapeId="0" xr:uid="{036AF65D-96F1-4F80-B268-8DEB5B6F9F4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historical includes embedded distributor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3A5EC137-DAF7-4298-A404-0BB54303F61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Hardcoded rather than formula as not anticipating additional large use customers at this time</t>
        </r>
      </text>
    </comment>
  </commentList>
</comments>
</file>

<file path=xl/sharedStrings.xml><?xml version="1.0" encoding="utf-8"?>
<sst xmlns="http://schemas.openxmlformats.org/spreadsheetml/2006/main" count="366" uniqueCount="130">
  <si>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</si>
  <si>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</si>
  <si>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</si>
  <si>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</si>
  <si>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</si>
  <si>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</si>
  <si>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</si>
  <si>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</si>
  <si>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</si>
  <si>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</si>
  <si>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</si>
  <si>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</si>
  <si>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</si>
  <si>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</si>
  <si>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</si>
  <si>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</si>
  <si>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</si>
  <si>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</si>
  <si>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</si>
  <si>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</si>
  <si>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</si>
  <si>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</si>
  <si>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</si>
  <si>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</si>
  <si>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</si>
  <si>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</si>
  <si>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</si>
  <si>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</si>
  <si>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</si>
  <si>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</si>
  <si>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</si>
  <si>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</si>
  <si>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</si>
  <si>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</si>
  <si>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</si>
  <si>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</si>
  <si>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</si>
  <si>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</si>
  <si>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</si>
  <si>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</si>
  <si>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</si>
  <si>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</si>
  <si>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</si>
  <si>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</si>
  <si>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</si>
  <si>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</si>
  <si>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>Power Purchased</t>
  </si>
  <si>
    <t>MAPE</t>
  </si>
  <si>
    <t>Average Number of Customer/Connections</t>
  </si>
  <si>
    <t xml:space="preserve">Total Billed </t>
  </si>
  <si>
    <t>Input data</t>
  </si>
  <si>
    <t>Residential</t>
  </si>
  <si>
    <t>Year</t>
  </si>
  <si>
    <t>Check - must be zero</t>
  </si>
  <si>
    <t>Last 10 years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</si>
  <si>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</si>
  <si>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</si>
  <si>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</si>
  <si>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</si>
  <si>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</si>
  <si>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</si>
  <si>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</si>
  <si>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</si>
  <si>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</si>
  <si>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</si>
  <si>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</si>
  <si>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</si>
  <si>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</si>
  <si>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</si>
  <si>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</si>
  <si>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</si>
  <si>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</si>
  <si>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</si>
  <si>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</si>
  <si>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</si>
  <si>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</si>
  <si>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</si>
  <si>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</si>
  <si>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</si>
  <si>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Average Customer / Connection Count</t>
  </si>
  <si>
    <t>Month</t>
  </si>
  <si>
    <t>Weather Normal</t>
  </si>
  <si>
    <t>2015 Actual</t>
  </si>
  <si>
    <t>Sentinel Lighting</t>
  </si>
  <si>
    <t>Street Lighting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</si>
  <si>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</si>
  <si>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</si>
  <si>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</si>
  <si>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</si>
  <si>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</si>
  <si>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</si>
  <si>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</si>
  <si>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2023 Actual</t>
  </si>
  <si>
    <t>Weather Normalization Factor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</si>
  <si>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</si>
  <si>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</si>
  <si>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</si>
  <si>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</si>
  <si>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</si>
  <si>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</si>
  <si>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Entegrus Powerlines Weather Normal Load Forecast for 2026 Rate Application</t>
  </si>
  <si>
    <t>2025 Bridge</t>
  </si>
  <si>
    <t>2026 Test</t>
  </si>
  <si>
    <t>2024 Actual</t>
  </si>
  <si>
    <t>2016 Actual</t>
  </si>
  <si>
    <t>2017 Actual</t>
  </si>
  <si>
    <t>2018 Actual</t>
  </si>
  <si>
    <t>2019 Actual</t>
  </si>
  <si>
    <t>2020 Actual</t>
  </si>
  <si>
    <t>Large Use</t>
  </si>
  <si>
    <t>COVID Flag</t>
  </si>
  <si>
    <t>HDD</t>
  </si>
  <si>
    <t>CDD</t>
  </si>
  <si>
    <t>Days in Month</t>
  </si>
  <si>
    <t>Spring/Fall Flag</t>
  </si>
  <si>
    <t>AVG</t>
  </si>
  <si>
    <t>Standby Demand (kW)</t>
  </si>
  <si>
    <t xml:space="preserve">GS&gt;50 </t>
  </si>
  <si>
    <t>Non-Weather Normalized</t>
  </si>
  <si>
    <t>Weather Corrected &amp; Adjusted Forecast</t>
  </si>
  <si>
    <t>MFG</t>
  </si>
  <si>
    <t>2025 Growth</t>
  </si>
  <si>
    <t>2026 Growth</t>
  </si>
  <si>
    <t>Sum of Squared Residuals</t>
  </si>
  <si>
    <t>Durbin-Watson Calculation</t>
  </si>
  <si>
    <t>Conversion of Standby kW to kWh for demand allocators:</t>
  </si>
  <si>
    <t>Average Monthly Growth YTD</t>
  </si>
  <si>
    <t>Forecast 2025</t>
  </si>
  <si>
    <t>2025 (Jan-Sep)</t>
  </si>
  <si>
    <t>ON Full Time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</si>
</sst>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_);\(#,##0.0\)"/>
    <numFmt numFmtId="181" formatCode="#,##0.0;\-#,##0.0"/>
  </numFmts>
  <fonts count="9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5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5" borderId="1" applyNumberFormat="0" applyProtection="0">
      <alignment horizontal="left" vertical="center"/>
    </xf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2" fillId="0" borderId="0"/>
    <xf numFmtId="174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5" fontId="12" fillId="0" borderId="0"/>
    <xf numFmtId="176" fontId="12" fillId="0" borderId="0"/>
    <xf numFmtId="175" fontId="12" fillId="0" borderId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36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27" fillId="7" borderId="0" applyNumberFormat="0" applyBorder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6" fillId="6" borderId="0" applyNumberFormat="0" applyBorder="0" applyAlignment="0" applyProtection="0"/>
    <xf numFmtId="38" fontId="18" fillId="37" borderId="0" applyNumberFormat="0" applyBorder="0" applyAlignment="0" applyProtection="0"/>
    <xf numFmtId="38" fontId="18" fillId="37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10" fontId="18" fillId="38" borderId="1" applyNumberFormat="0" applyBorder="0" applyAlignment="0" applyProtection="0"/>
    <xf numFmtId="10" fontId="18" fillId="38" borderId="1" applyNumberFormat="0" applyBorder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177" fontId="12" fillId="0" borderId="0"/>
    <xf numFmtId="172" fontId="12" fillId="0" borderId="0"/>
    <xf numFmtId="177" fontId="12" fillId="0" borderId="0"/>
    <xf numFmtId="177" fontId="12" fillId="0" borderId="0"/>
    <xf numFmtId="177" fontId="12" fillId="0" borderId="0"/>
    <xf numFmtId="177" fontId="12" fillId="0" borderId="0"/>
    <xf numFmtId="0" fontId="28" fillId="8" borderId="0" applyNumberFormat="0" applyBorder="0" applyAlignment="0" applyProtection="0"/>
    <xf numFmtId="178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12" borderId="14" applyNumberFormat="0" applyFont="0" applyAlignment="0" applyProtection="0"/>
    <xf numFmtId="0" fontId="30" fillId="10" borderId="11" applyNumberFormat="0" applyAlignment="0" applyProtection="0"/>
    <xf numFmtId="10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0" applyNumberFormat="0" applyBorder="0" applyAlignment="0"/>
    <xf numFmtId="0" fontId="40" fillId="0" borderId="16">
      <alignment horizontal="center" vertical="center"/>
    </xf>
    <xf numFmtId="0" fontId="22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166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43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5" borderId="1" applyNumberFormat="0" applyProtection="0">
      <alignment horizontal="left" vertical="center"/>
    </xf>
    <xf numFmtId="0" fontId="12" fillId="5" borderId="1" applyNumberFormat="0" applyProtection="0">
      <alignment horizontal="left" vertical="center"/>
    </xf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/>
    <xf numFmtId="166" fontId="41" fillId="0" borderId="0" applyFont="0" applyFill="0" applyBorder="0" applyAlignment="0" applyProtection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4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61" fillId="56" borderId="0" applyNumberFormat="0" applyBorder="0" applyAlignment="0" applyProtection="0"/>
    <xf numFmtId="0" fontId="61" fillId="57" borderId="0" applyNumberFormat="0" applyBorder="0" applyAlignment="0" applyProtection="0"/>
    <xf numFmtId="0" fontId="63" fillId="59" borderId="1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2" fillId="61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12" fillId="0" borderId="0"/>
    <xf numFmtId="0" fontId="24" fillId="0" borderId="8" applyNumberFormat="0" applyFill="0" applyAlignment="0" applyProtection="0"/>
    <xf numFmtId="0" fontId="23" fillId="0" borderId="7" applyNumberFormat="0" applyFill="0" applyAlignment="0" applyProtection="0"/>
    <xf numFmtId="0" fontId="7" fillId="0" borderId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0" applyNumberFormat="0" applyAlignment="0" applyProtection="0"/>
    <xf numFmtId="0" fontId="30" fillId="10" borderId="11" applyNumberFormat="0" applyAlignment="0" applyProtection="0"/>
    <xf numFmtId="0" fontId="31" fillId="10" borderId="10" applyNumberFormat="0" applyAlignment="0" applyProtection="0"/>
    <xf numFmtId="0" fontId="32" fillId="0" borderId="12" applyNumberFormat="0" applyFill="0" applyAlignment="0" applyProtection="0"/>
    <xf numFmtId="0" fontId="33" fillId="11" borderId="13" applyNumberFormat="0" applyAlignment="0" applyProtection="0"/>
    <xf numFmtId="0" fontId="34" fillId="0" borderId="0" applyNumberFormat="0" applyFill="0" applyBorder="0" applyAlignment="0" applyProtection="0"/>
    <xf numFmtId="0" fontId="7" fillId="12" borderId="14" applyNumberFormat="0" applyFont="0" applyAlignment="0" applyProtection="0"/>
    <xf numFmtId="0" fontId="35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36" fillId="36" borderId="0" applyNumberFormat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  <xf numFmtId="0" fontId="73" fillId="59" borderId="24" applyNumberFormat="0" applyAlignment="0" applyProtection="0"/>
    <xf numFmtId="0" fontId="64" fillId="60" borderId="18" applyNumberFormat="0" applyAlignment="0" applyProtection="0"/>
    <xf numFmtId="0" fontId="70" fillId="46" borderId="17" applyNumberFormat="0" applyAlignment="0" applyProtection="0"/>
    <xf numFmtId="0" fontId="12" fillId="62" borderId="23" applyNumberFormat="0" applyFont="0" applyAlignment="0" applyProtection="0"/>
    <xf numFmtId="0" fontId="66" fillId="43" borderId="0" applyNumberFormat="0" applyBorder="0" applyAlignment="0" applyProtection="0"/>
    <xf numFmtId="0" fontId="62" fillId="42" borderId="0" applyNumberFormat="0" applyBorder="0" applyAlignment="0" applyProtection="0"/>
    <xf numFmtId="0" fontId="69" fillId="0" borderId="21" applyNumberFormat="0" applyFill="0" applyAlignment="0" applyProtection="0"/>
    <xf numFmtId="0" fontId="68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1" fillId="5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58" borderId="0" applyNumberFormat="0" applyBorder="0" applyAlignment="0" applyProtection="0"/>
    <xf numFmtId="0" fontId="61" fillId="52" borderId="0" applyNumberFormat="0" applyBorder="0" applyAlignment="0" applyProtection="0"/>
    <xf numFmtId="166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1" fillId="0" borderId="0"/>
    <xf numFmtId="0" fontId="71" fillId="0" borderId="22" applyNumberFormat="0" applyFill="0" applyAlignment="0" applyProtection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69" fillId="0" borderId="0" applyNumberForma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70" fillId="46" borderId="17" applyNumberFormat="0" applyAlignment="0" applyProtection="0"/>
    <xf numFmtId="0" fontId="70" fillId="46" borderId="17" applyNumberFormat="0" applyAlignment="0" applyProtection="0"/>
    <xf numFmtId="0" fontId="70" fillId="46" borderId="17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0" fillId="46" borderId="17" applyNumberFormat="0" applyAlignment="0" applyProtection="0"/>
    <xf numFmtId="0" fontId="12" fillId="0" borderId="0"/>
    <xf numFmtId="0" fontId="41" fillId="0" borderId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7" fillId="0" borderId="0"/>
    <xf numFmtId="0" fontId="12" fillId="0" borderId="0"/>
    <xf numFmtId="9" fontId="41" fillId="0" borderId="0" applyFont="0" applyFill="0" applyBorder="0" applyAlignment="0" applyProtection="0"/>
    <xf numFmtId="0" fontId="41" fillId="0" borderId="0"/>
    <xf numFmtId="9" fontId="12" fillId="0" borderId="0" applyFont="0" applyFill="0" applyBorder="0" applyAlignment="0" applyProtection="0"/>
    <xf numFmtId="0" fontId="12" fillId="0" borderId="0"/>
    <xf numFmtId="9" fontId="4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" fillId="0" borderId="0"/>
    <xf numFmtId="165" fontId="4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41" fillId="0" borderId="0"/>
    <xf numFmtId="166" fontId="41" fillId="0" borderId="0" applyFont="0" applyFill="0" applyBorder="0" applyAlignment="0" applyProtection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7" fillId="0" borderId="0"/>
    <xf numFmtId="0" fontId="59" fillId="0" borderId="0" applyNumberFormat="0" applyFill="0" applyBorder="0" applyAlignment="0" applyProtection="0"/>
    <xf numFmtId="0" fontId="77" fillId="0" borderId="0"/>
    <xf numFmtId="0" fontId="6" fillId="0" borderId="0"/>
    <xf numFmtId="0" fontId="79" fillId="0" borderId="0"/>
    <xf numFmtId="179" fontId="81" fillId="0" borderId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5" fillId="0" borderId="0"/>
    <xf numFmtId="0" fontId="12" fillId="0" borderId="0"/>
    <xf numFmtId="0" fontId="12" fillId="0" borderId="0"/>
    <xf numFmtId="0" fontId="75" fillId="0" borderId="50" applyNumberFormat="0" applyFill="0" applyAlignment="0" applyProtection="0"/>
    <xf numFmtId="0" fontId="63" fillId="59" borderId="42" applyNumberFormat="0" applyAlignment="0" applyProtection="0"/>
    <xf numFmtId="0" fontId="73" fillId="59" borderId="49" applyNumberFormat="0" applyAlignment="0" applyProtection="0"/>
    <xf numFmtId="0" fontId="70" fillId="46" borderId="47" applyNumberFormat="0" applyAlignment="0" applyProtection="0"/>
    <xf numFmtId="0" fontId="63" fillId="59" borderId="47" applyNumberFormat="0" applyAlignment="0" applyProtection="0"/>
    <xf numFmtId="0" fontId="70" fillId="46" borderId="42" applyNumberFormat="0" applyAlignment="0" applyProtection="0"/>
    <xf numFmtId="0" fontId="12" fillId="62" borderId="43" applyNumberFormat="0" applyFont="0" applyAlignment="0" applyProtection="0"/>
    <xf numFmtId="0" fontId="73" fillId="59" borderId="44" applyNumberFormat="0" applyAlignment="0" applyProtection="0"/>
    <xf numFmtId="0" fontId="75" fillId="0" borderId="45" applyNumberFormat="0" applyFill="0" applyAlignment="0" applyProtection="0"/>
    <xf numFmtId="0" fontId="12" fillId="0" borderId="0"/>
    <xf numFmtId="0" fontId="4" fillId="0" borderId="0"/>
    <xf numFmtId="0" fontId="70" fillId="46" borderId="47" applyNumberFormat="0" applyAlignment="0" applyProtection="0"/>
    <xf numFmtId="0" fontId="12" fillId="62" borderId="48" applyNumberFormat="0" applyFont="0" applyAlignment="0" applyProtection="0"/>
    <xf numFmtId="0" fontId="4" fillId="12" borderId="1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0" fillId="46" borderId="47" applyNumberFormat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0" fontId="18" fillId="38" borderId="46" applyNumberFormat="0" applyBorder="0" applyAlignment="0" applyProtection="0"/>
    <xf numFmtId="0" fontId="12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62" borderId="43" applyNumberFormat="0" applyFont="0" applyAlignment="0" applyProtection="0"/>
    <xf numFmtId="0" fontId="12" fillId="0" borderId="0"/>
    <xf numFmtId="0" fontId="4" fillId="0" borderId="0"/>
    <xf numFmtId="0" fontId="4" fillId="12" borderId="1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2" fillId="0" borderId="0"/>
    <xf numFmtId="0" fontId="12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12" borderId="1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0" fillId="46" borderId="47" applyNumberFormat="0" applyAlignment="0" applyProtection="0"/>
    <xf numFmtId="10" fontId="18" fillId="38" borderId="41" applyNumberFormat="0" applyBorder="0" applyAlignment="0" applyProtection="0"/>
    <xf numFmtId="0" fontId="12" fillId="0" borderId="0"/>
    <xf numFmtId="0" fontId="70" fillId="46" borderId="47" applyNumberFormat="0" applyAlignment="0" applyProtection="0"/>
    <xf numFmtId="0" fontId="12" fillId="62" borderId="48" applyNumberFormat="0" applyFont="0" applyAlignment="0" applyProtection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2" fillId="0" borderId="0"/>
    <xf numFmtId="0" fontId="12" fillId="5" borderId="58" applyNumberFormat="0" applyProtection="0">
      <alignment horizontal="left" vertical="center"/>
    </xf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0" fontId="18" fillId="38" borderId="58" applyNumberFormat="0" applyBorder="0" applyAlignment="0" applyProtection="0"/>
    <xf numFmtId="10" fontId="18" fillId="38" borderId="58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5" borderId="58" applyNumberFormat="0" applyProtection="0">
      <alignment horizontal="left" vertical="center"/>
    </xf>
    <xf numFmtId="0" fontId="12" fillId="5" borderId="58" applyNumberFormat="0" applyProtection="0">
      <alignment horizontal="left"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4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4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4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41" fillId="0" borderId="0"/>
    <xf numFmtId="0" fontId="1" fillId="0" borderId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1" fillId="0" borderId="0"/>
    <xf numFmtId="0" fontId="75" fillId="0" borderId="63" applyNumberFormat="0" applyFill="0" applyAlignment="0" applyProtection="0"/>
    <xf numFmtId="0" fontId="63" fillId="59" borderId="17" applyNumberFormat="0" applyAlignment="0" applyProtection="0"/>
    <xf numFmtId="0" fontId="73" fillId="59" borderId="62" applyNumberFormat="0" applyAlignment="0" applyProtection="0"/>
    <xf numFmtId="0" fontId="70" fillId="46" borderId="60" applyNumberFormat="0" applyAlignment="0" applyProtection="0"/>
    <xf numFmtId="0" fontId="63" fillId="59" borderId="60" applyNumberFormat="0" applyAlignment="0" applyProtection="0"/>
    <xf numFmtId="0" fontId="70" fillId="46" borderId="17" applyNumberFormat="0" applyAlignment="0" applyProtection="0"/>
    <xf numFmtId="0" fontId="12" fillId="62" borderId="23" applyNumberFormat="0" applyFont="0" applyAlignment="0" applyProtection="0"/>
    <xf numFmtId="0" fontId="73" fillId="59" borderId="24" applyNumberFormat="0" applyAlignment="0" applyProtection="0"/>
    <xf numFmtId="0" fontId="75" fillId="0" borderId="25" applyNumberFormat="0" applyFill="0" applyAlignment="0" applyProtection="0"/>
    <xf numFmtId="0" fontId="1" fillId="0" borderId="0"/>
    <xf numFmtId="0" fontId="70" fillId="46" borderId="60" applyNumberFormat="0" applyAlignment="0" applyProtection="0"/>
    <xf numFmtId="0" fontId="12" fillId="62" borderId="61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0" fillId="46" borderId="60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0" fontId="18" fillId="38" borderId="58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62" borderId="23" applyNumberFormat="0" applyFont="0" applyAlignment="0" applyProtection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46" borderId="60" applyNumberFormat="0" applyAlignment="0" applyProtection="0"/>
    <xf numFmtId="10" fontId="18" fillId="38" borderId="59" applyNumberFormat="0" applyBorder="0" applyAlignment="0" applyProtection="0"/>
    <xf numFmtId="0" fontId="70" fillId="46" borderId="60" applyNumberFormat="0" applyAlignment="0" applyProtection="0"/>
    <xf numFmtId="0" fontId="12" fillId="62" borderId="61" applyNumberFormat="0" applyFont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3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2" fillId="0" borderId="0" xfId="1" applyNumberFormat="1" applyAlignment="1">
      <alignment horizontal="center"/>
    </xf>
    <xf numFmtId="167" fontId="13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/>
    <xf numFmtId="3" fontId="0" fillId="2" borderId="0" xfId="0" applyNumberFormat="1" applyFill="1" applyAlignment="1">
      <alignment horizontal="center"/>
    </xf>
    <xf numFmtId="17" fontId="15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5" fillId="0" borderId="0" xfId="0" applyNumberFormat="1" applyFont="1"/>
    <xf numFmtId="0" fontId="16" fillId="0" borderId="0" xfId="0" applyFont="1"/>
    <xf numFmtId="167" fontId="0" fillId="0" borderId="0" xfId="0" applyNumberFormat="1" applyAlignment="1">
      <alignment horizontal="center" wrapText="1"/>
    </xf>
    <xf numFmtId="0" fontId="15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3" fillId="4" borderId="1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12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9" fontId="0" fillId="0" borderId="0" xfId="2" applyFont="1" applyAlignment="1">
      <alignment horizontal="center"/>
    </xf>
    <xf numFmtId="3" fontId="12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0" xfId="736" applyFont="1"/>
    <xf numFmtId="0" fontId="12" fillId="0" borderId="0" xfId="736" applyFont="1" applyAlignment="1">
      <alignment horizontal="center" vertical="center"/>
    </xf>
    <xf numFmtId="0" fontId="12" fillId="0" borderId="0" xfId="736" applyFont="1" applyAlignment="1">
      <alignment vertical="center"/>
    </xf>
    <xf numFmtId="0" fontId="12" fillId="0" borderId="0" xfId="736" applyFont="1" applyAlignment="1">
      <alignment horizontal="center"/>
    </xf>
    <xf numFmtId="0" fontId="12" fillId="0" borderId="0" xfId="1526" applyFont="1"/>
    <xf numFmtId="0" fontId="78" fillId="40" borderId="1" xfId="1524" applyFont="1" applyFill="1" applyBorder="1" applyAlignment="1">
      <alignment horizontal="center" vertical="center" wrapText="1"/>
    </xf>
    <xf numFmtId="0" fontId="80" fillId="0" borderId="0" xfId="1526" applyFont="1" applyAlignment="1">
      <alignment horizontal="left" vertical="center"/>
    </xf>
    <xf numFmtId="0" fontId="78" fillId="0" borderId="0" xfId="1524" applyFont="1" applyAlignment="1">
      <alignment horizontal="center" vertical="center" wrapText="1"/>
    </xf>
    <xf numFmtId="0" fontId="12" fillId="0" borderId="1" xfId="1526" applyFont="1" applyBorder="1" applyAlignment="1">
      <alignment horizontal="center"/>
    </xf>
    <xf numFmtId="0" fontId="12" fillId="0" borderId="30" xfId="1526" applyFont="1" applyBorder="1" applyAlignment="1">
      <alignment horizontal="center"/>
    </xf>
    <xf numFmtId="1" fontId="12" fillId="0" borderId="31" xfId="1526" applyNumberFormat="1" applyFont="1" applyBorder="1" applyAlignment="1">
      <alignment horizontal="center"/>
    </xf>
    <xf numFmtId="0" fontId="12" fillId="0" borderId="32" xfId="1526" applyFont="1" applyBorder="1" applyAlignment="1">
      <alignment horizontal="left"/>
    </xf>
    <xf numFmtId="2" fontId="19" fillId="0" borderId="31" xfId="1526" applyNumberFormat="1" applyFont="1" applyBorder="1" applyAlignment="1">
      <alignment horizontal="center"/>
    </xf>
    <xf numFmtId="0" fontId="12" fillId="0" borderId="30" xfId="1526" applyFont="1" applyBorder="1" applyAlignment="1">
      <alignment horizontal="left"/>
    </xf>
    <xf numFmtId="0" fontId="12" fillId="0" borderId="33" xfId="1526" applyFont="1" applyBorder="1" applyAlignment="1">
      <alignment horizontal="center"/>
    </xf>
    <xf numFmtId="2" fontId="19" fillId="0" borderId="34" xfId="1526" applyNumberFormat="1" applyFont="1" applyBorder="1" applyAlignment="1">
      <alignment horizontal="center"/>
    </xf>
    <xf numFmtId="0" fontId="12" fillId="0" borderId="31" xfId="1526" applyFont="1" applyBorder="1" applyAlignment="1">
      <alignment horizontal="center"/>
    </xf>
    <xf numFmtId="2" fontId="19" fillId="0" borderId="30" xfId="1526" applyNumberFormat="1" applyFont="1" applyBorder="1" applyAlignment="1">
      <alignment horizontal="center"/>
    </xf>
    <xf numFmtId="0" fontId="12" fillId="0" borderId="6" xfId="1526" applyFont="1" applyBorder="1" applyAlignment="1">
      <alignment horizontal="left"/>
    </xf>
    <xf numFmtId="2" fontId="19" fillId="0" borderId="35" xfId="1526" applyNumberFormat="1" applyFont="1" applyBorder="1" applyAlignment="1">
      <alignment horizontal="center"/>
    </xf>
    <xf numFmtId="0" fontId="12" fillId="0" borderId="31" xfId="1526" applyFont="1" applyBorder="1" applyAlignment="1">
      <alignment horizontal="left"/>
    </xf>
    <xf numFmtId="0" fontId="15" fillId="0" borderId="1" xfId="1526" applyFont="1" applyBorder="1" applyAlignment="1">
      <alignment horizontal="center"/>
    </xf>
    <xf numFmtId="17" fontId="12" fillId="0" borderId="1" xfId="1526" applyNumberFormat="1" applyFont="1" applyBorder="1" applyAlignment="1">
      <alignment horizontal="left"/>
    </xf>
    <xf numFmtId="0" fontId="12" fillId="0" borderId="0" xfId="1526" applyFont="1" applyAlignment="1">
      <alignment horizontal="center"/>
    </xf>
    <xf numFmtId="1" fontId="12" fillId="64" borderId="36" xfId="1527" applyNumberFormat="1" applyFont="1" applyFill="1" applyBorder="1" applyAlignment="1">
      <alignment horizontal="center"/>
    </xf>
    <xf numFmtId="1" fontId="12" fillId="64" borderId="5" xfId="1527" applyNumberFormat="1" applyFont="1" applyFill="1" applyBorder="1" applyAlignment="1">
      <alignment horizontal="center"/>
    </xf>
    <xf numFmtId="1" fontId="12" fillId="64" borderId="37" xfId="1526" applyNumberFormat="1" applyFont="1" applyFill="1" applyBorder="1" applyAlignment="1">
      <alignment horizontal="center"/>
    </xf>
    <xf numFmtId="1" fontId="12" fillId="64" borderId="36" xfId="1526" applyNumberFormat="1" applyFont="1" applyFill="1" applyBorder="1" applyAlignment="1">
      <alignment horizontal="center"/>
    </xf>
    <xf numFmtId="1" fontId="12" fillId="64" borderId="1" xfId="1526" applyNumberFormat="1" applyFont="1" applyFill="1" applyBorder="1" applyAlignment="1">
      <alignment horizontal="center"/>
    </xf>
    <xf numFmtId="1" fontId="12" fillId="64" borderId="4" xfId="1526" applyNumberFormat="1" applyFont="1" applyFill="1" applyBorder="1" applyAlignment="1">
      <alignment horizontal="center"/>
    </xf>
    <xf numFmtId="17" fontId="12" fillId="0" borderId="0" xfId="1526" applyNumberFormat="1" applyFont="1" applyAlignment="1">
      <alignment horizontal="left"/>
    </xf>
    <xf numFmtId="1" fontId="12" fillId="65" borderId="36" xfId="1527" applyNumberFormat="1" applyFont="1" applyFill="1" applyBorder="1" applyAlignment="1">
      <alignment horizontal="center"/>
    </xf>
    <xf numFmtId="1" fontId="12" fillId="65" borderId="5" xfId="1527" applyNumberFormat="1" applyFont="1" applyFill="1" applyBorder="1" applyAlignment="1">
      <alignment horizontal="center"/>
    </xf>
    <xf numFmtId="1" fontId="12" fillId="65" borderId="37" xfId="1526" applyNumberFormat="1" applyFont="1" applyFill="1" applyBorder="1" applyAlignment="1">
      <alignment horizontal="center"/>
    </xf>
    <xf numFmtId="1" fontId="12" fillId="65" borderId="36" xfId="1526" applyNumberFormat="1" applyFont="1" applyFill="1" applyBorder="1" applyAlignment="1">
      <alignment horizontal="center"/>
    </xf>
    <xf numFmtId="1" fontId="12" fillId="65" borderId="1" xfId="1526" applyNumberFormat="1" applyFont="1" applyFill="1" applyBorder="1" applyAlignment="1">
      <alignment horizontal="center"/>
    </xf>
    <xf numFmtId="1" fontId="12" fillId="65" borderId="4" xfId="1526" applyNumberFormat="1" applyFont="1" applyFill="1" applyBorder="1" applyAlignment="1">
      <alignment horizontal="center"/>
    </xf>
    <xf numFmtId="1" fontId="12" fillId="65" borderId="26" xfId="1527" applyNumberFormat="1" applyFont="1" applyFill="1" applyBorder="1" applyAlignment="1">
      <alignment horizontal="center"/>
    </xf>
    <xf numFmtId="1" fontId="12" fillId="65" borderId="27" xfId="1526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center" wrapText="1"/>
    </xf>
    <xf numFmtId="0" fontId="12" fillId="4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3" fillId="0" borderId="0" xfId="0" applyFont="1"/>
    <xf numFmtId="0" fontId="78" fillId="67" borderId="6" xfId="1524" applyFont="1" applyFill="1" applyBorder="1" applyAlignment="1">
      <alignment horizontal="center" vertical="center" wrapText="1"/>
    </xf>
    <xf numFmtId="1" fontId="12" fillId="63" borderId="1" xfId="736" applyNumberFormat="1" applyFont="1" applyFill="1" applyBorder="1" applyAlignment="1">
      <alignment horizontal="center"/>
    </xf>
    <xf numFmtId="0" fontId="15" fillId="68" borderId="1" xfId="736" applyFont="1" applyFill="1" applyBorder="1" applyAlignment="1">
      <alignment horizontal="center"/>
    </xf>
    <xf numFmtId="0" fontId="78" fillId="40" borderId="6" xfId="1524" applyFont="1" applyFill="1" applyBorder="1" applyAlignment="1">
      <alignment horizontal="center" vertical="center" wrapText="1"/>
    </xf>
    <xf numFmtId="0" fontId="78" fillId="67" borderId="30" xfId="1524" applyFont="1" applyFill="1" applyBorder="1" applyAlignment="1">
      <alignment horizontal="center" vertical="center" wrapText="1"/>
    </xf>
    <xf numFmtId="1" fontId="78" fillId="67" borderId="31" xfId="1524" applyNumberFormat="1" applyFont="1" applyFill="1" applyBorder="1" applyAlignment="1">
      <alignment horizontal="center" vertical="center" wrapText="1"/>
    </xf>
    <xf numFmtId="0" fontId="78" fillId="67" borderId="26" xfId="1524" applyFont="1" applyFill="1" applyBorder="1" applyAlignment="1">
      <alignment horizontal="center" vertical="center" wrapText="1"/>
    </xf>
    <xf numFmtId="1" fontId="78" fillId="67" borderId="27" xfId="1524" applyNumberFormat="1" applyFont="1" applyFill="1" applyBorder="1" applyAlignment="1">
      <alignment horizontal="center" vertical="center" wrapText="1"/>
    </xf>
    <xf numFmtId="0" fontId="78" fillId="67" borderId="28" xfId="1524" applyFont="1" applyFill="1" applyBorder="1" applyAlignment="1">
      <alignment horizontal="center" vertical="center" wrapText="1"/>
    </xf>
    <xf numFmtId="0" fontId="78" fillId="67" borderId="27" xfId="1524" applyFont="1" applyFill="1" applyBorder="1" applyAlignment="1">
      <alignment horizontal="center" vertical="center" wrapText="1"/>
    </xf>
    <xf numFmtId="0" fontId="78" fillId="67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2" fillId="0" borderId="0" xfId="736" applyNumberFormat="1" applyFont="1"/>
    <xf numFmtId="3" fontId="0" fillId="69" borderId="0" xfId="0" applyNumberFormat="1" applyFill="1" applyAlignment="1">
      <alignment horizontal="center"/>
    </xf>
    <xf numFmtId="3" fontId="13" fillId="69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3" fontId="14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37" fontId="12" fillId="0" borderId="41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9" fillId="0" borderId="0" xfId="736" applyFont="1"/>
    <xf numFmtId="180" fontId="13" fillId="0" borderId="1" xfId="0" applyNumberFormat="1" applyFont="1" applyBorder="1" applyAlignment="1">
      <alignment horizontal="center"/>
    </xf>
    <xf numFmtId="37" fontId="12" fillId="4" borderId="41" xfId="0" applyNumberFormat="1" applyFont="1" applyFill="1" applyBorder="1" applyAlignment="1">
      <alignment horizontal="center"/>
    </xf>
    <xf numFmtId="3" fontId="0" fillId="70" borderId="1" xfId="0" applyNumberFormat="1" applyFill="1" applyBorder="1" applyAlignment="1">
      <alignment horizontal="center"/>
    </xf>
    <xf numFmtId="3" fontId="15" fillId="0" borderId="0" xfId="0" applyNumberFormat="1" applyFont="1" applyAlignment="1">
      <alignment horizontal="left"/>
    </xf>
    <xf numFmtId="10" fontId="0" fillId="0" borderId="0" xfId="2" applyNumberFormat="1" applyFont="1" applyAlignment="1">
      <alignment horizontal="center"/>
    </xf>
    <xf numFmtId="37" fontId="12" fillId="0" borderId="0" xfId="736" applyNumberFormat="1" applyFont="1"/>
    <xf numFmtId="0" fontId="3" fillId="0" borderId="0" xfId="1654"/>
    <xf numFmtId="0" fontId="88" fillId="0" borderId="0" xfId="1654" applyFont="1" applyAlignment="1">
      <alignment horizontal="left"/>
    </xf>
    <xf numFmtId="0" fontId="89" fillId="71" borderId="51" xfId="1654" applyFont="1" applyFill="1" applyBorder="1" applyAlignment="1">
      <alignment horizontal="center" vertical="center" wrapText="1"/>
    </xf>
    <xf numFmtId="0" fontId="89" fillId="71" borderId="52" xfId="1654" applyFont="1" applyFill="1" applyBorder="1" applyAlignment="1">
      <alignment horizontal="center" vertical="center" wrapText="1"/>
    </xf>
    <xf numFmtId="0" fontId="3" fillId="0" borderId="54" xfId="1654" applyBorder="1" applyAlignment="1">
      <alignment horizontal="center"/>
    </xf>
    <xf numFmtId="172" fontId="0" fillId="0" borderId="55" xfId="1655" applyNumberFormat="1" applyFont="1" applyBorder="1" applyAlignment="1">
      <alignment horizontal="center"/>
    </xf>
    <xf numFmtId="172" fontId="0" fillId="0" borderId="56" xfId="1655" applyNumberFormat="1" applyFont="1" applyBorder="1" applyAlignment="1">
      <alignment horizontal="center"/>
    </xf>
    <xf numFmtId="0" fontId="89" fillId="71" borderId="57" xfId="1654" applyFont="1" applyFill="1" applyBorder="1" applyAlignment="1">
      <alignment horizontal="center"/>
    </xf>
    <xf numFmtId="172" fontId="89" fillId="71" borderId="52" xfId="1655" applyNumberFormat="1" applyFont="1" applyFill="1" applyBorder="1" applyAlignment="1">
      <alignment horizontal="center"/>
    </xf>
    <xf numFmtId="0" fontId="3" fillId="0" borderId="0" xfId="1654" applyAlignment="1">
      <alignment horizontal="center"/>
    </xf>
    <xf numFmtId="0" fontId="15" fillId="0" borderId="0" xfId="0" applyFont="1" applyAlignment="1">
      <alignment horizontal="center" vertical="center" wrapText="1"/>
    </xf>
    <xf numFmtId="172" fontId="12" fillId="0" borderId="0" xfId="1" applyNumberFormat="1" applyFont="1"/>
    <xf numFmtId="9" fontId="0" fillId="3" borderId="0" xfId="0" applyNumberFormat="1" applyFill="1" applyAlignment="1">
      <alignment horizontal="center"/>
    </xf>
    <xf numFmtId="167" fontId="0" fillId="72" borderId="0" xfId="2" applyNumberFormat="1" applyFont="1" applyFill="1"/>
    <xf numFmtId="167" fontId="0" fillId="0" borderId="0" xfId="2" applyNumberFormat="1" applyFont="1"/>
    <xf numFmtId="171" fontId="12" fillId="0" borderId="1" xfId="0" applyNumberFormat="1" applyFont="1" applyBorder="1" applyAlignment="1">
      <alignment horizontal="center"/>
    </xf>
    <xf numFmtId="171" fontId="90" fillId="0" borderId="1" xfId="0" applyNumberFormat="1" applyFont="1" applyBorder="1" applyAlignment="1">
      <alignment horizontal="center"/>
    </xf>
    <xf numFmtId="0" fontId="14" fillId="0" borderId="58" xfId="0" applyFont="1" applyBorder="1" applyAlignment="1">
      <alignment horizontal="center" vertical="center" wrapText="1"/>
    </xf>
    <xf numFmtId="37" fontId="12" fillId="0" borderId="58" xfId="0" applyNumberFormat="1" applyFont="1" applyBorder="1" applyAlignment="1">
      <alignment horizontal="center"/>
    </xf>
    <xf numFmtId="181" fontId="12" fillId="0" borderId="58" xfId="0" applyNumberFormat="1" applyFont="1" applyBorder="1" applyAlignment="1">
      <alignment horizontal="center"/>
    </xf>
    <xf numFmtId="3" fontId="12" fillId="0" borderId="0" xfId="736" applyNumberFormat="1" applyFont="1"/>
    <xf numFmtId="167" fontId="12" fillId="0" borderId="0" xfId="2" applyNumberFormat="1" applyFont="1"/>
    <xf numFmtId="10" fontId="12" fillId="0" borderId="0" xfId="2" applyNumberFormat="1" applyFont="1"/>
    <xf numFmtId="1" fontId="12" fillId="65" borderId="28" xfId="1527" applyNumberFormat="1" applyFont="1" applyFill="1" applyBorder="1" applyAlignment="1">
      <alignment horizontal="center"/>
    </xf>
    <xf numFmtId="1" fontId="12" fillId="65" borderId="26" xfId="1526" applyNumberFormat="1" applyFont="1" applyFill="1" applyBorder="1" applyAlignment="1">
      <alignment horizontal="center"/>
    </xf>
    <xf numFmtId="1" fontId="12" fillId="65" borderId="29" xfId="1526" applyNumberFormat="1" applyFont="1" applyFill="1" applyBorder="1" applyAlignment="1">
      <alignment horizontal="center"/>
    </xf>
    <xf numFmtId="1" fontId="12" fillId="65" borderId="38" xfId="1526" applyNumberFormat="1" applyFont="1" applyFill="1" applyBorder="1" applyAlignment="1">
      <alignment horizontal="center"/>
    </xf>
    <xf numFmtId="167" fontId="0" fillId="0" borderId="0" xfId="0" applyNumberFormat="1"/>
    <xf numFmtId="1" fontId="12" fillId="0" borderId="58" xfId="2" applyNumberFormat="1" applyFont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167" fontId="0" fillId="4" borderId="0" xfId="2" applyNumberFormat="1" applyFont="1" applyFill="1" applyAlignment="1">
      <alignment horizontal="center"/>
    </xf>
    <xf numFmtId="43" fontId="3" fillId="0" borderId="0" xfId="1654" applyNumberFormat="1"/>
    <xf numFmtId="0" fontId="12" fillId="0" borderId="0" xfId="0" applyFont="1" applyAlignment="1">
      <alignment horizontal="right"/>
    </xf>
    <xf numFmtId="172" fontId="3" fillId="0" borderId="0" xfId="1654" applyNumberFormat="1"/>
    <xf numFmtId="0" fontId="91" fillId="0" borderId="0" xfId="1654" applyFont="1"/>
    <xf numFmtId="170" fontId="0" fillId="73" borderId="0" xfId="0" applyNumberFormat="1" applyFill="1" applyAlignment="1">
      <alignment horizontal="center"/>
    </xf>
    <xf numFmtId="37" fontId="12" fillId="63" borderId="41" xfId="0" applyNumberFormat="1" applyFont="1" applyFill="1" applyBorder="1" applyAlignment="1">
      <alignment horizontal="center"/>
    </xf>
    <xf numFmtId="1" fontId="12" fillId="4" borderId="58" xfId="2" applyNumberFormat="1" applyFont="1" applyFill="1" applyBorder="1" applyAlignment="1">
      <alignment horizontal="center"/>
    </xf>
    <xf numFmtId="0" fontId="0" fillId="0" borderId="2" xfId="0" applyBorder="1"/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Continuous"/>
    </xf>
    <xf numFmtId="2" fontId="0" fillId="0" borderId="0" xfId="0" applyNumberFormat="1"/>
    <xf numFmtId="2" fontId="0" fillId="0" borderId="2" xfId="0" applyNumberFormat="1" applyBorder="1"/>
    <xf numFmtId="171" fontId="12" fillId="0" borderId="0" xfId="2" applyNumberFormat="1" applyFont="1"/>
    <xf numFmtId="0" fontId="12" fillId="0" borderId="1" xfId="0" applyFont="1" applyBorder="1" applyAlignment="1">
      <alignment horizontal="right"/>
    </xf>
    <xf numFmtId="1" fontId="15" fillId="0" borderId="0" xfId="1657" applyNumberFormat="1" applyFont="1"/>
    <xf numFmtId="0" fontId="12" fillId="0" borderId="0" xfId="1657"/>
    <xf numFmtId="17" fontId="12" fillId="0" borderId="0" xfId="1657" applyNumberFormat="1"/>
    <xf numFmtId="0" fontId="15" fillId="0" borderId="0" xfId="1657" applyFont="1"/>
    <xf numFmtId="1" fontId="12" fillId="0" borderId="0" xfId="1657" applyNumberFormat="1"/>
    <xf numFmtId="169" fontId="12" fillId="0" borderId="0" xfId="1657" applyNumberFormat="1"/>
    <xf numFmtId="0" fontId="14" fillId="0" borderId="64" xfId="0" applyFont="1" applyBorder="1" applyAlignment="1">
      <alignment horizontal="center" vertical="center" wrapText="1"/>
    </xf>
    <xf numFmtId="1" fontId="12" fillId="0" borderId="64" xfId="2" applyNumberFormat="1" applyFont="1" applyBorder="1" applyAlignment="1">
      <alignment horizontal="center"/>
    </xf>
    <xf numFmtId="1" fontId="12" fillId="63" borderId="58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10" fontId="0" fillId="0" borderId="0" xfId="2" applyNumberFormat="1" applyFont="1"/>
    <xf numFmtId="0" fontId="84" fillId="66" borderId="53" xfId="1524" applyFont="1" applyFill="1" applyBorder="1" applyAlignment="1">
      <alignment horizontal="center" vertical="center"/>
    </xf>
    <xf numFmtId="0" fontId="84" fillId="66" borderId="0" xfId="1524" applyFont="1" applyFill="1" applyAlignment="1">
      <alignment horizontal="center" vertical="center"/>
    </xf>
    <xf numFmtId="0" fontId="84" fillId="66" borderId="53" xfId="1524" applyFont="1" applyFill="1" applyBorder="1" applyAlignment="1">
      <alignment horizontal="center" vertical="center" wrapText="1"/>
    </xf>
    <xf numFmtId="0" fontId="84" fillId="66" borderId="0" xfId="1524" applyFont="1" applyFill="1" applyAlignment="1">
      <alignment horizontal="center" vertical="center" wrapText="1"/>
    </xf>
    <xf numFmtId="0" fontId="84" fillId="66" borderId="1" xfId="1524" applyFont="1" applyFill="1" applyBorder="1" applyAlignment="1">
      <alignment horizontal="center" vertical="center" wrapText="1"/>
    </xf>
    <xf numFmtId="0" fontId="84" fillId="66" borderId="51" xfId="1524" applyFont="1" applyFill="1" applyBorder="1" applyAlignment="1">
      <alignment horizontal="center" vertical="center" wrapText="1"/>
    </xf>
    <xf numFmtId="0" fontId="84" fillId="66" borderId="52" xfId="1524" applyFont="1" applyFill="1" applyBorder="1" applyAlignment="1">
      <alignment horizontal="center" vertical="center" wrapText="1"/>
    </xf>
    <xf numFmtId="0" fontId="78" fillId="67" borderId="40" xfId="1524" applyFont="1" applyFill="1" applyBorder="1" applyAlignment="1">
      <alignment horizontal="center" vertical="center" wrapText="1"/>
    </xf>
    <xf numFmtId="0" fontId="78" fillId="67" borderId="35" xfId="1524" applyFont="1" applyFill="1" applyBorder="1" applyAlignment="1">
      <alignment horizontal="center" vertical="center" wrapText="1"/>
    </xf>
    <xf numFmtId="0" fontId="78" fillId="67" borderId="39" xfId="1524" applyFont="1" applyFill="1" applyBorder="1" applyAlignment="1">
      <alignment horizontal="center" vertical="center" wrapText="1"/>
    </xf>
    <xf numFmtId="0" fontId="0" fillId="39" borderId="0" xfId="0" applyFill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</cellXfs>
  <cellStyles count="2485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2 2 2" xfId="2424" xr:uid="{3C9650B8-8B38-408F-95C3-9EDC2CE35E0A}"/>
    <cellStyle name="20% - Accent1 2 2 3" xfId="1769" xr:uid="{33AAD84C-1785-4533-80C3-92A46ED1A3E8}"/>
    <cellStyle name="20% - Accent1 2 3" xfId="110" xr:uid="{4A647E3F-96F3-4D22-89D1-F5D064BBDC62}"/>
    <cellStyle name="20% - Accent1 2 3 2" xfId="1618" xr:uid="{54F2DDC7-871E-4AAE-A9C8-03C7FEFF7255}"/>
    <cellStyle name="20% - Accent1 2 3 2 2" xfId="2451" xr:uid="{0395D6D8-733F-4937-958B-84CE74CB9740}"/>
    <cellStyle name="20% - Accent1 2 4" xfId="1549" xr:uid="{6498D3B7-D895-4F43-ACAE-CBC25968B0C0}"/>
    <cellStyle name="20% - Accent1 2 4 2" xfId="2393" xr:uid="{AFC38EEF-3A9F-4006-B200-AA4F725B82C8}"/>
    <cellStyle name="20% - Accent1 2 5" xfId="1664" xr:uid="{C5CE1F6E-F064-4C1E-92B9-FC52BABED1C3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2 2 2" xfId="2426" xr:uid="{C528F096-77C8-4A28-A0D4-33CCD0776441}"/>
    <cellStyle name="20% - Accent2 2 2 3" xfId="1771" xr:uid="{D1B6EA94-336F-44A8-8630-8E2699457A14}"/>
    <cellStyle name="20% - Accent2 2 3" xfId="124" xr:uid="{9A2CCDBD-6CEB-439D-8ED1-7C033D7D4909}"/>
    <cellStyle name="20% - Accent2 2 3 2" xfId="1620" xr:uid="{76DE2459-9BEA-46E7-BF77-DBCF127487BC}"/>
    <cellStyle name="20% - Accent2 2 3 2 2" xfId="2453" xr:uid="{AF4CA395-F54D-4298-80B1-F475EA90497E}"/>
    <cellStyle name="20% - Accent2 2 4" xfId="1551" xr:uid="{E01A7A15-6DB9-43B1-8D8A-36D88C34E8CA}"/>
    <cellStyle name="20% - Accent2 2 4 2" xfId="2395" xr:uid="{E6FABAC6-2CB9-4E2E-BDC8-986898BA3478}"/>
    <cellStyle name="20% - Accent2 2 5" xfId="1665" xr:uid="{B019CE0F-4614-4EE4-AEEF-20BDFB67B4C8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2 2 2" xfId="2428" xr:uid="{607FDBA1-7E2A-4E12-9805-2BB0E99110E1}"/>
    <cellStyle name="20% - Accent3 2 2 3" xfId="1773" xr:uid="{74DDE0EF-CBB0-47A8-ABB3-0EC75579401C}"/>
    <cellStyle name="20% - Accent3 2 3" xfId="138" xr:uid="{0A9F25B4-70CA-4082-AB6C-473346FA893F}"/>
    <cellStyle name="20% - Accent3 2 3 2" xfId="1622" xr:uid="{6D9E4497-9EB6-4B97-91BE-D818E8C0AFF1}"/>
    <cellStyle name="20% - Accent3 2 3 2 2" xfId="2455" xr:uid="{428E2F05-C75C-4360-A93E-47208FEF2902}"/>
    <cellStyle name="20% - Accent3 2 4" xfId="1553" xr:uid="{DA771738-C36E-41D2-A2E4-894437A3D247}"/>
    <cellStyle name="20% - Accent3 2 4 2" xfId="2397" xr:uid="{5B7E04AA-0163-4E3B-AFC9-1C5C86338E4D}"/>
    <cellStyle name="20% - Accent3 2 5" xfId="1666" xr:uid="{A95189DD-0B22-4218-B5AA-D680F6BBB472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2 2 2" xfId="2430" xr:uid="{5860BC21-DE2A-4700-99CF-DE6BCD222746}"/>
    <cellStyle name="20% - Accent4 2 2 3" xfId="1775" xr:uid="{319D31BC-BDAB-4F63-AFEF-BE563E43523D}"/>
    <cellStyle name="20% - Accent4 2 3" xfId="152" xr:uid="{628FC5C7-725D-4262-97F4-6C2D4880CC12}"/>
    <cellStyle name="20% - Accent4 2 3 2" xfId="1624" xr:uid="{1F438915-B1D6-4253-A49A-73B79C77A3E6}"/>
    <cellStyle name="20% - Accent4 2 3 2 2" xfId="2457" xr:uid="{D2269107-4F2A-4EDA-B20A-2B1FD007C1B3}"/>
    <cellStyle name="20% - Accent4 2 4" xfId="1555" xr:uid="{89CF9E7C-B510-4722-919E-C2D754DA4997}"/>
    <cellStyle name="20% - Accent4 2 4 2" xfId="2399" xr:uid="{7F02E3BC-6986-4778-971F-15A5D31CDEA2}"/>
    <cellStyle name="20% - Accent4 2 5" xfId="1667" xr:uid="{ED68B31F-2B48-4FD1-B972-13A0717D81F3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2 2 2" xfId="2432" xr:uid="{3A561E64-4C80-4C96-8B68-A5F851A339AD}"/>
    <cellStyle name="20% - Accent5 2 2 3" xfId="1777" xr:uid="{788E5D0C-A630-4EE8-8DA8-C341A05B472A}"/>
    <cellStyle name="20% - Accent5 2 3" xfId="166" xr:uid="{23D49ADB-2FF4-4148-9B22-B3C738EA11E9}"/>
    <cellStyle name="20% - Accent5 2 3 2" xfId="1626" xr:uid="{BD299D98-DE77-4417-8E64-941CAEE74941}"/>
    <cellStyle name="20% - Accent5 2 3 2 2" xfId="2459" xr:uid="{B3B845DB-C19B-43AD-A740-8A1CC3BAF0D0}"/>
    <cellStyle name="20% - Accent5 2 4" xfId="1558" xr:uid="{7F06C8FB-B421-4555-BD2B-9E1A2A0046C0}"/>
    <cellStyle name="20% - Accent5 2 4 2" xfId="2402" xr:uid="{2AD6A4CE-174C-45B1-B518-5220F5F2AC21}"/>
    <cellStyle name="20% - Accent5 2 5" xfId="1668" xr:uid="{EDB9BE48-9674-462B-A1F9-44959A8B560B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2 2 2" xfId="2434" xr:uid="{2B652717-B9B4-47C3-A5C8-1C8843A6DFCF}"/>
    <cellStyle name="20% - Accent6 2 2 3" xfId="1779" xr:uid="{E852660C-FF76-4A85-ACBB-59F8F001B1EA}"/>
    <cellStyle name="20% - Accent6 2 3" xfId="180" xr:uid="{23858E14-2CB1-44A7-B23D-E19C6229B1E9}"/>
    <cellStyle name="20% - Accent6 2 3 2" xfId="1628" xr:uid="{B0CF4784-D695-4E5F-9DB8-004F80EE0D0F}"/>
    <cellStyle name="20% - Accent6 2 3 2 2" xfId="2461" xr:uid="{21842322-CF92-4041-91AC-8E83AFA64135}"/>
    <cellStyle name="20% - Accent6 2 4" xfId="1560" xr:uid="{704C47E1-284A-4BB6-BEBE-CAAE08985FEB}"/>
    <cellStyle name="20% - Accent6 2 4 2" xfId="2404" xr:uid="{61B54CD7-3825-4D32-8FAF-B0F12EB75E8E}"/>
    <cellStyle name="20% - Accent6 2 5" xfId="1669" xr:uid="{03245F48-2675-4F84-BE10-B81BDBCF3C05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2 2 2" xfId="2425" xr:uid="{7A5F4D74-9A34-4F55-BB09-D91D45AE617A}"/>
    <cellStyle name="40% - Accent1 2 2 3" xfId="1770" xr:uid="{E4F3DF7A-806B-478A-9B3C-6F05BCAB0BC5}"/>
    <cellStyle name="40% - Accent1 2 3" xfId="194" xr:uid="{452896B4-C918-4AB8-BF14-9E16F99BDB5A}"/>
    <cellStyle name="40% - Accent1 2 3 2" xfId="1619" xr:uid="{49E61076-1FAB-43BD-BDBC-ADD837D50EEF}"/>
    <cellStyle name="40% - Accent1 2 3 2 2" xfId="2452" xr:uid="{5A27D25C-A24C-44B4-B14F-C2B0353682A0}"/>
    <cellStyle name="40% - Accent1 2 4" xfId="1550" xr:uid="{8A17BEDC-C7CC-45C2-A6C8-08155751422E}"/>
    <cellStyle name="40% - Accent1 2 4 2" xfId="2394" xr:uid="{62AC0266-71F0-4A29-9A33-99F3AA105CCD}"/>
    <cellStyle name="40% - Accent1 2 5" xfId="1670" xr:uid="{9E89F187-A068-4F96-AF71-CBCEB53F06D0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2 2 2" xfId="2427" xr:uid="{67E81F4F-1F66-4BC1-BC9A-9340935026C9}"/>
    <cellStyle name="40% - Accent2 2 2 3" xfId="1772" xr:uid="{70120DFD-A631-4AFC-A9BA-74297F460655}"/>
    <cellStyle name="40% - Accent2 2 3" xfId="208" xr:uid="{AE931783-BF8A-406C-9218-F3BDF4370B32}"/>
    <cellStyle name="40% - Accent2 2 3 2" xfId="1621" xr:uid="{7432BC28-DB2D-42BF-BE7F-02BAE911AAEE}"/>
    <cellStyle name="40% - Accent2 2 3 2 2" xfId="2454" xr:uid="{A214FAFE-05D2-4B41-8C0F-E2E642D477D5}"/>
    <cellStyle name="40% - Accent2 2 4" xfId="1552" xr:uid="{D499B9C5-DE17-44A5-83B0-047E3D21F36B}"/>
    <cellStyle name="40% - Accent2 2 4 2" xfId="2396" xr:uid="{126AFFB3-65BD-4136-8398-316D98423587}"/>
    <cellStyle name="40% - Accent2 2 5" xfId="1671" xr:uid="{77708D00-A063-4999-A90E-D42ECC76F11E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2 2 2" xfId="2429" xr:uid="{E5E018C3-CA6F-4F66-8B87-AAED3A5F2355}"/>
    <cellStyle name="40% - Accent3 2 2 3" xfId="1774" xr:uid="{D350A52E-52C8-4883-B20E-D37ADF15D6C8}"/>
    <cellStyle name="40% - Accent3 2 3" xfId="222" xr:uid="{CA5F1453-1410-43C5-A45C-F86291F2E44F}"/>
    <cellStyle name="40% - Accent3 2 3 2" xfId="1623" xr:uid="{3C60E394-618C-4F51-A5AC-31F4FDAF3678}"/>
    <cellStyle name="40% - Accent3 2 3 2 2" xfId="2456" xr:uid="{3A86EA2E-8933-47C6-9374-E52938A69094}"/>
    <cellStyle name="40% - Accent3 2 4" xfId="1554" xr:uid="{FF22FCF6-3DFD-469F-A56C-D7B00378EFF6}"/>
    <cellStyle name="40% - Accent3 2 4 2" xfId="2398" xr:uid="{D0FC7032-56DE-4324-A529-A3C0B0367DC6}"/>
    <cellStyle name="40% - Accent3 2 5" xfId="1672" xr:uid="{74940A30-5FB0-49B2-B18E-CEFC05560CAB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2 2 2" xfId="2431" xr:uid="{408D034B-E8E5-49DE-91D4-7A2055A01CFD}"/>
    <cellStyle name="40% - Accent4 2 2 3" xfId="1776" xr:uid="{8C3F4135-35FD-44B5-BE56-0E0C81A1334A}"/>
    <cellStyle name="40% - Accent4 2 3" xfId="236" xr:uid="{5FB646AB-A516-4BDF-BFE6-9741474BEB55}"/>
    <cellStyle name="40% - Accent4 2 3 2" xfId="1625" xr:uid="{303559DD-BB15-4F0D-9F93-71F277BF63D0}"/>
    <cellStyle name="40% - Accent4 2 3 2 2" xfId="2458" xr:uid="{73AC84DF-2794-4B8D-953F-9DB38C514239}"/>
    <cellStyle name="40% - Accent4 2 4" xfId="1556" xr:uid="{5F637F9F-4AC8-48B4-9B58-68E4B0E18EC9}"/>
    <cellStyle name="40% - Accent4 2 4 2" xfId="2400" xr:uid="{B8BBCF36-D0D5-49F9-911A-CECA38CF1FE5}"/>
    <cellStyle name="40% - Accent4 2 5" xfId="1673" xr:uid="{4C2B8110-3557-4EF6-821B-47BE63658860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2 2 2" xfId="2433" xr:uid="{9A7891E7-3520-4F5F-977B-EEAAC697E607}"/>
    <cellStyle name="40% - Accent5 2 2 3" xfId="1778" xr:uid="{C9E23790-B265-436C-93AE-25E2A751EAF1}"/>
    <cellStyle name="40% - Accent5 2 3" xfId="250" xr:uid="{F82C0BC5-6E74-4D55-9F8B-18ADB943D5E2}"/>
    <cellStyle name="40% - Accent5 2 3 2" xfId="1627" xr:uid="{CD8D4BD0-6AB3-4F96-BDA4-3DF56BB6BDE6}"/>
    <cellStyle name="40% - Accent5 2 3 2 2" xfId="2460" xr:uid="{623628AC-CF57-47F7-B3A6-A7898EA9B27D}"/>
    <cellStyle name="40% - Accent5 2 4" xfId="1559" xr:uid="{23DDFA9C-3BAD-4889-81B1-1ADB24ACB357}"/>
    <cellStyle name="40% - Accent5 2 4 2" xfId="2403" xr:uid="{9A9A551E-AAA9-49F7-9882-19461A8A5A16}"/>
    <cellStyle name="40% - Accent5 2 5" xfId="1674" xr:uid="{CF486486-FCBD-4E2C-9BC1-7FF26767C88D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2 2 2" xfId="2435" xr:uid="{A2E7E4EF-77E3-4A83-9197-F241F977EE77}"/>
    <cellStyle name="40% - Accent6 2 2 3" xfId="1780" xr:uid="{238FEBD7-AB02-46CB-95C8-060F72849EA2}"/>
    <cellStyle name="40% - Accent6 2 3" xfId="264" xr:uid="{66A8F444-729A-480D-91B8-2A2A0AEADE80}"/>
    <cellStyle name="40% - Accent6 2 3 2" xfId="1629" xr:uid="{068EBA13-23E2-42BC-B850-48EE2CA1B17F}"/>
    <cellStyle name="40% - Accent6 2 3 2 2" xfId="2462" xr:uid="{E8BB49DC-08DF-4D6B-A51D-E7BB1BBEB42B}"/>
    <cellStyle name="40% - Accent6 2 4" xfId="1561" xr:uid="{94B5F9E4-8293-4E34-BF06-542E69FD43F8}"/>
    <cellStyle name="40% - Accent6 2 4 2" xfId="2405" xr:uid="{5B03EA8E-FF86-411E-9AC4-0D0A67FF9981}"/>
    <cellStyle name="40% - Accent6 2 5" xfId="1675" xr:uid="{1E2ADAAC-5D82-4DCE-B4C5-C9B0B826734B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7 2" xfId="2381" xr:uid="{164467E5-2D38-4002-B7FC-F33E484DAF91}"/>
    <cellStyle name="Calculation 18" xfId="1539" xr:uid="{B43EC870-A144-4BBF-BFA9-B9480390D328}"/>
    <cellStyle name="Calculation 18 2" xfId="2384" xr:uid="{395BD3EE-8CD0-424F-9642-D67AC29B67EC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0 2" xfId="1696" xr:uid="{C28984A0-937B-4A2B-9779-F57E417A1D18}"/>
    <cellStyle name="Comma 11" xfId="1650" xr:uid="{25298E4D-5B35-4152-AA0C-B58ED9EED0BE}"/>
    <cellStyle name="Comma 11 2" xfId="2480" xr:uid="{68B735C7-6978-44C2-830C-7830A587BA31}"/>
    <cellStyle name="Comma 12" xfId="1655" xr:uid="{E26F9B59-C36A-42BF-A5F0-FE86BC082EFA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2 2" xfId="1706" xr:uid="{BE4B7D4A-1C01-4F0E-8DF3-E10620C4753B}"/>
    <cellStyle name="Comma 2 2 3" xfId="1598" xr:uid="{6B31B1F2-0BE4-40C6-9AA7-6AC72AA3B3EE}"/>
    <cellStyle name="Comma 2 2 3 2" xfId="2437" xr:uid="{FFFC32CB-3414-4F69-A745-E03126B92A89}"/>
    <cellStyle name="Comma 2 2 4" xfId="1707" xr:uid="{5C97CAAD-5BFB-499B-9E9E-CED276154514}"/>
    <cellStyle name="Comma 2 3" xfId="734" xr:uid="{27F51AD3-0C7D-4B0F-B4B0-08BB7C60AE6D}"/>
    <cellStyle name="Comma 2 3 2" xfId="1631" xr:uid="{97BACC60-7486-4E1C-9DEF-041ACF924BB4}"/>
    <cellStyle name="Comma 2 3 2 2" xfId="2464" xr:uid="{EC8E0AAA-4312-47A2-A26E-3F2D3E595645}"/>
    <cellStyle name="Comma 2 3 3" xfId="1736" xr:uid="{09DD302A-5E09-4833-81FA-3D0117CB1563}"/>
    <cellStyle name="Comma 2 4" xfId="839" xr:uid="{51C41699-2F14-4740-B30A-17757AFCA611}"/>
    <cellStyle name="Comma 2 4 2" xfId="1782" xr:uid="{894A69D1-9C72-4B44-BC33-9EAE82906B9F}"/>
    <cellStyle name="Comma 2 5" xfId="1529" xr:uid="{D042C698-5BF5-4C4E-A832-9FA411884923}"/>
    <cellStyle name="Comma 2 5 2" xfId="2378" xr:uid="{38746A25-5ABE-4247-A335-38809695E721}"/>
    <cellStyle name="Comma 2 6" xfId="1563" xr:uid="{711DB856-27D7-4708-B216-B536633DE10D}"/>
    <cellStyle name="Comma 2 6 2" xfId="2407" xr:uid="{59E1D65F-9F91-4990-B5E3-C86E8D7ACA0F}"/>
    <cellStyle name="Comma 2 7" xfId="1659" xr:uid="{DA9EFF44-925A-41CE-8567-F30D3F57983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2 2 2" xfId="2447" xr:uid="{A0E8870A-A850-402E-A142-314A751D55E1}"/>
    <cellStyle name="Comma 3 2 2 3" xfId="1788" xr:uid="{46AF3B1A-E321-45BE-8FF8-EBE2ACABE8A1}"/>
    <cellStyle name="Comma 3 2 3" xfId="697" xr:uid="{2385347A-A18A-44FB-B93F-BA54E6114382}"/>
    <cellStyle name="Comma 3 2 3 2" xfId="1641" xr:uid="{768B1C9F-FA1F-4427-A789-A0C74DA40ECD}"/>
    <cellStyle name="Comma 3 2 3 2 2" xfId="2474" xr:uid="{EB72072B-7998-4C2C-8B06-0D06B2DFDB68}"/>
    <cellStyle name="Comma 3 2 3 3" xfId="1708" xr:uid="{BC7C1A17-2764-41AD-A284-D453B833E719}"/>
    <cellStyle name="Comma 3 2 4" xfId="1576" xr:uid="{3138837E-8DD2-4EA7-9C15-583C8E21D09D}"/>
    <cellStyle name="Comma 3 2 4 2" xfId="2419" xr:uid="{59145502-4DEF-45DC-8574-E1FB5E15E106}"/>
    <cellStyle name="Comma 3 2 5" xfId="98" xr:uid="{00000000-0005-0000-0000-000028000000}"/>
    <cellStyle name="Comma 3 2 5 2" xfId="1693" xr:uid="{164AB6D5-0EBA-4096-95C1-97454853ED60}"/>
    <cellStyle name="Comma 3 2 6" xfId="1676" xr:uid="{560CE92D-8AC3-4762-878A-AEB036960C03}"/>
    <cellStyle name="Comma 3 3" xfId="841" xr:uid="{6F3B3E26-3FC8-4A18-8614-A92B20C5AF9B}"/>
    <cellStyle name="Comma 3 3 2" xfId="1601" xr:uid="{AA3C8A3C-D478-4AA2-8E24-619BEA3F7829}"/>
    <cellStyle name="Comma 3 3 2 2" xfId="2440" xr:uid="{64E26B50-6B49-4286-AC08-E3F22B5D143C}"/>
    <cellStyle name="Comma 3 3 3" xfId="1784" xr:uid="{B2E9F0DB-BCCE-4077-BE2F-8E3249EDAF56}"/>
    <cellStyle name="Comma 3 4" xfId="1013" xr:uid="{93DBB256-1BC0-48FF-9C75-641FCC229582}"/>
    <cellStyle name="Comma 3 4 2" xfId="1634" xr:uid="{C034EDFB-859B-4BB2-BD5F-1B572BB2EDDF}"/>
    <cellStyle name="Comma 3 4 2 2" xfId="2467" xr:uid="{96F799DF-0817-4946-B8EA-AD8C34969B7D}"/>
    <cellStyle name="Comma 3 4 3" xfId="1908" xr:uid="{FE8318A0-60F2-4057-83C2-664E21C59121}"/>
    <cellStyle name="Comma 3 5" xfId="483" xr:uid="{F7718869-6A96-4AF3-81D7-69A99B2C7D27}"/>
    <cellStyle name="Comma 3 5 2" xfId="1697" xr:uid="{B6DE2330-6BAC-48CF-A993-33AAF3B8BC39}"/>
    <cellStyle name="Comma 3 6" xfId="1566" xr:uid="{0341A5C9-6337-4E00-8AD0-91A483843BFF}"/>
    <cellStyle name="Comma 3 6 2" xfId="2410" xr:uid="{AEFDB486-463E-4923-A111-C2FB7E13F0D8}"/>
    <cellStyle name="Comma 3 7" xfId="1660" xr:uid="{5B6ABA54-F842-466F-94DC-274D04EACB7C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10 2" xfId="2415" xr:uid="{6A6F4895-98B0-4C91-AE07-9611BE539A2F}"/>
    <cellStyle name="Comma 4 11" xfId="1663" xr:uid="{A6CE9CA7-41FD-4E9E-BEE3-09049723E95B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2 2 2" xfId="2359" xr:uid="{2EBF320D-7459-44F2-8F94-F4F26A929C81}"/>
    <cellStyle name="Comma 4 2 2 2 2 3" xfId="2126" xr:uid="{81E7C656-9A57-4BEA-89FF-11CE9EFF8689}"/>
    <cellStyle name="Comma 4 2 2 2 3" xfId="1358" xr:uid="{BA5C24C9-1D6A-4368-8680-4AE2FCDC3F8B}"/>
    <cellStyle name="Comma 4 2 2 2 3 2" xfId="2243" xr:uid="{541AA121-3D81-4B1E-B663-799E3CF65574}"/>
    <cellStyle name="Comma 4 2 2 2 4" xfId="1122" xr:uid="{10FB19E0-5D9C-41C7-8B76-8FD8F1367963}"/>
    <cellStyle name="Comma 4 2 2 2 4 2" xfId="2009" xr:uid="{47B4572F-CFDE-49F6-9B2D-EE67887D250A}"/>
    <cellStyle name="Comma 4 2 2 2 5" xfId="1836" xr:uid="{F461A68E-C80D-41A3-B1E0-5782B6F329EC}"/>
    <cellStyle name="Comma 4 2 2 3" xfId="980" xr:uid="{124C35C6-121E-48BC-B4E2-4A86CAACA293}"/>
    <cellStyle name="Comma 4 2 2 3 2" xfId="1418" xr:uid="{E9D209CB-A116-47DC-82B1-A39F9EE0AFEE}"/>
    <cellStyle name="Comma 4 2 2 3 2 2" xfId="2303" xr:uid="{1BC2EB51-146C-40ED-92AD-A77745C1E57C}"/>
    <cellStyle name="Comma 4 2 2 3 3" xfId="1185" xr:uid="{0326AC30-ABE8-4986-8663-1F0E856C12E3}"/>
    <cellStyle name="Comma 4 2 2 3 3 2" xfId="2070" xr:uid="{E2D23AA6-08FF-4AC1-8785-C7D1888E0A65}"/>
    <cellStyle name="Comma 4 2 2 3 4" xfId="1892" xr:uid="{6B148708-AAFE-4BFF-848A-537F84CFEC0C}"/>
    <cellStyle name="Comma 4 2 2 4" xfId="1302" xr:uid="{D8140800-B9AD-48FE-A30D-80226EB45111}"/>
    <cellStyle name="Comma 4 2 2 4 2" xfId="2187" xr:uid="{09F6594E-66D1-4527-A60A-1869BD65A175}"/>
    <cellStyle name="Comma 4 2 2 5" xfId="1065" xr:uid="{CD31EEDF-D1FF-431C-9685-02F421699DC0}"/>
    <cellStyle name="Comma 4 2 2 5 2" xfId="1953" xr:uid="{7883E87F-8338-4F16-8E5B-06C07F12787C}"/>
    <cellStyle name="Comma 4 2 2 6" xfId="1753" xr:uid="{B69BF514-781F-4696-8E25-8F97D582A2F1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2 2 2" xfId="2329" xr:uid="{39EDC74A-8593-47A5-963B-B9F103C180F0}"/>
    <cellStyle name="Comma 4 2 3 2 3" xfId="2096" xr:uid="{65F41E2E-4386-4677-B3D4-711F2D87B050}"/>
    <cellStyle name="Comma 4 2 3 3" xfId="1328" xr:uid="{2664CE71-23FD-4C73-97D7-14BF4346EA3D}"/>
    <cellStyle name="Comma 4 2 3 3 2" xfId="2213" xr:uid="{2782AA06-CE6B-4BB9-A784-A75331F9AB57}"/>
    <cellStyle name="Comma 4 2 3 4" xfId="1092" xr:uid="{F1050FED-08FE-46E5-A0B9-3619004886D2}"/>
    <cellStyle name="Comma 4 2 3 4 2" xfId="1979" xr:uid="{FF4931AA-A141-4816-A481-2FCCEE3C69DF}"/>
    <cellStyle name="Comma 4 2 3 5" xfId="1806" xr:uid="{4124076C-C512-4DAF-BF5D-EE0F3F1C5317}"/>
    <cellStyle name="Comma 4 2 4" xfId="950" xr:uid="{537C12F2-00D3-490C-B1C6-0FF5719159D3}"/>
    <cellStyle name="Comma 4 2 4 2" xfId="1392" xr:uid="{C7AF5BEC-A755-4741-8E3C-C34268932174}"/>
    <cellStyle name="Comma 4 2 4 2 2" xfId="2277" xr:uid="{C23D84F0-BBC8-4DA2-BCEB-F330187E567E}"/>
    <cellStyle name="Comma 4 2 4 3" xfId="1159" xr:uid="{212B962E-FEA4-4A3E-9652-0DDE300E3E39}"/>
    <cellStyle name="Comma 4 2 4 3 2" xfId="2044" xr:uid="{8225D21B-0642-488C-810D-854CB35BC13E}"/>
    <cellStyle name="Comma 4 2 4 4" xfId="1862" xr:uid="{C8797461-7549-465E-A4E2-2CDCDDC40279}"/>
    <cellStyle name="Comma 4 2 5" xfId="1276" xr:uid="{D5CAA9EF-8912-4D00-BF61-F9BC7A4772B2}"/>
    <cellStyle name="Comma 4 2 5 2" xfId="2161" xr:uid="{4149BF5D-AC77-48E1-8C2E-7E8062605882}"/>
    <cellStyle name="Comma 4 2 6" xfId="1039" xr:uid="{CE49E489-05BC-4A71-8EC3-FD661246633E}"/>
    <cellStyle name="Comma 4 2 6 2" xfId="1927" xr:uid="{634DC8AA-E64A-42D9-B0D9-E32CDCB9E2D7}"/>
    <cellStyle name="Comma 4 2 7" xfId="1607" xr:uid="{4E30939D-2574-440C-8B14-B830349B47A9}"/>
    <cellStyle name="Comma 4 2 7 2" xfId="2445" xr:uid="{1F679E68-C68E-4458-86BE-F84E97ADB214}"/>
    <cellStyle name="Comma 4 2 8" xfId="1721" xr:uid="{4AA67C96-1DD5-4790-98AF-DAC8F85D7E8D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2 2 2" xfId="2367" xr:uid="{2DAE0264-FF55-47BB-A91C-3C8E2A4AFBB3}"/>
    <cellStyle name="Comma 4 3 2 2 2 3" xfId="2134" xr:uid="{06A6783A-8AAE-44D6-8453-3925BED3E9FD}"/>
    <cellStyle name="Comma 4 3 2 2 3" xfId="1366" xr:uid="{A7B0B188-956E-4DBD-99A4-E5758BECC5FE}"/>
    <cellStyle name="Comma 4 3 2 2 3 2" xfId="2251" xr:uid="{C4A2A45A-3DB5-436A-85C1-5E499C3CFF71}"/>
    <cellStyle name="Comma 4 3 2 2 4" xfId="1130" xr:uid="{8A0EEEAE-AE6C-4963-BBA5-59EDC018D60A}"/>
    <cellStyle name="Comma 4 3 2 2 4 2" xfId="2017" xr:uid="{D2CFCDEC-EE1E-4493-B66E-D4C0C6ADB336}"/>
    <cellStyle name="Comma 4 3 2 2 5" xfId="1844" xr:uid="{F945E0E1-C73E-46FA-9BB5-37E878C39E57}"/>
    <cellStyle name="Comma 4 3 2 3" xfId="988" xr:uid="{C03078A6-19C3-4289-81C7-E8AA019F220E}"/>
    <cellStyle name="Comma 4 3 2 3 2" xfId="1426" xr:uid="{FFEE48A5-F665-4DF0-B7B7-4E37A8A4A939}"/>
    <cellStyle name="Comma 4 3 2 3 2 2" xfId="2311" xr:uid="{02B4FDB1-325A-497A-AECE-A908B4FA9FEA}"/>
    <cellStyle name="Comma 4 3 2 3 3" xfId="1193" xr:uid="{09AAF5DC-B974-42A4-AF2D-32BD1EC925FE}"/>
    <cellStyle name="Comma 4 3 2 3 3 2" xfId="2078" xr:uid="{4BD1F688-2FF0-47AF-A0CD-00DDAF27756E}"/>
    <cellStyle name="Comma 4 3 2 3 4" xfId="1900" xr:uid="{FB575093-ADCE-4DA0-A3FF-C5C1E3723C8E}"/>
    <cellStyle name="Comma 4 3 2 4" xfId="1310" xr:uid="{AF59D94F-F15B-48EA-B21F-AC432AC23454}"/>
    <cellStyle name="Comma 4 3 2 4 2" xfId="2195" xr:uid="{E6B5E0CE-37DB-4AB5-A600-69DBA82DBF7C}"/>
    <cellStyle name="Comma 4 3 2 5" xfId="1073" xr:uid="{26067BA4-3E55-4DA0-8E34-9551523DB588}"/>
    <cellStyle name="Comma 4 3 2 5 2" xfId="1961" xr:uid="{29FE49AC-D557-4FE8-AD26-EE345C7BA478}"/>
    <cellStyle name="Comma 4 3 2 6" xfId="1761" xr:uid="{DEE5CB81-C22C-4DF1-9F93-E1CBBDFBEBDD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2 2 2" xfId="2337" xr:uid="{CB1E67B7-088B-462C-8C88-35DEE0BD2B2B}"/>
    <cellStyle name="Comma 4 3 3 2 3" xfId="2104" xr:uid="{7BFE36DA-2494-408A-82CD-15D7736C2488}"/>
    <cellStyle name="Comma 4 3 3 3" xfId="1336" xr:uid="{30E8549D-535B-4380-B876-0EE75E63C991}"/>
    <cellStyle name="Comma 4 3 3 3 2" xfId="2221" xr:uid="{09497C19-A498-4ED7-898E-38842D483EC7}"/>
    <cellStyle name="Comma 4 3 3 4" xfId="1100" xr:uid="{047C5DE1-2659-45EB-A103-18F7B40CFCE4}"/>
    <cellStyle name="Comma 4 3 3 4 2" xfId="1987" xr:uid="{CB9E2B52-E586-48F8-A65E-E4FFB7B2DC66}"/>
    <cellStyle name="Comma 4 3 3 5" xfId="1814" xr:uid="{E11A734C-0406-4535-A32F-B70315E73693}"/>
    <cellStyle name="Comma 4 3 4" xfId="958" xr:uid="{85799808-3E9F-42A6-BF19-48433923D002}"/>
    <cellStyle name="Comma 4 3 4 2" xfId="1400" xr:uid="{0550F9F1-B02D-454E-94D7-589ACB208F92}"/>
    <cellStyle name="Comma 4 3 4 2 2" xfId="2285" xr:uid="{AA2BAFD2-3E28-49A3-A76B-19003637077B}"/>
    <cellStyle name="Comma 4 3 4 3" xfId="1167" xr:uid="{1C29E861-3E06-47A1-94E3-8AF606845AC6}"/>
    <cellStyle name="Comma 4 3 4 3 2" xfId="2052" xr:uid="{D73AE591-B88D-4A18-9800-AE7BEFA694A0}"/>
    <cellStyle name="Comma 4 3 4 4" xfId="1870" xr:uid="{345EF8CF-75C2-4AC7-9DC7-009DC412C77A}"/>
    <cellStyle name="Comma 4 3 5" xfId="1284" xr:uid="{CF437CAC-360E-4884-AF60-368B11CB6458}"/>
    <cellStyle name="Comma 4 3 5 2" xfId="2169" xr:uid="{77BD5282-C527-44B9-8897-515A6612C196}"/>
    <cellStyle name="Comma 4 3 6" xfId="1047" xr:uid="{C0A5D906-73E8-49A9-A601-A6CE3F8B5C5D}"/>
    <cellStyle name="Comma 4 3 6 2" xfId="1935" xr:uid="{AE7CB636-8158-417F-AB6E-A875315FCEB5}"/>
    <cellStyle name="Comma 4 3 7" xfId="1639" xr:uid="{161C6614-5553-4531-A455-85DD98A38AB3}"/>
    <cellStyle name="Comma 4 3 7 2" xfId="2472" xr:uid="{BD939FF4-1A6B-486F-BD85-13B05805DC3D}"/>
    <cellStyle name="Comma 4 3 8" xfId="1729" xr:uid="{AC8CCCAD-4B69-4EE5-B843-0420DF4E402B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2 2 2" xfId="2351" xr:uid="{93F183D9-EC5E-4197-A3AE-35F5C8892DBF}"/>
    <cellStyle name="Comma 4 4 2 2 3" xfId="2118" xr:uid="{1BA68D15-9F00-4A6F-B5BF-56FDAC862BCD}"/>
    <cellStyle name="Comma 4 4 2 3" xfId="1350" xr:uid="{19A4DDEC-1099-4BCC-BFB7-B0554E937F32}"/>
    <cellStyle name="Comma 4 4 2 3 2" xfId="2235" xr:uid="{628B093A-BBA6-4D29-B987-E2ED4DFCBF88}"/>
    <cellStyle name="Comma 4 4 2 4" xfId="1114" xr:uid="{215A50F9-63DE-436F-ABB5-D560B8641C69}"/>
    <cellStyle name="Comma 4 4 2 4 2" xfId="2001" xr:uid="{03E238EE-5BC6-4783-94FF-A68B12A244B0}"/>
    <cellStyle name="Comma 4 4 2 5" xfId="1828" xr:uid="{1184B7A0-2407-4B5E-8237-BEB3AB5590CA}"/>
    <cellStyle name="Comma 4 4 3" xfId="972" xr:uid="{01CD0DAF-2A1A-45AC-A428-611E56F68FA8}"/>
    <cellStyle name="Comma 4 4 3 2" xfId="1410" xr:uid="{451E20B6-7523-4933-83F0-6F2A8A63B3C5}"/>
    <cellStyle name="Comma 4 4 3 2 2" xfId="2295" xr:uid="{1EB9EEE3-A5E3-4084-A641-DEB2BBFEDD46}"/>
    <cellStyle name="Comma 4 4 3 3" xfId="1177" xr:uid="{01ED00B4-BAD8-4B65-B432-748338A35FA0}"/>
    <cellStyle name="Comma 4 4 3 3 2" xfId="2062" xr:uid="{8716430D-8A46-4D32-82A5-1D6E18BFE293}"/>
    <cellStyle name="Comma 4 4 3 4" xfId="1884" xr:uid="{37F90624-9B22-44D9-B0A6-368BFCD992D8}"/>
    <cellStyle name="Comma 4 4 4" xfId="1294" xr:uid="{D2908565-DD96-4CD4-A8F9-F79AF8BDE1F7}"/>
    <cellStyle name="Comma 4 4 4 2" xfId="2179" xr:uid="{54145BD9-D24E-4129-90EA-43BA7761ED52}"/>
    <cellStyle name="Comma 4 4 5" xfId="1057" xr:uid="{E0EAB927-C99B-4228-BC3E-8F0B521DA070}"/>
    <cellStyle name="Comma 4 4 5 2" xfId="1945" xr:uid="{A8D35F48-0C75-44BD-A85B-773A791EE47B}"/>
    <cellStyle name="Comma 4 4 6" xfId="1745" xr:uid="{49EF0C31-4384-4254-84AD-ACCE9953F8D6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2 2 2" xfId="2321" xr:uid="{EB401972-1AA0-4C14-879A-F2C015C21BAB}"/>
    <cellStyle name="Comma 4 5 2 3" xfId="2088" xr:uid="{AB404F13-0224-4252-84A9-0477074E1EFC}"/>
    <cellStyle name="Comma 4 5 3" xfId="1320" xr:uid="{B197301A-741B-4433-973F-5E1E0E023447}"/>
    <cellStyle name="Comma 4 5 3 2" xfId="2205" xr:uid="{1B939EA0-6039-4228-9CBF-36CFF2708DA4}"/>
    <cellStyle name="Comma 4 5 4" xfId="1084" xr:uid="{1EE9568E-58C4-415B-AF12-B388F50F8338}"/>
    <cellStyle name="Comma 4 5 4 2" xfId="1971" xr:uid="{1C147A44-C1EA-49DE-909B-72004AB3DCE6}"/>
    <cellStyle name="Comma 4 5 5" xfId="1795" xr:uid="{B24211C9-8683-47F9-93B5-E379FF21CB6C}"/>
    <cellStyle name="Comma 4 6" xfId="942" xr:uid="{61C3D071-B490-470C-976E-9FEA44632C71}"/>
    <cellStyle name="Comma 4 6 2" xfId="1384" xr:uid="{2AE5B1D2-6D68-4937-9D3D-0CD5365CB6DC}"/>
    <cellStyle name="Comma 4 6 2 2" xfId="2269" xr:uid="{23B35128-A8F9-4648-9471-A1CA1EDCFCE3}"/>
    <cellStyle name="Comma 4 6 3" xfId="1151" xr:uid="{05EEA04F-4961-47B1-9E84-9A4BFDCDDA3D}"/>
    <cellStyle name="Comma 4 6 3 2" xfId="2036" xr:uid="{714EA3FF-EBB1-480A-A2F4-FF64D3466788}"/>
    <cellStyle name="Comma 4 6 4" xfId="1854" xr:uid="{4AEB3D75-77F3-467D-A155-719EA15B0C13}"/>
    <cellStyle name="Comma 4 7" xfId="1268" xr:uid="{7F0F30CE-4CA9-4A1E-9660-386E4D681100}"/>
    <cellStyle name="Comma 4 7 2" xfId="2153" xr:uid="{BE36DB76-FC88-4BAA-A969-16AB91464CEB}"/>
    <cellStyle name="Comma 4 8" xfId="1031" xr:uid="{1C1658A9-D38B-4BE5-916F-FA668E383A19}"/>
    <cellStyle name="Comma 4 8 2" xfId="1919" xr:uid="{7760A351-3C96-4CDE-BD2D-C22ABF355247}"/>
    <cellStyle name="Comma 4 9" xfId="698" xr:uid="{403C2BF1-19F8-4B11-8FB8-2357CD776909}"/>
    <cellStyle name="Comma 4 9 2" xfId="1709" xr:uid="{0AC2256D-7FFB-4FAE-99B1-69F892D09DC9}"/>
    <cellStyle name="Comma 5" xfId="51" xr:uid="{00000000-0005-0000-0000-00002A000000}"/>
    <cellStyle name="Comma 5 2" xfId="741" xr:uid="{D478268A-DF0C-4B5B-BBEF-00FA1734E830}"/>
    <cellStyle name="Comma 5 2 2" xfId="1740" xr:uid="{9BAE83EF-7821-49E8-9D5F-5E20D3CE5C80}"/>
    <cellStyle name="Comma 5 3" xfId="1677" xr:uid="{50C3775E-74F9-4C6C-9787-BBF6E15DEB2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2 2 2" xfId="2373" xr:uid="{2311C11A-12D0-436C-924D-D22B72211DA2}"/>
    <cellStyle name="Comma 6 2 2 3" xfId="2140" xr:uid="{F539B7E0-3BC3-4904-AFB6-0FD0DE7F9305}"/>
    <cellStyle name="Comma 6 2 3" xfId="1372" xr:uid="{7E23E9E1-6CEE-4A2F-8C5E-CE28F4FE14D3}"/>
    <cellStyle name="Comma 6 2 3 2" xfId="2257" xr:uid="{084703C9-4ECE-4DE0-A749-CD3ADE65ADA8}"/>
    <cellStyle name="Comma 6 2 4" xfId="1136" xr:uid="{350B5B09-4779-4312-8758-D4340CF22AA9}"/>
    <cellStyle name="Comma 6 2 4 2" xfId="2023" xr:uid="{E9E99591-CCE3-4B67-85C9-2F55D3D70602}"/>
    <cellStyle name="Comma 6 2 5" xfId="1822" xr:uid="{74DB8BC6-5826-4946-80AE-33BDE0FD4775}"/>
    <cellStyle name="Comma 6 3" xfId="966" xr:uid="{6A26894F-FD4A-4F90-BFB9-AE902B473A5C}"/>
    <cellStyle name="Comma 6 3 2" xfId="1460" xr:uid="{39475F79-9885-4357-B4C1-05F47188DE1B}"/>
    <cellStyle name="Comma 6 3 2 2" xfId="2345" xr:uid="{61EC66FB-37EB-439F-8C51-61A74E06038A}"/>
    <cellStyle name="Comma 6 3 3" xfId="1227" xr:uid="{18FF843B-5F8B-4F38-B119-D2C05ADBC0D3}"/>
    <cellStyle name="Comma 6 3 3 2" xfId="2112" xr:uid="{F83A847F-9DBC-4527-8024-5E4C75B11700}"/>
    <cellStyle name="Comma 6 3 4" xfId="1878" xr:uid="{EA9BED23-615E-4DB5-BFF8-0423B9A62DD9}"/>
    <cellStyle name="Comma 6 4" xfId="1344" xr:uid="{DBD9FCEF-F0D2-4017-9B9B-19883A39E7D5}"/>
    <cellStyle name="Comma 6 4 2" xfId="2229" xr:uid="{CD79A0D7-5FA2-4801-8E8F-8CCDA27C6CE5}"/>
    <cellStyle name="Comma 6 5" xfId="1108" xr:uid="{F50B1894-6A6C-4E4A-AB3F-58439678ADF2}"/>
    <cellStyle name="Comma 6 5 2" xfId="1995" xr:uid="{6BE1D9BF-FEA9-4AC0-BA7E-B4CAE7CBCBC5}"/>
    <cellStyle name="Comma 6 6" xfId="738" xr:uid="{A9251E0A-8C2F-49D9-A754-368AFE55B188}"/>
    <cellStyle name="Comma 6 6 2" xfId="1738" xr:uid="{C2418A22-D580-46D5-AD2C-3E12DE81CF31}"/>
    <cellStyle name="Comma 6 7" xfId="1678" xr:uid="{5D0BCC26-57D3-4520-810D-3B05203B1B83}"/>
    <cellStyle name="Comma 7" xfId="102" xr:uid="{D5206E47-2A95-4FF1-9589-DA112C04A81A}"/>
    <cellStyle name="Comma 7 2" xfId="1139" xr:uid="{59452356-5177-4B48-872B-45F54E602F39}"/>
    <cellStyle name="Comma 7 2 2" xfId="2025" xr:uid="{AB9DC504-134E-4E79-98E6-81B15452B6C3}"/>
    <cellStyle name="Comma 7 3" xfId="872" xr:uid="{E7864F6D-C031-4AC2-9E32-1C2D4D8E89CF}"/>
    <cellStyle name="Comma 7 3 2" xfId="1801" xr:uid="{0E87439A-BFD7-4985-B629-0DDACD33A2C6}"/>
    <cellStyle name="Comma 7 4" xfId="1528" xr:uid="{9114E8B8-6A58-43C1-A5B1-35829673A44E}"/>
    <cellStyle name="Comma 7 4 2" xfId="2377" xr:uid="{BDF08653-1019-4CB1-A26A-C6573051D2EF}"/>
    <cellStyle name="Comma 8" xfId="1143" xr:uid="{0FD88E57-14A1-40FC-9477-C96E25492CE0}"/>
    <cellStyle name="Comma 8 2" xfId="1373" xr:uid="{0BB19685-7025-45A9-8241-45B89BCC565C}"/>
    <cellStyle name="Comma 8 2 2" xfId="2258" xr:uid="{C2BB318B-471D-4325-84A3-0B56333B11B7}"/>
    <cellStyle name="Comma 8 3" xfId="2028" xr:uid="{0230E1F7-3176-434C-8456-89940DE76EDC}"/>
    <cellStyle name="Comma 9" xfId="1257" xr:uid="{971631FA-90B2-4CD7-93DD-3F784E81F85A}"/>
    <cellStyle name="Comma 9 2" xfId="2142" xr:uid="{77A1DAF7-5B0D-4733-9A06-47EFCDEAA8D6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2 2 2" xfId="2444" xr:uid="{B4CDABA9-6D31-4815-83C9-512E657DD077}"/>
    <cellStyle name="Currency 2 2 3" xfId="1710" xr:uid="{589F416B-7430-40EC-879C-9314FD387E93}"/>
    <cellStyle name="Currency 2 3" xfId="690" xr:uid="{9C4D7435-CAEA-4E1C-AF51-D7C33A5A362E}"/>
    <cellStyle name="Currency 2 3 2" xfId="1638" xr:uid="{69C8B5FF-9F26-4822-879B-C9763D573929}"/>
    <cellStyle name="Currency 2 3 2 2" xfId="2471" xr:uid="{D85D2596-80EB-4BC1-B926-E0B6DBFB5F60}"/>
    <cellStyle name="Currency 2 3 3" xfId="1702" xr:uid="{B76A8436-E828-4616-B7DC-1E4C9089E526}"/>
    <cellStyle name="Currency 2 4" xfId="865" xr:uid="{8C3B8BBD-B628-4F2B-8D55-97666F333DE1}"/>
    <cellStyle name="Currency 2 4 2" xfId="1797" xr:uid="{3008EADD-F391-46DA-B4FA-FC34A21F3606}"/>
    <cellStyle name="Currency 2 5" xfId="1012" xr:uid="{2B08C812-A7E7-4016-93C8-C0DB4CB6968D}"/>
    <cellStyle name="Currency 2 5 2" xfId="1907" xr:uid="{33923DE7-F04A-458B-9184-BE5FAF72C81C}"/>
    <cellStyle name="Currency 2 6" xfId="484" xr:uid="{85D9DD75-2F9D-4F20-9400-0DF1B67F12D8}"/>
    <cellStyle name="Currency 2 6 2" xfId="1698" xr:uid="{0EE01138-8832-4DCA-A8DF-4231D4E76FDD}"/>
    <cellStyle name="Currency 2 7" xfId="1570" xr:uid="{F70DAD11-0C4F-4AEC-8C4F-9D99939DBE4C}"/>
    <cellStyle name="Currency 2 7 2" xfId="2414" xr:uid="{BD5716B7-9551-4254-843B-8F5181BE071A}"/>
    <cellStyle name="Currency 2 8" xfId="1662" xr:uid="{217EFEE5-79ED-4BB4-99F1-87C4A596ADD8}"/>
    <cellStyle name="Currency 3" xfId="53" xr:uid="{00000000-0005-0000-0000-000030000000}"/>
    <cellStyle name="Currency 3 2" xfId="700" xr:uid="{F12677A6-4868-46D1-8874-DF53244EE9F2}"/>
    <cellStyle name="Currency 3 2 2" xfId="1711" xr:uid="{95F668C1-94DC-454E-A5A1-F347416673CA}"/>
    <cellStyle name="Currency 3 3" xfId="691" xr:uid="{8C0C9F5B-7CBC-4E61-B5B1-D7F321083EB5}"/>
    <cellStyle name="Currency 3 3 2" xfId="1703" xr:uid="{7B995615-CC84-458A-8E46-DA59644F978E}"/>
    <cellStyle name="Currency 3 4" xfId="847" xr:uid="{A9840730-335F-4017-8C21-E00A0D19E2FE}"/>
    <cellStyle name="Currency 3 4 2" xfId="1790" xr:uid="{5712784F-3F68-43AC-886B-9AB710B6A0C4}"/>
    <cellStyle name="Currency 4" xfId="54" xr:uid="{00000000-0005-0000-0000-000031000000}"/>
    <cellStyle name="Currency 4 2" xfId="1024" xr:uid="{C7D9E384-5727-432F-96D9-82CF94516DD6}"/>
    <cellStyle name="Currency 4 2 2" xfId="1912" xr:uid="{B5125C0F-4C11-4595-A0BE-845CCB62AC4F}"/>
    <cellStyle name="Currency 4 3" xfId="1679" xr:uid="{A1FD6FFD-B0B3-4E08-9C5E-CA1A7AB5296E}"/>
    <cellStyle name="Currency 5" xfId="485" xr:uid="{C7B28150-23F3-45C8-963D-555E5B2F35A2}"/>
    <cellStyle name="Currency 5 2" xfId="1699" xr:uid="{15603656-5A2E-45E7-9295-4296399E9185}"/>
    <cellStyle name="Currency 6" xfId="1651" xr:uid="{1D36D290-9B8D-4366-9EA3-7B24D5CEBF63}"/>
    <cellStyle name="Currency 6 2" xfId="2481" xr:uid="{AD01237E-BF8F-4B3D-A02E-678D802129E4}"/>
    <cellStyle name="Currency0" xfId="8" xr:uid="{00000000-0005-0000-0000-000032000000}"/>
    <cellStyle name="Currency0 2" xfId="1572" xr:uid="{A67DA7F1-FDCC-4193-82F7-5AAABD13B541}"/>
    <cellStyle name="Currency0 2 2" xfId="2416" xr:uid="{6D79680C-780B-4348-A8A1-51C0A8F658EA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2 2" xfId="1681" xr:uid="{23F15DBD-EFBD-4DF7-8580-CCEEC1DEA9CC}"/>
    <cellStyle name="Input [yellow] 3" xfId="1573" xr:uid="{D16E7B25-5563-4B06-ACDF-0D7B628DC97A}"/>
    <cellStyle name="Input [yellow] 3 2" xfId="2417" xr:uid="{143BF992-0232-418F-A67C-E0CC55FD4F2E}"/>
    <cellStyle name="Input [yellow] 4" xfId="1644" xr:uid="{35359276-7EED-4A9F-A48F-A426D1C05BF9}"/>
    <cellStyle name="Input [yellow] 4 2" xfId="2477" xr:uid="{DE22921D-C803-4B06-818A-2D5A5476BF74}"/>
    <cellStyle name="Input [yellow] 5" xfId="1680" xr:uid="{76239EA4-E721-4BB6-BF0E-3FAC014E4C4A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1 2" xfId="2385" xr:uid="{EF08E605-1FD0-4647-BA7F-6ACAAA819A4A}"/>
    <cellStyle name="Input 22" xfId="1538" xr:uid="{7AC07D71-37BC-48AF-95B4-5171B3D34CD9}"/>
    <cellStyle name="Input 22 2" xfId="2383" xr:uid="{7C359722-BA4A-4C7C-A0BB-7283A0B141CC}"/>
    <cellStyle name="Input 23" xfId="1646" xr:uid="{C4E14F13-BFA4-45FE-9BC7-1AE1E056399D}"/>
    <cellStyle name="Input 23 2" xfId="2478" xr:uid="{94F321D0-BC17-4CF4-90F6-8602D5255787}"/>
    <cellStyle name="Input 24" xfId="1643" xr:uid="{1842796D-12E1-43C2-8712-D61AC4CD2DEA}"/>
    <cellStyle name="Input 24 2" xfId="2476" xr:uid="{1949B8DD-B9FF-4698-A93E-DBA9825511B1}"/>
    <cellStyle name="Input 25" xfId="1546" xr:uid="{6DFEB0B4-0CAA-48EE-B83F-B3AD170702E4}"/>
    <cellStyle name="Input 25 2" xfId="2390" xr:uid="{8568E0E0-43B1-4E3B-84D6-B33CCBF794B8}"/>
    <cellStyle name="Input 26" xfId="1557" xr:uid="{3FA2D9F5-E587-4AEA-9A78-8B0C129D5290}"/>
    <cellStyle name="Input 26 2" xfId="2401" xr:uid="{B3849E93-167F-40FE-9449-A27C6F0C8C11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0 2" xfId="2144" xr:uid="{586FF5E8-FB91-4EEC-A19E-F4D9D6EC7B86}"/>
    <cellStyle name="Normal 16 11" xfId="1015" xr:uid="{57D040D4-503F-40A1-90CD-1615B5E01440}"/>
    <cellStyle name="Normal 16 11 2" xfId="1909" xr:uid="{C4BFAED8-86AD-4D43-AF30-AAE9C5A3AC3A}"/>
    <cellStyle name="Normal 16 12" xfId="1525" xr:uid="{A8C1394D-571A-4DF2-9A7A-F3A896CB1989}"/>
    <cellStyle name="Normal 16 12 2" xfId="2376" xr:uid="{2690948A-105C-492A-8B5C-9D62D2B48E3E}"/>
    <cellStyle name="Normal 16 13" xfId="1603" xr:uid="{7393DD1E-A530-4689-AEE2-1C96D163242C}"/>
    <cellStyle name="Normal 16 14" xfId="1700" xr:uid="{62581B9B-564E-4344-BADD-B94FA40589C5}"/>
    <cellStyle name="Normal 16 2" xfId="702" xr:uid="{B5CB81A1-FB5B-4416-AC23-B698BDCF35B9}"/>
    <cellStyle name="Normal 16 2 10" xfId="1712" xr:uid="{25C71498-7258-4AE3-98C2-8DCC59C0F494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2 2 2" xfId="2360" xr:uid="{F1EC765F-33AA-4465-9941-8C94512D6CCB}"/>
    <cellStyle name="Normal 16 2 2 2 2 2 3" xfId="2127" xr:uid="{0FC1B9D9-E48D-424F-9711-2BF2C058460C}"/>
    <cellStyle name="Normal 16 2 2 2 2 3" xfId="1359" xr:uid="{2E131CCB-E43A-4F00-BA88-6385D22F28ED}"/>
    <cellStyle name="Normal 16 2 2 2 2 3 2" xfId="2244" xr:uid="{82AF9489-5B53-4639-9B6F-AD8E8E4B7001}"/>
    <cellStyle name="Normal 16 2 2 2 2 4" xfId="1123" xr:uid="{37527739-35E6-4706-BBB9-48C6880812AD}"/>
    <cellStyle name="Normal 16 2 2 2 2 4 2" xfId="2010" xr:uid="{5248D015-29F2-4AAD-9167-5D926B57CEA7}"/>
    <cellStyle name="Normal 16 2 2 2 2 5" xfId="1837" xr:uid="{B1FEF445-60D9-4E83-AC2D-DC6D63A7A935}"/>
    <cellStyle name="Normal 16 2 2 2 3" xfId="981" xr:uid="{8BCD1CF9-8159-48C3-A165-AB962B87DDD7}"/>
    <cellStyle name="Normal 16 2 2 2 3 2" xfId="1419" xr:uid="{2E9F9722-3CA5-438D-8D6D-7738B0984467}"/>
    <cellStyle name="Normal 16 2 2 2 3 2 2" xfId="2304" xr:uid="{EFE0D377-F128-4663-83D4-8AC9E1BB593D}"/>
    <cellStyle name="Normal 16 2 2 2 3 3" xfId="1186" xr:uid="{0E503507-8660-44E0-94C7-F4E10870FF0B}"/>
    <cellStyle name="Normal 16 2 2 2 3 3 2" xfId="2071" xr:uid="{F1616B79-7BE5-49DF-8E70-1924814E6112}"/>
    <cellStyle name="Normal 16 2 2 2 3 4" xfId="1893" xr:uid="{5CF42B3C-AD1E-4CF5-B5DB-1079D9251174}"/>
    <cellStyle name="Normal 16 2 2 2 4" xfId="1303" xr:uid="{979F8276-91F2-47BD-99EF-32588E3605B6}"/>
    <cellStyle name="Normal 16 2 2 2 4 2" xfId="2188" xr:uid="{9D25F883-9507-4D7C-A35A-8CC9E04BB953}"/>
    <cellStyle name="Normal 16 2 2 2 5" xfId="1066" xr:uid="{86B17F5B-CA6B-4804-949E-F7C2D7ECC56E}"/>
    <cellStyle name="Normal 16 2 2 2 5 2" xfId="1954" xr:uid="{297235D7-BEB4-4A16-8D99-88A482CC9552}"/>
    <cellStyle name="Normal 16 2 2 2 6" xfId="1754" xr:uid="{554913C9-D803-42FC-9CA6-FFFFA7596F7C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2 2 2" xfId="2330" xr:uid="{7ED0CB31-9B9F-4B5D-8263-42356EAD8D4B}"/>
    <cellStyle name="Normal 16 2 2 3 2 3" xfId="2097" xr:uid="{13439EF3-0109-42A9-A938-D116F1104C7C}"/>
    <cellStyle name="Normal 16 2 2 3 3" xfId="1329" xr:uid="{026C5EC5-B00A-428E-B16E-AF795C02B991}"/>
    <cellStyle name="Normal 16 2 2 3 3 2" xfId="2214" xr:uid="{399BF535-7EE3-4D8D-B9DE-0F966AC3F660}"/>
    <cellStyle name="Normal 16 2 2 3 4" xfId="1093" xr:uid="{4214FC4B-0897-4487-97F8-6039ABE03C3E}"/>
    <cellStyle name="Normal 16 2 2 3 4 2" xfId="1980" xr:uid="{2412E3C3-DC26-412D-8396-57FDE69A7279}"/>
    <cellStyle name="Normal 16 2 2 3 5" xfId="1807" xr:uid="{B72C04BB-B69C-43EF-BACC-35B40F7DEA0A}"/>
    <cellStyle name="Normal 16 2 2 4" xfId="951" xr:uid="{89A58685-58FB-4DDC-81B9-B8F938BFE0FA}"/>
    <cellStyle name="Normal 16 2 2 4 2" xfId="1393" xr:uid="{1005D80C-7C29-4324-AE76-4D671E24769A}"/>
    <cellStyle name="Normal 16 2 2 4 2 2" xfId="2278" xr:uid="{10DCEDAF-ECF7-4419-9BC1-65CE29ABEEAF}"/>
    <cellStyle name="Normal 16 2 2 4 3" xfId="1160" xr:uid="{06DDA56E-8B4F-42F1-ABFE-7C780EBB1C9A}"/>
    <cellStyle name="Normal 16 2 2 4 3 2" xfId="2045" xr:uid="{46ABCC1B-71BA-4E3A-865C-5B2AB327BD8B}"/>
    <cellStyle name="Normal 16 2 2 4 4" xfId="1863" xr:uid="{92F30CC1-100A-4733-9F7D-33F940ABB010}"/>
    <cellStyle name="Normal 16 2 2 5" xfId="1277" xr:uid="{EDBECFEE-4A06-4E5F-AB9B-FDDD8FB34AA6}"/>
    <cellStyle name="Normal 16 2 2 5 2" xfId="2162" xr:uid="{B4255E62-72E0-4E55-8FE4-261798EEC1C6}"/>
    <cellStyle name="Normal 16 2 2 6" xfId="1040" xr:uid="{7A69416D-089B-4BE5-8DA8-8A862B132B79}"/>
    <cellStyle name="Normal 16 2 2 6 2" xfId="1928" xr:uid="{4140ABA0-54F2-44BC-B976-F84C5C71F390}"/>
    <cellStyle name="Normal 16 2 2 7" xfId="1722" xr:uid="{51E5343E-FD92-4DF6-A6E3-3DF26BBA7290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2 2 2" xfId="2368" xr:uid="{CD13A6BA-6B0D-4877-9396-8F402636CEBB}"/>
    <cellStyle name="Normal 16 2 3 2 2 2 3" xfId="2135" xr:uid="{EDC6659C-09F0-48B3-AF25-D9BAA8E2D875}"/>
    <cellStyle name="Normal 16 2 3 2 2 3" xfId="1367" xr:uid="{872C178D-A946-4E4A-A209-F681FC201A68}"/>
    <cellStyle name="Normal 16 2 3 2 2 3 2" xfId="2252" xr:uid="{9533DD25-13DD-4FC7-B01A-9B2259F9CEDA}"/>
    <cellStyle name="Normal 16 2 3 2 2 4" xfId="1131" xr:uid="{4F94F7D6-5F4C-4C58-A10F-3D93FB5A55EC}"/>
    <cellStyle name="Normal 16 2 3 2 2 4 2" xfId="2018" xr:uid="{C9525256-6EAB-48B3-A794-A0C315BD491D}"/>
    <cellStyle name="Normal 16 2 3 2 2 5" xfId="1845" xr:uid="{5C79DC54-264D-4A09-8AF7-421762017138}"/>
    <cellStyle name="Normal 16 2 3 2 3" xfId="989" xr:uid="{1480CC62-9DAF-46C4-AD79-E2B7813983F4}"/>
    <cellStyle name="Normal 16 2 3 2 3 2" xfId="1427" xr:uid="{EEA6FC4A-320C-474D-9ACF-041CAE492F1E}"/>
    <cellStyle name="Normal 16 2 3 2 3 2 2" xfId="2312" xr:uid="{DA33B77A-A731-4B77-B7DB-2231102DDC0D}"/>
    <cellStyle name="Normal 16 2 3 2 3 3" xfId="1194" xr:uid="{5FB7FA9C-C8C8-42E6-AE95-C79E305A6BA6}"/>
    <cellStyle name="Normal 16 2 3 2 3 3 2" xfId="2079" xr:uid="{07DA7A25-F586-490A-ACB4-0A2A33FB2876}"/>
    <cellStyle name="Normal 16 2 3 2 3 4" xfId="1901" xr:uid="{94C52466-2825-4089-8065-D5413BB73D36}"/>
    <cellStyle name="Normal 16 2 3 2 4" xfId="1311" xr:uid="{1D1584EB-8D99-4475-80BF-CA938E0FF133}"/>
    <cellStyle name="Normal 16 2 3 2 4 2" xfId="2196" xr:uid="{7046812A-DFDE-4988-9C96-0F815DB9B4FE}"/>
    <cellStyle name="Normal 16 2 3 2 5" xfId="1074" xr:uid="{8CE72E2A-58BB-4597-B672-E5D5D011747D}"/>
    <cellStyle name="Normal 16 2 3 2 5 2" xfId="1962" xr:uid="{48B6EDF2-554B-422F-B76B-0228C28EB447}"/>
    <cellStyle name="Normal 16 2 3 2 6" xfId="1762" xr:uid="{1E3D88F9-58B7-4132-A162-B955566B3EB1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2 2 2" xfId="2338" xr:uid="{45E62815-0D2B-4473-82C1-A2575FB2FE8B}"/>
    <cellStyle name="Normal 16 2 3 3 2 3" xfId="2105" xr:uid="{0A176841-EFD4-4BAA-B5BE-95129720DCF7}"/>
    <cellStyle name="Normal 16 2 3 3 3" xfId="1337" xr:uid="{FC98BCE8-3FCF-4A57-A930-2B978B575E32}"/>
    <cellStyle name="Normal 16 2 3 3 3 2" xfId="2222" xr:uid="{54CBE304-C990-4383-9058-D652619EC00B}"/>
    <cellStyle name="Normal 16 2 3 3 4" xfId="1101" xr:uid="{7C7F496A-2C9B-4DB1-9C43-F623F0CB6591}"/>
    <cellStyle name="Normal 16 2 3 3 4 2" xfId="1988" xr:uid="{BE089F5B-93AC-44D3-B2E4-219B84B0D60E}"/>
    <cellStyle name="Normal 16 2 3 3 5" xfId="1815" xr:uid="{EDC31F2A-992D-4163-AACB-0999C8A0A16F}"/>
    <cellStyle name="Normal 16 2 3 4" xfId="959" xr:uid="{FDA52B70-09C9-4EA2-A9AE-07EF412D60B4}"/>
    <cellStyle name="Normal 16 2 3 4 2" xfId="1401" xr:uid="{B01EF6BA-5909-47FB-94D8-990C9F7ABCE2}"/>
    <cellStyle name="Normal 16 2 3 4 2 2" xfId="2286" xr:uid="{5E969510-734C-4509-8F65-8378266F5083}"/>
    <cellStyle name="Normal 16 2 3 4 3" xfId="1168" xr:uid="{87AAA9C8-38FB-4BA1-B6D4-52E6F91A1C4C}"/>
    <cellStyle name="Normal 16 2 3 4 3 2" xfId="2053" xr:uid="{2E301672-A817-4116-BB0C-ACF323546DAE}"/>
    <cellStyle name="Normal 16 2 3 4 4" xfId="1871" xr:uid="{09C9DA3B-76A2-41D2-A497-6B412B9B66D6}"/>
    <cellStyle name="Normal 16 2 3 5" xfId="1285" xr:uid="{97EE116A-7435-49E1-9080-E3B0765CF90B}"/>
    <cellStyle name="Normal 16 2 3 5 2" xfId="2170" xr:uid="{8D04053A-99C6-47D5-90C1-5FA34291A5F1}"/>
    <cellStyle name="Normal 16 2 3 6" xfId="1048" xr:uid="{F1C4B3D3-061F-4A83-9412-5A316539AC10}"/>
    <cellStyle name="Normal 16 2 3 6 2" xfId="1936" xr:uid="{5C10FC69-B229-4A44-8DE6-AEE3CDF0E9AD}"/>
    <cellStyle name="Normal 16 2 3 7" xfId="1730" xr:uid="{D8080BCF-5430-4F02-BB09-B4E345DE22B8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2 2 2" xfId="2352" xr:uid="{997C6166-EC09-4488-AB4A-7710A81EF653}"/>
    <cellStyle name="Normal 16 2 4 2 2 3" xfId="2119" xr:uid="{1A3408AF-E55F-4B17-861A-150699E74BA9}"/>
    <cellStyle name="Normal 16 2 4 2 3" xfId="1351" xr:uid="{4B24532C-C426-4608-99ED-8DE66DB46408}"/>
    <cellStyle name="Normal 16 2 4 2 3 2" xfId="2236" xr:uid="{89A71A12-5FBA-46C3-84F3-59F0786C1513}"/>
    <cellStyle name="Normal 16 2 4 2 4" xfId="1115" xr:uid="{F96E555E-18E3-48D0-A7CF-EDFFCF8B6C48}"/>
    <cellStyle name="Normal 16 2 4 2 4 2" xfId="2002" xr:uid="{5D38DABE-C13C-42E4-9450-D6C7708A32ED}"/>
    <cellStyle name="Normal 16 2 4 2 5" xfId="1829" xr:uid="{4F775BC4-BFD8-4619-B0A8-3169D103BBE1}"/>
    <cellStyle name="Normal 16 2 4 3" xfId="973" xr:uid="{80BE72E1-5B95-4FF6-81A6-5C3E36BA1281}"/>
    <cellStyle name="Normal 16 2 4 3 2" xfId="1385" xr:uid="{E1836667-345E-4348-AB82-6807F54570EB}"/>
    <cellStyle name="Normal 16 2 4 3 2 2" xfId="2270" xr:uid="{AB96936B-25C0-43AC-BC84-3DC3F8D196B0}"/>
    <cellStyle name="Normal 16 2 4 3 3" xfId="1152" xr:uid="{48A3CDD0-4359-4D55-A277-EF0A326D1B73}"/>
    <cellStyle name="Normal 16 2 4 3 3 2" xfId="2037" xr:uid="{8B566DA6-1266-4453-A81C-7EC97C315D37}"/>
    <cellStyle name="Normal 16 2 4 3 4" xfId="1885" xr:uid="{470428D5-AEC8-40DA-9B8E-0B3C6035CBFC}"/>
    <cellStyle name="Normal 16 2 4 4" xfId="1269" xr:uid="{25BE4342-2353-4828-9B45-469672BDA3F8}"/>
    <cellStyle name="Normal 16 2 4 4 2" xfId="2154" xr:uid="{024ABAC8-6596-4464-8B49-5F0F185B7595}"/>
    <cellStyle name="Normal 16 2 4 5" xfId="1032" xr:uid="{D8FEFC3C-03C0-436A-B6F0-54ABB8426012}"/>
    <cellStyle name="Normal 16 2 4 5 2" xfId="1920" xr:uid="{1173C779-07E3-408C-9A2E-B19B0B958203}"/>
    <cellStyle name="Normal 16 2 4 6" xfId="1746" xr:uid="{1CC643B5-63DF-4114-B3DA-65EF1410BD9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2 2 2" xfId="2296" xr:uid="{6C4844B0-8A4F-4858-B21C-ECFED647F807}"/>
    <cellStyle name="Normal 16 2 5 2 3" xfId="2063" xr:uid="{D9129567-79BC-4175-9B0D-B241774826BF}"/>
    <cellStyle name="Normal 16 2 5 3" xfId="1295" xr:uid="{2EB076AC-55BB-4FAD-B567-D01CF76CD668}"/>
    <cellStyle name="Normal 16 2 5 3 2" xfId="2180" xr:uid="{07577802-2602-49A4-8BC1-14C2C498A235}"/>
    <cellStyle name="Normal 16 2 5 4" xfId="1058" xr:uid="{701C20DC-C784-4E88-BCFC-3A954897E3D8}"/>
    <cellStyle name="Normal 16 2 5 4 2" xfId="1946" xr:uid="{69408BEB-91A5-44D7-AA58-8795BF6DA118}"/>
    <cellStyle name="Normal 16 2 5 5" xfId="1798" xr:uid="{10AFFFCD-42DC-45DC-8235-19D42631DAA7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2 2 2" xfId="2322" xr:uid="{C80CB69D-AA9B-405F-89A8-FA0E7B0A4079}"/>
    <cellStyle name="Normal 16 2 6 2 3" xfId="2089" xr:uid="{1BC3B5C3-F6F8-4E0D-A582-E370B1C92D2F}"/>
    <cellStyle name="Normal 16 2 6 3" xfId="1321" xr:uid="{6AB800DB-38E9-406C-A358-173ABD9F97E2}"/>
    <cellStyle name="Normal 16 2 6 3 2" xfId="2206" xr:uid="{A1537D39-A6C7-4429-A10F-7CF02B98B2D0}"/>
    <cellStyle name="Normal 16 2 6 4" xfId="1085" xr:uid="{0800CD92-0CED-44DA-87C1-D87CB2577BE9}"/>
    <cellStyle name="Normal 16 2 6 4 2" xfId="1972" xr:uid="{EC8819A5-AE51-4F77-9C23-027F052834C2}"/>
    <cellStyle name="Normal 16 2 6 5" xfId="1855" xr:uid="{96DF0B9E-02DE-4E45-BBAD-CB103401032A}"/>
    <cellStyle name="Normal 16 2 7" xfId="1145" xr:uid="{5BEA8471-93C4-4F4A-B01A-D3C2D15F52F8}"/>
    <cellStyle name="Normal 16 2 7 2" xfId="1378" xr:uid="{E286ACE1-416B-4AE7-A618-A2950CA5912D}"/>
    <cellStyle name="Normal 16 2 7 2 2" xfId="2263" xr:uid="{C6F11170-FF7F-4B2D-8900-079FE13E16C3}"/>
    <cellStyle name="Normal 16 2 7 3" xfId="2030" xr:uid="{81198F3E-00DD-4B77-9AD3-F4D5E3645A58}"/>
    <cellStyle name="Normal 16 2 8" xfId="1262" xr:uid="{9667BC3C-4D98-4C69-85D7-DF0356E78227}"/>
    <cellStyle name="Normal 16 2 8 2" xfId="2147" xr:uid="{B8AA2B7F-4E60-45F4-9744-1D1CB55FD243}"/>
    <cellStyle name="Normal 16 2 9" xfId="1025" xr:uid="{F6FA6B5F-B0B8-4489-A2DF-9B1AA05F7B3E}"/>
    <cellStyle name="Normal 16 2 9 2" xfId="1913" xr:uid="{3B9C52E6-FD30-441C-B1B2-E9FA81C7DB9A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2 2 2" xfId="2349" xr:uid="{3B768B3B-8CCF-4F5B-AE6A-CFCF6F97FEB2}"/>
    <cellStyle name="Normal 16 3 2 2 2 3" xfId="2116" xr:uid="{6C26136E-628F-4723-BDD3-6D1A4A9EDA36}"/>
    <cellStyle name="Normal 16 3 2 2 3" xfId="1348" xr:uid="{7A3F7C50-18E7-4F81-A568-30789E504B05}"/>
    <cellStyle name="Normal 16 3 2 2 3 2" xfId="2233" xr:uid="{9037A21F-2E8A-4D3E-BD5C-08559670F736}"/>
    <cellStyle name="Normal 16 3 2 2 4" xfId="1112" xr:uid="{33033AB1-B54C-4D0E-A57A-B5F4EAF19085}"/>
    <cellStyle name="Normal 16 3 2 2 4 2" xfId="1999" xr:uid="{93800791-EAC0-4C47-8720-E44358CDE511}"/>
    <cellStyle name="Normal 16 3 2 2 5" xfId="1826" xr:uid="{F898DAAD-0394-43E0-9850-A5F487FAFE62}"/>
    <cellStyle name="Normal 16 3 2 3" xfId="970" xr:uid="{592E2029-CE45-42F4-A5F0-68CB25F990C5}"/>
    <cellStyle name="Normal 16 3 2 3 2" xfId="1408" xr:uid="{D0BB00D9-8E74-4835-8172-2500BF090980}"/>
    <cellStyle name="Normal 16 3 2 3 2 2" xfId="2293" xr:uid="{AF55671A-E6CD-4DE9-B78C-5161E476FC6E}"/>
    <cellStyle name="Normal 16 3 2 3 3" xfId="1175" xr:uid="{555F11FC-0FFA-4D50-B298-0B2BD0EC417C}"/>
    <cellStyle name="Normal 16 3 2 3 3 2" xfId="2060" xr:uid="{E6770B9F-6E3A-4455-B6D2-D0F39B941C5F}"/>
    <cellStyle name="Normal 16 3 2 3 4" xfId="1882" xr:uid="{5E82870C-AECF-4F67-997C-2DCF60481109}"/>
    <cellStyle name="Normal 16 3 2 4" xfId="1292" xr:uid="{9EB1F452-8282-42A8-A521-AED9E558438D}"/>
    <cellStyle name="Normal 16 3 2 4 2" xfId="2177" xr:uid="{05C8F3ED-9887-4B0A-9268-341FB8E23262}"/>
    <cellStyle name="Normal 16 3 2 5" xfId="1055" xr:uid="{1ECE2BC0-98B3-4C95-9627-9350827B8964}"/>
    <cellStyle name="Normal 16 3 2 5 2" xfId="1943" xr:uid="{E23BEBCD-DC3E-4E62-8C2F-BFCBC457B524}"/>
    <cellStyle name="Normal 16 3 2 6" xfId="1743" xr:uid="{3A966E70-6FED-4B88-B5FD-57A0533D760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2 2 2" xfId="2319" xr:uid="{F123FD4A-B8FA-486D-AF6F-137A531CB63B}"/>
    <cellStyle name="Normal 16 3 3 2 3" xfId="2086" xr:uid="{2ADAA139-A212-4828-8A1D-17254B437386}"/>
    <cellStyle name="Normal 16 3 3 3" xfId="1318" xr:uid="{40650D26-9659-4451-94DE-50DDC58FA0FC}"/>
    <cellStyle name="Normal 16 3 3 3 2" xfId="2203" xr:uid="{1D34DF1E-E870-43A0-89AF-4AE8C5CD7186}"/>
    <cellStyle name="Normal 16 3 3 4" xfId="1082" xr:uid="{112FBEDC-618C-4338-9BE5-A0890D22D505}"/>
    <cellStyle name="Normal 16 3 3 4 2" xfId="1969" xr:uid="{D49FAC32-1B82-4D86-BACD-DC5710F80ECE}"/>
    <cellStyle name="Normal 16 3 3 5" xfId="1793" xr:uid="{3F736E37-A0DC-44E2-BBA1-5C1DC6A4A83A}"/>
    <cellStyle name="Normal 16 3 4" xfId="940" xr:uid="{DF1E51C7-A3C3-441D-8D06-72D100FFB01E}"/>
    <cellStyle name="Normal 16 3 4 2" xfId="1382" xr:uid="{E5702181-C0C8-4BA9-A193-592F6C671E0E}"/>
    <cellStyle name="Normal 16 3 4 2 2" xfId="2267" xr:uid="{E71CCAC0-D4B1-4BAA-AFF9-E4B4B00294FA}"/>
    <cellStyle name="Normal 16 3 4 3" xfId="1149" xr:uid="{2596E483-19F4-47AA-BA41-34E801339111}"/>
    <cellStyle name="Normal 16 3 4 3 2" xfId="2034" xr:uid="{40D9F7DA-7822-48D6-97C8-E52F096E0194}"/>
    <cellStyle name="Normal 16 3 4 4" xfId="1852" xr:uid="{0639052A-ABEF-4731-A175-989D789605C7}"/>
    <cellStyle name="Normal 16 3 5" xfId="1266" xr:uid="{D9CE3EBE-49F0-4D58-ABE3-0F7215A9BC85}"/>
    <cellStyle name="Normal 16 3 5 2" xfId="2151" xr:uid="{76595906-1DC3-4950-AB30-1644FED1EFA0}"/>
    <cellStyle name="Normal 16 3 6" xfId="1029" xr:uid="{EE401F4A-9970-4582-83DC-88A28DD98B3C}"/>
    <cellStyle name="Normal 16 3 6 2" xfId="1917" xr:uid="{BA6CE665-E412-4D59-B172-243D9E24323C}"/>
    <cellStyle name="Normal 16 3 7" xfId="1704" xr:uid="{041F1B38-E27F-4C1E-B6D1-10B9800C5356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2 2 2" xfId="2357" xr:uid="{462307B8-AB45-4866-8838-41DCAC35450D}"/>
    <cellStyle name="Normal 16 4 2 2 2 3" xfId="2124" xr:uid="{364886FD-2107-48FB-9E9B-E9355EE276E6}"/>
    <cellStyle name="Normal 16 4 2 2 3" xfId="1356" xr:uid="{22F798B6-306F-4DF2-9EDF-C39A69EF75F7}"/>
    <cellStyle name="Normal 16 4 2 2 3 2" xfId="2241" xr:uid="{1C2C0DE5-D928-4A4B-8928-6CCFEA79BED0}"/>
    <cellStyle name="Normal 16 4 2 2 4" xfId="1120" xr:uid="{918BAB90-6D29-492C-8E36-770CE13C6185}"/>
    <cellStyle name="Normal 16 4 2 2 4 2" xfId="2007" xr:uid="{EC4BF8B0-6E58-4E80-9B76-A8CADF210C37}"/>
    <cellStyle name="Normal 16 4 2 2 5" xfId="1834" xr:uid="{2A7E9EAB-783C-40D0-B78E-B4AA07A4D934}"/>
    <cellStyle name="Normal 16 4 2 3" xfId="978" xr:uid="{C743BE88-30B7-4A77-BFDE-0D65DA21EDF9}"/>
    <cellStyle name="Normal 16 4 2 3 2" xfId="1416" xr:uid="{07469379-CAD4-46AD-913C-9C8844F80971}"/>
    <cellStyle name="Normal 16 4 2 3 2 2" xfId="2301" xr:uid="{AA761068-87E1-491D-A72C-A80BDE6B408C}"/>
    <cellStyle name="Normal 16 4 2 3 3" xfId="1183" xr:uid="{CE51430F-DE24-4741-BF15-4356FEC478DC}"/>
    <cellStyle name="Normal 16 4 2 3 3 2" xfId="2068" xr:uid="{C074F460-F751-4AA1-B567-89B31223BD09}"/>
    <cellStyle name="Normal 16 4 2 3 4" xfId="1890" xr:uid="{55F93099-26F9-47AB-9E1C-36FD6125C993}"/>
    <cellStyle name="Normal 16 4 2 4" xfId="1300" xr:uid="{13188033-950F-4035-9540-8F761AB2F1BB}"/>
    <cellStyle name="Normal 16 4 2 4 2" xfId="2185" xr:uid="{B3FE42E8-E871-4E49-9977-3BDEB858E251}"/>
    <cellStyle name="Normal 16 4 2 5" xfId="1063" xr:uid="{E71989F3-B066-4A3D-9A41-D6457AA038F5}"/>
    <cellStyle name="Normal 16 4 2 5 2" xfId="1951" xr:uid="{342F4F7E-E2E2-44A4-8ACD-1F44779AD64A}"/>
    <cellStyle name="Normal 16 4 2 6" xfId="1751" xr:uid="{395EC974-8A1D-440E-8B6E-9C2E9F1C644E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2 2 2" xfId="2327" xr:uid="{4E318009-4F45-40B0-BC90-05EBDA3691B0}"/>
    <cellStyle name="Normal 16 4 3 2 3" xfId="2094" xr:uid="{7010DD5B-5FEA-467C-B195-E6E2B735C92A}"/>
    <cellStyle name="Normal 16 4 3 3" xfId="1326" xr:uid="{BE5C968D-05EC-447B-B945-E2F3CC2206BC}"/>
    <cellStyle name="Normal 16 4 3 3 2" xfId="2211" xr:uid="{AF3B8D0B-E709-423E-9835-7FD990CB6383}"/>
    <cellStyle name="Normal 16 4 3 4" xfId="1090" xr:uid="{11A2E6CB-F2E4-4E5B-928C-62F98322B322}"/>
    <cellStyle name="Normal 16 4 3 4 2" xfId="1977" xr:uid="{BC1F638E-4672-4C16-8D44-E955101441C1}"/>
    <cellStyle name="Normal 16 4 3 5" xfId="1804" xr:uid="{532248B8-CE0D-4EAD-861E-8F6998B1FDE0}"/>
    <cellStyle name="Normal 16 4 4" xfId="948" xr:uid="{9B328873-1806-4082-B064-C7A23B75314F}"/>
    <cellStyle name="Normal 16 4 4 2" xfId="1390" xr:uid="{7AEB1605-5FD2-4024-91D9-891CD1546843}"/>
    <cellStyle name="Normal 16 4 4 2 2" xfId="2275" xr:uid="{33888FDB-E2C2-4A56-AF07-4BBF360E3011}"/>
    <cellStyle name="Normal 16 4 4 3" xfId="1157" xr:uid="{0D92C57B-0246-46A8-A079-53C6CB3C8803}"/>
    <cellStyle name="Normal 16 4 4 3 2" xfId="2042" xr:uid="{BE86C28D-4E32-4302-8F4F-E645E5D693EC}"/>
    <cellStyle name="Normal 16 4 4 4" xfId="1860" xr:uid="{BABAA69E-69F9-412F-BAA6-1CBCBE5A09A4}"/>
    <cellStyle name="Normal 16 4 5" xfId="1274" xr:uid="{BB64F024-BAC7-44C7-B8F7-13A1FAEC51DD}"/>
    <cellStyle name="Normal 16 4 5 2" xfId="2159" xr:uid="{1A0FD45D-B224-4BA3-B930-665D4EB41E26}"/>
    <cellStyle name="Normal 16 4 6" xfId="1037" xr:uid="{A4933E40-6FC5-405E-A940-AA6D0C52D173}"/>
    <cellStyle name="Normal 16 4 6 2" xfId="1925" xr:uid="{8688A732-47AD-4424-A32D-13FD9DA3092D}"/>
    <cellStyle name="Normal 16 4 7" xfId="1719" xr:uid="{A98FDD3A-B226-45E9-ADAA-852E427201F1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2 2 2" xfId="2365" xr:uid="{1B7149D9-EE2E-4421-BE1D-BA5F911F6E2C}"/>
    <cellStyle name="Normal 16 5 2 2 2 3" xfId="2132" xr:uid="{E92A10FA-C75F-4FBF-B51F-8696547D4FAF}"/>
    <cellStyle name="Normal 16 5 2 2 3" xfId="1364" xr:uid="{ECBD7176-25D0-4351-82B7-A206A0C35428}"/>
    <cellStyle name="Normal 16 5 2 2 3 2" xfId="2249" xr:uid="{4C958EF3-EBC9-4EB6-819F-81CD3DB314CD}"/>
    <cellStyle name="Normal 16 5 2 2 4" xfId="1128" xr:uid="{B0005392-6A58-4646-9B1C-DB806894FBC0}"/>
    <cellStyle name="Normal 16 5 2 2 4 2" xfId="2015" xr:uid="{6DB61AB8-F7C9-4171-88F5-CF06906C8DC5}"/>
    <cellStyle name="Normal 16 5 2 2 5" xfId="1842" xr:uid="{A91CE7B8-C565-434B-AEC4-30A8CA4A7C50}"/>
    <cellStyle name="Normal 16 5 2 3" xfId="986" xr:uid="{2E26093C-AB4E-4760-B265-60BE2F318FB5}"/>
    <cellStyle name="Normal 16 5 2 3 2" xfId="1424" xr:uid="{1C563250-2DE2-49D5-A64A-CDC7D41AE731}"/>
    <cellStyle name="Normal 16 5 2 3 2 2" xfId="2309" xr:uid="{C93A9ED1-8A49-4CBF-AF9A-29327FB52DA5}"/>
    <cellStyle name="Normal 16 5 2 3 3" xfId="1191" xr:uid="{81C1BDF8-F98F-4459-AC5A-02C501FB301C}"/>
    <cellStyle name="Normal 16 5 2 3 3 2" xfId="2076" xr:uid="{2A937EA9-72E0-4234-A5E8-9FC61C8FBAF0}"/>
    <cellStyle name="Normal 16 5 2 3 4" xfId="1898" xr:uid="{C4E92139-83F2-447F-B839-36F89ABC626B}"/>
    <cellStyle name="Normal 16 5 2 4" xfId="1308" xr:uid="{34855590-3299-46E8-8AEF-DB5FAFD98962}"/>
    <cellStyle name="Normal 16 5 2 4 2" xfId="2193" xr:uid="{584A8D12-B1FA-4D44-BF5B-375B32279373}"/>
    <cellStyle name="Normal 16 5 2 5" xfId="1071" xr:uid="{9B94545B-F5F1-4BA5-87C1-5BD7763A2A19}"/>
    <cellStyle name="Normal 16 5 2 5 2" xfId="1959" xr:uid="{D0EFE84B-F3E5-4397-807C-9552A63EF235}"/>
    <cellStyle name="Normal 16 5 2 6" xfId="1759" xr:uid="{2A113C7C-020F-4708-B11E-48DEDA7A7797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2 2 2" xfId="2335" xr:uid="{3E5C51BD-4A29-45AF-A6FE-7D6EFDDDD5AC}"/>
    <cellStyle name="Normal 16 5 3 2 3" xfId="2102" xr:uid="{84073DB8-5EB5-417E-AF51-238E87A19A4C}"/>
    <cellStyle name="Normal 16 5 3 3" xfId="1334" xr:uid="{1C2E214E-6433-4C88-B51A-FCCF7270D323}"/>
    <cellStyle name="Normal 16 5 3 3 2" xfId="2219" xr:uid="{27A836A6-63DC-4072-B9C1-B15B74E05C08}"/>
    <cellStyle name="Normal 16 5 3 4" xfId="1098" xr:uid="{944A7916-B300-4BE8-92A0-56F7A459E40A}"/>
    <cellStyle name="Normal 16 5 3 4 2" xfId="1985" xr:uid="{9724282E-7502-4A14-89A5-A9FEE3508C1D}"/>
    <cellStyle name="Normal 16 5 3 5" xfId="1812" xr:uid="{B9FC6DED-E851-46C1-960A-C4F4A3806594}"/>
    <cellStyle name="Normal 16 5 4" xfId="956" xr:uid="{0BF55E71-56B9-4AED-B999-3F4BAD64225C}"/>
    <cellStyle name="Normal 16 5 4 2" xfId="1398" xr:uid="{9372F4C0-4C76-48A7-82FA-4E4DC2B6579C}"/>
    <cellStyle name="Normal 16 5 4 2 2" xfId="2283" xr:uid="{4E6FF2FF-C86B-4008-8B47-714E9A052B66}"/>
    <cellStyle name="Normal 16 5 4 3" xfId="1165" xr:uid="{B6D83829-DBBE-44A9-A070-F40F3B710B59}"/>
    <cellStyle name="Normal 16 5 4 3 2" xfId="2050" xr:uid="{9B50DC05-CB0A-4C71-BA68-96707D4F9D75}"/>
    <cellStyle name="Normal 16 5 4 4" xfId="1868" xr:uid="{32DFC66E-6D1D-4B07-B7ED-95D70570E9B8}"/>
    <cellStyle name="Normal 16 5 5" xfId="1282" xr:uid="{C2A1EC7C-8B6D-4FB3-8405-87E4108A8508}"/>
    <cellStyle name="Normal 16 5 5 2" xfId="2167" xr:uid="{37B23D9E-5701-419B-A2E9-C566299BE09F}"/>
    <cellStyle name="Normal 16 5 6" xfId="1045" xr:uid="{7F9190FF-B1C3-4A13-AC17-4E3DCC037934}"/>
    <cellStyle name="Normal 16 5 6 2" xfId="1933" xr:uid="{A92DDEEA-6BC8-4862-8F6B-6354C2E438F6}"/>
    <cellStyle name="Normal 16 5 7" xfId="1727" xr:uid="{5D873EC0-3257-42B4-943A-8BA016326915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2 2 2" xfId="2347" xr:uid="{CBB502C8-7CFF-40D3-865A-215B1CE4CDE0}"/>
    <cellStyle name="Normal 16 6 2 2 3" xfId="2114" xr:uid="{0409BA0B-8254-4FE0-ACA2-F7834534F0E0}"/>
    <cellStyle name="Normal 16 6 2 3" xfId="1346" xr:uid="{5E032A8D-DFE9-4B53-81BB-D6592597D222}"/>
    <cellStyle name="Normal 16 6 2 3 2" xfId="2231" xr:uid="{CDB6B09F-3997-4BA0-80F4-FEDD8878999D}"/>
    <cellStyle name="Normal 16 6 2 4" xfId="1110" xr:uid="{ED2CFEC9-EF56-4378-9B0A-9239B876CA55}"/>
    <cellStyle name="Normal 16 6 2 4 2" xfId="1997" xr:uid="{5DADA02A-8771-44EA-B249-6315BEEE1C18}"/>
    <cellStyle name="Normal 16 6 2 5" xfId="1824" xr:uid="{D569E885-47A7-4AF1-8FE9-049EA19732FD}"/>
    <cellStyle name="Normal 16 6 3" xfId="968" xr:uid="{E638FDF6-C53D-4113-883F-5F6B8E25A712}"/>
    <cellStyle name="Normal 16 6 3 2" xfId="1380" xr:uid="{5B87E875-39C3-4476-BC67-131E3C1BCF5D}"/>
    <cellStyle name="Normal 16 6 3 2 2" xfId="2265" xr:uid="{97FA46CA-BEF3-400E-9793-0D67A72F0854}"/>
    <cellStyle name="Normal 16 6 3 3" xfId="1147" xr:uid="{31A7468B-9D98-4F5A-9CFD-7A85237A6C52}"/>
    <cellStyle name="Normal 16 6 3 3 2" xfId="2032" xr:uid="{9D3DBED8-8F15-4923-BDE2-83FE3F68A27C}"/>
    <cellStyle name="Normal 16 6 3 4" xfId="1880" xr:uid="{9BF7C175-477A-461C-99D1-2F7F1CC67A9B}"/>
    <cellStyle name="Normal 16 6 4" xfId="1264" xr:uid="{9031939C-395B-46CA-AC12-69BC813952AD}"/>
    <cellStyle name="Normal 16 6 4 2" xfId="2149" xr:uid="{45512C5C-3F68-4B0C-AEFE-E374ED481647}"/>
    <cellStyle name="Normal 16 6 5" xfId="1027" xr:uid="{E279AB78-14E9-4C44-882F-410D7439A979}"/>
    <cellStyle name="Normal 16 6 5 2" xfId="1915" xr:uid="{DD2065AF-ADD5-476D-B1FC-11B0A02E9C5C}"/>
    <cellStyle name="Normal 16 6 6" xfId="1741" xr:uid="{41D11822-B399-4365-8731-9DCDF5CFD3E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2 2 2" xfId="2291" xr:uid="{D5FD94B9-E830-4D9D-80EE-02247002F3B4}"/>
    <cellStyle name="Normal 16 7 2 3" xfId="2058" xr:uid="{098EBDA7-56BC-4994-B145-517590489F4E}"/>
    <cellStyle name="Normal 16 7 3" xfId="1290" xr:uid="{1BB29B83-1557-44DD-829F-12EC44F3FB73}"/>
    <cellStyle name="Normal 16 7 3 2" xfId="2175" xr:uid="{843A2386-92A8-47D3-8AD4-CA5F82AC98EE}"/>
    <cellStyle name="Normal 16 7 4" xfId="1053" xr:uid="{1FD5B3C2-B6E5-42B2-B381-84051E674AED}"/>
    <cellStyle name="Normal 16 7 4 2" xfId="1941" xr:uid="{78E41FE0-44D9-4CE1-A4FB-E394190C49FC}"/>
    <cellStyle name="Normal 16 7 5" xfId="1791" xr:uid="{3136405F-2FCA-4AE3-BC14-571A18782504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2 2 2" xfId="2317" xr:uid="{0CA57E1E-0591-4A17-9E2A-F4C97E19A4CB}"/>
    <cellStyle name="Normal 16 8 2 3" xfId="2084" xr:uid="{5142E839-DF90-4BCB-8EF4-41CB887831E7}"/>
    <cellStyle name="Normal 16 8 3" xfId="1316" xr:uid="{88801C65-8F38-43C1-AA37-1BE4356B18A7}"/>
    <cellStyle name="Normal 16 8 3 2" xfId="2201" xr:uid="{DF4EB218-5C07-4C59-8405-D67846C9E424}"/>
    <cellStyle name="Normal 16 8 4" xfId="1080" xr:uid="{3D817D99-C614-4377-AB8D-D9735607212A}"/>
    <cellStyle name="Normal 16 8 4 2" xfId="1967" xr:uid="{E5E79A57-A2EA-4271-B230-47BC28C71AF4}"/>
    <cellStyle name="Normal 16 8 5" xfId="1850" xr:uid="{F098F74E-1680-4686-B01D-EFBBF4448D73}"/>
    <cellStyle name="Normal 16 9" xfId="1140" xr:uid="{8534E94A-8D28-48DF-973A-AC8924C02445}"/>
    <cellStyle name="Normal 16 9 2" xfId="1375" xr:uid="{7EAD7DFC-98F1-4BD8-8F03-C79EDBB3DB4C}"/>
    <cellStyle name="Normal 16 9 2 2" xfId="2260" xr:uid="{C892DB00-4F27-4E00-B2FA-FD63B4E99295}"/>
    <cellStyle name="Normal 16 9 3" xfId="2026" xr:uid="{989EAE83-4A06-4188-A20C-A2CAB01EAD33}"/>
    <cellStyle name="Normal 17" xfId="619" xr:uid="{0C8ADA19-BD56-4582-8D5B-93133CD00AB2}"/>
    <cellStyle name="Normal 17 10" xfId="1260" xr:uid="{9D0FD28E-A9D9-4E0F-9A5D-B2697CB29779}"/>
    <cellStyle name="Normal 17 10 2" xfId="2145" xr:uid="{3DA07F1F-B0D7-4B46-A56E-1354F0201583}"/>
    <cellStyle name="Normal 17 11" xfId="1016" xr:uid="{0E12EE3F-6CC6-4ABA-9011-C6505CBD1CB3}"/>
    <cellStyle name="Normal 17 11 2" xfId="1910" xr:uid="{0DF2E488-5173-4C99-8752-3941FA62F0BC}"/>
    <cellStyle name="Normal 17 12" xfId="1615" xr:uid="{94E3AD69-6DC5-4B2F-A52C-BADDE5888D4E}"/>
    <cellStyle name="Normal 17 13" xfId="1701" xr:uid="{65A989EE-A193-4417-A655-448521A87148}"/>
    <cellStyle name="Normal 17 2" xfId="703" xr:uid="{CFA2D5BB-9ED6-4529-AC96-8FE18C873E09}"/>
    <cellStyle name="Normal 17 2 10" xfId="1713" xr:uid="{5670B164-C0F6-4C92-AD3B-6B851680BAE8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2 2 2" xfId="2361" xr:uid="{00E02249-2F7B-4285-AF27-019011661439}"/>
    <cellStyle name="Normal 17 2 2 2 2 2 3" xfId="2128" xr:uid="{8BF6A42A-84D2-4B9C-AA27-A9BA15A68942}"/>
    <cellStyle name="Normal 17 2 2 2 2 3" xfId="1360" xr:uid="{BE93CB78-B43F-4E69-9AB5-8A9DFD95F185}"/>
    <cellStyle name="Normal 17 2 2 2 2 3 2" xfId="2245" xr:uid="{A6FAA2F2-A781-4AC5-933A-C28816F04A69}"/>
    <cellStyle name="Normal 17 2 2 2 2 4" xfId="1124" xr:uid="{2DB3CD64-076E-4A80-82B3-EF8884AFB89D}"/>
    <cellStyle name="Normal 17 2 2 2 2 4 2" xfId="2011" xr:uid="{95CF99EA-C78B-41AF-AE23-5C4B92A029DF}"/>
    <cellStyle name="Normal 17 2 2 2 2 5" xfId="1838" xr:uid="{E3CDFC26-72E9-4750-82D2-B772B2A12C92}"/>
    <cellStyle name="Normal 17 2 2 2 3" xfId="982" xr:uid="{B6605F7C-8B2F-4700-BB67-4306C9A47B08}"/>
    <cellStyle name="Normal 17 2 2 2 3 2" xfId="1420" xr:uid="{B79E8AF8-9E4C-4800-B097-E2D7638853F3}"/>
    <cellStyle name="Normal 17 2 2 2 3 2 2" xfId="2305" xr:uid="{7B6D7A49-CCCC-48B2-BBDC-12989931241A}"/>
    <cellStyle name="Normal 17 2 2 2 3 3" xfId="1187" xr:uid="{FD380C7F-5973-4C40-8322-842654ED9E0B}"/>
    <cellStyle name="Normal 17 2 2 2 3 3 2" xfId="2072" xr:uid="{C99D6AE9-A706-4C2E-A063-67A19DFFE48E}"/>
    <cellStyle name="Normal 17 2 2 2 3 4" xfId="1894" xr:uid="{A3BA892F-3DD0-4792-A207-F3BDF7881B46}"/>
    <cellStyle name="Normal 17 2 2 2 4" xfId="1304" xr:uid="{1E2B48F7-05F7-429B-9AE4-A67EB43A46A8}"/>
    <cellStyle name="Normal 17 2 2 2 4 2" xfId="2189" xr:uid="{F5A8B586-93E3-4C1B-8437-A9750EBADCFF}"/>
    <cellStyle name="Normal 17 2 2 2 5" xfId="1067" xr:uid="{402E278B-6047-48DA-A4F6-EE347BD0179D}"/>
    <cellStyle name="Normal 17 2 2 2 5 2" xfId="1955" xr:uid="{9A40E21F-DCD0-490D-8AE3-93ADDFF95B7C}"/>
    <cellStyle name="Normal 17 2 2 2 6" xfId="1755" xr:uid="{5BFAD711-37A4-42DD-B6D9-FAEEC710923E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2 2 2" xfId="2331" xr:uid="{9F42DBA0-B364-4897-8FAE-F09248B9D1AF}"/>
    <cellStyle name="Normal 17 2 2 3 2 3" xfId="2098" xr:uid="{810CCC9C-C521-4E61-A51E-AE90250E8D0B}"/>
    <cellStyle name="Normal 17 2 2 3 3" xfId="1330" xr:uid="{EFB53BCB-A63D-4239-9B75-96911782A9D1}"/>
    <cellStyle name="Normal 17 2 2 3 3 2" xfId="2215" xr:uid="{7E865ADF-3494-4835-9325-599C3E3F39E1}"/>
    <cellStyle name="Normal 17 2 2 3 4" xfId="1094" xr:uid="{09291D5B-5481-449F-8581-C71B007BA015}"/>
    <cellStyle name="Normal 17 2 2 3 4 2" xfId="1981" xr:uid="{50D12D74-50E3-4FA0-88D6-DE9B6B1A39A4}"/>
    <cellStyle name="Normal 17 2 2 3 5" xfId="1808" xr:uid="{AC3FF4FB-7216-4EAC-AFCF-9691F19C1DF8}"/>
    <cellStyle name="Normal 17 2 2 4" xfId="952" xr:uid="{8F89E512-C697-4EB4-87D5-E20F9B8BE6C5}"/>
    <cellStyle name="Normal 17 2 2 4 2" xfId="1394" xr:uid="{62905811-7623-43EC-AF28-3997FF25E1B7}"/>
    <cellStyle name="Normal 17 2 2 4 2 2" xfId="2279" xr:uid="{546F7420-3A64-4408-AE9E-03449B12D6C2}"/>
    <cellStyle name="Normal 17 2 2 4 3" xfId="1161" xr:uid="{3AE1D3FA-E391-429C-90E3-243DA4DA4CD5}"/>
    <cellStyle name="Normal 17 2 2 4 3 2" xfId="2046" xr:uid="{7D52F4C9-12A3-41D2-877E-66710A6046B3}"/>
    <cellStyle name="Normal 17 2 2 4 4" xfId="1864" xr:uid="{000048F1-4A48-43CD-B7D1-DDB32770DE37}"/>
    <cellStyle name="Normal 17 2 2 5" xfId="1278" xr:uid="{A06D7E4B-18CC-401C-AEF8-F55BE35F20AC}"/>
    <cellStyle name="Normal 17 2 2 5 2" xfId="2163" xr:uid="{7F8ECB22-3945-4121-81E2-465D97A40046}"/>
    <cellStyle name="Normal 17 2 2 6" xfId="1041" xr:uid="{B0335D1D-3383-4AB6-96D4-2C6755759FB6}"/>
    <cellStyle name="Normal 17 2 2 6 2" xfId="1929" xr:uid="{E1BF232D-EC8E-43DC-9CA2-1A6B68068AC3}"/>
    <cellStyle name="Normal 17 2 2 7" xfId="1723" xr:uid="{0531DF85-FF3F-4DCE-B2D3-509AAE610D17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2 2 2" xfId="2369" xr:uid="{474563FB-F5D9-4C31-B4FA-DDE267FC8B10}"/>
    <cellStyle name="Normal 17 2 3 2 2 2 3" xfId="2136" xr:uid="{A229B552-8977-4B7A-B53F-4B88C46DB074}"/>
    <cellStyle name="Normal 17 2 3 2 2 3" xfId="1368" xr:uid="{6756039F-96D3-4FF1-9D9A-6916EF4C2BC6}"/>
    <cellStyle name="Normal 17 2 3 2 2 3 2" xfId="2253" xr:uid="{5C965574-4135-44E2-A181-CF1C3E81CA32}"/>
    <cellStyle name="Normal 17 2 3 2 2 4" xfId="1132" xr:uid="{4456BF40-DE8B-4B1C-8F07-6B5E8CFBFEF9}"/>
    <cellStyle name="Normal 17 2 3 2 2 4 2" xfId="2019" xr:uid="{8CC4AC41-F129-40FC-81C7-F07A52FB5EE7}"/>
    <cellStyle name="Normal 17 2 3 2 2 5" xfId="1846" xr:uid="{8E06A182-565A-48FF-845E-76B6563031F9}"/>
    <cellStyle name="Normal 17 2 3 2 3" xfId="990" xr:uid="{4B4725F8-97A7-4550-A7FD-7674EE55DECC}"/>
    <cellStyle name="Normal 17 2 3 2 3 2" xfId="1428" xr:uid="{2FBD4D6E-89E2-432B-AA58-37C443125F2A}"/>
    <cellStyle name="Normal 17 2 3 2 3 2 2" xfId="2313" xr:uid="{DA28F64A-C55F-4B7F-8A8A-157E08C9771F}"/>
    <cellStyle name="Normal 17 2 3 2 3 3" xfId="1195" xr:uid="{F2302B83-FA35-49F4-B655-6E419E2C146C}"/>
    <cellStyle name="Normal 17 2 3 2 3 3 2" xfId="2080" xr:uid="{6F371C6E-2A29-4130-A8EC-F096B8CFA8F5}"/>
    <cellStyle name="Normal 17 2 3 2 3 4" xfId="1902" xr:uid="{A3ED0030-05A3-4BE3-8188-5AE71EC8097E}"/>
    <cellStyle name="Normal 17 2 3 2 4" xfId="1312" xr:uid="{03BBE647-9889-45E6-8EDE-22D34B532DF4}"/>
    <cellStyle name="Normal 17 2 3 2 4 2" xfId="2197" xr:uid="{B6F7CA5D-2268-4242-A1FC-994C8674EED7}"/>
    <cellStyle name="Normal 17 2 3 2 5" xfId="1075" xr:uid="{37D26FD2-B030-409E-BC75-B9C9BE9031CB}"/>
    <cellStyle name="Normal 17 2 3 2 5 2" xfId="1963" xr:uid="{4378FDC2-5794-456C-BD35-70ED9E9F904A}"/>
    <cellStyle name="Normal 17 2 3 2 6" xfId="1763" xr:uid="{F5718852-47AE-4909-8EC3-B275C898D1E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2 2 2" xfId="2339" xr:uid="{3A44FB74-3F25-495B-B0D7-DB16FB8ED952}"/>
    <cellStyle name="Normal 17 2 3 3 2 3" xfId="2106" xr:uid="{A35FFF8D-DF86-4D98-9D6B-3B248E1C6CD2}"/>
    <cellStyle name="Normal 17 2 3 3 3" xfId="1338" xr:uid="{24C071E4-3A93-46B3-94AF-F09564D638C2}"/>
    <cellStyle name="Normal 17 2 3 3 3 2" xfId="2223" xr:uid="{E9F4567A-2023-4022-9B1E-D9DA85B211D9}"/>
    <cellStyle name="Normal 17 2 3 3 4" xfId="1102" xr:uid="{6BCB2BAD-477D-4DBB-9EE6-BE5C5ED5802B}"/>
    <cellStyle name="Normal 17 2 3 3 4 2" xfId="1989" xr:uid="{2222866F-A87D-434A-A1BB-DF14DFA1492C}"/>
    <cellStyle name="Normal 17 2 3 3 5" xfId="1816" xr:uid="{D51B3F4B-04D0-41A6-BA7E-9366F510F2EB}"/>
    <cellStyle name="Normal 17 2 3 4" xfId="960" xr:uid="{FB8C2E85-0E24-45B3-B267-1EEC5CA239CF}"/>
    <cellStyle name="Normal 17 2 3 4 2" xfId="1402" xr:uid="{BD38EF6A-752D-400D-BC68-CCF1F161F409}"/>
    <cellStyle name="Normal 17 2 3 4 2 2" xfId="2287" xr:uid="{6930C77F-1B46-4F60-AE91-7FE083A45A72}"/>
    <cellStyle name="Normal 17 2 3 4 3" xfId="1169" xr:uid="{5893B61A-AAF4-43D7-817D-BAAFB720A6EC}"/>
    <cellStyle name="Normal 17 2 3 4 3 2" xfId="2054" xr:uid="{88E6D9BE-AB4F-4067-9968-5DBF5A35307C}"/>
    <cellStyle name="Normal 17 2 3 4 4" xfId="1872" xr:uid="{33A86CF6-D8FE-461E-BC3E-AD65FC74A146}"/>
    <cellStyle name="Normal 17 2 3 5" xfId="1286" xr:uid="{014A2F42-A31D-488D-BC4B-F5406149A7EA}"/>
    <cellStyle name="Normal 17 2 3 5 2" xfId="2171" xr:uid="{CE183182-D79F-4D3F-8DA7-7A4A57AD0046}"/>
    <cellStyle name="Normal 17 2 3 6" xfId="1049" xr:uid="{88F855C4-35BA-403E-B11A-3CE533AF9D05}"/>
    <cellStyle name="Normal 17 2 3 6 2" xfId="1937" xr:uid="{9437914D-E135-4F93-A516-C87A1EF608F5}"/>
    <cellStyle name="Normal 17 2 3 7" xfId="1731" xr:uid="{61DCA5ED-E428-4E03-A865-FCD9E85FB2E3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2 2 2" xfId="2353" xr:uid="{9F5CC9B7-30E5-4482-9AC3-9F2AE0E8A9C2}"/>
    <cellStyle name="Normal 17 2 4 2 2 3" xfId="2120" xr:uid="{23DCAC5A-E454-46CC-964F-C69FC190352B}"/>
    <cellStyle name="Normal 17 2 4 2 3" xfId="1352" xr:uid="{6F86C44D-248C-47A5-BF71-384E7AB9F270}"/>
    <cellStyle name="Normal 17 2 4 2 3 2" xfId="2237" xr:uid="{5CA6C9D6-F607-4521-A83D-3630CD395320}"/>
    <cellStyle name="Normal 17 2 4 2 4" xfId="1116" xr:uid="{C0A56955-4A7A-43FE-A985-1A486B07AA09}"/>
    <cellStyle name="Normal 17 2 4 2 4 2" xfId="2003" xr:uid="{B1CB2A0B-0B5E-4180-BF69-F7440B47B503}"/>
    <cellStyle name="Normal 17 2 4 2 5" xfId="1830" xr:uid="{29287F89-F7A2-463C-8C92-9CD796AFECC9}"/>
    <cellStyle name="Normal 17 2 4 3" xfId="974" xr:uid="{E07C0DBA-0A41-4290-8C7D-0005CEEF785B}"/>
    <cellStyle name="Normal 17 2 4 3 2" xfId="1386" xr:uid="{BCC36A8E-574A-469C-801E-52339ADF5917}"/>
    <cellStyle name="Normal 17 2 4 3 2 2" xfId="2271" xr:uid="{3BBA0DED-D8CB-48E0-B23E-14328EE6F2F7}"/>
    <cellStyle name="Normal 17 2 4 3 3" xfId="1153" xr:uid="{F0987453-FE76-41F8-B449-6AAD9F2CD659}"/>
    <cellStyle name="Normal 17 2 4 3 3 2" xfId="2038" xr:uid="{9F7D2E7D-37F2-4F60-965A-EFA6B8AEC014}"/>
    <cellStyle name="Normal 17 2 4 3 4" xfId="1886" xr:uid="{098C20FF-369C-4B0D-AF15-8420219E36B1}"/>
    <cellStyle name="Normal 17 2 4 4" xfId="1270" xr:uid="{9FEBB37E-357F-455A-BEF0-719929976BF5}"/>
    <cellStyle name="Normal 17 2 4 4 2" xfId="2155" xr:uid="{32ACAA7C-3CE9-4DD7-B821-5AC3EFEF7C37}"/>
    <cellStyle name="Normal 17 2 4 5" xfId="1033" xr:uid="{4615AA88-DC6E-4468-A058-078599A32863}"/>
    <cellStyle name="Normal 17 2 4 5 2" xfId="1921" xr:uid="{2494AEC4-1504-48C5-A9F4-CC8C3140AAA3}"/>
    <cellStyle name="Normal 17 2 4 6" xfId="1747" xr:uid="{FB748B57-E952-40C0-B54A-65677146311C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2 2 2" xfId="2297" xr:uid="{A8FECD38-7EEF-419E-BB07-FE039FB62C80}"/>
    <cellStyle name="Normal 17 2 5 2 3" xfId="2064" xr:uid="{CF3BE0BA-EA06-447A-BCEF-A69B294F6EDA}"/>
    <cellStyle name="Normal 17 2 5 3" xfId="1296" xr:uid="{157B2810-8A51-4642-8977-37F15DA19DEF}"/>
    <cellStyle name="Normal 17 2 5 3 2" xfId="2181" xr:uid="{22A9F923-7B48-408D-A2F7-EF4364C6D868}"/>
    <cellStyle name="Normal 17 2 5 4" xfId="1059" xr:uid="{20F594DB-88CD-46CD-BEA6-662207481C20}"/>
    <cellStyle name="Normal 17 2 5 4 2" xfId="1947" xr:uid="{F6FE7E8F-8873-4D54-AB03-780402439D4F}"/>
    <cellStyle name="Normal 17 2 5 5" xfId="1799" xr:uid="{DD49A480-948A-4C2C-BB2E-8AE067C32EFD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2 2 2" xfId="2323" xr:uid="{EBB8B2F0-ECC0-410F-A5F7-D625CC1986F2}"/>
    <cellStyle name="Normal 17 2 6 2 3" xfId="2090" xr:uid="{5F4BF983-3F36-43C6-AC4E-5935829AC6D9}"/>
    <cellStyle name="Normal 17 2 6 3" xfId="1322" xr:uid="{CE4E576F-6AC8-406F-AD31-EBBC5BDF9071}"/>
    <cellStyle name="Normal 17 2 6 3 2" xfId="2207" xr:uid="{DDB42CC5-B1AB-419F-A839-165EF83F33AA}"/>
    <cellStyle name="Normal 17 2 6 4" xfId="1086" xr:uid="{9D5AA504-4ECE-4186-B183-083996743460}"/>
    <cellStyle name="Normal 17 2 6 4 2" xfId="1973" xr:uid="{5C056439-E72A-4D5E-B1FD-1D6840FA126A}"/>
    <cellStyle name="Normal 17 2 6 5" xfId="1856" xr:uid="{4E0496FC-ED46-46BC-A478-8CA9863CA861}"/>
    <cellStyle name="Normal 17 2 7" xfId="1146" xr:uid="{D3EBE66E-40A4-4180-8BA8-68688CEA24BE}"/>
    <cellStyle name="Normal 17 2 7 2" xfId="1379" xr:uid="{7256A73C-A3E1-4713-8FAF-A9C3A42D5B6D}"/>
    <cellStyle name="Normal 17 2 7 2 2" xfId="2264" xr:uid="{441EEA45-20A1-45A1-82A1-7C7184D9B779}"/>
    <cellStyle name="Normal 17 2 7 3" xfId="2031" xr:uid="{61631AF1-0DDC-4D43-AD97-E5DE051FEAC7}"/>
    <cellStyle name="Normal 17 2 8" xfId="1263" xr:uid="{1F819A75-CA1B-48DC-8079-05677AE1A6E4}"/>
    <cellStyle name="Normal 17 2 8 2" xfId="2148" xr:uid="{8D9D88AE-A439-4509-A7DC-A634441194A4}"/>
    <cellStyle name="Normal 17 2 9" xfId="1026" xr:uid="{8F222D93-5250-4C15-A997-2EF0D52B852C}"/>
    <cellStyle name="Normal 17 2 9 2" xfId="1914" xr:uid="{C3394FC1-C64B-42D4-9CDD-880D1766C3BF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2 2 2" xfId="2350" xr:uid="{CD726964-B534-4DF2-B975-FC4DA9FB4168}"/>
    <cellStyle name="Normal 17 3 2 2 2 3" xfId="2117" xr:uid="{ADB3A2A8-DFCB-4D4D-9403-C7C71B1EF3B6}"/>
    <cellStyle name="Normal 17 3 2 2 3" xfId="1349" xr:uid="{08C15CB4-F96C-44B2-BA2F-F254F0255E97}"/>
    <cellStyle name="Normal 17 3 2 2 3 2" xfId="2234" xr:uid="{7749763C-EC9F-4F0C-A3EE-9EDD4B1A3E59}"/>
    <cellStyle name="Normal 17 3 2 2 4" xfId="1113" xr:uid="{698B24CD-66FD-4E57-A84E-E77E663D8542}"/>
    <cellStyle name="Normal 17 3 2 2 4 2" xfId="2000" xr:uid="{BF1EAD60-6973-40D5-B475-81A3193D8DFF}"/>
    <cellStyle name="Normal 17 3 2 2 5" xfId="1827" xr:uid="{3119F812-08F7-4751-B517-BC01DC43BC22}"/>
    <cellStyle name="Normal 17 3 2 3" xfId="971" xr:uid="{16E6F15B-4210-41DB-B163-B7A34BD63DEB}"/>
    <cellStyle name="Normal 17 3 2 3 2" xfId="1409" xr:uid="{B452BCB9-47C5-459F-A327-3EA043FEA36B}"/>
    <cellStyle name="Normal 17 3 2 3 2 2" xfId="2294" xr:uid="{1139D252-9194-4F96-92E1-26154006AE27}"/>
    <cellStyle name="Normal 17 3 2 3 3" xfId="1176" xr:uid="{ADC19205-746F-4D16-90D9-8DCF15CFD2D9}"/>
    <cellStyle name="Normal 17 3 2 3 3 2" xfId="2061" xr:uid="{E44E83C2-A11B-4382-A2D6-D8BE64347AA4}"/>
    <cellStyle name="Normal 17 3 2 3 4" xfId="1883" xr:uid="{9309CF2D-AC7E-4892-BFCA-D4323D2B70FE}"/>
    <cellStyle name="Normal 17 3 2 4" xfId="1293" xr:uid="{847C85AA-4340-4C83-B5FC-2DC2B5EF0FBA}"/>
    <cellStyle name="Normal 17 3 2 4 2" xfId="2178" xr:uid="{99C67281-6995-4B8D-A754-31F7474B1081}"/>
    <cellStyle name="Normal 17 3 2 5" xfId="1056" xr:uid="{59588DBB-D53C-422A-86E6-D973A2EFC67D}"/>
    <cellStyle name="Normal 17 3 2 5 2" xfId="1944" xr:uid="{50213411-F31B-4C17-8AF7-9DCB3E41B7E0}"/>
    <cellStyle name="Normal 17 3 2 6" xfId="1744" xr:uid="{5881A07F-9DEE-4E2D-9CDC-4A967761C767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2 2 2" xfId="2320" xr:uid="{5685878C-DE82-428D-95A6-898C43B77889}"/>
    <cellStyle name="Normal 17 3 3 2 3" xfId="2087" xr:uid="{7B04C7A0-7AC3-4762-82E2-15BE9BD73BC8}"/>
    <cellStyle name="Normal 17 3 3 3" xfId="1319" xr:uid="{9C8A78C1-845A-4F29-AF1D-56911F602A99}"/>
    <cellStyle name="Normal 17 3 3 3 2" xfId="2204" xr:uid="{77A71D5A-2607-4887-8534-2293B01EC873}"/>
    <cellStyle name="Normal 17 3 3 4" xfId="1083" xr:uid="{FB019EEA-7D0A-469F-BC6A-1285D612795D}"/>
    <cellStyle name="Normal 17 3 3 4 2" xfId="1970" xr:uid="{A30DFC6B-E052-4917-B64A-5498E20607FB}"/>
    <cellStyle name="Normal 17 3 3 5" xfId="1794" xr:uid="{94E933CE-0881-463A-88AC-3AFE4CB9EAB9}"/>
    <cellStyle name="Normal 17 3 4" xfId="941" xr:uid="{52867957-FFF7-48B6-9B17-A989E6C8A0B2}"/>
    <cellStyle name="Normal 17 3 4 2" xfId="1383" xr:uid="{C48C4861-227D-4B95-85DE-E4C0370B926D}"/>
    <cellStyle name="Normal 17 3 4 2 2" xfId="2268" xr:uid="{F8C103FF-6A42-4C40-B1D6-7B363508D819}"/>
    <cellStyle name="Normal 17 3 4 3" xfId="1150" xr:uid="{5EFD09B4-E4D0-46F5-90C6-E375600417DC}"/>
    <cellStyle name="Normal 17 3 4 3 2" xfId="2035" xr:uid="{BC3B020A-F066-4551-8726-A1C5E55EEF21}"/>
    <cellStyle name="Normal 17 3 4 4" xfId="1853" xr:uid="{44EF9A64-B988-4120-A072-05C603DA54F5}"/>
    <cellStyle name="Normal 17 3 5" xfId="1267" xr:uid="{62979EED-BD06-46FB-9101-F36E293C0670}"/>
    <cellStyle name="Normal 17 3 5 2" xfId="2152" xr:uid="{89F110CF-933B-445E-AB4B-678A225ABD93}"/>
    <cellStyle name="Normal 17 3 6" xfId="1030" xr:uid="{6F40A419-61CA-4C7F-95CA-044B2716B425}"/>
    <cellStyle name="Normal 17 3 6 2" xfId="1918" xr:uid="{57F72396-9951-4761-9575-5BB29DA1AEC2}"/>
    <cellStyle name="Normal 17 3 7" xfId="1705" xr:uid="{C0D8E78B-FEF4-4CF2-80E7-5904B128F33F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2 2 2" xfId="2358" xr:uid="{09FAF6E2-EE80-4FE3-9773-C04422E84CB9}"/>
    <cellStyle name="Normal 17 4 2 2 2 3" xfId="2125" xr:uid="{2C44C54F-21C2-4046-B888-BA829D772DB0}"/>
    <cellStyle name="Normal 17 4 2 2 3" xfId="1357" xr:uid="{220BA773-23DF-433E-922E-C9B85B8C8E05}"/>
    <cellStyle name="Normal 17 4 2 2 3 2" xfId="2242" xr:uid="{15BD6799-7DF3-4D74-A58C-6AB5F777494D}"/>
    <cellStyle name="Normal 17 4 2 2 4" xfId="1121" xr:uid="{865E67F9-CBCC-42D3-9CAF-E63504F7A099}"/>
    <cellStyle name="Normal 17 4 2 2 4 2" xfId="2008" xr:uid="{67EE8D53-6D9D-4F3C-A187-E29A7038EABD}"/>
    <cellStyle name="Normal 17 4 2 2 5" xfId="1835" xr:uid="{33785BCF-189C-4503-9345-69E23618C4C4}"/>
    <cellStyle name="Normal 17 4 2 3" xfId="979" xr:uid="{8E203D50-73A4-4CF3-8509-EADCB9D4FC31}"/>
    <cellStyle name="Normal 17 4 2 3 2" xfId="1417" xr:uid="{86509580-1F4F-4EAE-9176-4D556341A209}"/>
    <cellStyle name="Normal 17 4 2 3 2 2" xfId="2302" xr:uid="{F158BDE8-8804-495B-BFA9-6F63BC752551}"/>
    <cellStyle name="Normal 17 4 2 3 3" xfId="1184" xr:uid="{E0474D88-2F72-4786-A49E-55F57A32B388}"/>
    <cellStyle name="Normal 17 4 2 3 3 2" xfId="2069" xr:uid="{AE4537C9-B4D6-48BB-BC11-1C37562548C4}"/>
    <cellStyle name="Normal 17 4 2 3 4" xfId="1891" xr:uid="{636E3650-5FED-4150-B7FB-1C8ED370ECBD}"/>
    <cellStyle name="Normal 17 4 2 4" xfId="1301" xr:uid="{5324FA6F-2DB8-4E3B-BC31-CEEF42E0E3CB}"/>
    <cellStyle name="Normal 17 4 2 4 2" xfId="2186" xr:uid="{38A63AAD-1759-46A4-9683-1E05E5FF6DD3}"/>
    <cellStyle name="Normal 17 4 2 5" xfId="1064" xr:uid="{6C4E3330-023B-4453-91BA-B4B6E22DC740}"/>
    <cellStyle name="Normal 17 4 2 5 2" xfId="1952" xr:uid="{1BBE9E03-3AF1-481F-A421-86A36294D36A}"/>
    <cellStyle name="Normal 17 4 2 6" xfId="1752" xr:uid="{463F952F-0D96-438F-93F0-F1739073CC36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2 2 2" xfId="2328" xr:uid="{0617F130-A5AE-4DBF-B3A8-C9ACF7722206}"/>
    <cellStyle name="Normal 17 4 3 2 3" xfId="2095" xr:uid="{ED152795-A457-4771-9776-97795332676E}"/>
    <cellStyle name="Normal 17 4 3 3" xfId="1327" xr:uid="{42995D10-73E0-49A5-9C20-F37A7928C69F}"/>
    <cellStyle name="Normal 17 4 3 3 2" xfId="2212" xr:uid="{F6C32712-03B1-455F-9ABC-588A9FCD0287}"/>
    <cellStyle name="Normal 17 4 3 4" xfId="1091" xr:uid="{177943BF-07D7-4559-97FC-3BA18A03138C}"/>
    <cellStyle name="Normal 17 4 3 4 2" xfId="1978" xr:uid="{0BDF8A90-66E3-49F2-B6F5-97088706E9DA}"/>
    <cellStyle name="Normal 17 4 3 5" xfId="1805" xr:uid="{CE8357EC-AFAF-4BF0-8780-4B9D3E0F60A9}"/>
    <cellStyle name="Normal 17 4 4" xfId="949" xr:uid="{DFC7FAE4-3643-41C2-94B8-F090B0519A05}"/>
    <cellStyle name="Normal 17 4 4 2" xfId="1391" xr:uid="{CC7678E2-BDF9-468F-BB28-05D2134E690B}"/>
    <cellStyle name="Normal 17 4 4 2 2" xfId="2276" xr:uid="{A59DF97E-81F0-45A3-9748-CBB61509050F}"/>
    <cellStyle name="Normal 17 4 4 3" xfId="1158" xr:uid="{4F1766F4-C329-4FBB-A0C1-7155F5D19FE0}"/>
    <cellStyle name="Normal 17 4 4 3 2" xfId="2043" xr:uid="{BBB9AA5D-712C-405C-9F5C-C9ADDCC0016E}"/>
    <cellStyle name="Normal 17 4 4 4" xfId="1861" xr:uid="{2D2B932F-4980-4AD1-BAEC-E54BA88DDBDA}"/>
    <cellStyle name="Normal 17 4 5" xfId="1275" xr:uid="{C8534591-2672-4F75-B65B-7DD9E55B5E39}"/>
    <cellStyle name="Normal 17 4 5 2" xfId="2160" xr:uid="{62C21D12-2DAE-4C1F-AEF8-A86FA8DEEB0F}"/>
    <cellStyle name="Normal 17 4 6" xfId="1038" xr:uid="{77F65398-7BD2-4D4F-BF5A-58102FBB3652}"/>
    <cellStyle name="Normal 17 4 6 2" xfId="1926" xr:uid="{DB295422-03E7-485A-905A-A0838B0D152E}"/>
    <cellStyle name="Normal 17 4 7" xfId="1720" xr:uid="{AFE40C85-803A-4F44-8A01-FCA5AFBCEE3C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2 2 2" xfId="2366" xr:uid="{CA5E699C-B72A-4490-9A1A-122F9D00EC49}"/>
    <cellStyle name="Normal 17 5 2 2 2 3" xfId="2133" xr:uid="{53028875-EA25-4C3D-AD8C-A0AF4E947EB1}"/>
    <cellStyle name="Normal 17 5 2 2 3" xfId="1365" xr:uid="{8B81E238-58EE-45FC-87B8-4D04211DF775}"/>
    <cellStyle name="Normal 17 5 2 2 3 2" xfId="2250" xr:uid="{39E88BE5-4A6F-4154-9DB7-F4381B849C11}"/>
    <cellStyle name="Normal 17 5 2 2 4" xfId="1129" xr:uid="{97879DD8-2561-4A7A-B6EB-E2414F87926A}"/>
    <cellStyle name="Normal 17 5 2 2 4 2" xfId="2016" xr:uid="{F80621A3-E820-4F14-9DC7-816D60F7DC34}"/>
    <cellStyle name="Normal 17 5 2 2 5" xfId="1843" xr:uid="{CD8DA549-F396-46A2-B0FF-07E2C5FD6495}"/>
    <cellStyle name="Normal 17 5 2 3" xfId="987" xr:uid="{11F9E366-F13C-4D97-AB0F-D9FB3F32ABC9}"/>
    <cellStyle name="Normal 17 5 2 3 2" xfId="1425" xr:uid="{3E928DE1-B53B-48EF-BA4E-E7A6DD4D737F}"/>
    <cellStyle name="Normal 17 5 2 3 2 2" xfId="2310" xr:uid="{BEFC2E33-BC2C-4C14-B921-AD3D556E8390}"/>
    <cellStyle name="Normal 17 5 2 3 3" xfId="1192" xr:uid="{9FEA8468-90DD-4247-89AA-16FEA54D859D}"/>
    <cellStyle name="Normal 17 5 2 3 3 2" xfId="2077" xr:uid="{ED29B336-123B-4CE1-8A93-ECCA74665265}"/>
    <cellStyle name="Normal 17 5 2 3 4" xfId="1899" xr:uid="{794BAFC5-224D-456C-A289-2B5B2C47578E}"/>
    <cellStyle name="Normal 17 5 2 4" xfId="1309" xr:uid="{B43775D6-0ED0-41A4-99D6-150F2F2CC7CB}"/>
    <cellStyle name="Normal 17 5 2 4 2" xfId="2194" xr:uid="{B8D29F1F-470E-4ECD-BB9F-A7190E6CB191}"/>
    <cellStyle name="Normal 17 5 2 5" xfId="1072" xr:uid="{3F5DC931-95AF-40DD-91E6-BA2EDC3555A9}"/>
    <cellStyle name="Normal 17 5 2 5 2" xfId="1960" xr:uid="{4BB24A51-7042-4DCB-A533-FB6A2FDEA741}"/>
    <cellStyle name="Normal 17 5 2 6" xfId="1760" xr:uid="{E9A9F076-2178-4ABC-B759-D40EDF669E2C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2 2 2" xfId="2336" xr:uid="{4970A106-FB3C-4B4C-9152-215AF24A3AE4}"/>
    <cellStyle name="Normal 17 5 3 2 3" xfId="2103" xr:uid="{A233E4CF-7A4B-495A-B1B9-E2B755E5F754}"/>
    <cellStyle name="Normal 17 5 3 3" xfId="1335" xr:uid="{5782A3BC-0B11-47DB-A211-BA8AD8F7FA2C}"/>
    <cellStyle name="Normal 17 5 3 3 2" xfId="2220" xr:uid="{B491E817-0FCA-466A-9E47-668A3335FE4C}"/>
    <cellStyle name="Normal 17 5 3 4" xfId="1099" xr:uid="{B7E96E4C-FB8D-4B95-A3B1-62B343EDACF1}"/>
    <cellStyle name="Normal 17 5 3 4 2" xfId="1986" xr:uid="{7F5BB56F-841A-4A43-A966-07D6CC5A9C71}"/>
    <cellStyle name="Normal 17 5 3 5" xfId="1813" xr:uid="{83724ED9-4A2B-4140-87A5-F63375C154EA}"/>
    <cellStyle name="Normal 17 5 4" xfId="957" xr:uid="{EC4AF60B-D2FC-4643-95C3-FEDD34ED0D2F}"/>
    <cellStyle name="Normal 17 5 4 2" xfId="1399" xr:uid="{92A4151B-4D7B-4769-8D96-4EB63D0EA207}"/>
    <cellStyle name="Normal 17 5 4 2 2" xfId="2284" xr:uid="{C2FE9846-FF71-4B52-A47F-294DEFE8C1AD}"/>
    <cellStyle name="Normal 17 5 4 3" xfId="1166" xr:uid="{067C92E1-A9CF-43C1-BD13-690C7944B320}"/>
    <cellStyle name="Normal 17 5 4 3 2" xfId="2051" xr:uid="{81392FBB-0065-42AA-8336-53A728262CD4}"/>
    <cellStyle name="Normal 17 5 4 4" xfId="1869" xr:uid="{377B285C-6015-4A7D-8D82-2B94988E1FD4}"/>
    <cellStyle name="Normal 17 5 5" xfId="1283" xr:uid="{065AFA6A-A4F8-464A-9C88-74A22307F767}"/>
    <cellStyle name="Normal 17 5 5 2" xfId="2168" xr:uid="{0371D163-1550-4C74-BF0B-596359830F84}"/>
    <cellStyle name="Normal 17 5 6" xfId="1046" xr:uid="{4700386D-A247-4FD2-B19D-0B1EA4B0E255}"/>
    <cellStyle name="Normal 17 5 6 2" xfId="1934" xr:uid="{DB567306-7C63-40DC-9CD0-0002F2F8E536}"/>
    <cellStyle name="Normal 17 5 7" xfId="1728" xr:uid="{0EE1B095-6A05-4D9F-BE32-A665DE44F028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2 2 2" xfId="2348" xr:uid="{77DE2BB8-C593-4177-9445-0E44FC339671}"/>
    <cellStyle name="Normal 17 6 2 2 3" xfId="2115" xr:uid="{9A4757A6-E338-4D94-8969-EF0F5CAE400A}"/>
    <cellStyle name="Normal 17 6 2 3" xfId="1347" xr:uid="{1E92CFAF-5D1E-43E9-9250-8BA75DEB512A}"/>
    <cellStyle name="Normal 17 6 2 3 2" xfId="2232" xr:uid="{76432C0A-7081-4312-B141-B6F3A31F690F}"/>
    <cellStyle name="Normal 17 6 2 4" xfId="1111" xr:uid="{4D229EF9-1901-4FC3-865F-ABAFD90C1AA5}"/>
    <cellStyle name="Normal 17 6 2 4 2" xfId="1998" xr:uid="{76F7299E-4FA3-4FC6-9C11-0B76011E3E79}"/>
    <cellStyle name="Normal 17 6 2 5" xfId="1825" xr:uid="{5E611ABC-BB24-4C70-828B-695496FBB5B1}"/>
    <cellStyle name="Normal 17 6 3" xfId="969" xr:uid="{EE84494F-BDA9-4741-98DD-9C7ED8C29EF0}"/>
    <cellStyle name="Normal 17 6 3 2" xfId="1381" xr:uid="{5D7C942F-AA4C-4336-B1FD-810FF7D084B2}"/>
    <cellStyle name="Normal 17 6 3 2 2" xfId="2266" xr:uid="{A9AA21DF-B83F-403F-8753-47204D2975BF}"/>
    <cellStyle name="Normal 17 6 3 3" xfId="1148" xr:uid="{42620923-1847-4C00-9464-5952F4800321}"/>
    <cellStyle name="Normal 17 6 3 3 2" xfId="2033" xr:uid="{23457F84-3B21-46EA-A158-0A431DE2ACF7}"/>
    <cellStyle name="Normal 17 6 3 4" xfId="1881" xr:uid="{B2143D3C-C874-4D2B-9042-D309A14120FF}"/>
    <cellStyle name="Normal 17 6 4" xfId="1265" xr:uid="{B873A1EC-0097-40D5-83B2-AF5FC909A94A}"/>
    <cellStyle name="Normal 17 6 4 2" xfId="2150" xr:uid="{B0556714-52C4-489D-B0BE-1E3B644BDA2D}"/>
    <cellStyle name="Normal 17 6 5" xfId="1028" xr:uid="{AC834ABA-6672-425E-9FA4-10EBC7E2196A}"/>
    <cellStyle name="Normal 17 6 5 2" xfId="1916" xr:uid="{7EFD9BF4-9237-4737-B9BE-E76A7AEA0DEC}"/>
    <cellStyle name="Normal 17 6 6" xfId="1742" xr:uid="{CC5D5147-7D18-4C73-B9B7-ECB3370A7384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2 2 2" xfId="2292" xr:uid="{28F53774-B636-4A6B-8177-7C4D495854CA}"/>
    <cellStyle name="Normal 17 7 2 3" xfId="2059" xr:uid="{0B7DD5C0-E508-4730-9256-42E9D3897BAB}"/>
    <cellStyle name="Normal 17 7 3" xfId="1291" xr:uid="{B5DCE034-9942-40F8-98A6-73AEE4016414}"/>
    <cellStyle name="Normal 17 7 3 2" xfId="2176" xr:uid="{0DB4A6FE-233B-4139-86BA-785633370E68}"/>
    <cellStyle name="Normal 17 7 4" xfId="1054" xr:uid="{26FCC237-0C2F-4CB3-891B-D0324D0D6621}"/>
    <cellStyle name="Normal 17 7 4 2" xfId="1942" xr:uid="{7D496289-CAD5-447E-991E-DBEB75F291F1}"/>
    <cellStyle name="Normal 17 7 5" xfId="1792" xr:uid="{9EB12482-3022-493B-AB42-89E82E0ED948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2 2 2" xfId="2318" xr:uid="{27D7E304-1EDE-402B-BA25-DE4F26AF2047}"/>
    <cellStyle name="Normal 17 8 2 3" xfId="2085" xr:uid="{28E6D529-6152-4666-862D-38AAA8275F4E}"/>
    <cellStyle name="Normal 17 8 3" xfId="1317" xr:uid="{C5BD4232-BB8B-4895-BB9E-4F56BDC4CF17}"/>
    <cellStyle name="Normal 17 8 3 2" xfId="2202" xr:uid="{3AE34DD6-4EDD-48EB-9356-2B38326D40F4}"/>
    <cellStyle name="Normal 17 8 4" xfId="1081" xr:uid="{3D464836-DDE2-40A4-9965-B5AB95DD4544}"/>
    <cellStyle name="Normal 17 8 4 2" xfId="1968" xr:uid="{434301C0-C588-4494-81E1-D8989781E2B9}"/>
    <cellStyle name="Normal 17 8 5" xfId="1851" xr:uid="{89A4CEE2-74C6-46FA-8D54-9CAFA0E30B5D}"/>
    <cellStyle name="Normal 17 9" xfId="1141" xr:uid="{27FF594B-3426-4334-AC30-72A95E6ED509}"/>
    <cellStyle name="Normal 17 9 2" xfId="1376" xr:uid="{B677D755-B870-4A19-9DF0-7951320D29DD}"/>
    <cellStyle name="Normal 17 9 2 2" xfId="2261" xr:uid="{A52DBFC1-E584-4296-B7F2-860259A6D326}"/>
    <cellStyle name="Normal 17 9 3" xfId="2027" xr:uid="{E8F11B35-AEAC-4485-B8DA-5FAD093B3B85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0 2" xfId="1714" xr:uid="{37C4417B-1716-4349-8B3C-506FEE6BA021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2 2 2" xfId="2362" xr:uid="{2AC11DC3-C09D-4DD5-AA48-94412F075284}"/>
    <cellStyle name="Normal 2 2 2 2 2 2 3" xfId="2129" xr:uid="{EF096157-F860-4DD2-92EC-FE88B187DB13}"/>
    <cellStyle name="Normal 2 2 2 2 2 3" xfId="1361" xr:uid="{4BBE02DC-4C8E-41F1-9740-627396D6E249}"/>
    <cellStyle name="Normal 2 2 2 2 2 3 2" xfId="2246" xr:uid="{5A1CDF32-9B16-4D9F-8DD0-B3D466DFFC7E}"/>
    <cellStyle name="Normal 2 2 2 2 2 4" xfId="1125" xr:uid="{022ABC52-05D5-4556-9219-79815A02FCBB}"/>
    <cellStyle name="Normal 2 2 2 2 2 4 2" xfId="2012" xr:uid="{FC32E721-CD83-4A6C-A8D8-E391FFE88396}"/>
    <cellStyle name="Normal 2 2 2 2 2 5" xfId="1839" xr:uid="{6C3B5A35-D378-4EE9-B0F0-DD391A110C37}"/>
    <cellStyle name="Normal 2 2 2 2 3" xfId="983" xr:uid="{8BE6A34C-EAF3-4C95-A4BD-FE3EF66F6588}"/>
    <cellStyle name="Normal 2 2 2 2 3 2" xfId="1421" xr:uid="{1C613E25-3945-4ED8-AF2F-7A5E9BEF855D}"/>
    <cellStyle name="Normal 2 2 2 2 3 2 2" xfId="2306" xr:uid="{B64642E3-1C48-4004-94C2-8BA6233789F2}"/>
    <cellStyle name="Normal 2 2 2 2 3 3" xfId="1188" xr:uid="{5EABED71-0C03-45DF-9FAE-79C064ED7440}"/>
    <cellStyle name="Normal 2 2 2 2 3 3 2" xfId="2073" xr:uid="{D0A719E5-0157-4CDA-AFCF-3E2425D99E43}"/>
    <cellStyle name="Normal 2 2 2 2 3 4" xfId="1895" xr:uid="{512A21D9-9FC7-4F98-A702-3CEC12BD96DE}"/>
    <cellStyle name="Normal 2 2 2 2 4" xfId="1305" xr:uid="{6EE571EA-39CF-4979-8AF0-2B337C76DAFD}"/>
    <cellStyle name="Normal 2 2 2 2 4 2" xfId="2190" xr:uid="{24F9F788-B849-4559-BA4D-E92D344BC213}"/>
    <cellStyle name="Normal 2 2 2 2 5" xfId="1068" xr:uid="{A2199429-685F-4F4C-AA7D-FC1057DD5885}"/>
    <cellStyle name="Normal 2 2 2 2 5 2" xfId="1956" xr:uid="{39DC64E0-93BC-4FF9-839C-D82E9FF8DC65}"/>
    <cellStyle name="Normal 2 2 2 2 6" xfId="1756" xr:uid="{CF97467E-AE89-40FA-9F6A-DD57B3482902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2 2 2" xfId="2332" xr:uid="{6AF340C5-DF85-4E0A-8684-0A4D61731750}"/>
    <cellStyle name="Normal 2 2 2 3 2 3" xfId="2099" xr:uid="{2D2F8B41-6497-4640-8459-FC6C60CE7EEA}"/>
    <cellStyle name="Normal 2 2 2 3 3" xfId="1331" xr:uid="{4674F0CB-21D6-41E7-8B82-7F0E14278A38}"/>
    <cellStyle name="Normal 2 2 2 3 3 2" xfId="2216" xr:uid="{43C0F034-0ACE-4570-ACB3-30149E023631}"/>
    <cellStyle name="Normal 2 2 2 3 4" xfId="1095" xr:uid="{DD327DFF-F19A-4E2E-BE46-8FAC7FE49EC6}"/>
    <cellStyle name="Normal 2 2 2 3 4 2" xfId="1982" xr:uid="{6A80F5C0-04A4-4F9F-A727-F514CC44654D}"/>
    <cellStyle name="Normal 2 2 2 3 5" xfId="1809" xr:uid="{7C1F9112-28A9-4178-9F0F-F5EA6F5ABA09}"/>
    <cellStyle name="Normal 2 2 2 4" xfId="953" xr:uid="{9DBE9E37-E803-4CBA-8F1B-10E7C19DBADD}"/>
    <cellStyle name="Normal 2 2 2 4 2" xfId="1395" xr:uid="{E70F19D2-AB14-451B-B5CD-82C50138C78F}"/>
    <cellStyle name="Normal 2 2 2 4 2 2" xfId="2280" xr:uid="{DA12BB0B-5ECF-443E-9E0D-83A56C8C9CAA}"/>
    <cellStyle name="Normal 2 2 2 4 3" xfId="1162" xr:uid="{75E2EDE9-F4BD-4E39-AD96-7762D6DB71DB}"/>
    <cellStyle name="Normal 2 2 2 4 3 2" xfId="2047" xr:uid="{552AEA81-0071-4C14-A682-B709277EEABF}"/>
    <cellStyle name="Normal 2 2 2 4 4" xfId="1865" xr:uid="{4E051485-1C87-4C93-B703-0056C014A346}"/>
    <cellStyle name="Normal 2 2 2 5" xfId="1279" xr:uid="{3E25AA25-8913-46C9-B689-C4FA6F331DFA}"/>
    <cellStyle name="Normal 2 2 2 5 2" xfId="2164" xr:uid="{15C0D4AE-2D06-4609-A407-D7D9FE705CCA}"/>
    <cellStyle name="Normal 2 2 2 6" xfId="1042" xr:uid="{5916A03E-A346-4288-B952-171E8A3E873C}"/>
    <cellStyle name="Normal 2 2 2 6 2" xfId="1930" xr:uid="{58B1785F-85A5-4A48-9D1B-8E829F492C0A}"/>
    <cellStyle name="Normal 2 2 2 7" xfId="1724" xr:uid="{058E0FF8-F85B-43E8-97F7-7199D447926D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2 2 2" xfId="2370" xr:uid="{28C59171-B3BE-4175-A0CB-A14A471EA8E7}"/>
    <cellStyle name="Normal 2 2 3 2 2 2 3" xfId="2137" xr:uid="{50E14C7B-61EF-4CF2-9B27-929C92CD415E}"/>
    <cellStyle name="Normal 2 2 3 2 2 3" xfId="1369" xr:uid="{5A436301-99CA-4528-962C-32004EB383A5}"/>
    <cellStyle name="Normal 2 2 3 2 2 3 2" xfId="2254" xr:uid="{A18C72ED-F8ED-4F43-89C6-1672EE05F169}"/>
    <cellStyle name="Normal 2 2 3 2 2 4" xfId="1133" xr:uid="{CC378B41-ECE0-4D32-A8FF-732A3010345A}"/>
    <cellStyle name="Normal 2 2 3 2 2 4 2" xfId="2020" xr:uid="{129A9480-7D7D-4D06-B8DF-FB5AD4B24DF0}"/>
    <cellStyle name="Normal 2 2 3 2 2 5" xfId="1847" xr:uid="{BC798789-94DA-41C5-BCCA-A845ACC921A7}"/>
    <cellStyle name="Normal 2 2 3 2 3" xfId="991" xr:uid="{3300C1A9-2DD4-45B9-933F-C71F262FEE86}"/>
    <cellStyle name="Normal 2 2 3 2 3 2" xfId="1429" xr:uid="{EFBCE65B-5044-4357-A2EE-474FF6DD7698}"/>
    <cellStyle name="Normal 2 2 3 2 3 2 2" xfId="2314" xr:uid="{3551EABF-7855-44F8-A1FF-DFE56CE0D939}"/>
    <cellStyle name="Normal 2 2 3 2 3 3" xfId="1196" xr:uid="{C9E52917-7157-4F83-AC0F-2D69E873B98D}"/>
    <cellStyle name="Normal 2 2 3 2 3 3 2" xfId="2081" xr:uid="{1D2A8BC8-B12E-43B6-9636-F3BCDB445249}"/>
    <cellStyle name="Normal 2 2 3 2 3 4" xfId="1903" xr:uid="{87CF52DA-5501-4EC9-A7D1-905D2792C9DC}"/>
    <cellStyle name="Normal 2 2 3 2 4" xfId="1313" xr:uid="{F83E3E6B-7162-427D-A2AF-256B98FFFFD0}"/>
    <cellStyle name="Normal 2 2 3 2 4 2" xfId="2198" xr:uid="{A7D7D651-4942-4AE4-967C-50429DEBF686}"/>
    <cellStyle name="Normal 2 2 3 2 5" xfId="1076" xr:uid="{89D981D5-1E03-4E3B-B829-5FD43A7CE54D}"/>
    <cellStyle name="Normal 2 2 3 2 5 2" xfId="1964" xr:uid="{2AE15918-64D5-4954-BC55-1F3E7F2D0DE0}"/>
    <cellStyle name="Normal 2 2 3 2 6" xfId="1764" xr:uid="{831A0E12-DFF7-4501-AC3D-2BF083D36128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2 2 2" xfId="2340" xr:uid="{B05DD2F8-A387-4174-B26E-0B0F7EF492E3}"/>
    <cellStyle name="Normal 2 2 3 3 2 3" xfId="2107" xr:uid="{6E17E6FD-BB4F-42F3-B8C3-62AA25B009D5}"/>
    <cellStyle name="Normal 2 2 3 3 3" xfId="1339" xr:uid="{98994242-29FA-4237-9FD3-6393E280C930}"/>
    <cellStyle name="Normal 2 2 3 3 3 2" xfId="2224" xr:uid="{2C072B8B-7CA4-498B-9DA0-780E8601065E}"/>
    <cellStyle name="Normal 2 2 3 3 4" xfId="1103" xr:uid="{D2BEC730-BEAA-4F5F-B460-7B29AB48361E}"/>
    <cellStyle name="Normal 2 2 3 3 4 2" xfId="1990" xr:uid="{8AD7582D-0247-49FA-9CAC-5CE2F243BA2D}"/>
    <cellStyle name="Normal 2 2 3 3 5" xfId="1817" xr:uid="{3860457C-7ED3-4A00-B6CA-9496C168F36D}"/>
    <cellStyle name="Normal 2 2 3 4" xfId="961" xr:uid="{491A03AB-82B4-422B-88B9-9A915CD6F0FF}"/>
    <cellStyle name="Normal 2 2 3 4 2" xfId="1403" xr:uid="{852C08CE-94B0-4E50-A4F5-0ACBDFEF0CFD}"/>
    <cellStyle name="Normal 2 2 3 4 2 2" xfId="2288" xr:uid="{1DB30652-8899-4D4B-BABB-E92C0D65896F}"/>
    <cellStyle name="Normal 2 2 3 4 3" xfId="1170" xr:uid="{9C3885E1-066A-4562-845E-5718110E0644}"/>
    <cellStyle name="Normal 2 2 3 4 3 2" xfId="2055" xr:uid="{6F874C48-6011-4F44-ADDE-6846385A5A14}"/>
    <cellStyle name="Normal 2 2 3 4 4" xfId="1873" xr:uid="{0FF005CE-EB5B-455C-A2C7-53C2209EFCB1}"/>
    <cellStyle name="Normal 2 2 3 5" xfId="1287" xr:uid="{76B3816F-B917-4295-8E8B-EBBEDBDFF6A2}"/>
    <cellStyle name="Normal 2 2 3 5 2" xfId="2172" xr:uid="{DDDB04A9-DD75-462B-99CE-559B84765B0C}"/>
    <cellStyle name="Normal 2 2 3 6" xfId="1050" xr:uid="{8DC77C8C-D4A5-48D2-8A41-7AB28EE08B4A}"/>
    <cellStyle name="Normal 2 2 3 6 2" xfId="1938" xr:uid="{7F742F19-4D56-4526-A000-DF2042617421}"/>
    <cellStyle name="Normal 2 2 3 7" xfId="1732" xr:uid="{AE6C51E6-1083-479E-900E-742199013815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2 2 2" xfId="2354" xr:uid="{39934A1C-780F-43FE-BF41-BC179D871E39}"/>
    <cellStyle name="Normal 2 2 4 2 2 3" xfId="2121" xr:uid="{3FA4EEFB-48C1-4CCD-A1F2-E5B4E588C1C2}"/>
    <cellStyle name="Normal 2 2 4 2 3" xfId="1353" xr:uid="{F68652A5-901F-4AAF-B36B-2B435ABC6F44}"/>
    <cellStyle name="Normal 2 2 4 2 3 2" xfId="2238" xr:uid="{2AB9C314-4F06-41E7-BD22-F9DFB4BCBB15}"/>
    <cellStyle name="Normal 2 2 4 2 4" xfId="1117" xr:uid="{763C6FE0-4B52-4C7A-A409-5FC2C65A5ED3}"/>
    <cellStyle name="Normal 2 2 4 2 4 2" xfId="2004" xr:uid="{35A92DF4-71F5-40BD-8D6B-D1E49599167F}"/>
    <cellStyle name="Normal 2 2 4 2 5" xfId="1831" xr:uid="{87465777-ABB7-4090-AFDF-2B6604C08A29}"/>
    <cellStyle name="Normal 2 2 4 3" xfId="975" xr:uid="{4EFB6F37-6FD4-4E78-AF45-8E51BA63D988}"/>
    <cellStyle name="Normal 2 2 4 3 2" xfId="1387" xr:uid="{3E3AB025-2811-4579-A30B-19E844F49AC5}"/>
    <cellStyle name="Normal 2 2 4 3 2 2" xfId="2272" xr:uid="{63272E70-2BC0-413C-A5F5-45AA8F76E410}"/>
    <cellStyle name="Normal 2 2 4 3 3" xfId="1154" xr:uid="{049912C6-3E80-4E6B-A150-8056E204EEFB}"/>
    <cellStyle name="Normal 2 2 4 3 3 2" xfId="2039" xr:uid="{F9EB3D71-BADC-4F4B-B778-5ECE3B63A49E}"/>
    <cellStyle name="Normal 2 2 4 3 4" xfId="1887" xr:uid="{58B49EFB-1D20-4DE9-BE33-34DD6CB65476}"/>
    <cellStyle name="Normal 2 2 4 4" xfId="1271" xr:uid="{3D78D77E-9A2F-4340-999B-9F401326FC1E}"/>
    <cellStyle name="Normal 2 2 4 4 2" xfId="2156" xr:uid="{340C847A-698A-45DA-B7AD-4D1B0CC982DF}"/>
    <cellStyle name="Normal 2 2 4 5" xfId="1034" xr:uid="{648A0206-8C15-4EFC-A860-CFF636B8FC17}"/>
    <cellStyle name="Normal 2 2 4 5 2" xfId="1922" xr:uid="{7750C83E-38D3-4BE1-862B-862B4EB61793}"/>
    <cellStyle name="Normal 2 2 4 6" xfId="1748" xr:uid="{029F3458-76CA-4260-B505-524DAF146846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2 2 2" xfId="2298" xr:uid="{66CCF422-BF9E-440D-9B35-6459AD3BD8C8}"/>
    <cellStyle name="Normal 2 2 5 2 3" xfId="2065" xr:uid="{CDB9023D-4D90-45CC-804B-34152C671E5C}"/>
    <cellStyle name="Normal 2 2 5 3" xfId="1297" xr:uid="{5A0D06E8-8ACC-4875-9CE9-F2268D6C6651}"/>
    <cellStyle name="Normal 2 2 5 3 2" xfId="2182" xr:uid="{888F405B-47A6-4AF3-ABB2-A5859C67F486}"/>
    <cellStyle name="Normal 2 2 5 4" xfId="1060" xr:uid="{78493F0E-4902-4231-BB33-339A7026B37C}"/>
    <cellStyle name="Normal 2 2 5 4 2" xfId="1948" xr:uid="{D25DD684-123A-4E26-946B-53CC43CB86EB}"/>
    <cellStyle name="Normal 2 2 5 5" xfId="1800" xr:uid="{580A4BD9-C7C4-440C-866C-12589063055F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2 2 2" xfId="2324" xr:uid="{C3247AA0-AF8E-4225-8746-D7327C8F4C62}"/>
    <cellStyle name="Normal 2 2 6 2 3" xfId="2091" xr:uid="{F7E18AEE-3176-4E92-83D0-3985A4C1D82C}"/>
    <cellStyle name="Normal 2 2 6 3" xfId="1323" xr:uid="{3DA4F678-1861-4B1A-A97F-1A38C0D4D346}"/>
    <cellStyle name="Normal 2 2 6 3 2" xfId="2208" xr:uid="{681D466F-B70A-4711-88DD-C2330D6081B0}"/>
    <cellStyle name="Normal 2 2 6 4" xfId="1087" xr:uid="{0FD44BDA-0617-474B-980A-FC4115BFCA1F}"/>
    <cellStyle name="Normal 2 2 6 4 2" xfId="1974" xr:uid="{53199417-8B74-44D4-806C-7B8404E5217A}"/>
    <cellStyle name="Normal 2 2 6 5" xfId="1857" xr:uid="{7FC77D1C-EBAB-4DCA-8097-BA2A63B4B598}"/>
    <cellStyle name="Normal 2 2 7" xfId="1144" xr:uid="{732CB926-CA48-43D8-8ED5-1EAEEFE07A55}"/>
    <cellStyle name="Normal 2 2 7 2" xfId="1377" xr:uid="{B4B0F0D8-9DD0-4FE8-B284-B03C330BE379}"/>
    <cellStyle name="Normal 2 2 7 2 2" xfId="2262" xr:uid="{BDBA1C61-A898-4E14-9CA8-28E0ED84774E}"/>
    <cellStyle name="Normal 2 2 7 3" xfId="2029" xr:uid="{7F0ECA2D-6D05-476A-B796-56F489E597D2}"/>
    <cellStyle name="Normal 2 2 8" xfId="1261" xr:uid="{C4A2DAD3-271A-4F32-8D36-F70E6A130CDD}"/>
    <cellStyle name="Normal 2 2 8 2" xfId="2146" xr:uid="{BFAAEA45-BB4A-4A84-BEDE-DAC38D384226}"/>
    <cellStyle name="Normal 2 2 9" xfId="1023" xr:uid="{5C46BC3A-8350-4893-8274-380D32A67AD3}"/>
    <cellStyle name="Normal 2 2 9 2" xfId="1911" xr:uid="{4B56730A-2CDE-4DBC-AB30-D5AAA5F82886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2 2" xfId="2343" xr:uid="{A217592C-43DF-4EAF-A5DB-932A8F039B14}"/>
    <cellStyle name="Normal 22 3 3" xfId="1225" xr:uid="{BBAB6D9F-8302-4C91-B202-8DB48F373F08}"/>
    <cellStyle name="Normal 22 3 3 2" xfId="2110" xr:uid="{5485B553-9CEA-4B82-9998-687A94FED960}"/>
    <cellStyle name="Normal 22 3 4" xfId="1820" xr:uid="{70038659-D696-493A-84AA-55032276B8AB}"/>
    <cellStyle name="Normal 22 4" xfId="964" xr:uid="{E8690419-9D5D-45F4-AA2F-45398A042D5B}"/>
    <cellStyle name="Normal 22 4 2" xfId="1342" xr:uid="{557109F6-5A9B-47CC-AC61-D1B850FF4E70}"/>
    <cellStyle name="Normal 22 4 2 2" xfId="2227" xr:uid="{6F8D4527-6FEF-4F7E-B6B2-AFA68C61F225}"/>
    <cellStyle name="Normal 22 4 3" xfId="1876" xr:uid="{4360D3C6-26C9-47DD-AA01-AD3BA663FFA6}"/>
    <cellStyle name="Normal 22 5" xfId="1106" xr:uid="{8760330B-4CB1-4B35-A979-FFC0CB19D8CB}"/>
    <cellStyle name="Normal 22 5 2" xfId="1993" xr:uid="{967C8486-2EC2-49A2-AC3C-03D8F2B60877}"/>
    <cellStyle name="Normal 22 6" xfId="1735" xr:uid="{8623021D-8245-4E55-8DB6-5310B951A5D9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2 2" xfId="2344" xr:uid="{16305D16-F47D-44ED-92CC-104B6ED41794}"/>
    <cellStyle name="Normal 23 2 3" xfId="1226" xr:uid="{065EE220-D577-49E6-BE90-5A71E2BF8A48}"/>
    <cellStyle name="Normal 23 2 3 2" xfId="2111" xr:uid="{E469E49F-89C7-4074-B248-55C7A2718767}"/>
    <cellStyle name="Normal 23 2 4" xfId="1821" xr:uid="{34C93C0A-1918-41FA-8411-8312DA780C45}"/>
    <cellStyle name="Normal 23 3" xfId="965" xr:uid="{B39082DB-010D-4A23-8DE1-FBA352901F86}"/>
    <cellStyle name="Normal 23 3 2" xfId="1343" xr:uid="{B0E63C77-E165-4CE6-876C-E9C1E79155CD}"/>
    <cellStyle name="Normal 23 3 2 2" xfId="2228" xr:uid="{A0771937-6213-422A-968F-CFA6E3AB619A}"/>
    <cellStyle name="Normal 23 3 3" xfId="1877" xr:uid="{30F34708-7C46-43C1-93DA-94CBBDFE297B}"/>
    <cellStyle name="Normal 23 4" xfId="1107" xr:uid="{ACA2EA91-9CEE-4C60-A69A-050B08813299}"/>
    <cellStyle name="Normal 23 4 2" xfId="1994" xr:uid="{E8F31DF1-CAB1-4271-8E47-B4AAC65B7FA1}"/>
    <cellStyle name="Normal 23 5" xfId="1737" xr:uid="{EEDD5505-6872-40E0-A573-952A6DA74118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2 2" xfId="2259" xr:uid="{D382DF36-AE26-4796-9BF6-914C5CC399E1}"/>
    <cellStyle name="Normal 25 3" xfId="1137" xr:uid="{15A61BF5-5478-48F7-B307-4B6226F7FDED}"/>
    <cellStyle name="Normal 25 3 2" xfId="2024" xr:uid="{A304F02B-4316-4B42-9D18-213463D934A5}"/>
    <cellStyle name="Normal 26" xfId="925" xr:uid="{8F86AA81-1B5B-4B8B-B2BD-5B9D903B78F6}"/>
    <cellStyle name="Normal 26 2" xfId="1256" xr:uid="{4B7D146E-FD15-47E7-BE08-3499F7960DD7}"/>
    <cellStyle name="Normal 26 2 2" xfId="2141" xr:uid="{69E60C3C-5EB8-4C87-9D14-6E99092D4050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2 2 2" xfId="2422" xr:uid="{E1EE2FB4-4DB1-41A6-8953-9E797695F683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3 3 2" xfId="2449" xr:uid="{D684BAF1-7D4B-4D59-908E-2EF08B777518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5 2" xfId="1767" xr:uid="{829759D0-E391-4560-9DC5-772AF55AE456}"/>
    <cellStyle name="Normal 3 6" xfId="999" xr:uid="{8202992F-BAF8-44F3-8D2C-7901D2C69288}"/>
    <cellStyle name="Normal 3 6 2" xfId="1906" xr:uid="{76D0A50B-0A34-4550-959D-78DC863BE1AC}"/>
    <cellStyle name="Normal 3 7" xfId="624" xr:uid="{CCA486E0-110F-48D0-96E3-E1B5723E5A1E}"/>
    <cellStyle name="Normal 3 8" xfId="1545" xr:uid="{BB944EB7-6483-49E9-85DA-D9C3F57A3E78}"/>
    <cellStyle name="Normal 3 8 2" xfId="2389" xr:uid="{61D9CE8C-8931-4655-A5EB-0AA3F5C5AB5F}"/>
    <cellStyle name="Normal 3 9" xfId="1661" xr:uid="{14E4D76E-1ADF-4DEB-B039-945A494FA59D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2 2 2" xfId="2436" xr:uid="{7D6F1912-F063-4D8F-8F04-8171BD95B33D}"/>
    <cellStyle name="Normal 4 3" xfId="838" xr:uid="{F8577DCA-F3CC-455B-9CE2-FD746A551677}"/>
    <cellStyle name="Normal 4 3 2" xfId="1630" xr:uid="{59696BD0-08BF-4A00-9DE8-DAA3A1EE4D44}"/>
    <cellStyle name="Normal 4 3 2 2" xfId="2463" xr:uid="{6B668051-2CD5-40AE-8426-41D623B2CC43}"/>
    <cellStyle name="Normal 4 3 3" xfId="1781" xr:uid="{A40DA83A-CAEA-4779-8B23-ED1E43928EDC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 6 2" xfId="2406" xr:uid="{E216BEC9-089F-4DE9-9F1E-813909BD7D76}"/>
    <cellStyle name="Normal 4 7" xfId="1682" xr:uid="{546D3143-5740-4503-80EC-7A460D9713F8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8 2" xfId="2375" xr:uid="{068ED781-553C-49A6-AEEE-1A7A9CD929CE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2 2 2" xfId="2446" xr:uid="{6B844535-237C-4309-A121-2D0D722F912D}"/>
    <cellStyle name="Normal 5 2 2 3" xfId="2374" xr:uid="{5B843789-0437-44B9-B471-4B4227614D1A}"/>
    <cellStyle name="Normal 5 2 3" xfId="79" xr:uid="{00000000-0005-0000-0000-000050000000}"/>
    <cellStyle name="Normal 5 2 3 2" xfId="97" xr:uid="{00000000-0005-0000-0000-000051000000}"/>
    <cellStyle name="Normal 5 2 3 2 2" xfId="1692" xr:uid="{B50B8E5A-5BB2-45FD-AC7D-C8F4DA9C4428}"/>
    <cellStyle name="Normal 5 2 3 3" xfId="100" xr:uid="{00000000-0005-0000-0000-000052000000}"/>
    <cellStyle name="Normal 5 2 3 3 2" xfId="1532" xr:uid="{EDE8BB89-AB18-479F-A06D-10BB1D3F4B85}"/>
    <cellStyle name="Normal 5 2 3 3 2 2" xfId="2379" xr:uid="{7B089FB7-63E6-4E1D-B234-2534D1DAD879}"/>
    <cellStyle name="Normal 5 2 3 3 3" xfId="1695" xr:uid="{C3AB8E8A-8592-416C-8FD9-912A02C2C8E2}"/>
    <cellStyle name="Normal 5 2 3 4" xfId="1640" xr:uid="{2E54A4A0-3ED7-4892-9BC9-153D4262FD89}"/>
    <cellStyle name="Normal 5 2 3 4 2" xfId="2473" xr:uid="{717C9FFC-F796-4249-9F77-5A306E2F8883}"/>
    <cellStyle name="Normal 5 2 3 5" xfId="2484" xr:uid="{063EA8CA-D0E8-476D-B8B9-00F772BCBB64}"/>
    <cellStyle name="Normal 5 2 3 6" xfId="1685" xr:uid="{22330311-AFFE-47AC-92CA-06B4688CF57D}"/>
    <cellStyle name="Normal 5 2 4" xfId="844" xr:uid="{E5ED4AF3-FB2C-445E-AD98-836387592AA0}"/>
    <cellStyle name="Normal 5 2 4 2" xfId="1787" xr:uid="{00662B7B-D361-4155-A179-6B080A0ADCF2}"/>
    <cellStyle name="Normal 5 2 5" xfId="1575" xr:uid="{342AFFB9-C072-4776-8B05-33A2D52D4255}"/>
    <cellStyle name="Normal 5 2 5 2" xfId="2418" xr:uid="{F703293C-E3CB-402A-8950-9A0E65C9382B}"/>
    <cellStyle name="Normal 5 2 6" xfId="1684" xr:uid="{B5A57D28-5DFA-4AF3-8CA1-06F7460AA93B}"/>
    <cellStyle name="Normal 5 3" xfId="840" xr:uid="{6F900A40-2CC6-4DF6-9E52-39DACFBB9333}"/>
    <cellStyle name="Normal 5 3 2" xfId="1600" xr:uid="{016B417D-6BE7-42EE-AB41-64CF17C581FC}"/>
    <cellStyle name="Normal 5 3 2 2" xfId="2439" xr:uid="{18214EBA-2D05-4FB7-B5B3-DD1FA2D6B41D}"/>
    <cellStyle name="Normal 5 3 3" xfId="1783" xr:uid="{32C12720-3710-4B69-BB42-B70FC14BEC2F}"/>
    <cellStyle name="Normal 5 4" xfId="626" xr:uid="{1FAB166A-B1F1-49B7-9742-8EEB87263E54}"/>
    <cellStyle name="Normal 5 4 2" xfId="1633" xr:uid="{1AEFD97D-EB08-4369-87C3-D361F9435454}"/>
    <cellStyle name="Normal 5 4 2 2" xfId="2466" xr:uid="{606E69C1-99AF-4EC3-9122-80CD9723A40F}"/>
    <cellStyle name="Normal 5 5" xfId="1565" xr:uid="{62BBE788-3710-4EB5-8310-379D4C8E96D6}"/>
    <cellStyle name="Normal 5 5 2" xfId="2409" xr:uid="{C28B21DE-6EE0-4A29-ADCC-47E3FD4C6D7F}"/>
    <cellStyle name="Normal 5 6" xfId="1683" xr:uid="{88C7F695-1AB1-47DC-8390-DA2D3BEEBB6D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4" xr:uid="{187E4ED3-96C3-458D-9BC8-1C81CE0182D4}"/>
    <cellStyle name="Normal 56 2" xfId="2482" xr:uid="{71ADE8F8-DD0F-4226-AA6E-26AA78C1A8D2}"/>
    <cellStyle name="Normal 57" xfId="1656" xr:uid="{215ABBCB-4A06-46A7-90D3-E0D5F1983758}"/>
    <cellStyle name="Normal 57 2" xfId="2483" xr:uid="{89F4E140-DA5F-4107-B7D7-0D3B35E1CE7B}"/>
    <cellStyle name="Normal 58" xfId="1657" xr:uid="{34718162-C4A5-4DC7-9AEC-D7D36F73A8CB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2 2 2" xfId="2442" xr:uid="{A0F07BFF-F9CB-4D1C-BB1B-BAD8BDD494E1}"/>
    <cellStyle name="Normal 6 2 3" xfId="1786" xr:uid="{58A174F9-4F87-48BF-A00D-795127A49044}"/>
    <cellStyle name="Normal 6 3" xfId="627" xr:uid="{4A26A58B-7FCB-41A0-981C-8E1A21369BCB}"/>
    <cellStyle name="Normal 6 3 2" xfId="1636" xr:uid="{BBBB43E1-0D6C-404F-AE2D-BEB135A28257}"/>
    <cellStyle name="Normal 6 3 2 2" xfId="2469" xr:uid="{38694AE0-1B88-445F-900F-565D0405EE6C}"/>
    <cellStyle name="Normal 6 4" xfId="1568" xr:uid="{55488A95-04F8-42C5-A919-531BF6ADDF6F}"/>
    <cellStyle name="Normal 6 4 2" xfId="2412" xr:uid="{888B0AA2-A24B-4D9A-AC5D-0B91CF28C69E}"/>
    <cellStyle name="Normal 6 5" xfId="1686" xr:uid="{1F8E4624-8E64-4B64-97C2-D70B19431D94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7 2" xfId="2386" xr:uid="{4B10E0B7-B334-4F14-870B-DC717D1096CB}"/>
    <cellStyle name="Note 18" xfId="1547" xr:uid="{DEA9A86E-F245-43FF-81DB-721FD600E8AB}"/>
    <cellStyle name="Note 18 2" xfId="2391" xr:uid="{9E5131C0-9CB3-4116-9BF7-88D11AC3DC14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2 2 2" xfId="2423" xr:uid="{6FCC64BC-9BEC-45BB-8945-49B200B97566}"/>
    <cellStyle name="Note 2 2 3" xfId="1768" xr:uid="{AA942144-F5B9-4E86-8C80-9EBB7F92441E}"/>
    <cellStyle name="Note 2 3" xfId="637" xr:uid="{CF50727E-2C77-407C-AC31-2D4DB5D30CFE}"/>
    <cellStyle name="Note 2 3 2" xfId="1617" xr:uid="{358680A1-CE85-4911-AF8D-F2668E0509D9}"/>
    <cellStyle name="Note 2 3 2 2" xfId="2450" xr:uid="{1CE309C1-8CAF-4A26-8D22-C1DCE1F48CCC}"/>
    <cellStyle name="Note 2 4" xfId="1548" xr:uid="{C93E4656-5D6E-461E-9195-344D5ED1B639}"/>
    <cellStyle name="Note 2 4 2" xfId="2392" xr:uid="{C39601D6-911C-421A-981B-344588859159}"/>
    <cellStyle name="Note 2 5" xfId="1687" xr:uid="{CA773E74-E642-4063-9615-2EEC240C8626}"/>
    <cellStyle name="Note 3" xfId="638" xr:uid="{19CEE5A5-BE22-42FF-910F-F069B3250C44}"/>
    <cellStyle name="Note 3 2" xfId="1581" xr:uid="{9E9807CA-B7C2-43A0-A5FA-A97763CD76DE}"/>
    <cellStyle name="Note 3 2 2" xfId="2421" xr:uid="{402BBF59-3E6D-4DCF-A020-B8A88DB935CC}"/>
    <cellStyle name="Note 3 3" xfId="1647" xr:uid="{E633B5F4-851F-4DFA-94F4-BB0394006E03}"/>
    <cellStyle name="Note 3 3 2" xfId="2479" xr:uid="{9E2115C2-3DB7-4F29-ABA1-D01340BD2077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7 2" xfId="2387" xr:uid="{6DC286D0-8135-4D08-98E3-57A8611F8A7A}"/>
    <cellStyle name="Output 18" xfId="1537" xr:uid="{C9E53BC3-C0FE-4A2A-82A1-60E937FF9C47}"/>
    <cellStyle name="Output 18 2" xfId="2382" xr:uid="{7AF47977-6B2F-492C-9763-FD25A52A5D18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10" xfId="1715" xr:uid="{36655442-0CC7-4F6C-B36C-3F948D79D906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2 2 2" xfId="2363" xr:uid="{38B8D66B-BF3C-44CB-B010-D8EA6EC716FE}"/>
    <cellStyle name="Percent 2 2 2 2 2 2 3" xfId="2130" xr:uid="{246196A7-4201-4A81-A25C-A904F694514D}"/>
    <cellStyle name="Percent 2 2 2 2 2 3" xfId="1362" xr:uid="{0FB9F9BB-5D75-4020-82D7-2C4364DA421F}"/>
    <cellStyle name="Percent 2 2 2 2 2 3 2" xfId="2247" xr:uid="{44DFF47C-5D4C-4579-8898-A5A4DE8BBF7C}"/>
    <cellStyle name="Percent 2 2 2 2 2 4" xfId="1126" xr:uid="{EF1AA621-7718-46D6-AC53-D2FB3F60416D}"/>
    <cellStyle name="Percent 2 2 2 2 2 4 2" xfId="2013" xr:uid="{7E8E49F2-2C21-4D74-997C-42068EBF4540}"/>
    <cellStyle name="Percent 2 2 2 2 2 5" xfId="1840" xr:uid="{74AF8381-8A8B-4214-90E2-E6CC8E29F8E5}"/>
    <cellStyle name="Percent 2 2 2 2 3" xfId="984" xr:uid="{B1F05F6C-B390-40EA-B343-C566D8DD604C}"/>
    <cellStyle name="Percent 2 2 2 2 3 2" xfId="1422" xr:uid="{BBD119E7-0FC4-4E68-B34A-A90D652EEE0C}"/>
    <cellStyle name="Percent 2 2 2 2 3 2 2" xfId="2307" xr:uid="{06348D97-FB98-4372-A5FA-E2ED11701DE7}"/>
    <cellStyle name="Percent 2 2 2 2 3 3" xfId="1189" xr:uid="{6C317745-1C34-4BBA-82D2-4F24D0D8C069}"/>
    <cellStyle name="Percent 2 2 2 2 3 3 2" xfId="2074" xr:uid="{61636B31-F7A7-46C0-A248-6C7ECCA8E445}"/>
    <cellStyle name="Percent 2 2 2 2 3 4" xfId="1896" xr:uid="{705BBFEA-6958-4147-8C30-A1A22ECBB897}"/>
    <cellStyle name="Percent 2 2 2 2 4" xfId="1306" xr:uid="{8A14BC25-43A7-47D0-8C1C-78F2081802AB}"/>
    <cellStyle name="Percent 2 2 2 2 4 2" xfId="2191" xr:uid="{A8583B80-2BCA-4722-B012-0FAF188267A3}"/>
    <cellStyle name="Percent 2 2 2 2 5" xfId="1069" xr:uid="{CB0CE082-3FD8-4C7A-BC45-D657324A4C73}"/>
    <cellStyle name="Percent 2 2 2 2 5 2" xfId="1957" xr:uid="{F2BB4A5D-89CB-4735-8BFE-51769FFE351D}"/>
    <cellStyle name="Percent 2 2 2 2 6" xfId="1757" xr:uid="{547ACDE8-F2AA-4431-9DC8-0FE70A75D24E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2 2 2" xfId="2333" xr:uid="{8A56E016-41BE-46D3-8FD5-798BDA7D82C1}"/>
    <cellStyle name="Percent 2 2 2 3 2 3" xfId="2100" xr:uid="{0694C4DA-72A4-4AC5-B686-DFCAE4924524}"/>
    <cellStyle name="Percent 2 2 2 3 3" xfId="1332" xr:uid="{C36D18BC-0C1A-4676-B3D9-8FEFF81F12E3}"/>
    <cellStyle name="Percent 2 2 2 3 3 2" xfId="2217" xr:uid="{F87145B8-01DB-4718-BE48-A0AA59FB61FF}"/>
    <cellStyle name="Percent 2 2 2 3 4" xfId="1096" xr:uid="{E9D05171-8549-4045-95DE-D2677DB08E9D}"/>
    <cellStyle name="Percent 2 2 2 3 4 2" xfId="1983" xr:uid="{8A98D07C-1CEF-4F58-8D08-4F0743A6D4AC}"/>
    <cellStyle name="Percent 2 2 2 3 5" xfId="1810" xr:uid="{A2C65251-5542-4DAB-980B-5F8425CC8598}"/>
    <cellStyle name="Percent 2 2 2 4" xfId="954" xr:uid="{2BC70880-FB56-4C6D-B3C1-D1D222A4FF4B}"/>
    <cellStyle name="Percent 2 2 2 4 2" xfId="1396" xr:uid="{DE582128-E9D5-4F43-923A-E3CD7F05F6D4}"/>
    <cellStyle name="Percent 2 2 2 4 2 2" xfId="2281" xr:uid="{8FA78156-F4F7-4203-AA50-8AE273EA1698}"/>
    <cellStyle name="Percent 2 2 2 4 3" xfId="1163" xr:uid="{FFC31374-59B4-461A-B16A-6A38C5AF4DCB}"/>
    <cellStyle name="Percent 2 2 2 4 3 2" xfId="2048" xr:uid="{62C5E1BD-34D5-47FE-B2F2-B8A7EBAA4F9C}"/>
    <cellStyle name="Percent 2 2 2 4 4" xfId="1866" xr:uid="{25DEAF9C-DD77-4FF8-8FC5-F13E9F271FD2}"/>
    <cellStyle name="Percent 2 2 2 5" xfId="1280" xr:uid="{BDB68D74-C350-4EDC-A83C-9006A8FA1F85}"/>
    <cellStyle name="Percent 2 2 2 5 2" xfId="2165" xr:uid="{5CC251D9-C0B9-4CE8-99D1-C7FB93FA7187}"/>
    <cellStyle name="Percent 2 2 2 6" xfId="1043" xr:uid="{F79B9E8B-24CA-419A-A2E1-D4C5134BA55B}"/>
    <cellStyle name="Percent 2 2 2 6 2" xfId="1931" xr:uid="{85177895-D988-4131-9B9E-24F79C039BD4}"/>
    <cellStyle name="Percent 2 2 2 7" xfId="1725" xr:uid="{DBA1C3CA-EB6B-4A5B-BE09-D3F6B438FBB3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2 2 2" xfId="2371" xr:uid="{8C26A4D9-8AD8-4E9F-B48E-EAF62B494F34}"/>
    <cellStyle name="Percent 2 2 3 2 2 2 3" xfId="2138" xr:uid="{32B64DDA-0B8D-4229-B20C-1D8BCB841AC0}"/>
    <cellStyle name="Percent 2 2 3 2 2 3" xfId="1370" xr:uid="{A1B37527-05B3-46E3-A0A4-DAC5ABBF2FBF}"/>
    <cellStyle name="Percent 2 2 3 2 2 3 2" xfId="2255" xr:uid="{B746761A-9CFC-4C34-BDD9-4356ABC8CA7B}"/>
    <cellStyle name="Percent 2 2 3 2 2 4" xfId="1134" xr:uid="{77B232BD-EF62-4D0A-B9C3-B0DF78598044}"/>
    <cellStyle name="Percent 2 2 3 2 2 4 2" xfId="2021" xr:uid="{8D5E599E-E3A7-4AF6-8FF7-8EED1601D938}"/>
    <cellStyle name="Percent 2 2 3 2 2 5" xfId="1848" xr:uid="{1D12DBF8-78BE-4C02-8D42-4B4E0F8D82D2}"/>
    <cellStyle name="Percent 2 2 3 2 3" xfId="992" xr:uid="{B690CDB8-EDC9-44D9-8D4E-39F1E9A35023}"/>
    <cellStyle name="Percent 2 2 3 2 3 2" xfId="1430" xr:uid="{08EEE802-44F5-4F43-96F8-92A9476EE4D6}"/>
    <cellStyle name="Percent 2 2 3 2 3 2 2" xfId="2315" xr:uid="{939FA698-0C71-4C6B-A294-17B739A29758}"/>
    <cellStyle name="Percent 2 2 3 2 3 3" xfId="1197" xr:uid="{5C1C04E1-7084-4333-910C-D20285CC2BE5}"/>
    <cellStyle name="Percent 2 2 3 2 3 3 2" xfId="2082" xr:uid="{05CCCCCD-3363-4051-BB82-0B4846B6E027}"/>
    <cellStyle name="Percent 2 2 3 2 3 4" xfId="1904" xr:uid="{DC00C6A8-08FB-4586-8497-CFBC2059C52C}"/>
    <cellStyle name="Percent 2 2 3 2 4" xfId="1314" xr:uid="{D823029D-21EE-41FC-B92C-38976A279C31}"/>
    <cellStyle name="Percent 2 2 3 2 4 2" xfId="2199" xr:uid="{70F6BC2E-F380-430D-928D-E1A9105CAE12}"/>
    <cellStyle name="Percent 2 2 3 2 5" xfId="1077" xr:uid="{955D8B21-0F5E-4361-8715-390646E07FE5}"/>
    <cellStyle name="Percent 2 2 3 2 5 2" xfId="1965" xr:uid="{E2356946-CA4E-41F5-9DA7-4E63A972E0CF}"/>
    <cellStyle name="Percent 2 2 3 2 6" xfId="1765" xr:uid="{54F40441-ABB0-40D8-8997-790C30908016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2 2 2" xfId="2341" xr:uid="{F69C4C52-623A-493D-8DA1-03DA1457089F}"/>
    <cellStyle name="Percent 2 2 3 3 2 3" xfId="2108" xr:uid="{9927EC9C-0FBD-4093-8595-673702667956}"/>
    <cellStyle name="Percent 2 2 3 3 3" xfId="1340" xr:uid="{DC1F1817-3C6B-4CEC-A655-7E63A634A07D}"/>
    <cellStyle name="Percent 2 2 3 3 3 2" xfId="2225" xr:uid="{B826E115-C88C-48ED-8164-32F70F895621}"/>
    <cellStyle name="Percent 2 2 3 3 4" xfId="1104" xr:uid="{D1860A29-6BD6-451F-A9B3-CEF347F16220}"/>
    <cellStyle name="Percent 2 2 3 3 4 2" xfId="1991" xr:uid="{97E7CA8B-F57D-4488-BAC6-DE913A8E1215}"/>
    <cellStyle name="Percent 2 2 3 3 5" xfId="1818" xr:uid="{0A951A5E-511E-49BF-801D-052010826D87}"/>
    <cellStyle name="Percent 2 2 3 4" xfId="962" xr:uid="{95D78603-66E8-4024-A783-3BEEEFD9FEC0}"/>
    <cellStyle name="Percent 2 2 3 4 2" xfId="1404" xr:uid="{3EAB58BA-5BA4-44A8-B4EE-E6301138CFFF}"/>
    <cellStyle name="Percent 2 2 3 4 2 2" xfId="2289" xr:uid="{AF0E5AF7-BEF5-46F2-815D-0B968E3358E4}"/>
    <cellStyle name="Percent 2 2 3 4 3" xfId="1171" xr:uid="{F500D14E-AF25-4979-8E0F-8A6D777664FF}"/>
    <cellStyle name="Percent 2 2 3 4 3 2" xfId="2056" xr:uid="{A3258DB8-07FC-4503-8B1E-48CEDC533231}"/>
    <cellStyle name="Percent 2 2 3 4 4" xfId="1874" xr:uid="{03F120E0-7E6F-41BB-AA56-0BB7F1630468}"/>
    <cellStyle name="Percent 2 2 3 5" xfId="1288" xr:uid="{6B444173-8074-4761-BC65-0A84B7BA2D3D}"/>
    <cellStyle name="Percent 2 2 3 5 2" xfId="2173" xr:uid="{9D53BF65-6D2E-46BC-AA4B-8EDC67B08F36}"/>
    <cellStyle name="Percent 2 2 3 6" xfId="1051" xr:uid="{61119096-C3F9-47C9-872A-BABE34AA5001}"/>
    <cellStyle name="Percent 2 2 3 6 2" xfId="1939" xr:uid="{EA6B14B5-4EB5-4CCD-A1DE-F09249B4C4D9}"/>
    <cellStyle name="Percent 2 2 3 7" xfId="1733" xr:uid="{16066CA4-B3F4-461E-9D1B-719091F662A6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2 2 2" xfId="2355" xr:uid="{DD43A292-620F-4393-A606-21E94AA27E11}"/>
    <cellStyle name="Percent 2 2 4 2 2 3" xfId="2122" xr:uid="{C35F9396-22BF-4C79-A2D8-BE388DBC75CC}"/>
    <cellStyle name="Percent 2 2 4 2 3" xfId="1354" xr:uid="{7EF0AEBC-96D9-464F-91AE-11582A21A53C}"/>
    <cellStyle name="Percent 2 2 4 2 3 2" xfId="2239" xr:uid="{69289A5A-EA7A-4EB9-B4EE-D8E169CA2C29}"/>
    <cellStyle name="Percent 2 2 4 2 4" xfId="1118" xr:uid="{FEA682B3-D045-43DA-8BE3-B1C208A16ED9}"/>
    <cellStyle name="Percent 2 2 4 2 4 2" xfId="2005" xr:uid="{AA54F7FB-A065-4A5D-AD40-07D595E953F7}"/>
    <cellStyle name="Percent 2 2 4 2 5" xfId="1832" xr:uid="{ABEE8A74-DB75-41FF-B718-049D02B76FEF}"/>
    <cellStyle name="Percent 2 2 4 3" xfId="976" xr:uid="{E82A8719-362B-4533-8AE7-243A3A10BCEB}"/>
    <cellStyle name="Percent 2 2 4 3 2" xfId="1414" xr:uid="{0D65EABF-9039-4F52-AAD7-86DA9F5E03E7}"/>
    <cellStyle name="Percent 2 2 4 3 2 2" xfId="2299" xr:uid="{A534B032-BE10-4056-A599-070371B25BF9}"/>
    <cellStyle name="Percent 2 2 4 3 3" xfId="1181" xr:uid="{2027761D-7285-42B4-8E52-FD7608B4230C}"/>
    <cellStyle name="Percent 2 2 4 3 3 2" xfId="2066" xr:uid="{31E9F20D-3AF6-4932-9EE3-48D554855351}"/>
    <cellStyle name="Percent 2 2 4 3 4" xfId="1888" xr:uid="{185D5A56-BB16-4A0D-A189-5E7695A85F1A}"/>
    <cellStyle name="Percent 2 2 4 4" xfId="1298" xr:uid="{3B1A5A77-BF21-48C5-B3F7-88AFD7439F34}"/>
    <cellStyle name="Percent 2 2 4 4 2" xfId="2183" xr:uid="{1605F306-07CA-44D5-9EAF-8B3FAC3F22A3}"/>
    <cellStyle name="Percent 2 2 4 5" xfId="1061" xr:uid="{9C590336-6991-43C1-88EC-9D1707BC96EC}"/>
    <cellStyle name="Percent 2 2 4 5 2" xfId="1949" xr:uid="{DC32448B-D20E-46EF-9F0C-3744E1A1EE9C}"/>
    <cellStyle name="Percent 2 2 4 6" xfId="1749" xr:uid="{9386E962-F2DD-4CEA-AFA6-6FE35360C65F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2 2 2" xfId="2325" xr:uid="{B120707B-219C-4FFE-9563-B88422348392}"/>
    <cellStyle name="Percent 2 2 5 2 3" xfId="2092" xr:uid="{A212A182-6AE2-492D-AFE1-8BF2543BEC7A}"/>
    <cellStyle name="Percent 2 2 5 3" xfId="1324" xr:uid="{DCC78229-2BE3-40E8-84E4-1CBCF46CBB87}"/>
    <cellStyle name="Percent 2 2 5 3 2" xfId="2209" xr:uid="{6C5AA433-607D-4CB0-A566-E7ED2FA5C8A3}"/>
    <cellStyle name="Percent 2 2 5 4" xfId="1088" xr:uid="{CCBEFCB9-7912-450F-A502-47923A3928A2}"/>
    <cellStyle name="Percent 2 2 5 4 2" xfId="1975" xr:uid="{0BC11561-AC0D-4BC8-8930-0E870A3EB8DB}"/>
    <cellStyle name="Percent 2 2 5 5" xfId="1802" xr:uid="{4B2C0CCB-E9E2-4551-96E7-4DEEF5641748}"/>
    <cellStyle name="Percent 2 2 6" xfId="946" xr:uid="{9C4479DA-E787-427F-85A9-A4F58C5AAED7}"/>
    <cellStyle name="Percent 2 2 6 2" xfId="1388" xr:uid="{0668FD38-92E8-479D-86DA-C347453AA5FC}"/>
    <cellStyle name="Percent 2 2 6 2 2" xfId="2273" xr:uid="{5FDE7B87-3D24-495D-8C7F-CF4E3EEC9A8D}"/>
    <cellStyle name="Percent 2 2 6 3" xfId="1155" xr:uid="{C3634280-881D-4D54-AFF1-030BE9D03180}"/>
    <cellStyle name="Percent 2 2 6 3 2" xfId="2040" xr:uid="{AF2F4E07-DE88-4DC6-95DE-ED3C3F8E5990}"/>
    <cellStyle name="Percent 2 2 6 4" xfId="1858" xr:uid="{1181CDDC-B4F4-47AC-BD7A-405C976B558B}"/>
    <cellStyle name="Percent 2 2 7" xfId="1272" xr:uid="{EDC9D8FF-2B90-40E7-A280-8190504072A1}"/>
    <cellStyle name="Percent 2 2 7 2" xfId="2157" xr:uid="{6B608F97-6BB0-406B-8627-4169507F0541}"/>
    <cellStyle name="Percent 2 2 8" xfId="1035" xr:uid="{F1CC9E9A-C24E-4D2A-AF01-744365E7B526}"/>
    <cellStyle name="Percent 2 2 8 2" xfId="1923" xr:uid="{58B45F9D-76A0-495B-8785-17654E5D49B6}"/>
    <cellStyle name="Percent 2 2 9" xfId="1599" xr:uid="{11076CA7-C845-40CF-A3DC-D75A2058016F}"/>
    <cellStyle name="Percent 2 2 9 2" xfId="2438" xr:uid="{9FC2E07E-F86C-4006-991D-09AE040A3038}"/>
    <cellStyle name="Percent 2 3" xfId="715" xr:uid="{957618BB-BB17-4599-B407-40F2504A0070}"/>
    <cellStyle name="Percent 2 3 10" xfId="1718" xr:uid="{83D1BA43-CF08-459D-AA8F-5B7B0B03017D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2 2 2" xfId="2364" xr:uid="{BB3FE97D-00DB-4496-B624-C555529F8069}"/>
    <cellStyle name="Percent 2 3 2 2 2 2 3" xfId="2131" xr:uid="{09A53F58-4FF0-4439-8541-7C8A93D3E4F4}"/>
    <cellStyle name="Percent 2 3 2 2 2 3" xfId="1363" xr:uid="{8D03E115-34CE-4D64-93FD-487BF1B13253}"/>
    <cellStyle name="Percent 2 3 2 2 2 3 2" xfId="2248" xr:uid="{2DAC721B-AD69-40B4-AAF9-B1EA6E4C31A4}"/>
    <cellStyle name="Percent 2 3 2 2 2 4" xfId="1127" xr:uid="{2FDBD90E-2E53-432D-97D4-96D689759883}"/>
    <cellStyle name="Percent 2 3 2 2 2 4 2" xfId="2014" xr:uid="{50AECBA5-DADF-4918-94B1-C397462FD543}"/>
    <cellStyle name="Percent 2 3 2 2 2 5" xfId="1841" xr:uid="{2FDF2C9A-EF79-4D96-8A54-E7F29B2AB8F7}"/>
    <cellStyle name="Percent 2 3 2 2 3" xfId="985" xr:uid="{BB0FB4EE-AE37-4CB9-B3E3-60A6A3E7CA87}"/>
    <cellStyle name="Percent 2 3 2 2 3 2" xfId="1423" xr:uid="{F64ED0DD-0205-438D-B588-ECE37A6A79A6}"/>
    <cellStyle name="Percent 2 3 2 2 3 2 2" xfId="2308" xr:uid="{B8354EEC-1975-4337-A603-CB4B61DB54C8}"/>
    <cellStyle name="Percent 2 3 2 2 3 3" xfId="1190" xr:uid="{45DA7050-7CA6-4E37-883F-A7FA850BCBAA}"/>
    <cellStyle name="Percent 2 3 2 2 3 3 2" xfId="2075" xr:uid="{D7E96BDC-1CBE-47C9-B14F-7548C91AA37F}"/>
    <cellStyle name="Percent 2 3 2 2 3 4" xfId="1897" xr:uid="{F762E009-D233-467F-A6DA-1FCDC3A06175}"/>
    <cellStyle name="Percent 2 3 2 2 4" xfId="1307" xr:uid="{85CC6D77-C8BF-4997-856A-36C792984BC9}"/>
    <cellStyle name="Percent 2 3 2 2 4 2" xfId="2192" xr:uid="{1587F7DC-C2D6-42B7-BAED-A634B6C591FF}"/>
    <cellStyle name="Percent 2 3 2 2 5" xfId="1070" xr:uid="{01CD960F-60E3-4B38-A068-DBECC530CCCB}"/>
    <cellStyle name="Percent 2 3 2 2 5 2" xfId="1958" xr:uid="{2B4FC930-E0AF-4D97-9692-93567FCCFD1C}"/>
    <cellStyle name="Percent 2 3 2 2 6" xfId="1758" xr:uid="{1913E073-C2A6-47CE-8669-815F190FD2BF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2 2 2" xfId="2334" xr:uid="{BCFEFFC1-FDB2-4ECE-B8FC-0627C93F2169}"/>
    <cellStyle name="Percent 2 3 2 3 2 3" xfId="2101" xr:uid="{70070763-D1D3-4471-A495-5F27DEB94CEB}"/>
    <cellStyle name="Percent 2 3 2 3 3" xfId="1333" xr:uid="{47773169-E417-4DD5-BE8E-B367EAAC66B7}"/>
    <cellStyle name="Percent 2 3 2 3 3 2" xfId="2218" xr:uid="{5C8C8416-E0AB-4096-B1E7-96FBFB2407B0}"/>
    <cellStyle name="Percent 2 3 2 3 4" xfId="1097" xr:uid="{2F36AFF0-A868-453E-9820-59363BF4605B}"/>
    <cellStyle name="Percent 2 3 2 3 4 2" xfId="1984" xr:uid="{045D22BA-0387-41E3-A49D-FF06C798E805}"/>
    <cellStyle name="Percent 2 3 2 3 5" xfId="1811" xr:uid="{CBFEBA8C-3344-4BF9-A49B-E02877E553FE}"/>
    <cellStyle name="Percent 2 3 2 4" xfId="955" xr:uid="{85BACFE1-8D9D-4C9D-B21D-8006B00DF0A3}"/>
    <cellStyle name="Percent 2 3 2 4 2" xfId="1397" xr:uid="{DA623913-9CF7-4071-A1B8-267A5DDBF6F8}"/>
    <cellStyle name="Percent 2 3 2 4 2 2" xfId="2282" xr:uid="{DE21F8F7-B4B9-4F19-9AE2-0DC046C4A3A5}"/>
    <cellStyle name="Percent 2 3 2 4 3" xfId="1164" xr:uid="{C90ECF37-3C70-4B50-A8A5-16B86102142B}"/>
    <cellStyle name="Percent 2 3 2 4 3 2" xfId="2049" xr:uid="{F12A12A6-94F0-4E9F-ACB0-FA6662237005}"/>
    <cellStyle name="Percent 2 3 2 4 4" xfId="1867" xr:uid="{B3DE6797-AE3D-4398-9EAB-934ED4CB4BE5}"/>
    <cellStyle name="Percent 2 3 2 5" xfId="1281" xr:uid="{7801F8DD-CD8B-4ECF-AEE1-D2B6A7D3CE61}"/>
    <cellStyle name="Percent 2 3 2 5 2" xfId="2166" xr:uid="{D14D0EBB-CB57-4BEF-84ED-10202FE1C5D1}"/>
    <cellStyle name="Percent 2 3 2 6" xfId="1044" xr:uid="{25644436-848F-4D06-8082-AC8096CEBBAB}"/>
    <cellStyle name="Percent 2 3 2 6 2" xfId="1932" xr:uid="{50BFC723-BB30-4852-BAD9-0DCEE6F970BD}"/>
    <cellStyle name="Percent 2 3 2 7" xfId="1726" xr:uid="{4DE5DBC2-4D92-4EA5-9A6D-C6A1F9FE03ED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2 2 2" xfId="2372" xr:uid="{DF4C5363-488A-4B65-B4AA-CCC9F5762AC4}"/>
    <cellStyle name="Percent 2 3 3 2 2 2 3" xfId="2139" xr:uid="{A45A44B3-F4CC-43ED-905B-EF935680C6E5}"/>
    <cellStyle name="Percent 2 3 3 2 2 3" xfId="1371" xr:uid="{D30FF093-2737-41F8-8E8F-A19BC2F3774D}"/>
    <cellStyle name="Percent 2 3 3 2 2 3 2" xfId="2256" xr:uid="{61042F94-DFF1-4F8B-9AA8-822274019C1F}"/>
    <cellStyle name="Percent 2 3 3 2 2 4" xfId="1135" xr:uid="{CFAE250A-5ACB-45AE-800B-4ECD631A2251}"/>
    <cellStyle name="Percent 2 3 3 2 2 4 2" xfId="2022" xr:uid="{19FD8DF1-9A0E-490B-B705-9996B6DAFCCA}"/>
    <cellStyle name="Percent 2 3 3 2 2 5" xfId="1849" xr:uid="{893BD5F8-99A7-438B-B8FE-2BFE1AC7664C}"/>
    <cellStyle name="Percent 2 3 3 2 3" xfId="993" xr:uid="{1D9A29FE-9C6E-46DC-9A77-B89E3F3CBDAB}"/>
    <cellStyle name="Percent 2 3 3 2 3 2" xfId="1431" xr:uid="{010D03B1-4B47-44DA-A3AE-EB8FDDD30EC5}"/>
    <cellStyle name="Percent 2 3 3 2 3 2 2" xfId="2316" xr:uid="{C5187ADB-F8F6-4BE4-B5F6-737CB5B08FA6}"/>
    <cellStyle name="Percent 2 3 3 2 3 3" xfId="1198" xr:uid="{41DCA3EF-8577-4C49-953F-C059C10267E5}"/>
    <cellStyle name="Percent 2 3 3 2 3 3 2" xfId="2083" xr:uid="{29AB767A-A6AA-4375-8EC3-0BF8C5AA3341}"/>
    <cellStyle name="Percent 2 3 3 2 3 4" xfId="1905" xr:uid="{E48B38AE-290B-4603-8B1D-084074E5C2FE}"/>
    <cellStyle name="Percent 2 3 3 2 4" xfId="1315" xr:uid="{F63763CF-C887-48B4-A431-E5E833571B72}"/>
    <cellStyle name="Percent 2 3 3 2 4 2" xfId="2200" xr:uid="{B3CC5E5B-686A-42FA-851C-C7F5908052AD}"/>
    <cellStyle name="Percent 2 3 3 2 5" xfId="1078" xr:uid="{748DDF15-5AF1-41A0-9367-3E4D45F8D759}"/>
    <cellStyle name="Percent 2 3 3 2 5 2" xfId="1966" xr:uid="{D2055270-5D8A-4398-A403-D781EB38605A}"/>
    <cellStyle name="Percent 2 3 3 2 6" xfId="1766" xr:uid="{18A4834C-92A9-4489-B5FB-36139257C9E6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2 2 2" xfId="2342" xr:uid="{9E126DD8-EA83-41E8-B85F-2620A6177FC0}"/>
    <cellStyle name="Percent 2 3 3 3 2 3" xfId="2109" xr:uid="{EFFD54E0-CC13-4CD7-9523-015C60D4A3E8}"/>
    <cellStyle name="Percent 2 3 3 3 3" xfId="1341" xr:uid="{4972E8A8-9A4C-4A17-BD8A-4949B375C5C0}"/>
    <cellStyle name="Percent 2 3 3 3 3 2" xfId="2226" xr:uid="{7F8A8D48-E727-4252-9B69-736D2393F442}"/>
    <cellStyle name="Percent 2 3 3 3 4" xfId="1105" xr:uid="{165CE284-A2FC-49C7-B2B5-59C4B3A90D7E}"/>
    <cellStyle name="Percent 2 3 3 3 4 2" xfId="1992" xr:uid="{154C1525-6F91-4C1A-8F84-CD8006652628}"/>
    <cellStyle name="Percent 2 3 3 3 5" xfId="1819" xr:uid="{CA681541-C3D9-47DE-B1C4-A4C892842F19}"/>
    <cellStyle name="Percent 2 3 3 4" xfId="963" xr:uid="{D211CE6A-38EE-4318-B1FA-11236953FD93}"/>
    <cellStyle name="Percent 2 3 3 4 2" xfId="1405" xr:uid="{1F8B2815-722A-4306-8EA5-152EC4C53F99}"/>
    <cellStyle name="Percent 2 3 3 4 2 2" xfId="2290" xr:uid="{47D05AA6-8963-4C43-90F2-1C288C064CE6}"/>
    <cellStyle name="Percent 2 3 3 4 3" xfId="1172" xr:uid="{9A17229A-0A23-42FB-A386-6025C0AF1AA0}"/>
    <cellStyle name="Percent 2 3 3 4 3 2" xfId="2057" xr:uid="{7BE001DF-ECAD-4D9F-9613-C0D60066ADFE}"/>
    <cellStyle name="Percent 2 3 3 4 4" xfId="1875" xr:uid="{8132D468-790F-4CCE-B24B-AEA31BFCC436}"/>
    <cellStyle name="Percent 2 3 3 5" xfId="1289" xr:uid="{B69FA835-8DA6-4470-B8B5-4F2EC6C92574}"/>
    <cellStyle name="Percent 2 3 3 5 2" xfId="2174" xr:uid="{6C9D79A9-E6AA-4ADB-8B27-6120EA812809}"/>
    <cellStyle name="Percent 2 3 3 6" xfId="1052" xr:uid="{4229D542-344F-4FED-9745-1DCB82C2A25B}"/>
    <cellStyle name="Percent 2 3 3 6 2" xfId="1940" xr:uid="{6FCAAE7B-450E-4D01-95C6-6EF8F442CED9}"/>
    <cellStyle name="Percent 2 3 3 7" xfId="1734" xr:uid="{AE406269-C4EB-4733-BD4E-CAF080E3D69F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2 2 2" xfId="2356" xr:uid="{B6ED694F-257A-4F95-8F98-A76EA053C6D8}"/>
    <cellStyle name="Percent 2 3 4 2 2 3" xfId="2123" xr:uid="{37F8853A-62D5-4B8E-B383-D06C8FBA3204}"/>
    <cellStyle name="Percent 2 3 4 2 3" xfId="1355" xr:uid="{1753C37D-B412-4B6E-89EA-CA9A85CB8A9C}"/>
    <cellStyle name="Percent 2 3 4 2 3 2" xfId="2240" xr:uid="{E96A2673-74DC-4085-BA85-CCE373F1002C}"/>
    <cellStyle name="Percent 2 3 4 2 4" xfId="1119" xr:uid="{FA2C178F-FECC-4FF1-B1CF-092C95D56237}"/>
    <cellStyle name="Percent 2 3 4 2 4 2" xfId="2006" xr:uid="{5D781642-6700-4AC4-87EF-CA27CCBDEDA5}"/>
    <cellStyle name="Percent 2 3 4 2 5" xfId="1833" xr:uid="{BA21E87B-8674-45AE-8F05-8999E475BE41}"/>
    <cellStyle name="Percent 2 3 4 3" xfId="977" xr:uid="{15CDCB16-6A58-45E5-98A8-0FB701935A23}"/>
    <cellStyle name="Percent 2 3 4 3 2" xfId="1415" xr:uid="{40D3D8C4-31D1-4158-950F-E62F909951EC}"/>
    <cellStyle name="Percent 2 3 4 3 2 2" xfId="2300" xr:uid="{DB10FC57-BEF6-43E4-B3CA-320D56A7427D}"/>
    <cellStyle name="Percent 2 3 4 3 3" xfId="1182" xr:uid="{8BF9878D-6AD9-4640-86F8-6381C4488A5E}"/>
    <cellStyle name="Percent 2 3 4 3 3 2" xfId="2067" xr:uid="{5F627CC2-F349-42B2-BACB-0E9B80C97387}"/>
    <cellStyle name="Percent 2 3 4 3 4" xfId="1889" xr:uid="{D9B622FE-DF48-41DE-98E5-7F47B930340D}"/>
    <cellStyle name="Percent 2 3 4 4" xfId="1299" xr:uid="{EA845108-13B8-4213-8F1E-022A1DFBE373}"/>
    <cellStyle name="Percent 2 3 4 4 2" xfId="2184" xr:uid="{7042C53A-D8AB-4F09-8D0A-5949F5DBF62E}"/>
    <cellStyle name="Percent 2 3 4 5" xfId="1062" xr:uid="{585185B1-1F12-41A8-8768-5FF189C2F07A}"/>
    <cellStyle name="Percent 2 3 4 5 2" xfId="1950" xr:uid="{4160C43E-196F-410F-94D2-7A99D754B9C3}"/>
    <cellStyle name="Percent 2 3 4 6" xfId="1750" xr:uid="{FE1E6EF7-38C7-4FD6-B990-520389D54B90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2 2 2" xfId="2326" xr:uid="{25062A71-0455-438F-9FE5-031C6EC5C926}"/>
    <cellStyle name="Percent 2 3 5 2 3" xfId="2093" xr:uid="{D970E055-3D9B-4832-9F0E-3278E1F166BF}"/>
    <cellStyle name="Percent 2 3 5 3" xfId="1325" xr:uid="{D6D89290-7914-4588-AA44-ED4448B728D9}"/>
    <cellStyle name="Percent 2 3 5 3 2" xfId="2210" xr:uid="{7AC13716-05EA-452B-9F96-B6B88193F80A}"/>
    <cellStyle name="Percent 2 3 5 4" xfId="1089" xr:uid="{8F0C975D-EACE-4C08-A195-E228E14156E8}"/>
    <cellStyle name="Percent 2 3 5 4 2" xfId="1976" xr:uid="{729D2E83-B4AF-4AB4-BCD2-42EFDEAE6175}"/>
    <cellStyle name="Percent 2 3 5 5" xfId="1803" xr:uid="{475893A9-2CDC-43FD-B894-C6A6D28B0FF6}"/>
    <cellStyle name="Percent 2 3 6" xfId="947" xr:uid="{3B956D36-FB19-4557-8C02-9B43DC27B55B}"/>
    <cellStyle name="Percent 2 3 6 2" xfId="1389" xr:uid="{E2417F6D-06E6-4402-A2F3-3C36E3214CEE}"/>
    <cellStyle name="Percent 2 3 6 2 2" xfId="2274" xr:uid="{42A70A6C-B34F-4582-A5B9-6FB565C2DB87}"/>
    <cellStyle name="Percent 2 3 6 3" xfId="1156" xr:uid="{BD8B0B01-D36E-4B3B-BCF0-186DC0A359ED}"/>
    <cellStyle name="Percent 2 3 6 3 2" xfId="2041" xr:uid="{BDE5966F-C7D6-437E-B3DB-8DCF36F0B841}"/>
    <cellStyle name="Percent 2 3 6 4" xfId="1859" xr:uid="{57A4952C-D051-4B95-8A7C-3F4051B978A3}"/>
    <cellStyle name="Percent 2 3 7" xfId="1273" xr:uid="{1E4F2552-9B0C-4E02-AD0B-3FA68BA722F5}"/>
    <cellStyle name="Percent 2 3 7 2" xfId="2158" xr:uid="{0996E775-155C-472C-B48E-EAB945C77D19}"/>
    <cellStyle name="Percent 2 3 8" xfId="1036" xr:uid="{504F4993-2E2D-41CB-A02A-94ACD62B22AD}"/>
    <cellStyle name="Percent 2 3 8 2" xfId="1924" xr:uid="{F5FE9958-D576-4D91-9217-367D0EA2561B}"/>
    <cellStyle name="Percent 2 3 9" xfId="1632" xr:uid="{328C826B-3EE9-4765-A4C9-86C8DA2B2B26}"/>
    <cellStyle name="Percent 2 3 9 2" xfId="2465" xr:uid="{0BFCA31A-83C4-4971-B287-0FBEC85D623B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 6 2" xfId="2408" xr:uid="{06CAB272-A68B-4324-A5CE-9276F49E4D69}"/>
    <cellStyle name="Percent 2 7" xfId="1688" xr:uid="{D9F68781-918D-4DE8-8AE1-D4F5571DC165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2 2 2" xfId="2448" xr:uid="{D31312BA-8814-4476-90AF-614EA8B361C8}"/>
    <cellStyle name="Percent 3 2 2 3" xfId="1789" xr:uid="{015AD412-1E4A-49E3-8CE0-E90B632749D9}"/>
    <cellStyle name="Percent 3 2 3" xfId="99" xr:uid="{00000000-0005-0000-0000-00005C000000}"/>
    <cellStyle name="Percent 3 2 3 2" xfId="1642" xr:uid="{C7B43141-A610-4E55-81D9-4A9C57B8E057}"/>
    <cellStyle name="Percent 3 2 3 2 2" xfId="2475" xr:uid="{9EE03493-18E6-4900-A3F4-E20FF90F94A3}"/>
    <cellStyle name="Percent 3 2 3 3" xfId="1694" xr:uid="{D4DA80E3-03D3-4806-ABF9-C08DFB6B3AE9}"/>
    <cellStyle name="Percent 3 2 4" xfId="711" xr:uid="{CFAB68E3-4DA1-4B36-806A-2EF59B608AF7}"/>
    <cellStyle name="Percent 3 2 5" xfId="1577" xr:uid="{9662C7D4-AD5C-4DD7-B4E7-A0AB5F3E568A}"/>
    <cellStyle name="Percent 3 2 5 2" xfId="2420" xr:uid="{AACDF512-2B6B-452B-9070-C2E1156A5430}"/>
    <cellStyle name="Percent 3 2 6" xfId="1690" xr:uid="{7931A084-9D5D-4B89-830A-5FD7B0887112}"/>
    <cellStyle name="Percent 3 3" xfId="735" xr:uid="{B1055DFC-E471-4EEA-9D50-1A88F26CD4BA}"/>
    <cellStyle name="Percent 3 3 2" xfId="1602" xr:uid="{57305F4D-EDB2-4D36-8225-FA5A165900D4}"/>
    <cellStyle name="Percent 3 3 2 2" xfId="2441" xr:uid="{5153DAFE-2721-495D-8049-31C6615F96BB}"/>
    <cellStyle name="Percent 3 4" xfId="842" xr:uid="{18429C23-B04A-4925-B20D-809EF7B2CD13}"/>
    <cellStyle name="Percent 3 4 2" xfId="1635" xr:uid="{1DDF8FEE-45D4-4CB0-AB31-1185FCC7F460}"/>
    <cellStyle name="Percent 3 4 2 2" xfId="2468" xr:uid="{A86E4C69-83A0-4A8D-8B68-6FE5DC4BF851}"/>
    <cellStyle name="Percent 3 4 3" xfId="1785" xr:uid="{D404E126-83F1-4469-9AD8-339918FEA538}"/>
    <cellStyle name="Percent 3 5" xfId="661" xr:uid="{4A961E52-7858-4D07-90B6-5933D4465ABC}"/>
    <cellStyle name="Percent 3 6" xfId="1567" xr:uid="{70458123-3BD2-4E89-975D-DB9530A3D3BE}"/>
    <cellStyle name="Percent 3 6 2" xfId="2411" xr:uid="{713472BC-2C40-42AB-9652-E4275A2E007C}"/>
    <cellStyle name="Percent 3 7" xfId="1689" xr:uid="{E6A908BE-2501-404D-8D22-61CE5C473E82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2 2 2" xfId="2443" xr:uid="{DE4EBB46-F47F-4DE9-8668-79E5903DBAC4}"/>
    <cellStyle name="Percent 4 2 3" xfId="1796" xr:uid="{0AA49B59-0078-4C36-B9D9-4282035C173F}"/>
    <cellStyle name="Percent 4 3" xfId="712" xr:uid="{55D2CD74-19FC-40BE-B10B-80E3CC32F985}"/>
    <cellStyle name="Percent 4 3 2" xfId="1637" xr:uid="{E466A553-F57C-4915-B33E-AC2031F53E0C}"/>
    <cellStyle name="Percent 4 3 2 2" xfId="2470" xr:uid="{B6DE968B-A1A6-46C1-B065-0C7C6E8A1F54}"/>
    <cellStyle name="Percent 4 4" xfId="1569" xr:uid="{8C18DBF0-E732-42B7-98C6-0B0E42ADB1FD}"/>
    <cellStyle name="Percent 4 4 2" xfId="2413" xr:uid="{6E3D01B2-55A7-4599-B8E0-CF9FE2961A1B}"/>
    <cellStyle name="Percent 4 5" xfId="1691" xr:uid="{2B2D827A-9F27-40FE-BDAD-3C828B8987F7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2 2" xfId="2346" xr:uid="{70F7C160-D071-4864-8574-AAF5A5C7DB66}"/>
    <cellStyle name="Percent 6 2 3" xfId="1228" xr:uid="{A7EDCDC1-20D6-435E-870C-68C5F715E7C6}"/>
    <cellStyle name="Percent 6 2 3 2" xfId="2113" xr:uid="{0655B88C-24D5-41E0-952D-2ACCC9D67130}"/>
    <cellStyle name="Percent 6 2 4" xfId="1823" xr:uid="{1A2217EB-C0A2-4B4D-8E0F-3C52458C0397}"/>
    <cellStyle name="Percent 6 3" xfId="967" xr:uid="{89B06886-1275-4116-8A5C-BAE4447F47F1}"/>
    <cellStyle name="Percent 6 3 2" xfId="1345" xr:uid="{D312287E-6135-4A4E-B1DC-83B1838D1694}"/>
    <cellStyle name="Percent 6 3 2 2" xfId="2230" xr:uid="{3354952F-AEBC-4F86-981E-4DE5DC32687A}"/>
    <cellStyle name="Percent 6 3 3" xfId="1879" xr:uid="{6554FAD1-5000-4F50-8AE4-7AB229A3F330}"/>
    <cellStyle name="Percent 6 4" xfId="1109" xr:uid="{38ECC924-6877-4C16-8D0F-B18EF5D0A5CC}"/>
    <cellStyle name="Percent 6 4 2" xfId="1996" xr:uid="{CC2EF765-960B-4480-B3DC-81B2DC8E3CDA}"/>
    <cellStyle name="Percent 6 5" xfId="1739" xr:uid="{B8B04C4E-38D5-4DB6-B1BD-35F784750DD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8 2 2" xfId="2143" xr:uid="{56E46EBA-1CAC-4E67-ADAC-20642F5007C6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2 2" xfId="1717" xr:uid="{EAB5B94F-D766-4166-86A0-19BF684D2998}"/>
    <cellStyle name="Style 23 3" xfId="713" xr:uid="{7D65EC76-69C8-40B7-9320-37CD6834A8FC}"/>
    <cellStyle name="Style 23 3 2" xfId="1716" xr:uid="{9EB9792D-554A-4131-AE35-1E985D79B84A}"/>
    <cellStyle name="Style 23 4" xfId="1658" xr:uid="{35BFC9E3-BF5F-429B-B120-24DEDF864A95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7 2" xfId="2388" xr:uid="{37F04575-E2AA-4B7A-A16C-3D23E7A4F150}"/>
    <cellStyle name="Total 18" xfId="1535" xr:uid="{CF971472-34CA-4B8A-B909-EA590493A870}"/>
    <cellStyle name="Total 18 2" xfId="2380" xr:uid="{9C6C7BEE-75B0-4DD7-939F-C11F5BAB8885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AI168"/>
  <sheetViews>
    <sheetView showGridLines="0" topLeftCell="A126" zoomScale="80" zoomScaleNormal="80" workbookViewId="0">
      <selection activeCell="F149" sqref="F149"/>
    </sheetView>
  </sheetViews>
  <sheetFormatPr defaultRowHeight="12.75" x14ac:dyDescent="0.2"/>
  <cols>
    <col min="1" max="3" width="14.5703125" style="52" customWidth="1"/>
    <col min="4" max="6" width="14.5703125" style="55" customWidth="1"/>
    <col min="7" max="8" width="14.5703125" style="52" customWidth="1"/>
    <col min="9" max="12" width="14" style="52" customWidth="1"/>
    <col min="13" max="13" width="14.5703125" style="53" bestFit="1" customWidth="1"/>
    <col min="14" max="20" width="14" style="52" customWidth="1"/>
    <col min="21" max="22" width="13.28515625" style="52" customWidth="1"/>
    <col min="23" max="26" width="9.140625" style="52"/>
    <col min="27" max="27" width="16.140625" style="52" customWidth="1"/>
    <col min="28" max="28" width="15.28515625" style="52" customWidth="1"/>
    <col min="29" max="30" width="9.140625" style="52"/>
    <col min="31" max="31" width="8.85546875" style="52"/>
    <col min="32" max="32" width="15.28515625" style="52" customWidth="1"/>
    <col min="33" max="33" width="9.140625" style="52"/>
    <col min="34" max="34" width="16.28515625" style="52" customWidth="1"/>
    <col min="35" max="35" width="14.140625" style="52" customWidth="1"/>
    <col min="36" max="245" width="9.140625" style="52"/>
    <col min="246" max="246" width="31" style="52" customWidth="1"/>
    <col min="247" max="247" width="18.5703125" style="52" customWidth="1"/>
    <col min="248" max="248" width="3.85546875" style="52" customWidth="1"/>
    <col min="249" max="249" width="18.7109375" style="52" customWidth="1"/>
    <col min="250" max="258" width="14" style="52" customWidth="1"/>
    <col min="259" max="259" width="13" style="52" bestFit="1" customWidth="1"/>
    <col min="260" max="260" width="14.5703125" style="52" bestFit="1" customWidth="1"/>
    <col min="261" max="261" width="12.140625" style="52" bestFit="1" customWidth="1"/>
    <col min="262" max="272" width="14" style="52" customWidth="1"/>
    <col min="273" max="276" width="13.28515625" style="52" customWidth="1"/>
    <col min="277" max="501" width="9.140625" style="52"/>
    <col min="502" max="502" width="31" style="52" customWidth="1"/>
    <col min="503" max="503" width="18.5703125" style="52" customWidth="1"/>
    <col min="504" max="504" width="3.85546875" style="52" customWidth="1"/>
    <col min="505" max="505" width="18.7109375" style="52" customWidth="1"/>
    <col min="506" max="514" width="14" style="52" customWidth="1"/>
    <col min="515" max="515" width="13" style="52" bestFit="1" customWidth="1"/>
    <col min="516" max="516" width="14.5703125" style="52" bestFit="1" customWidth="1"/>
    <col min="517" max="517" width="12.140625" style="52" bestFit="1" customWidth="1"/>
    <col min="518" max="528" width="14" style="52" customWidth="1"/>
    <col min="529" max="532" width="13.28515625" style="52" customWidth="1"/>
    <col min="533" max="757" width="9.140625" style="52"/>
    <col min="758" max="758" width="31" style="52" customWidth="1"/>
    <col min="759" max="759" width="18.5703125" style="52" customWidth="1"/>
    <col min="760" max="760" width="3.85546875" style="52" customWidth="1"/>
    <col min="761" max="761" width="18.7109375" style="52" customWidth="1"/>
    <col min="762" max="770" width="14" style="52" customWidth="1"/>
    <col min="771" max="771" width="13" style="52" bestFit="1" customWidth="1"/>
    <col min="772" max="772" width="14.5703125" style="52" bestFit="1" customWidth="1"/>
    <col min="773" max="773" width="12.140625" style="52" bestFit="1" customWidth="1"/>
    <col min="774" max="784" width="14" style="52" customWidth="1"/>
    <col min="785" max="788" width="13.28515625" style="52" customWidth="1"/>
    <col min="789" max="1013" width="9.140625" style="52"/>
    <col min="1014" max="1014" width="31" style="52" customWidth="1"/>
    <col min="1015" max="1015" width="18.5703125" style="52" customWidth="1"/>
    <col min="1016" max="1016" width="3.85546875" style="52" customWidth="1"/>
    <col min="1017" max="1017" width="18.7109375" style="52" customWidth="1"/>
    <col min="1018" max="1026" width="14" style="52" customWidth="1"/>
    <col min="1027" max="1027" width="13" style="52" bestFit="1" customWidth="1"/>
    <col min="1028" max="1028" width="14.5703125" style="52" bestFit="1" customWidth="1"/>
    <col min="1029" max="1029" width="12.140625" style="52" bestFit="1" customWidth="1"/>
    <col min="1030" max="1040" width="14" style="52" customWidth="1"/>
    <col min="1041" max="1044" width="13.28515625" style="52" customWidth="1"/>
    <col min="1045" max="1269" width="9.140625" style="52"/>
    <col min="1270" max="1270" width="31" style="52" customWidth="1"/>
    <col min="1271" max="1271" width="18.5703125" style="52" customWidth="1"/>
    <col min="1272" max="1272" width="3.85546875" style="52" customWidth="1"/>
    <col min="1273" max="1273" width="18.7109375" style="52" customWidth="1"/>
    <col min="1274" max="1282" width="14" style="52" customWidth="1"/>
    <col min="1283" max="1283" width="13" style="52" bestFit="1" customWidth="1"/>
    <col min="1284" max="1284" width="14.5703125" style="52" bestFit="1" customWidth="1"/>
    <col min="1285" max="1285" width="12.140625" style="52" bestFit="1" customWidth="1"/>
    <col min="1286" max="1296" width="14" style="52" customWidth="1"/>
    <col min="1297" max="1300" width="13.28515625" style="52" customWidth="1"/>
    <col min="1301" max="1525" width="9.140625" style="52"/>
    <col min="1526" max="1526" width="31" style="52" customWidth="1"/>
    <col min="1527" max="1527" width="18.5703125" style="52" customWidth="1"/>
    <col min="1528" max="1528" width="3.85546875" style="52" customWidth="1"/>
    <col min="1529" max="1529" width="18.7109375" style="52" customWidth="1"/>
    <col min="1530" max="1538" width="14" style="52" customWidth="1"/>
    <col min="1539" max="1539" width="13" style="52" bestFit="1" customWidth="1"/>
    <col min="1540" max="1540" width="14.5703125" style="52" bestFit="1" customWidth="1"/>
    <col min="1541" max="1541" width="12.140625" style="52" bestFit="1" customWidth="1"/>
    <col min="1542" max="1552" width="14" style="52" customWidth="1"/>
    <col min="1553" max="1556" width="13.28515625" style="52" customWidth="1"/>
    <col min="1557" max="1781" width="9.140625" style="52"/>
    <col min="1782" max="1782" width="31" style="52" customWidth="1"/>
    <col min="1783" max="1783" width="18.5703125" style="52" customWidth="1"/>
    <col min="1784" max="1784" width="3.85546875" style="52" customWidth="1"/>
    <col min="1785" max="1785" width="18.7109375" style="52" customWidth="1"/>
    <col min="1786" max="1794" width="14" style="52" customWidth="1"/>
    <col min="1795" max="1795" width="13" style="52" bestFit="1" customWidth="1"/>
    <col min="1796" max="1796" width="14.5703125" style="52" bestFit="1" customWidth="1"/>
    <col min="1797" max="1797" width="12.140625" style="52" bestFit="1" customWidth="1"/>
    <col min="1798" max="1808" width="14" style="52" customWidth="1"/>
    <col min="1809" max="1812" width="13.28515625" style="52" customWidth="1"/>
    <col min="1813" max="2037" width="9.140625" style="52"/>
    <col min="2038" max="2038" width="31" style="52" customWidth="1"/>
    <col min="2039" max="2039" width="18.5703125" style="52" customWidth="1"/>
    <col min="2040" max="2040" width="3.85546875" style="52" customWidth="1"/>
    <col min="2041" max="2041" width="18.7109375" style="52" customWidth="1"/>
    <col min="2042" max="2050" width="14" style="52" customWidth="1"/>
    <col min="2051" max="2051" width="13" style="52" bestFit="1" customWidth="1"/>
    <col min="2052" max="2052" width="14.5703125" style="52" bestFit="1" customWidth="1"/>
    <col min="2053" max="2053" width="12.140625" style="52" bestFit="1" customWidth="1"/>
    <col min="2054" max="2064" width="14" style="52" customWidth="1"/>
    <col min="2065" max="2068" width="13.28515625" style="52" customWidth="1"/>
    <col min="2069" max="2293" width="9.140625" style="52"/>
    <col min="2294" max="2294" width="31" style="52" customWidth="1"/>
    <col min="2295" max="2295" width="18.5703125" style="52" customWidth="1"/>
    <col min="2296" max="2296" width="3.85546875" style="52" customWidth="1"/>
    <col min="2297" max="2297" width="18.7109375" style="52" customWidth="1"/>
    <col min="2298" max="2306" width="14" style="52" customWidth="1"/>
    <col min="2307" max="2307" width="13" style="52" bestFit="1" customWidth="1"/>
    <col min="2308" max="2308" width="14.5703125" style="52" bestFit="1" customWidth="1"/>
    <col min="2309" max="2309" width="12.140625" style="52" bestFit="1" customWidth="1"/>
    <col min="2310" max="2320" width="14" style="52" customWidth="1"/>
    <col min="2321" max="2324" width="13.28515625" style="52" customWidth="1"/>
    <col min="2325" max="2549" width="9.140625" style="52"/>
    <col min="2550" max="2550" width="31" style="52" customWidth="1"/>
    <col min="2551" max="2551" width="18.5703125" style="52" customWidth="1"/>
    <col min="2552" max="2552" width="3.85546875" style="52" customWidth="1"/>
    <col min="2553" max="2553" width="18.7109375" style="52" customWidth="1"/>
    <col min="2554" max="2562" width="14" style="52" customWidth="1"/>
    <col min="2563" max="2563" width="13" style="52" bestFit="1" customWidth="1"/>
    <col min="2564" max="2564" width="14.5703125" style="52" bestFit="1" customWidth="1"/>
    <col min="2565" max="2565" width="12.140625" style="52" bestFit="1" customWidth="1"/>
    <col min="2566" max="2576" width="14" style="52" customWidth="1"/>
    <col min="2577" max="2580" width="13.28515625" style="52" customWidth="1"/>
    <col min="2581" max="2805" width="9.140625" style="52"/>
    <col min="2806" max="2806" width="31" style="52" customWidth="1"/>
    <col min="2807" max="2807" width="18.5703125" style="52" customWidth="1"/>
    <col min="2808" max="2808" width="3.85546875" style="52" customWidth="1"/>
    <col min="2809" max="2809" width="18.7109375" style="52" customWidth="1"/>
    <col min="2810" max="2818" width="14" style="52" customWidth="1"/>
    <col min="2819" max="2819" width="13" style="52" bestFit="1" customWidth="1"/>
    <col min="2820" max="2820" width="14.5703125" style="52" bestFit="1" customWidth="1"/>
    <col min="2821" max="2821" width="12.140625" style="52" bestFit="1" customWidth="1"/>
    <col min="2822" max="2832" width="14" style="52" customWidth="1"/>
    <col min="2833" max="2836" width="13.28515625" style="52" customWidth="1"/>
    <col min="2837" max="3061" width="9.140625" style="52"/>
    <col min="3062" max="3062" width="31" style="52" customWidth="1"/>
    <col min="3063" max="3063" width="18.5703125" style="52" customWidth="1"/>
    <col min="3064" max="3064" width="3.85546875" style="52" customWidth="1"/>
    <col min="3065" max="3065" width="18.7109375" style="52" customWidth="1"/>
    <col min="3066" max="3074" width="14" style="52" customWidth="1"/>
    <col min="3075" max="3075" width="13" style="52" bestFit="1" customWidth="1"/>
    <col min="3076" max="3076" width="14.5703125" style="52" bestFit="1" customWidth="1"/>
    <col min="3077" max="3077" width="12.140625" style="52" bestFit="1" customWidth="1"/>
    <col min="3078" max="3088" width="14" style="52" customWidth="1"/>
    <col min="3089" max="3092" width="13.28515625" style="52" customWidth="1"/>
    <col min="3093" max="3317" width="9.140625" style="52"/>
    <col min="3318" max="3318" width="31" style="52" customWidth="1"/>
    <col min="3319" max="3319" width="18.5703125" style="52" customWidth="1"/>
    <col min="3320" max="3320" width="3.85546875" style="52" customWidth="1"/>
    <col min="3321" max="3321" width="18.7109375" style="52" customWidth="1"/>
    <col min="3322" max="3330" width="14" style="52" customWidth="1"/>
    <col min="3331" max="3331" width="13" style="52" bestFit="1" customWidth="1"/>
    <col min="3332" max="3332" width="14.5703125" style="52" bestFit="1" customWidth="1"/>
    <col min="3333" max="3333" width="12.140625" style="52" bestFit="1" customWidth="1"/>
    <col min="3334" max="3344" width="14" style="52" customWidth="1"/>
    <col min="3345" max="3348" width="13.28515625" style="52" customWidth="1"/>
    <col min="3349" max="3573" width="9.140625" style="52"/>
    <col min="3574" max="3574" width="31" style="52" customWidth="1"/>
    <col min="3575" max="3575" width="18.5703125" style="52" customWidth="1"/>
    <col min="3576" max="3576" width="3.85546875" style="52" customWidth="1"/>
    <col min="3577" max="3577" width="18.7109375" style="52" customWidth="1"/>
    <col min="3578" max="3586" width="14" style="52" customWidth="1"/>
    <col min="3587" max="3587" width="13" style="52" bestFit="1" customWidth="1"/>
    <col min="3588" max="3588" width="14.5703125" style="52" bestFit="1" customWidth="1"/>
    <col min="3589" max="3589" width="12.140625" style="52" bestFit="1" customWidth="1"/>
    <col min="3590" max="3600" width="14" style="52" customWidth="1"/>
    <col min="3601" max="3604" width="13.28515625" style="52" customWidth="1"/>
    <col min="3605" max="3829" width="9.140625" style="52"/>
    <col min="3830" max="3830" width="31" style="52" customWidth="1"/>
    <col min="3831" max="3831" width="18.5703125" style="52" customWidth="1"/>
    <col min="3832" max="3832" width="3.85546875" style="52" customWidth="1"/>
    <col min="3833" max="3833" width="18.7109375" style="52" customWidth="1"/>
    <col min="3834" max="3842" width="14" style="52" customWidth="1"/>
    <col min="3843" max="3843" width="13" style="52" bestFit="1" customWidth="1"/>
    <col min="3844" max="3844" width="14.5703125" style="52" bestFit="1" customWidth="1"/>
    <col min="3845" max="3845" width="12.140625" style="52" bestFit="1" customWidth="1"/>
    <col min="3846" max="3856" width="14" style="52" customWidth="1"/>
    <col min="3857" max="3860" width="13.28515625" style="52" customWidth="1"/>
    <col min="3861" max="4085" width="9.140625" style="52"/>
    <col min="4086" max="4086" width="31" style="52" customWidth="1"/>
    <col min="4087" max="4087" width="18.5703125" style="52" customWidth="1"/>
    <col min="4088" max="4088" width="3.85546875" style="52" customWidth="1"/>
    <col min="4089" max="4089" width="18.7109375" style="52" customWidth="1"/>
    <col min="4090" max="4098" width="14" style="52" customWidth="1"/>
    <col min="4099" max="4099" width="13" style="52" bestFit="1" customWidth="1"/>
    <col min="4100" max="4100" width="14.5703125" style="52" bestFit="1" customWidth="1"/>
    <col min="4101" max="4101" width="12.140625" style="52" bestFit="1" customWidth="1"/>
    <col min="4102" max="4112" width="14" style="52" customWidth="1"/>
    <col min="4113" max="4116" width="13.28515625" style="52" customWidth="1"/>
    <col min="4117" max="4341" width="9.140625" style="52"/>
    <col min="4342" max="4342" width="31" style="52" customWidth="1"/>
    <col min="4343" max="4343" width="18.5703125" style="52" customWidth="1"/>
    <col min="4344" max="4344" width="3.85546875" style="52" customWidth="1"/>
    <col min="4345" max="4345" width="18.7109375" style="52" customWidth="1"/>
    <col min="4346" max="4354" width="14" style="52" customWidth="1"/>
    <col min="4355" max="4355" width="13" style="52" bestFit="1" customWidth="1"/>
    <col min="4356" max="4356" width="14.5703125" style="52" bestFit="1" customWidth="1"/>
    <col min="4357" max="4357" width="12.140625" style="52" bestFit="1" customWidth="1"/>
    <col min="4358" max="4368" width="14" style="52" customWidth="1"/>
    <col min="4369" max="4372" width="13.28515625" style="52" customWidth="1"/>
    <col min="4373" max="4597" width="9.140625" style="52"/>
    <col min="4598" max="4598" width="31" style="52" customWidth="1"/>
    <col min="4599" max="4599" width="18.5703125" style="52" customWidth="1"/>
    <col min="4600" max="4600" width="3.85546875" style="52" customWidth="1"/>
    <col min="4601" max="4601" width="18.7109375" style="52" customWidth="1"/>
    <col min="4602" max="4610" width="14" style="52" customWidth="1"/>
    <col min="4611" max="4611" width="13" style="52" bestFit="1" customWidth="1"/>
    <col min="4612" max="4612" width="14.5703125" style="52" bestFit="1" customWidth="1"/>
    <col min="4613" max="4613" width="12.140625" style="52" bestFit="1" customWidth="1"/>
    <col min="4614" max="4624" width="14" style="52" customWidth="1"/>
    <col min="4625" max="4628" width="13.28515625" style="52" customWidth="1"/>
    <col min="4629" max="4853" width="9.140625" style="52"/>
    <col min="4854" max="4854" width="31" style="52" customWidth="1"/>
    <col min="4855" max="4855" width="18.5703125" style="52" customWidth="1"/>
    <col min="4856" max="4856" width="3.85546875" style="52" customWidth="1"/>
    <col min="4857" max="4857" width="18.7109375" style="52" customWidth="1"/>
    <col min="4858" max="4866" width="14" style="52" customWidth="1"/>
    <col min="4867" max="4867" width="13" style="52" bestFit="1" customWidth="1"/>
    <col min="4868" max="4868" width="14.5703125" style="52" bestFit="1" customWidth="1"/>
    <col min="4869" max="4869" width="12.140625" style="52" bestFit="1" customWidth="1"/>
    <col min="4870" max="4880" width="14" style="52" customWidth="1"/>
    <col min="4881" max="4884" width="13.28515625" style="52" customWidth="1"/>
    <col min="4885" max="5109" width="9.140625" style="52"/>
    <col min="5110" max="5110" width="31" style="52" customWidth="1"/>
    <col min="5111" max="5111" width="18.5703125" style="52" customWidth="1"/>
    <col min="5112" max="5112" width="3.85546875" style="52" customWidth="1"/>
    <col min="5113" max="5113" width="18.7109375" style="52" customWidth="1"/>
    <col min="5114" max="5122" width="14" style="52" customWidth="1"/>
    <col min="5123" max="5123" width="13" style="52" bestFit="1" customWidth="1"/>
    <col min="5124" max="5124" width="14.5703125" style="52" bestFit="1" customWidth="1"/>
    <col min="5125" max="5125" width="12.140625" style="52" bestFit="1" customWidth="1"/>
    <col min="5126" max="5136" width="14" style="52" customWidth="1"/>
    <col min="5137" max="5140" width="13.28515625" style="52" customWidth="1"/>
    <col min="5141" max="5365" width="9.140625" style="52"/>
    <col min="5366" max="5366" width="31" style="52" customWidth="1"/>
    <col min="5367" max="5367" width="18.5703125" style="52" customWidth="1"/>
    <col min="5368" max="5368" width="3.85546875" style="52" customWidth="1"/>
    <col min="5369" max="5369" width="18.7109375" style="52" customWidth="1"/>
    <col min="5370" max="5378" width="14" style="52" customWidth="1"/>
    <col min="5379" max="5379" width="13" style="52" bestFit="1" customWidth="1"/>
    <col min="5380" max="5380" width="14.5703125" style="52" bestFit="1" customWidth="1"/>
    <col min="5381" max="5381" width="12.140625" style="52" bestFit="1" customWidth="1"/>
    <col min="5382" max="5392" width="14" style="52" customWidth="1"/>
    <col min="5393" max="5396" width="13.28515625" style="52" customWidth="1"/>
    <col min="5397" max="5621" width="9.140625" style="52"/>
    <col min="5622" max="5622" width="31" style="52" customWidth="1"/>
    <col min="5623" max="5623" width="18.5703125" style="52" customWidth="1"/>
    <col min="5624" max="5624" width="3.85546875" style="52" customWidth="1"/>
    <col min="5625" max="5625" width="18.7109375" style="52" customWidth="1"/>
    <col min="5626" max="5634" width="14" style="52" customWidth="1"/>
    <col min="5635" max="5635" width="13" style="52" bestFit="1" customWidth="1"/>
    <col min="5636" max="5636" width="14.5703125" style="52" bestFit="1" customWidth="1"/>
    <col min="5637" max="5637" width="12.140625" style="52" bestFit="1" customWidth="1"/>
    <col min="5638" max="5648" width="14" style="52" customWidth="1"/>
    <col min="5649" max="5652" width="13.28515625" style="52" customWidth="1"/>
    <col min="5653" max="5877" width="9.140625" style="52"/>
    <col min="5878" max="5878" width="31" style="52" customWidth="1"/>
    <col min="5879" max="5879" width="18.5703125" style="52" customWidth="1"/>
    <col min="5880" max="5880" width="3.85546875" style="52" customWidth="1"/>
    <col min="5881" max="5881" width="18.7109375" style="52" customWidth="1"/>
    <col min="5882" max="5890" width="14" style="52" customWidth="1"/>
    <col min="5891" max="5891" width="13" style="52" bestFit="1" customWidth="1"/>
    <col min="5892" max="5892" width="14.5703125" style="52" bestFit="1" customWidth="1"/>
    <col min="5893" max="5893" width="12.140625" style="52" bestFit="1" customWidth="1"/>
    <col min="5894" max="5904" width="14" style="52" customWidth="1"/>
    <col min="5905" max="5908" width="13.28515625" style="52" customWidth="1"/>
    <col min="5909" max="6133" width="9.140625" style="52"/>
    <col min="6134" max="6134" width="31" style="52" customWidth="1"/>
    <col min="6135" max="6135" width="18.5703125" style="52" customWidth="1"/>
    <col min="6136" max="6136" width="3.85546875" style="52" customWidth="1"/>
    <col min="6137" max="6137" width="18.7109375" style="52" customWidth="1"/>
    <col min="6138" max="6146" width="14" style="52" customWidth="1"/>
    <col min="6147" max="6147" width="13" style="52" bestFit="1" customWidth="1"/>
    <col min="6148" max="6148" width="14.5703125" style="52" bestFit="1" customWidth="1"/>
    <col min="6149" max="6149" width="12.140625" style="52" bestFit="1" customWidth="1"/>
    <col min="6150" max="6160" width="14" style="52" customWidth="1"/>
    <col min="6161" max="6164" width="13.28515625" style="52" customWidth="1"/>
    <col min="6165" max="6389" width="9.140625" style="52"/>
    <col min="6390" max="6390" width="31" style="52" customWidth="1"/>
    <col min="6391" max="6391" width="18.5703125" style="52" customWidth="1"/>
    <col min="6392" max="6392" width="3.85546875" style="52" customWidth="1"/>
    <col min="6393" max="6393" width="18.7109375" style="52" customWidth="1"/>
    <col min="6394" max="6402" width="14" style="52" customWidth="1"/>
    <col min="6403" max="6403" width="13" style="52" bestFit="1" customWidth="1"/>
    <col min="6404" max="6404" width="14.5703125" style="52" bestFit="1" customWidth="1"/>
    <col min="6405" max="6405" width="12.140625" style="52" bestFit="1" customWidth="1"/>
    <col min="6406" max="6416" width="14" style="52" customWidth="1"/>
    <col min="6417" max="6420" width="13.28515625" style="52" customWidth="1"/>
    <col min="6421" max="6645" width="9.140625" style="52"/>
    <col min="6646" max="6646" width="31" style="52" customWidth="1"/>
    <col min="6647" max="6647" width="18.5703125" style="52" customWidth="1"/>
    <col min="6648" max="6648" width="3.85546875" style="52" customWidth="1"/>
    <col min="6649" max="6649" width="18.7109375" style="52" customWidth="1"/>
    <col min="6650" max="6658" width="14" style="52" customWidth="1"/>
    <col min="6659" max="6659" width="13" style="52" bestFit="1" customWidth="1"/>
    <col min="6660" max="6660" width="14.5703125" style="52" bestFit="1" customWidth="1"/>
    <col min="6661" max="6661" width="12.140625" style="52" bestFit="1" customWidth="1"/>
    <col min="6662" max="6672" width="14" style="52" customWidth="1"/>
    <col min="6673" max="6676" width="13.28515625" style="52" customWidth="1"/>
    <col min="6677" max="6901" width="9.140625" style="52"/>
    <col min="6902" max="6902" width="31" style="52" customWidth="1"/>
    <col min="6903" max="6903" width="18.5703125" style="52" customWidth="1"/>
    <col min="6904" max="6904" width="3.85546875" style="52" customWidth="1"/>
    <col min="6905" max="6905" width="18.7109375" style="52" customWidth="1"/>
    <col min="6906" max="6914" width="14" style="52" customWidth="1"/>
    <col min="6915" max="6915" width="13" style="52" bestFit="1" customWidth="1"/>
    <col min="6916" max="6916" width="14.5703125" style="52" bestFit="1" customWidth="1"/>
    <col min="6917" max="6917" width="12.140625" style="52" bestFit="1" customWidth="1"/>
    <col min="6918" max="6928" width="14" style="52" customWidth="1"/>
    <col min="6929" max="6932" width="13.28515625" style="52" customWidth="1"/>
    <col min="6933" max="7157" width="9.140625" style="52"/>
    <col min="7158" max="7158" width="31" style="52" customWidth="1"/>
    <col min="7159" max="7159" width="18.5703125" style="52" customWidth="1"/>
    <col min="7160" max="7160" width="3.85546875" style="52" customWidth="1"/>
    <col min="7161" max="7161" width="18.7109375" style="52" customWidth="1"/>
    <col min="7162" max="7170" width="14" style="52" customWidth="1"/>
    <col min="7171" max="7171" width="13" style="52" bestFit="1" customWidth="1"/>
    <col min="7172" max="7172" width="14.5703125" style="52" bestFit="1" customWidth="1"/>
    <col min="7173" max="7173" width="12.140625" style="52" bestFit="1" customWidth="1"/>
    <col min="7174" max="7184" width="14" style="52" customWidth="1"/>
    <col min="7185" max="7188" width="13.28515625" style="52" customWidth="1"/>
    <col min="7189" max="7413" width="9.140625" style="52"/>
    <col min="7414" max="7414" width="31" style="52" customWidth="1"/>
    <col min="7415" max="7415" width="18.5703125" style="52" customWidth="1"/>
    <col min="7416" max="7416" width="3.85546875" style="52" customWidth="1"/>
    <col min="7417" max="7417" width="18.7109375" style="52" customWidth="1"/>
    <col min="7418" max="7426" width="14" style="52" customWidth="1"/>
    <col min="7427" max="7427" width="13" style="52" bestFit="1" customWidth="1"/>
    <col min="7428" max="7428" width="14.5703125" style="52" bestFit="1" customWidth="1"/>
    <col min="7429" max="7429" width="12.140625" style="52" bestFit="1" customWidth="1"/>
    <col min="7430" max="7440" width="14" style="52" customWidth="1"/>
    <col min="7441" max="7444" width="13.28515625" style="52" customWidth="1"/>
    <col min="7445" max="7669" width="9.140625" style="52"/>
    <col min="7670" max="7670" width="31" style="52" customWidth="1"/>
    <col min="7671" max="7671" width="18.5703125" style="52" customWidth="1"/>
    <col min="7672" max="7672" width="3.85546875" style="52" customWidth="1"/>
    <col min="7673" max="7673" width="18.7109375" style="52" customWidth="1"/>
    <col min="7674" max="7682" width="14" style="52" customWidth="1"/>
    <col min="7683" max="7683" width="13" style="52" bestFit="1" customWidth="1"/>
    <col min="7684" max="7684" width="14.5703125" style="52" bestFit="1" customWidth="1"/>
    <col min="7685" max="7685" width="12.140625" style="52" bestFit="1" customWidth="1"/>
    <col min="7686" max="7696" width="14" style="52" customWidth="1"/>
    <col min="7697" max="7700" width="13.28515625" style="52" customWidth="1"/>
    <col min="7701" max="7925" width="9.140625" style="52"/>
    <col min="7926" max="7926" width="31" style="52" customWidth="1"/>
    <col min="7927" max="7927" width="18.5703125" style="52" customWidth="1"/>
    <col min="7928" max="7928" width="3.85546875" style="52" customWidth="1"/>
    <col min="7929" max="7929" width="18.7109375" style="52" customWidth="1"/>
    <col min="7930" max="7938" width="14" style="52" customWidth="1"/>
    <col min="7939" max="7939" width="13" style="52" bestFit="1" customWidth="1"/>
    <col min="7940" max="7940" width="14.5703125" style="52" bestFit="1" customWidth="1"/>
    <col min="7941" max="7941" width="12.140625" style="52" bestFit="1" customWidth="1"/>
    <col min="7942" max="7952" width="14" style="52" customWidth="1"/>
    <col min="7953" max="7956" width="13.28515625" style="52" customWidth="1"/>
    <col min="7957" max="8181" width="9.140625" style="52"/>
    <col min="8182" max="8182" width="31" style="52" customWidth="1"/>
    <col min="8183" max="8183" width="18.5703125" style="52" customWidth="1"/>
    <col min="8184" max="8184" width="3.85546875" style="52" customWidth="1"/>
    <col min="8185" max="8185" width="18.7109375" style="52" customWidth="1"/>
    <col min="8186" max="8194" width="14" style="52" customWidth="1"/>
    <col min="8195" max="8195" width="13" style="52" bestFit="1" customWidth="1"/>
    <col min="8196" max="8196" width="14.5703125" style="52" bestFit="1" customWidth="1"/>
    <col min="8197" max="8197" width="12.140625" style="52" bestFit="1" customWidth="1"/>
    <col min="8198" max="8208" width="14" style="52" customWidth="1"/>
    <col min="8209" max="8212" width="13.28515625" style="52" customWidth="1"/>
    <col min="8213" max="8437" width="9.140625" style="52"/>
    <col min="8438" max="8438" width="31" style="52" customWidth="1"/>
    <col min="8439" max="8439" width="18.5703125" style="52" customWidth="1"/>
    <col min="8440" max="8440" width="3.85546875" style="52" customWidth="1"/>
    <col min="8441" max="8441" width="18.7109375" style="52" customWidth="1"/>
    <col min="8442" max="8450" width="14" style="52" customWidth="1"/>
    <col min="8451" max="8451" width="13" style="52" bestFit="1" customWidth="1"/>
    <col min="8452" max="8452" width="14.5703125" style="52" bestFit="1" customWidth="1"/>
    <col min="8453" max="8453" width="12.140625" style="52" bestFit="1" customWidth="1"/>
    <col min="8454" max="8464" width="14" style="52" customWidth="1"/>
    <col min="8465" max="8468" width="13.28515625" style="52" customWidth="1"/>
    <col min="8469" max="8693" width="9.140625" style="52"/>
    <col min="8694" max="8694" width="31" style="52" customWidth="1"/>
    <col min="8695" max="8695" width="18.5703125" style="52" customWidth="1"/>
    <col min="8696" max="8696" width="3.85546875" style="52" customWidth="1"/>
    <col min="8697" max="8697" width="18.7109375" style="52" customWidth="1"/>
    <col min="8698" max="8706" width="14" style="52" customWidth="1"/>
    <col min="8707" max="8707" width="13" style="52" bestFit="1" customWidth="1"/>
    <col min="8708" max="8708" width="14.5703125" style="52" bestFit="1" customWidth="1"/>
    <col min="8709" max="8709" width="12.140625" style="52" bestFit="1" customWidth="1"/>
    <col min="8710" max="8720" width="14" style="52" customWidth="1"/>
    <col min="8721" max="8724" width="13.28515625" style="52" customWidth="1"/>
    <col min="8725" max="8949" width="9.140625" style="52"/>
    <col min="8950" max="8950" width="31" style="52" customWidth="1"/>
    <col min="8951" max="8951" width="18.5703125" style="52" customWidth="1"/>
    <col min="8952" max="8952" width="3.85546875" style="52" customWidth="1"/>
    <col min="8953" max="8953" width="18.7109375" style="52" customWidth="1"/>
    <col min="8954" max="8962" width="14" style="52" customWidth="1"/>
    <col min="8963" max="8963" width="13" style="52" bestFit="1" customWidth="1"/>
    <col min="8964" max="8964" width="14.5703125" style="52" bestFit="1" customWidth="1"/>
    <col min="8965" max="8965" width="12.140625" style="52" bestFit="1" customWidth="1"/>
    <col min="8966" max="8976" width="14" style="52" customWidth="1"/>
    <col min="8977" max="8980" width="13.28515625" style="52" customWidth="1"/>
    <col min="8981" max="9205" width="9.140625" style="52"/>
    <col min="9206" max="9206" width="31" style="52" customWidth="1"/>
    <col min="9207" max="9207" width="18.5703125" style="52" customWidth="1"/>
    <col min="9208" max="9208" width="3.85546875" style="52" customWidth="1"/>
    <col min="9209" max="9209" width="18.7109375" style="52" customWidth="1"/>
    <col min="9210" max="9218" width="14" style="52" customWidth="1"/>
    <col min="9219" max="9219" width="13" style="52" bestFit="1" customWidth="1"/>
    <col min="9220" max="9220" width="14.5703125" style="52" bestFit="1" customWidth="1"/>
    <col min="9221" max="9221" width="12.140625" style="52" bestFit="1" customWidth="1"/>
    <col min="9222" max="9232" width="14" style="52" customWidth="1"/>
    <col min="9233" max="9236" width="13.28515625" style="52" customWidth="1"/>
    <col min="9237" max="9461" width="9.140625" style="52"/>
    <col min="9462" max="9462" width="31" style="52" customWidth="1"/>
    <col min="9463" max="9463" width="18.5703125" style="52" customWidth="1"/>
    <col min="9464" max="9464" width="3.85546875" style="52" customWidth="1"/>
    <col min="9465" max="9465" width="18.7109375" style="52" customWidth="1"/>
    <col min="9466" max="9474" width="14" style="52" customWidth="1"/>
    <col min="9475" max="9475" width="13" style="52" bestFit="1" customWidth="1"/>
    <col min="9476" max="9476" width="14.5703125" style="52" bestFit="1" customWidth="1"/>
    <col min="9477" max="9477" width="12.140625" style="52" bestFit="1" customWidth="1"/>
    <col min="9478" max="9488" width="14" style="52" customWidth="1"/>
    <col min="9489" max="9492" width="13.28515625" style="52" customWidth="1"/>
    <col min="9493" max="9717" width="9.140625" style="52"/>
    <col min="9718" max="9718" width="31" style="52" customWidth="1"/>
    <col min="9719" max="9719" width="18.5703125" style="52" customWidth="1"/>
    <col min="9720" max="9720" width="3.85546875" style="52" customWidth="1"/>
    <col min="9721" max="9721" width="18.7109375" style="52" customWidth="1"/>
    <col min="9722" max="9730" width="14" style="52" customWidth="1"/>
    <col min="9731" max="9731" width="13" style="52" bestFit="1" customWidth="1"/>
    <col min="9732" max="9732" width="14.5703125" style="52" bestFit="1" customWidth="1"/>
    <col min="9733" max="9733" width="12.140625" style="52" bestFit="1" customWidth="1"/>
    <col min="9734" max="9744" width="14" style="52" customWidth="1"/>
    <col min="9745" max="9748" width="13.28515625" style="52" customWidth="1"/>
    <col min="9749" max="9973" width="9.140625" style="52"/>
    <col min="9974" max="9974" width="31" style="52" customWidth="1"/>
    <col min="9975" max="9975" width="18.5703125" style="52" customWidth="1"/>
    <col min="9976" max="9976" width="3.85546875" style="52" customWidth="1"/>
    <col min="9977" max="9977" width="18.7109375" style="52" customWidth="1"/>
    <col min="9978" max="9986" width="14" style="52" customWidth="1"/>
    <col min="9987" max="9987" width="13" style="52" bestFit="1" customWidth="1"/>
    <col min="9988" max="9988" width="14.5703125" style="52" bestFit="1" customWidth="1"/>
    <col min="9989" max="9989" width="12.140625" style="52" bestFit="1" customWidth="1"/>
    <col min="9990" max="10000" width="14" style="52" customWidth="1"/>
    <col min="10001" max="10004" width="13.28515625" style="52" customWidth="1"/>
    <col min="10005" max="10229" width="9.140625" style="52"/>
    <col min="10230" max="10230" width="31" style="52" customWidth="1"/>
    <col min="10231" max="10231" width="18.5703125" style="52" customWidth="1"/>
    <col min="10232" max="10232" width="3.85546875" style="52" customWidth="1"/>
    <col min="10233" max="10233" width="18.7109375" style="52" customWidth="1"/>
    <col min="10234" max="10242" width="14" style="52" customWidth="1"/>
    <col min="10243" max="10243" width="13" style="52" bestFit="1" customWidth="1"/>
    <col min="10244" max="10244" width="14.5703125" style="52" bestFit="1" customWidth="1"/>
    <col min="10245" max="10245" width="12.140625" style="52" bestFit="1" customWidth="1"/>
    <col min="10246" max="10256" width="14" style="52" customWidth="1"/>
    <col min="10257" max="10260" width="13.28515625" style="52" customWidth="1"/>
    <col min="10261" max="10485" width="9.140625" style="52"/>
    <col min="10486" max="10486" width="31" style="52" customWidth="1"/>
    <col min="10487" max="10487" width="18.5703125" style="52" customWidth="1"/>
    <col min="10488" max="10488" width="3.85546875" style="52" customWidth="1"/>
    <col min="10489" max="10489" width="18.7109375" style="52" customWidth="1"/>
    <col min="10490" max="10498" width="14" style="52" customWidth="1"/>
    <col min="10499" max="10499" width="13" style="52" bestFit="1" customWidth="1"/>
    <col min="10500" max="10500" width="14.5703125" style="52" bestFit="1" customWidth="1"/>
    <col min="10501" max="10501" width="12.140625" style="52" bestFit="1" customWidth="1"/>
    <col min="10502" max="10512" width="14" style="52" customWidth="1"/>
    <col min="10513" max="10516" width="13.28515625" style="52" customWidth="1"/>
    <col min="10517" max="10741" width="9.140625" style="52"/>
    <col min="10742" max="10742" width="31" style="52" customWidth="1"/>
    <col min="10743" max="10743" width="18.5703125" style="52" customWidth="1"/>
    <col min="10744" max="10744" width="3.85546875" style="52" customWidth="1"/>
    <col min="10745" max="10745" width="18.7109375" style="52" customWidth="1"/>
    <col min="10746" max="10754" width="14" style="52" customWidth="1"/>
    <col min="10755" max="10755" width="13" style="52" bestFit="1" customWidth="1"/>
    <col min="10756" max="10756" width="14.5703125" style="52" bestFit="1" customWidth="1"/>
    <col min="10757" max="10757" width="12.140625" style="52" bestFit="1" customWidth="1"/>
    <col min="10758" max="10768" width="14" style="52" customWidth="1"/>
    <col min="10769" max="10772" width="13.28515625" style="52" customWidth="1"/>
    <col min="10773" max="10997" width="9.140625" style="52"/>
    <col min="10998" max="10998" width="31" style="52" customWidth="1"/>
    <col min="10999" max="10999" width="18.5703125" style="52" customWidth="1"/>
    <col min="11000" max="11000" width="3.85546875" style="52" customWidth="1"/>
    <col min="11001" max="11001" width="18.7109375" style="52" customWidth="1"/>
    <col min="11002" max="11010" width="14" style="52" customWidth="1"/>
    <col min="11011" max="11011" width="13" style="52" bestFit="1" customWidth="1"/>
    <col min="11012" max="11012" width="14.5703125" style="52" bestFit="1" customWidth="1"/>
    <col min="11013" max="11013" width="12.140625" style="52" bestFit="1" customWidth="1"/>
    <col min="11014" max="11024" width="14" style="52" customWidth="1"/>
    <col min="11025" max="11028" width="13.28515625" style="52" customWidth="1"/>
    <col min="11029" max="11253" width="9.140625" style="52"/>
    <col min="11254" max="11254" width="31" style="52" customWidth="1"/>
    <col min="11255" max="11255" width="18.5703125" style="52" customWidth="1"/>
    <col min="11256" max="11256" width="3.85546875" style="52" customWidth="1"/>
    <col min="11257" max="11257" width="18.7109375" style="52" customWidth="1"/>
    <col min="11258" max="11266" width="14" style="52" customWidth="1"/>
    <col min="11267" max="11267" width="13" style="52" bestFit="1" customWidth="1"/>
    <col min="11268" max="11268" width="14.5703125" style="52" bestFit="1" customWidth="1"/>
    <col min="11269" max="11269" width="12.140625" style="52" bestFit="1" customWidth="1"/>
    <col min="11270" max="11280" width="14" style="52" customWidth="1"/>
    <col min="11281" max="11284" width="13.28515625" style="52" customWidth="1"/>
    <col min="11285" max="11509" width="9.140625" style="52"/>
    <col min="11510" max="11510" width="31" style="52" customWidth="1"/>
    <col min="11511" max="11511" width="18.5703125" style="52" customWidth="1"/>
    <col min="11512" max="11512" width="3.85546875" style="52" customWidth="1"/>
    <col min="11513" max="11513" width="18.7109375" style="52" customWidth="1"/>
    <col min="11514" max="11522" width="14" style="52" customWidth="1"/>
    <col min="11523" max="11523" width="13" style="52" bestFit="1" customWidth="1"/>
    <col min="11524" max="11524" width="14.5703125" style="52" bestFit="1" customWidth="1"/>
    <col min="11525" max="11525" width="12.140625" style="52" bestFit="1" customWidth="1"/>
    <col min="11526" max="11536" width="14" style="52" customWidth="1"/>
    <col min="11537" max="11540" width="13.28515625" style="52" customWidth="1"/>
    <col min="11541" max="11765" width="9.140625" style="52"/>
    <col min="11766" max="11766" width="31" style="52" customWidth="1"/>
    <col min="11767" max="11767" width="18.5703125" style="52" customWidth="1"/>
    <col min="11768" max="11768" width="3.85546875" style="52" customWidth="1"/>
    <col min="11769" max="11769" width="18.7109375" style="52" customWidth="1"/>
    <col min="11770" max="11778" width="14" style="52" customWidth="1"/>
    <col min="11779" max="11779" width="13" style="52" bestFit="1" customWidth="1"/>
    <col min="11780" max="11780" width="14.5703125" style="52" bestFit="1" customWidth="1"/>
    <col min="11781" max="11781" width="12.140625" style="52" bestFit="1" customWidth="1"/>
    <col min="11782" max="11792" width="14" style="52" customWidth="1"/>
    <col min="11793" max="11796" width="13.28515625" style="52" customWidth="1"/>
    <col min="11797" max="12021" width="9.140625" style="52"/>
    <col min="12022" max="12022" width="31" style="52" customWidth="1"/>
    <col min="12023" max="12023" width="18.5703125" style="52" customWidth="1"/>
    <col min="12024" max="12024" width="3.85546875" style="52" customWidth="1"/>
    <col min="12025" max="12025" width="18.7109375" style="52" customWidth="1"/>
    <col min="12026" max="12034" width="14" style="52" customWidth="1"/>
    <col min="12035" max="12035" width="13" style="52" bestFit="1" customWidth="1"/>
    <col min="12036" max="12036" width="14.5703125" style="52" bestFit="1" customWidth="1"/>
    <col min="12037" max="12037" width="12.140625" style="52" bestFit="1" customWidth="1"/>
    <col min="12038" max="12048" width="14" style="52" customWidth="1"/>
    <col min="12049" max="12052" width="13.28515625" style="52" customWidth="1"/>
    <col min="12053" max="12277" width="9.140625" style="52"/>
    <col min="12278" max="12278" width="31" style="52" customWidth="1"/>
    <col min="12279" max="12279" width="18.5703125" style="52" customWidth="1"/>
    <col min="12280" max="12280" width="3.85546875" style="52" customWidth="1"/>
    <col min="12281" max="12281" width="18.7109375" style="52" customWidth="1"/>
    <col min="12282" max="12290" width="14" style="52" customWidth="1"/>
    <col min="12291" max="12291" width="13" style="52" bestFit="1" customWidth="1"/>
    <col min="12292" max="12292" width="14.5703125" style="52" bestFit="1" customWidth="1"/>
    <col min="12293" max="12293" width="12.140625" style="52" bestFit="1" customWidth="1"/>
    <col min="12294" max="12304" width="14" style="52" customWidth="1"/>
    <col min="12305" max="12308" width="13.28515625" style="52" customWidth="1"/>
    <col min="12309" max="12533" width="9.140625" style="52"/>
    <col min="12534" max="12534" width="31" style="52" customWidth="1"/>
    <col min="12535" max="12535" width="18.5703125" style="52" customWidth="1"/>
    <col min="12536" max="12536" width="3.85546875" style="52" customWidth="1"/>
    <col min="12537" max="12537" width="18.7109375" style="52" customWidth="1"/>
    <col min="12538" max="12546" width="14" style="52" customWidth="1"/>
    <col min="12547" max="12547" width="13" style="52" bestFit="1" customWidth="1"/>
    <col min="12548" max="12548" width="14.5703125" style="52" bestFit="1" customWidth="1"/>
    <col min="12549" max="12549" width="12.140625" style="52" bestFit="1" customWidth="1"/>
    <col min="12550" max="12560" width="14" style="52" customWidth="1"/>
    <col min="12561" max="12564" width="13.28515625" style="52" customWidth="1"/>
    <col min="12565" max="12789" width="9.140625" style="52"/>
    <col min="12790" max="12790" width="31" style="52" customWidth="1"/>
    <col min="12791" max="12791" width="18.5703125" style="52" customWidth="1"/>
    <col min="12792" max="12792" width="3.85546875" style="52" customWidth="1"/>
    <col min="12793" max="12793" width="18.7109375" style="52" customWidth="1"/>
    <col min="12794" max="12802" width="14" style="52" customWidth="1"/>
    <col min="12803" max="12803" width="13" style="52" bestFit="1" customWidth="1"/>
    <col min="12804" max="12804" width="14.5703125" style="52" bestFit="1" customWidth="1"/>
    <col min="12805" max="12805" width="12.140625" style="52" bestFit="1" customWidth="1"/>
    <col min="12806" max="12816" width="14" style="52" customWidth="1"/>
    <col min="12817" max="12820" width="13.28515625" style="52" customWidth="1"/>
    <col min="12821" max="13045" width="9.140625" style="52"/>
    <col min="13046" max="13046" width="31" style="52" customWidth="1"/>
    <col min="13047" max="13047" width="18.5703125" style="52" customWidth="1"/>
    <col min="13048" max="13048" width="3.85546875" style="52" customWidth="1"/>
    <col min="13049" max="13049" width="18.7109375" style="52" customWidth="1"/>
    <col min="13050" max="13058" width="14" style="52" customWidth="1"/>
    <col min="13059" max="13059" width="13" style="52" bestFit="1" customWidth="1"/>
    <col min="13060" max="13060" width="14.5703125" style="52" bestFit="1" customWidth="1"/>
    <col min="13061" max="13061" width="12.140625" style="52" bestFit="1" customWidth="1"/>
    <col min="13062" max="13072" width="14" style="52" customWidth="1"/>
    <col min="13073" max="13076" width="13.28515625" style="52" customWidth="1"/>
    <col min="13077" max="13301" width="9.140625" style="52"/>
    <col min="13302" max="13302" width="31" style="52" customWidth="1"/>
    <col min="13303" max="13303" width="18.5703125" style="52" customWidth="1"/>
    <col min="13304" max="13304" width="3.85546875" style="52" customWidth="1"/>
    <col min="13305" max="13305" width="18.7109375" style="52" customWidth="1"/>
    <col min="13306" max="13314" width="14" style="52" customWidth="1"/>
    <col min="13315" max="13315" width="13" style="52" bestFit="1" customWidth="1"/>
    <col min="13316" max="13316" width="14.5703125" style="52" bestFit="1" customWidth="1"/>
    <col min="13317" max="13317" width="12.140625" style="52" bestFit="1" customWidth="1"/>
    <col min="13318" max="13328" width="14" style="52" customWidth="1"/>
    <col min="13329" max="13332" width="13.28515625" style="52" customWidth="1"/>
    <col min="13333" max="13557" width="9.140625" style="52"/>
    <col min="13558" max="13558" width="31" style="52" customWidth="1"/>
    <col min="13559" max="13559" width="18.5703125" style="52" customWidth="1"/>
    <col min="13560" max="13560" width="3.85546875" style="52" customWidth="1"/>
    <col min="13561" max="13561" width="18.7109375" style="52" customWidth="1"/>
    <col min="13562" max="13570" width="14" style="52" customWidth="1"/>
    <col min="13571" max="13571" width="13" style="52" bestFit="1" customWidth="1"/>
    <col min="13572" max="13572" width="14.5703125" style="52" bestFit="1" customWidth="1"/>
    <col min="13573" max="13573" width="12.140625" style="52" bestFit="1" customWidth="1"/>
    <col min="13574" max="13584" width="14" style="52" customWidth="1"/>
    <col min="13585" max="13588" width="13.28515625" style="52" customWidth="1"/>
    <col min="13589" max="13813" width="9.140625" style="52"/>
    <col min="13814" max="13814" width="31" style="52" customWidth="1"/>
    <col min="13815" max="13815" width="18.5703125" style="52" customWidth="1"/>
    <col min="13816" max="13816" width="3.85546875" style="52" customWidth="1"/>
    <col min="13817" max="13817" width="18.7109375" style="52" customWidth="1"/>
    <col min="13818" max="13826" width="14" style="52" customWidth="1"/>
    <col min="13827" max="13827" width="13" style="52" bestFit="1" customWidth="1"/>
    <col min="13828" max="13828" width="14.5703125" style="52" bestFit="1" customWidth="1"/>
    <col min="13829" max="13829" width="12.140625" style="52" bestFit="1" customWidth="1"/>
    <col min="13830" max="13840" width="14" style="52" customWidth="1"/>
    <col min="13841" max="13844" width="13.28515625" style="52" customWidth="1"/>
    <col min="13845" max="14069" width="9.140625" style="52"/>
    <col min="14070" max="14070" width="31" style="52" customWidth="1"/>
    <col min="14071" max="14071" width="18.5703125" style="52" customWidth="1"/>
    <col min="14072" max="14072" width="3.85546875" style="52" customWidth="1"/>
    <col min="14073" max="14073" width="18.7109375" style="52" customWidth="1"/>
    <col min="14074" max="14082" width="14" style="52" customWidth="1"/>
    <col min="14083" max="14083" width="13" style="52" bestFit="1" customWidth="1"/>
    <col min="14084" max="14084" width="14.5703125" style="52" bestFit="1" customWidth="1"/>
    <col min="14085" max="14085" width="12.140625" style="52" bestFit="1" customWidth="1"/>
    <col min="14086" max="14096" width="14" style="52" customWidth="1"/>
    <col min="14097" max="14100" width="13.28515625" style="52" customWidth="1"/>
    <col min="14101" max="14325" width="9.140625" style="52"/>
    <col min="14326" max="14326" width="31" style="52" customWidth="1"/>
    <col min="14327" max="14327" width="18.5703125" style="52" customWidth="1"/>
    <col min="14328" max="14328" width="3.85546875" style="52" customWidth="1"/>
    <col min="14329" max="14329" width="18.7109375" style="52" customWidth="1"/>
    <col min="14330" max="14338" width="14" style="52" customWidth="1"/>
    <col min="14339" max="14339" width="13" style="52" bestFit="1" customWidth="1"/>
    <col min="14340" max="14340" width="14.5703125" style="52" bestFit="1" customWidth="1"/>
    <col min="14341" max="14341" width="12.140625" style="52" bestFit="1" customWidth="1"/>
    <col min="14342" max="14352" width="14" style="52" customWidth="1"/>
    <col min="14353" max="14356" width="13.28515625" style="52" customWidth="1"/>
    <col min="14357" max="14581" width="9.140625" style="52"/>
    <col min="14582" max="14582" width="31" style="52" customWidth="1"/>
    <col min="14583" max="14583" width="18.5703125" style="52" customWidth="1"/>
    <col min="14584" max="14584" width="3.85546875" style="52" customWidth="1"/>
    <col min="14585" max="14585" width="18.7109375" style="52" customWidth="1"/>
    <col min="14586" max="14594" width="14" style="52" customWidth="1"/>
    <col min="14595" max="14595" width="13" style="52" bestFit="1" customWidth="1"/>
    <col min="14596" max="14596" width="14.5703125" style="52" bestFit="1" customWidth="1"/>
    <col min="14597" max="14597" width="12.140625" style="52" bestFit="1" customWidth="1"/>
    <col min="14598" max="14608" width="14" style="52" customWidth="1"/>
    <col min="14609" max="14612" width="13.28515625" style="52" customWidth="1"/>
    <col min="14613" max="14837" width="9.140625" style="52"/>
    <col min="14838" max="14838" width="31" style="52" customWidth="1"/>
    <col min="14839" max="14839" width="18.5703125" style="52" customWidth="1"/>
    <col min="14840" max="14840" width="3.85546875" style="52" customWidth="1"/>
    <col min="14841" max="14841" width="18.7109375" style="52" customWidth="1"/>
    <col min="14842" max="14850" width="14" style="52" customWidth="1"/>
    <col min="14851" max="14851" width="13" style="52" bestFit="1" customWidth="1"/>
    <col min="14852" max="14852" width="14.5703125" style="52" bestFit="1" customWidth="1"/>
    <col min="14853" max="14853" width="12.140625" style="52" bestFit="1" customWidth="1"/>
    <col min="14854" max="14864" width="14" style="52" customWidth="1"/>
    <col min="14865" max="14868" width="13.28515625" style="52" customWidth="1"/>
    <col min="14869" max="15093" width="9.140625" style="52"/>
    <col min="15094" max="15094" width="31" style="52" customWidth="1"/>
    <col min="15095" max="15095" width="18.5703125" style="52" customWidth="1"/>
    <col min="15096" max="15096" width="3.85546875" style="52" customWidth="1"/>
    <col min="15097" max="15097" width="18.7109375" style="52" customWidth="1"/>
    <col min="15098" max="15106" width="14" style="52" customWidth="1"/>
    <col min="15107" max="15107" width="13" style="52" bestFit="1" customWidth="1"/>
    <col min="15108" max="15108" width="14.5703125" style="52" bestFit="1" customWidth="1"/>
    <col min="15109" max="15109" width="12.140625" style="52" bestFit="1" customWidth="1"/>
    <col min="15110" max="15120" width="14" style="52" customWidth="1"/>
    <col min="15121" max="15124" width="13.28515625" style="52" customWidth="1"/>
    <col min="15125" max="15349" width="9.140625" style="52"/>
    <col min="15350" max="15350" width="31" style="52" customWidth="1"/>
    <col min="15351" max="15351" width="18.5703125" style="52" customWidth="1"/>
    <col min="15352" max="15352" width="3.85546875" style="52" customWidth="1"/>
    <col min="15353" max="15353" width="18.7109375" style="52" customWidth="1"/>
    <col min="15354" max="15362" width="14" style="52" customWidth="1"/>
    <col min="15363" max="15363" width="13" style="52" bestFit="1" customWidth="1"/>
    <col min="15364" max="15364" width="14.5703125" style="52" bestFit="1" customWidth="1"/>
    <col min="15365" max="15365" width="12.140625" style="52" bestFit="1" customWidth="1"/>
    <col min="15366" max="15376" width="14" style="52" customWidth="1"/>
    <col min="15377" max="15380" width="13.28515625" style="52" customWidth="1"/>
    <col min="15381" max="15605" width="9.140625" style="52"/>
    <col min="15606" max="15606" width="31" style="52" customWidth="1"/>
    <col min="15607" max="15607" width="18.5703125" style="52" customWidth="1"/>
    <col min="15608" max="15608" width="3.85546875" style="52" customWidth="1"/>
    <col min="15609" max="15609" width="18.7109375" style="52" customWidth="1"/>
    <col min="15610" max="15618" width="14" style="52" customWidth="1"/>
    <col min="15619" max="15619" width="13" style="52" bestFit="1" customWidth="1"/>
    <col min="15620" max="15620" width="14.5703125" style="52" bestFit="1" customWidth="1"/>
    <col min="15621" max="15621" width="12.140625" style="52" bestFit="1" customWidth="1"/>
    <col min="15622" max="15632" width="14" style="52" customWidth="1"/>
    <col min="15633" max="15636" width="13.28515625" style="52" customWidth="1"/>
    <col min="15637" max="15861" width="9.140625" style="52"/>
    <col min="15862" max="15862" width="31" style="52" customWidth="1"/>
    <col min="15863" max="15863" width="18.5703125" style="52" customWidth="1"/>
    <col min="15864" max="15864" width="3.85546875" style="52" customWidth="1"/>
    <col min="15865" max="15865" width="18.7109375" style="52" customWidth="1"/>
    <col min="15866" max="15874" width="14" style="52" customWidth="1"/>
    <col min="15875" max="15875" width="13" style="52" bestFit="1" customWidth="1"/>
    <col min="15876" max="15876" width="14.5703125" style="52" bestFit="1" customWidth="1"/>
    <col min="15877" max="15877" width="12.140625" style="52" bestFit="1" customWidth="1"/>
    <col min="15878" max="15888" width="14" style="52" customWidth="1"/>
    <col min="15889" max="15892" width="13.28515625" style="52" customWidth="1"/>
    <col min="15893" max="16117" width="9.140625" style="52"/>
    <col min="16118" max="16118" width="31" style="52" customWidth="1"/>
    <col min="16119" max="16119" width="18.5703125" style="52" customWidth="1"/>
    <col min="16120" max="16120" width="3.85546875" style="52" customWidth="1"/>
    <col min="16121" max="16121" width="18.7109375" style="52" customWidth="1"/>
    <col min="16122" max="16130" width="14" style="52" customWidth="1"/>
    <col min="16131" max="16131" width="13" style="52" bestFit="1" customWidth="1"/>
    <col min="16132" max="16132" width="14.5703125" style="52" bestFit="1" customWidth="1"/>
    <col min="16133" max="16133" width="12.140625" style="52" bestFit="1" customWidth="1"/>
    <col min="16134" max="16144" width="14" style="52" customWidth="1"/>
    <col min="16145" max="16148" width="13.28515625" style="52" customWidth="1"/>
    <col min="16149" max="16382" width="9.140625" style="52"/>
    <col min="16383" max="16384" width="9.140625" style="52" customWidth="1"/>
  </cols>
  <sheetData>
    <row r="1" spans="1:20" x14ac:dyDescent="0.2">
      <c r="D1" s="52"/>
      <c r="E1" s="52"/>
      <c r="F1" s="52"/>
    </row>
    <row r="2" spans="1:20" x14ac:dyDescent="0.2">
      <c r="C2" s="122"/>
      <c r="D2" s="52"/>
      <c r="E2" s="52"/>
      <c r="F2" s="52"/>
      <c r="J2" s="122"/>
      <c r="P2"/>
      <c r="Q2"/>
      <c r="R2"/>
      <c r="S2"/>
      <c r="T2"/>
    </row>
    <row r="3" spans="1:20" s="54" customFormat="1" ht="15.75" customHeight="1" x14ac:dyDescent="0.2">
      <c r="A3" s="185" t="s">
        <v>79</v>
      </c>
      <c r="B3" s="186"/>
      <c r="C3" s="186"/>
      <c r="D3" s="186"/>
      <c r="E3" s="186"/>
      <c r="F3" s="186"/>
      <c r="G3" s="186"/>
      <c r="H3" s="186"/>
      <c r="I3"/>
      <c r="J3"/>
      <c r="K3"/>
      <c r="L3"/>
    </row>
    <row r="4" spans="1:20" ht="44.25" customHeight="1" x14ac:dyDescent="0.2">
      <c r="A4" s="99" t="s">
        <v>57</v>
      </c>
      <c r="B4" s="99" t="s">
        <v>51</v>
      </c>
      <c r="C4" s="99" t="s">
        <v>58</v>
      </c>
      <c r="D4" s="99" t="s">
        <v>59</v>
      </c>
      <c r="E4" s="99" t="s">
        <v>109</v>
      </c>
      <c r="F4" s="99" t="s">
        <v>60</v>
      </c>
      <c r="G4" s="99" t="s">
        <v>83</v>
      </c>
      <c r="H4" s="99" t="s">
        <v>84</v>
      </c>
      <c r="I4"/>
      <c r="J4"/>
      <c r="K4"/>
      <c r="L4"/>
      <c r="M4"/>
    </row>
    <row r="5" spans="1:20" x14ac:dyDescent="0.2">
      <c r="A5" s="101">
        <v>2015</v>
      </c>
      <c r="B5" s="100">
        <f>AVERAGEIF($A$24:$A$143,$A5,G$24:G$143)</f>
        <v>50511.5</v>
      </c>
      <c r="C5" s="100">
        <f>AVERAGEIF($A$24:$A$143,$A5,I$24:I$143)</f>
        <v>5527</v>
      </c>
      <c r="D5" s="100">
        <f>AVERAGEIF($A$24:$A$143,$A5,L$24:L$143)</f>
        <v>597.5</v>
      </c>
      <c r="E5" s="100">
        <f>AVERAGEIF($A$24:$A$143,$A5,O$24:O$143)</f>
        <v>2</v>
      </c>
      <c r="F5" s="100">
        <f t="shared" ref="F5:F14" si="0">AVERAGEIF($A$24:$A$143,$A5,Q$24:Q$143)</f>
        <v>250.5</v>
      </c>
      <c r="G5" s="100">
        <f t="shared" ref="G5:G14" si="1">AVERAGEIF($A$24:$A$143,$A5,T$24:T$143)</f>
        <v>521.5</v>
      </c>
      <c r="H5" s="100">
        <f t="shared" ref="H5:H14" si="2">AVERAGEIF($A$24:$A$143,$A5,W$24:W$143)</f>
        <v>17883</v>
      </c>
      <c r="I5"/>
      <c r="J5" s="39"/>
      <c r="K5"/>
      <c r="L5"/>
      <c r="M5"/>
    </row>
    <row r="6" spans="1:20" x14ac:dyDescent="0.2">
      <c r="A6" s="101">
        <v>2016</v>
      </c>
      <c r="B6" s="100">
        <f t="shared" ref="B6:B14" si="3">AVERAGEIF($A$24:$A$143,$A6,G$24:G$143)</f>
        <v>51680.5</v>
      </c>
      <c r="C6" s="100">
        <f t="shared" ref="C6:C14" si="4">AVERAGEIF($A$24:$A$143,$A6,I$24:I$143)</f>
        <v>5637.5</v>
      </c>
      <c r="D6" s="100">
        <f t="shared" ref="D6:D14" si="5">AVERAGEIF($A$24:$A$143,$A6,L$24:L$143)</f>
        <v>583.5</v>
      </c>
      <c r="E6" s="100">
        <f t="shared" ref="E6:E14" si="6">AVERAGEIF($A$24:$A$143,$A6,O$24:O$143)</f>
        <v>2</v>
      </c>
      <c r="F6" s="100">
        <f t="shared" si="0"/>
        <v>257.5</v>
      </c>
      <c r="G6" s="100">
        <f t="shared" si="1"/>
        <v>519.5</v>
      </c>
      <c r="H6" s="100">
        <f t="shared" si="2"/>
        <v>17923</v>
      </c>
      <c r="I6"/>
      <c r="J6" s="39"/>
      <c r="K6" s="143"/>
      <c r="L6"/>
      <c r="M6"/>
    </row>
    <row r="7" spans="1:20" x14ac:dyDescent="0.2">
      <c r="A7" s="101">
        <v>2017</v>
      </c>
      <c r="B7" s="100">
        <f t="shared" si="3"/>
        <v>52149</v>
      </c>
      <c r="C7" s="100">
        <f t="shared" si="4"/>
        <v>5654.5</v>
      </c>
      <c r="D7" s="100">
        <f t="shared" si="5"/>
        <v>562.5</v>
      </c>
      <c r="E7" s="100">
        <f t="shared" si="6"/>
        <v>2</v>
      </c>
      <c r="F7" s="100">
        <f t="shared" si="0"/>
        <v>246</v>
      </c>
      <c r="G7" s="100">
        <f t="shared" si="1"/>
        <v>451</v>
      </c>
      <c r="H7" s="100">
        <f t="shared" si="2"/>
        <v>17946.5</v>
      </c>
      <c r="I7"/>
      <c r="J7" s="39"/>
      <c r="K7" s="143"/>
      <c r="L7"/>
      <c r="M7"/>
    </row>
    <row r="8" spans="1:20" x14ac:dyDescent="0.2">
      <c r="A8" s="101">
        <v>2018</v>
      </c>
      <c r="B8" s="100">
        <f t="shared" si="3"/>
        <v>52685.5</v>
      </c>
      <c r="C8" s="100">
        <f t="shared" si="4"/>
        <v>5686</v>
      </c>
      <c r="D8" s="100">
        <f t="shared" si="5"/>
        <v>549</v>
      </c>
      <c r="E8" s="100">
        <f t="shared" si="6"/>
        <v>2</v>
      </c>
      <c r="F8" s="100">
        <f t="shared" si="0"/>
        <v>228</v>
      </c>
      <c r="G8" s="100">
        <f t="shared" si="1"/>
        <v>381.5</v>
      </c>
      <c r="H8" s="100">
        <f t="shared" si="2"/>
        <v>18034</v>
      </c>
      <c r="I8"/>
      <c r="J8" s="39"/>
      <c r="K8" s="143"/>
      <c r="L8"/>
      <c r="M8"/>
    </row>
    <row r="9" spans="1:20" x14ac:dyDescent="0.2">
      <c r="A9" s="101">
        <v>2019</v>
      </c>
      <c r="B9" s="100">
        <f t="shared" si="3"/>
        <v>53245</v>
      </c>
      <c r="C9" s="100">
        <f t="shared" si="4"/>
        <v>5693.5</v>
      </c>
      <c r="D9" s="100">
        <f t="shared" si="5"/>
        <v>556.5</v>
      </c>
      <c r="E9" s="100">
        <f t="shared" si="6"/>
        <v>2</v>
      </c>
      <c r="F9" s="100">
        <f t="shared" si="0"/>
        <v>228</v>
      </c>
      <c r="G9" s="100">
        <f t="shared" si="1"/>
        <v>393</v>
      </c>
      <c r="H9" s="100">
        <f t="shared" si="2"/>
        <v>18074.5</v>
      </c>
      <c r="I9"/>
      <c r="J9" s="39"/>
      <c r="K9" s="143"/>
      <c r="L9"/>
      <c r="M9"/>
    </row>
    <row r="10" spans="1:20" x14ac:dyDescent="0.2">
      <c r="A10" s="101">
        <v>2020</v>
      </c>
      <c r="B10" s="100">
        <f t="shared" si="3"/>
        <v>53932.5</v>
      </c>
      <c r="C10" s="100">
        <f t="shared" si="4"/>
        <v>5703.5</v>
      </c>
      <c r="D10" s="100">
        <f t="shared" si="5"/>
        <v>559.5</v>
      </c>
      <c r="E10" s="100">
        <f t="shared" si="6"/>
        <v>2</v>
      </c>
      <c r="F10" s="100">
        <f t="shared" si="0"/>
        <v>226</v>
      </c>
      <c r="G10" s="100">
        <f t="shared" si="1"/>
        <v>376</v>
      </c>
      <c r="H10" s="100">
        <f t="shared" si="2"/>
        <v>18138</v>
      </c>
      <c r="I10"/>
      <c r="J10" s="39"/>
      <c r="K10" s="143"/>
      <c r="L10"/>
      <c r="M10" s="39"/>
    </row>
    <row r="11" spans="1:20" x14ac:dyDescent="0.2">
      <c r="A11" s="101">
        <v>2021</v>
      </c>
      <c r="B11" s="100">
        <f t="shared" si="3"/>
        <v>54770.5</v>
      </c>
      <c r="C11" s="100">
        <f t="shared" si="4"/>
        <v>5732</v>
      </c>
      <c r="D11" s="100">
        <f t="shared" si="5"/>
        <v>541.5</v>
      </c>
      <c r="E11" s="100">
        <f t="shared" si="6"/>
        <v>2</v>
      </c>
      <c r="F11" s="100">
        <f t="shared" si="0"/>
        <v>224</v>
      </c>
      <c r="G11" s="100">
        <f t="shared" si="1"/>
        <v>341.5</v>
      </c>
      <c r="H11" s="100">
        <f t="shared" si="2"/>
        <v>18334.5</v>
      </c>
      <c r="I11"/>
      <c r="J11" s="39"/>
      <c r="K11" s="143"/>
      <c r="L11"/>
      <c r="M11"/>
    </row>
    <row r="12" spans="1:20" x14ac:dyDescent="0.2">
      <c r="A12" s="101">
        <v>2022</v>
      </c>
      <c r="B12" s="100">
        <f t="shared" si="3"/>
        <v>55652</v>
      </c>
      <c r="C12" s="100">
        <f t="shared" si="4"/>
        <v>5798.5</v>
      </c>
      <c r="D12" s="100">
        <f t="shared" si="5"/>
        <v>521</v>
      </c>
      <c r="E12" s="100">
        <f t="shared" si="6"/>
        <v>3</v>
      </c>
      <c r="F12" s="100">
        <f t="shared" si="0"/>
        <v>224</v>
      </c>
      <c r="G12" s="100">
        <f t="shared" si="1"/>
        <v>323</v>
      </c>
      <c r="H12" s="100">
        <f t="shared" si="2"/>
        <v>18584.5</v>
      </c>
      <c r="I12"/>
      <c r="J12" s="39"/>
      <c r="K12" s="143"/>
      <c r="L12"/>
      <c r="M12"/>
    </row>
    <row r="13" spans="1:20" x14ac:dyDescent="0.2">
      <c r="A13" s="101">
        <v>2023</v>
      </c>
      <c r="B13" s="100">
        <f t="shared" si="3"/>
        <v>56302</v>
      </c>
      <c r="C13" s="100">
        <f t="shared" si="4"/>
        <v>5860</v>
      </c>
      <c r="D13" s="100">
        <f t="shared" si="5"/>
        <v>512</v>
      </c>
      <c r="E13" s="100">
        <f t="shared" si="6"/>
        <v>4</v>
      </c>
      <c r="F13" s="100">
        <f t="shared" si="0"/>
        <v>224</v>
      </c>
      <c r="G13" s="100">
        <f t="shared" si="1"/>
        <v>308</v>
      </c>
      <c r="H13" s="100">
        <f t="shared" si="2"/>
        <v>18793</v>
      </c>
      <c r="I13"/>
      <c r="J13" s="39"/>
      <c r="K13" s="143"/>
      <c r="L13"/>
      <c r="M13"/>
    </row>
    <row r="14" spans="1:20" x14ac:dyDescent="0.2">
      <c r="A14" s="101">
        <v>2024</v>
      </c>
      <c r="B14" s="100">
        <f t="shared" si="3"/>
        <v>56797</v>
      </c>
      <c r="C14" s="100">
        <f t="shared" si="4"/>
        <v>5889</v>
      </c>
      <c r="D14" s="100">
        <f t="shared" si="5"/>
        <v>508.5</v>
      </c>
      <c r="E14" s="100">
        <f t="shared" si="6"/>
        <v>4</v>
      </c>
      <c r="F14" s="100">
        <f t="shared" si="0"/>
        <v>225</v>
      </c>
      <c r="G14" s="100">
        <f t="shared" si="1"/>
        <v>304</v>
      </c>
      <c r="H14" s="100">
        <f t="shared" si="2"/>
        <v>18884.5</v>
      </c>
      <c r="I14"/>
      <c r="J14" s="39"/>
      <c r="K14" s="143"/>
      <c r="L14"/>
      <c r="M14"/>
    </row>
    <row r="15" spans="1:20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x14ac:dyDescent="0.2">
      <c r="A16"/>
      <c r="B16"/>
      <c r="D16"/>
      <c r="E16"/>
      <c r="F16"/>
      <c r="G16"/>
      <c r="H16"/>
      <c r="I16" s="39"/>
      <c r="J16"/>
      <c r="K16"/>
      <c r="L16"/>
      <c r="M16"/>
      <c r="N16"/>
      <c r="O16"/>
      <c r="P16"/>
      <c r="Q16"/>
      <c r="R16"/>
      <c r="S16"/>
    </row>
    <row r="17" spans="1:35" x14ac:dyDescent="0.2">
      <c r="A17"/>
      <c r="B17" s="39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35" x14ac:dyDescent="0.2">
      <c r="A18"/>
      <c r="B18"/>
      <c r="D18"/>
      <c r="E18"/>
      <c r="F18"/>
      <c r="G18" s="39"/>
      <c r="H18"/>
      <c r="I18"/>
      <c r="J18"/>
      <c r="K18"/>
      <c r="L18"/>
      <c r="M18"/>
      <c r="N18"/>
      <c r="O18"/>
      <c r="P18"/>
      <c r="Q18"/>
      <c r="R18"/>
      <c r="S18"/>
    </row>
    <row r="20" spans="1:35" ht="15.75" customHeight="1" x14ac:dyDescent="0.2">
      <c r="A20" s="189" t="s">
        <v>61</v>
      </c>
      <c r="B20" s="189"/>
      <c r="C20" s="56"/>
      <c r="D20" s="190" t="s">
        <v>62</v>
      </c>
      <c r="E20" s="191"/>
      <c r="F20" s="187" t="s">
        <v>63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</row>
    <row r="21" spans="1:35" ht="22.5" x14ac:dyDescent="0.2">
      <c r="A21" s="102"/>
      <c r="B21" s="102"/>
      <c r="C21" s="58"/>
      <c r="D21" s="103" t="s">
        <v>64</v>
      </c>
      <c r="E21" s="104"/>
      <c r="F21" s="193" t="str">
        <f>B4</f>
        <v>Residential</v>
      </c>
      <c r="G21" s="194"/>
      <c r="H21" s="192" t="str">
        <f>C4</f>
        <v>General Service &lt; 50 kW</v>
      </c>
      <c r="I21" s="194"/>
      <c r="J21" s="192" t="str">
        <f>D4</f>
        <v>General Service &gt; 50 to 4999 kW</v>
      </c>
      <c r="K21" s="193"/>
      <c r="L21" s="194"/>
      <c r="M21" s="192" t="str">
        <f>E4</f>
        <v>Large Use</v>
      </c>
      <c r="N21" s="193"/>
      <c r="O21" s="194"/>
      <c r="P21" s="192" t="str">
        <f>F4</f>
        <v>USL</v>
      </c>
      <c r="Q21" s="194"/>
      <c r="R21" s="192" t="str">
        <f>G4</f>
        <v>Sentinel Lighting</v>
      </c>
      <c r="S21" s="193"/>
      <c r="T21" s="194"/>
      <c r="U21" s="192" t="str">
        <f>H4</f>
        <v>Street Lighting</v>
      </c>
      <c r="V21" s="193"/>
      <c r="W21" s="194"/>
    </row>
    <row r="22" spans="1:35" ht="63.6" customHeight="1" thickBot="1" x14ac:dyDescent="0.25">
      <c r="A22" s="57"/>
      <c r="B22" s="57"/>
      <c r="C22" s="59"/>
      <c r="D22" s="105" t="s">
        <v>44</v>
      </c>
      <c r="E22" s="106"/>
      <c r="F22" s="107" t="s">
        <v>44</v>
      </c>
      <c r="G22" s="108" t="s">
        <v>65</v>
      </c>
      <c r="H22" s="105" t="s">
        <v>44</v>
      </c>
      <c r="I22" s="108" t="s">
        <v>65</v>
      </c>
      <c r="J22" s="105" t="s">
        <v>44</v>
      </c>
      <c r="K22" s="109" t="s">
        <v>45</v>
      </c>
      <c r="L22" s="108" t="s">
        <v>65</v>
      </c>
      <c r="M22" s="105" t="s">
        <v>44</v>
      </c>
      <c r="N22" s="109" t="s">
        <v>45</v>
      </c>
      <c r="O22" s="108" t="s">
        <v>65</v>
      </c>
      <c r="P22" s="105" t="s">
        <v>44</v>
      </c>
      <c r="Q22" s="108" t="s">
        <v>66</v>
      </c>
      <c r="R22" s="105" t="s">
        <v>44</v>
      </c>
      <c r="S22" s="109" t="s">
        <v>45</v>
      </c>
      <c r="T22" s="108" t="s">
        <v>65</v>
      </c>
      <c r="U22" s="105" t="s">
        <v>44</v>
      </c>
      <c r="V22" s="109" t="s">
        <v>45</v>
      </c>
      <c r="W22" s="108" t="s">
        <v>65</v>
      </c>
    </row>
    <row r="23" spans="1:35" x14ac:dyDescent="0.2">
      <c r="A23" s="60" t="s">
        <v>52</v>
      </c>
      <c r="B23" s="60" t="s">
        <v>80</v>
      </c>
      <c r="C23" s="59"/>
      <c r="D23" s="61"/>
      <c r="E23" s="62"/>
      <c r="F23" s="63"/>
      <c r="G23" s="64"/>
      <c r="H23" s="65"/>
      <c r="I23" s="64"/>
      <c r="J23" s="65"/>
      <c r="K23" s="66"/>
      <c r="L23" s="67"/>
      <c r="M23" s="65"/>
      <c r="N23" s="66"/>
      <c r="O23" s="67"/>
      <c r="P23" s="69"/>
      <c r="Q23" s="68"/>
      <c r="R23" s="69"/>
      <c r="S23" s="71"/>
      <c r="T23" s="72"/>
      <c r="U23" s="69"/>
      <c r="V23" s="70"/>
      <c r="W23" s="64"/>
    </row>
    <row r="24" spans="1:35" x14ac:dyDescent="0.2">
      <c r="A24" s="73">
        <v>2015</v>
      </c>
      <c r="B24" s="74" t="s">
        <v>67</v>
      </c>
      <c r="C24" s="75"/>
      <c r="D24" s="76">
        <v>110640792.16784623</v>
      </c>
      <c r="E24" s="76"/>
      <c r="F24" s="77"/>
      <c r="G24" s="78">
        <v>50511.5</v>
      </c>
      <c r="H24" s="76"/>
      <c r="I24" s="78">
        <v>5527</v>
      </c>
      <c r="J24" s="79"/>
      <c r="K24" s="80"/>
      <c r="L24" s="78">
        <v>597.5</v>
      </c>
      <c r="M24" s="79"/>
      <c r="N24" s="80"/>
      <c r="O24" s="78">
        <v>2</v>
      </c>
      <c r="P24" s="76"/>
      <c r="Q24" s="78">
        <v>250.5</v>
      </c>
      <c r="R24" s="79"/>
      <c r="S24" s="81"/>
      <c r="T24" s="78">
        <v>521.5</v>
      </c>
      <c r="U24" s="79"/>
      <c r="V24" s="80"/>
      <c r="W24" s="78">
        <v>17883</v>
      </c>
      <c r="X24" s="111"/>
      <c r="Y24" s="111"/>
      <c r="AA24" s="140"/>
      <c r="AB24" s="128"/>
      <c r="AE24" s="111"/>
      <c r="AF24" s="111"/>
      <c r="AH24" s="150"/>
      <c r="AI24" s="150"/>
    </row>
    <row r="25" spans="1:35" x14ac:dyDescent="0.2">
      <c r="A25" s="73">
        <v>2015</v>
      </c>
      <c r="B25" s="74" t="s">
        <v>68</v>
      </c>
      <c r="C25" s="82"/>
      <c r="D25" s="83">
        <v>103566414.00452422</v>
      </c>
      <c r="E25" s="83"/>
      <c r="F25" s="84"/>
      <c r="G25" s="85">
        <f>G24</f>
        <v>50511.5</v>
      </c>
      <c r="H25" s="83"/>
      <c r="I25" s="85">
        <f>I24</f>
        <v>5527</v>
      </c>
      <c r="J25" s="86"/>
      <c r="K25" s="87"/>
      <c r="L25" s="85">
        <f>L24</f>
        <v>597.5</v>
      </c>
      <c r="M25" s="86"/>
      <c r="N25" s="87"/>
      <c r="O25" s="85">
        <f>O24</f>
        <v>2</v>
      </c>
      <c r="P25" s="83"/>
      <c r="Q25" s="85">
        <f>Q24</f>
        <v>250.5</v>
      </c>
      <c r="R25" s="86"/>
      <c r="S25" s="88"/>
      <c r="T25" s="85">
        <f>T24</f>
        <v>521.5</v>
      </c>
      <c r="U25" s="86"/>
      <c r="V25" s="87"/>
      <c r="W25" s="85">
        <f>W24</f>
        <v>17883</v>
      </c>
      <c r="Y25" s="111"/>
      <c r="AA25" s="140"/>
      <c r="AB25" s="128"/>
      <c r="AE25" s="111"/>
      <c r="AF25" s="111"/>
      <c r="AH25" s="150"/>
      <c r="AI25" s="150"/>
    </row>
    <row r="26" spans="1:35" x14ac:dyDescent="0.2">
      <c r="A26" s="73">
        <v>2015</v>
      </c>
      <c r="B26" s="74" t="s">
        <v>69</v>
      </c>
      <c r="C26" s="82"/>
      <c r="D26" s="83">
        <v>102786797.33119218</v>
      </c>
      <c r="E26" s="83"/>
      <c r="F26" s="84"/>
      <c r="G26" s="85">
        <f t="shared" ref="G26:G35" si="7">G25</f>
        <v>50511.5</v>
      </c>
      <c r="H26" s="83"/>
      <c r="I26" s="85">
        <f t="shared" ref="I26:I35" si="8">I25</f>
        <v>5527</v>
      </c>
      <c r="J26" s="86"/>
      <c r="K26" s="87"/>
      <c r="L26" s="85">
        <f t="shared" ref="L26:L35" si="9">L25</f>
        <v>597.5</v>
      </c>
      <c r="M26" s="86"/>
      <c r="N26" s="87"/>
      <c r="O26" s="85">
        <f t="shared" ref="O26:O35" si="10">O25</f>
        <v>2</v>
      </c>
      <c r="P26" s="83"/>
      <c r="Q26" s="85">
        <f t="shared" ref="Q26:Q35" si="11">Q25</f>
        <v>250.5</v>
      </c>
      <c r="R26" s="86"/>
      <c r="S26" s="88"/>
      <c r="T26" s="85">
        <f t="shared" ref="T26:T35" si="12">T25</f>
        <v>521.5</v>
      </c>
      <c r="U26" s="86"/>
      <c r="V26" s="87"/>
      <c r="W26" s="85">
        <f t="shared" ref="W26:W35" si="13">W25</f>
        <v>17883</v>
      </c>
      <c r="Y26" s="111"/>
      <c r="AA26" s="140"/>
      <c r="AB26" s="128"/>
      <c r="AE26" s="111"/>
      <c r="AF26" s="111"/>
      <c r="AH26" s="150"/>
      <c r="AI26" s="150"/>
    </row>
    <row r="27" spans="1:35" x14ac:dyDescent="0.2">
      <c r="A27" s="73">
        <v>2015</v>
      </c>
      <c r="B27" s="74" t="s">
        <v>70</v>
      </c>
      <c r="C27" s="82"/>
      <c r="D27" s="83">
        <v>90141833.681816638</v>
      </c>
      <c r="E27" s="83"/>
      <c r="F27" s="84"/>
      <c r="G27" s="85">
        <f t="shared" si="7"/>
        <v>50511.5</v>
      </c>
      <c r="H27" s="83"/>
      <c r="I27" s="85">
        <f t="shared" si="8"/>
        <v>5527</v>
      </c>
      <c r="J27" s="86"/>
      <c r="K27" s="87"/>
      <c r="L27" s="85">
        <f t="shared" si="9"/>
        <v>597.5</v>
      </c>
      <c r="M27" s="86"/>
      <c r="N27" s="87"/>
      <c r="O27" s="85">
        <f t="shared" si="10"/>
        <v>2</v>
      </c>
      <c r="P27" s="83"/>
      <c r="Q27" s="85">
        <f t="shared" si="11"/>
        <v>250.5</v>
      </c>
      <c r="R27" s="86"/>
      <c r="S27" s="88"/>
      <c r="T27" s="85">
        <f t="shared" si="12"/>
        <v>521.5</v>
      </c>
      <c r="U27" s="86"/>
      <c r="V27" s="87"/>
      <c r="W27" s="85">
        <f t="shared" si="13"/>
        <v>17883</v>
      </c>
      <c r="Y27" s="111"/>
      <c r="AA27" s="140"/>
      <c r="AB27" s="128"/>
      <c r="AE27" s="111"/>
      <c r="AF27" s="111"/>
      <c r="AH27" s="150"/>
      <c r="AI27" s="150"/>
    </row>
    <row r="28" spans="1:35" x14ac:dyDescent="0.2">
      <c r="A28" s="73">
        <v>2015</v>
      </c>
      <c r="B28" s="74" t="s">
        <v>43</v>
      </c>
      <c r="C28" s="82"/>
      <c r="D28" s="83">
        <v>94347448.581504494</v>
      </c>
      <c r="E28" s="83"/>
      <c r="F28" s="84"/>
      <c r="G28" s="85">
        <f t="shared" si="7"/>
        <v>50511.5</v>
      </c>
      <c r="H28" s="83"/>
      <c r="I28" s="85">
        <f t="shared" si="8"/>
        <v>5527</v>
      </c>
      <c r="J28" s="86"/>
      <c r="K28" s="87"/>
      <c r="L28" s="85">
        <f t="shared" si="9"/>
        <v>597.5</v>
      </c>
      <c r="M28" s="86"/>
      <c r="N28" s="87"/>
      <c r="O28" s="85">
        <f t="shared" si="10"/>
        <v>2</v>
      </c>
      <c r="P28" s="83"/>
      <c r="Q28" s="85">
        <f t="shared" si="11"/>
        <v>250.5</v>
      </c>
      <c r="R28" s="86"/>
      <c r="S28" s="88"/>
      <c r="T28" s="85">
        <f t="shared" si="12"/>
        <v>521.5</v>
      </c>
      <c r="U28" s="86"/>
      <c r="V28" s="87"/>
      <c r="W28" s="85">
        <f t="shared" si="13"/>
        <v>17883</v>
      </c>
      <c r="Y28" s="111"/>
      <c r="AA28" s="140"/>
      <c r="AB28" s="128"/>
      <c r="AE28" s="111"/>
      <c r="AF28" s="111"/>
      <c r="AH28" s="150"/>
      <c r="AI28" s="150"/>
    </row>
    <row r="29" spans="1:35" x14ac:dyDescent="0.2">
      <c r="A29" s="73">
        <v>2015</v>
      </c>
      <c r="B29" s="74" t="s">
        <v>71</v>
      </c>
      <c r="C29" s="82"/>
      <c r="D29" s="83">
        <v>100728895.94686395</v>
      </c>
      <c r="E29" s="83"/>
      <c r="F29" s="84"/>
      <c r="G29" s="85">
        <f t="shared" si="7"/>
        <v>50511.5</v>
      </c>
      <c r="H29" s="83"/>
      <c r="I29" s="85">
        <f t="shared" si="8"/>
        <v>5527</v>
      </c>
      <c r="J29" s="86"/>
      <c r="K29" s="87"/>
      <c r="L29" s="85">
        <f t="shared" si="9"/>
        <v>597.5</v>
      </c>
      <c r="M29" s="86"/>
      <c r="N29" s="87"/>
      <c r="O29" s="85">
        <f t="shared" si="10"/>
        <v>2</v>
      </c>
      <c r="P29" s="83"/>
      <c r="Q29" s="85">
        <f t="shared" si="11"/>
        <v>250.5</v>
      </c>
      <c r="R29" s="86"/>
      <c r="S29" s="88"/>
      <c r="T29" s="85">
        <f t="shared" si="12"/>
        <v>521.5</v>
      </c>
      <c r="U29" s="86"/>
      <c r="V29" s="87"/>
      <c r="W29" s="85">
        <f t="shared" si="13"/>
        <v>17883</v>
      </c>
      <c r="Y29" s="111"/>
      <c r="AA29" s="140"/>
      <c r="AB29" s="128"/>
      <c r="AE29" s="111"/>
      <c r="AF29" s="111"/>
      <c r="AH29" s="150"/>
      <c r="AI29" s="150"/>
    </row>
    <row r="30" spans="1:35" x14ac:dyDescent="0.2">
      <c r="A30" s="73">
        <v>2015</v>
      </c>
      <c r="B30" s="74" t="s">
        <v>72</v>
      </c>
      <c r="C30" s="82"/>
      <c r="D30" s="83">
        <v>115474381.0595226</v>
      </c>
      <c r="E30" s="83"/>
      <c r="F30" s="84"/>
      <c r="G30" s="85">
        <f t="shared" si="7"/>
        <v>50511.5</v>
      </c>
      <c r="H30" s="83"/>
      <c r="I30" s="85">
        <f t="shared" si="8"/>
        <v>5527</v>
      </c>
      <c r="J30" s="86"/>
      <c r="K30" s="87"/>
      <c r="L30" s="85">
        <f t="shared" si="9"/>
        <v>597.5</v>
      </c>
      <c r="M30" s="86"/>
      <c r="N30" s="87"/>
      <c r="O30" s="85">
        <f t="shared" si="10"/>
        <v>2</v>
      </c>
      <c r="P30" s="83"/>
      <c r="Q30" s="85">
        <f t="shared" si="11"/>
        <v>250.5</v>
      </c>
      <c r="R30" s="86"/>
      <c r="S30" s="88"/>
      <c r="T30" s="85">
        <f t="shared" si="12"/>
        <v>521.5</v>
      </c>
      <c r="U30" s="86"/>
      <c r="V30" s="87"/>
      <c r="W30" s="85">
        <f t="shared" si="13"/>
        <v>17883</v>
      </c>
      <c r="Y30" s="111"/>
      <c r="AA30" s="140"/>
      <c r="AB30" s="128"/>
      <c r="AE30" s="111"/>
      <c r="AF30" s="111"/>
      <c r="AH30" s="150"/>
      <c r="AI30" s="150"/>
    </row>
    <row r="31" spans="1:35" x14ac:dyDescent="0.2">
      <c r="A31" s="73">
        <v>2015</v>
      </c>
      <c r="B31" s="74" t="s">
        <v>73</v>
      </c>
      <c r="C31" s="82"/>
      <c r="D31" s="83">
        <v>113703937.40356903</v>
      </c>
      <c r="E31" s="83"/>
      <c r="F31" s="84"/>
      <c r="G31" s="85">
        <f t="shared" si="7"/>
        <v>50511.5</v>
      </c>
      <c r="H31" s="83"/>
      <c r="I31" s="85">
        <f t="shared" si="8"/>
        <v>5527</v>
      </c>
      <c r="J31" s="86"/>
      <c r="K31" s="87"/>
      <c r="L31" s="85">
        <f t="shared" si="9"/>
        <v>597.5</v>
      </c>
      <c r="M31" s="86"/>
      <c r="N31" s="87"/>
      <c r="O31" s="85">
        <f t="shared" si="10"/>
        <v>2</v>
      </c>
      <c r="P31" s="83"/>
      <c r="Q31" s="85">
        <f t="shared" si="11"/>
        <v>250.5</v>
      </c>
      <c r="R31" s="86"/>
      <c r="S31" s="88"/>
      <c r="T31" s="85">
        <f t="shared" si="12"/>
        <v>521.5</v>
      </c>
      <c r="U31" s="86"/>
      <c r="V31" s="87"/>
      <c r="W31" s="85">
        <f t="shared" si="13"/>
        <v>17883</v>
      </c>
      <c r="Y31" s="111"/>
      <c r="AA31" s="140"/>
      <c r="AB31" s="128"/>
      <c r="AE31" s="111"/>
      <c r="AF31" s="111"/>
      <c r="AH31" s="150"/>
      <c r="AI31" s="150"/>
    </row>
    <row r="32" spans="1:35" x14ac:dyDescent="0.2">
      <c r="A32" s="73">
        <v>2015</v>
      </c>
      <c r="B32" s="74" t="s">
        <v>74</v>
      </c>
      <c r="C32" s="82"/>
      <c r="D32" s="83">
        <v>110599264.66068232</v>
      </c>
      <c r="E32" s="83"/>
      <c r="F32" s="84"/>
      <c r="G32" s="85">
        <f t="shared" si="7"/>
        <v>50511.5</v>
      </c>
      <c r="H32" s="83"/>
      <c r="I32" s="85">
        <f t="shared" si="8"/>
        <v>5527</v>
      </c>
      <c r="J32" s="86"/>
      <c r="K32" s="87"/>
      <c r="L32" s="85">
        <f t="shared" si="9"/>
        <v>597.5</v>
      </c>
      <c r="M32" s="86"/>
      <c r="N32" s="87"/>
      <c r="O32" s="85">
        <f t="shared" si="10"/>
        <v>2</v>
      </c>
      <c r="P32" s="83"/>
      <c r="Q32" s="85">
        <f t="shared" si="11"/>
        <v>250.5</v>
      </c>
      <c r="R32" s="86"/>
      <c r="S32" s="88"/>
      <c r="T32" s="85">
        <f t="shared" si="12"/>
        <v>521.5</v>
      </c>
      <c r="U32" s="86"/>
      <c r="V32" s="87"/>
      <c r="W32" s="85">
        <f t="shared" si="13"/>
        <v>17883</v>
      </c>
      <c r="Y32" s="111"/>
      <c r="AA32" s="140"/>
      <c r="AB32" s="128"/>
      <c r="AE32" s="111"/>
      <c r="AF32" s="111"/>
      <c r="AH32" s="150"/>
      <c r="AI32" s="150"/>
    </row>
    <row r="33" spans="1:35" x14ac:dyDescent="0.2">
      <c r="A33" s="73">
        <v>2015</v>
      </c>
      <c r="B33" s="74" t="s">
        <v>75</v>
      </c>
      <c r="C33" s="82"/>
      <c r="D33" s="83">
        <v>97507362.396773115</v>
      </c>
      <c r="E33" s="83"/>
      <c r="F33" s="84"/>
      <c r="G33" s="85">
        <f t="shared" si="7"/>
        <v>50511.5</v>
      </c>
      <c r="H33" s="83"/>
      <c r="I33" s="85">
        <f t="shared" si="8"/>
        <v>5527</v>
      </c>
      <c r="J33" s="86"/>
      <c r="K33" s="87"/>
      <c r="L33" s="85">
        <f t="shared" si="9"/>
        <v>597.5</v>
      </c>
      <c r="M33" s="86"/>
      <c r="N33" s="87"/>
      <c r="O33" s="85">
        <f t="shared" si="10"/>
        <v>2</v>
      </c>
      <c r="P33" s="83"/>
      <c r="Q33" s="85">
        <f t="shared" si="11"/>
        <v>250.5</v>
      </c>
      <c r="R33" s="86"/>
      <c r="S33" s="88"/>
      <c r="T33" s="85">
        <f t="shared" si="12"/>
        <v>521.5</v>
      </c>
      <c r="U33" s="86"/>
      <c r="V33" s="87"/>
      <c r="W33" s="85">
        <f t="shared" si="13"/>
        <v>17883</v>
      </c>
      <c r="Y33" s="111"/>
      <c r="AA33" s="140"/>
      <c r="AB33" s="128"/>
      <c r="AE33" s="111"/>
      <c r="AF33" s="111"/>
      <c r="AH33" s="150"/>
      <c r="AI33" s="150"/>
    </row>
    <row r="34" spans="1:35" x14ac:dyDescent="0.2">
      <c r="A34" s="73">
        <v>2015</v>
      </c>
      <c r="B34" s="74" t="s">
        <v>76</v>
      </c>
      <c r="C34" s="82"/>
      <c r="D34" s="83">
        <v>95837426.027168244</v>
      </c>
      <c r="E34" s="83"/>
      <c r="F34" s="84"/>
      <c r="G34" s="85">
        <f t="shared" si="7"/>
        <v>50511.5</v>
      </c>
      <c r="H34" s="83"/>
      <c r="I34" s="85">
        <f t="shared" si="8"/>
        <v>5527</v>
      </c>
      <c r="J34" s="86"/>
      <c r="K34" s="87"/>
      <c r="L34" s="85">
        <f t="shared" si="9"/>
        <v>597.5</v>
      </c>
      <c r="M34" s="86"/>
      <c r="N34" s="87"/>
      <c r="O34" s="85">
        <f t="shared" si="10"/>
        <v>2</v>
      </c>
      <c r="P34" s="83"/>
      <c r="Q34" s="85">
        <f t="shared" si="11"/>
        <v>250.5</v>
      </c>
      <c r="R34" s="86"/>
      <c r="S34" s="88"/>
      <c r="T34" s="85">
        <f t="shared" si="12"/>
        <v>521.5</v>
      </c>
      <c r="U34" s="86"/>
      <c r="V34" s="87"/>
      <c r="W34" s="85">
        <f t="shared" si="13"/>
        <v>17883</v>
      </c>
      <c r="Y34" s="111"/>
      <c r="AA34" s="140"/>
      <c r="AB34" s="128"/>
      <c r="AE34" s="111"/>
      <c r="AF34" s="111"/>
      <c r="AH34" s="150"/>
      <c r="AI34" s="150"/>
    </row>
    <row r="35" spans="1:35" x14ac:dyDescent="0.2">
      <c r="A35" s="73">
        <v>2015</v>
      </c>
      <c r="B35" s="74" t="s">
        <v>77</v>
      </c>
      <c r="C35" s="82"/>
      <c r="D35" s="83">
        <v>95681304.151613995</v>
      </c>
      <c r="E35" s="83"/>
      <c r="F35" s="84">
        <v>396832649.18000001</v>
      </c>
      <c r="G35" s="85">
        <f t="shared" si="7"/>
        <v>50511.5</v>
      </c>
      <c r="H35" s="83">
        <v>152529020.18000001</v>
      </c>
      <c r="I35" s="85">
        <f t="shared" si="8"/>
        <v>5527</v>
      </c>
      <c r="J35" s="86">
        <v>526568935.87000006</v>
      </c>
      <c r="K35" s="87">
        <v>1406752.2499999998</v>
      </c>
      <c r="L35" s="85">
        <f t="shared" si="9"/>
        <v>597.5</v>
      </c>
      <c r="M35" s="86">
        <v>60621606.239999995</v>
      </c>
      <c r="N35" s="87">
        <v>147250.81</v>
      </c>
      <c r="O35" s="85">
        <f t="shared" si="10"/>
        <v>2</v>
      </c>
      <c r="P35" s="83">
        <v>1247803</v>
      </c>
      <c r="Q35" s="85">
        <f t="shared" si="11"/>
        <v>250.5</v>
      </c>
      <c r="R35" s="86">
        <v>452830</v>
      </c>
      <c r="S35" s="88">
        <v>1257.4000000000001</v>
      </c>
      <c r="T35" s="85">
        <f t="shared" si="12"/>
        <v>521.5</v>
      </c>
      <c r="U35" s="86">
        <v>10581768.109999999</v>
      </c>
      <c r="V35" s="87">
        <v>30671.940000000002</v>
      </c>
      <c r="W35" s="85">
        <f t="shared" si="13"/>
        <v>17883</v>
      </c>
      <c r="X35" s="111"/>
      <c r="Y35" s="111"/>
      <c r="AA35" s="140"/>
      <c r="AB35" s="128"/>
      <c r="AE35" s="111"/>
      <c r="AF35" s="111"/>
      <c r="AH35" s="150"/>
      <c r="AI35" s="151"/>
    </row>
    <row r="36" spans="1:35" x14ac:dyDescent="0.2">
      <c r="A36" s="73">
        <v>2016</v>
      </c>
      <c r="B36" s="74" t="s">
        <v>67</v>
      </c>
      <c r="C36" s="82"/>
      <c r="D36" s="76">
        <v>104360489.6203077</v>
      </c>
      <c r="E36" s="76"/>
      <c r="F36" s="77"/>
      <c r="G36" s="78">
        <v>51680.5</v>
      </c>
      <c r="H36" s="76"/>
      <c r="I36" s="78">
        <v>5637.5</v>
      </c>
      <c r="J36" s="79"/>
      <c r="K36" s="80"/>
      <c r="L36" s="78">
        <v>583.5</v>
      </c>
      <c r="M36" s="79"/>
      <c r="N36" s="80"/>
      <c r="O36" s="78">
        <v>2</v>
      </c>
      <c r="P36" s="76"/>
      <c r="Q36" s="78">
        <v>257.5</v>
      </c>
      <c r="R36" s="79"/>
      <c r="S36" s="81"/>
      <c r="T36" s="78">
        <v>519.5</v>
      </c>
      <c r="U36" s="79"/>
      <c r="V36" s="80"/>
      <c r="W36" s="78">
        <v>17923</v>
      </c>
      <c r="Y36" s="111"/>
      <c r="AA36" s="140"/>
      <c r="AB36" s="128"/>
      <c r="AE36" s="111"/>
      <c r="AF36" s="111"/>
      <c r="AH36" s="150"/>
      <c r="AI36" s="150"/>
    </row>
    <row r="37" spans="1:35" x14ac:dyDescent="0.2">
      <c r="A37" s="73">
        <v>2016</v>
      </c>
      <c r="B37" s="74" t="s">
        <v>68</v>
      </c>
      <c r="C37" s="82"/>
      <c r="D37" s="83">
        <v>95757610.426384613</v>
      </c>
      <c r="E37" s="83"/>
      <c r="F37" s="84"/>
      <c r="G37" s="85">
        <f>G36</f>
        <v>51680.5</v>
      </c>
      <c r="H37" s="83"/>
      <c r="I37" s="85">
        <f>I36</f>
        <v>5637.5</v>
      </c>
      <c r="J37" s="86"/>
      <c r="K37" s="87"/>
      <c r="L37" s="85">
        <f>L36</f>
        <v>583.5</v>
      </c>
      <c r="M37" s="86"/>
      <c r="N37" s="87"/>
      <c r="O37" s="85">
        <f>O36</f>
        <v>2</v>
      </c>
      <c r="P37" s="83"/>
      <c r="Q37" s="85">
        <f>Q36</f>
        <v>257.5</v>
      </c>
      <c r="R37" s="86"/>
      <c r="S37" s="88"/>
      <c r="T37" s="85">
        <f>T36</f>
        <v>519.5</v>
      </c>
      <c r="U37" s="86"/>
      <c r="V37" s="87"/>
      <c r="W37" s="85">
        <f>W36</f>
        <v>17923</v>
      </c>
      <c r="Y37" s="111"/>
      <c r="AA37" s="140"/>
      <c r="AB37" s="128"/>
      <c r="AE37" s="111"/>
      <c r="AF37" s="111"/>
      <c r="AH37" s="150"/>
      <c r="AI37" s="150"/>
    </row>
    <row r="38" spans="1:35" x14ac:dyDescent="0.2">
      <c r="A38" s="73">
        <v>2016</v>
      </c>
      <c r="B38" s="74" t="s">
        <v>69</v>
      </c>
      <c r="C38" s="82"/>
      <c r="D38" s="83">
        <v>95197213.103923097</v>
      </c>
      <c r="E38" s="83"/>
      <c r="F38" s="84"/>
      <c r="G38" s="85">
        <f t="shared" ref="G38:G47" si="14">G37</f>
        <v>51680.5</v>
      </c>
      <c r="H38" s="83"/>
      <c r="I38" s="85">
        <f t="shared" ref="I38:I47" si="15">I37</f>
        <v>5637.5</v>
      </c>
      <c r="J38" s="86"/>
      <c r="K38" s="87"/>
      <c r="L38" s="85">
        <f t="shared" ref="L38:L47" si="16">L37</f>
        <v>583.5</v>
      </c>
      <c r="M38" s="86"/>
      <c r="N38" s="87"/>
      <c r="O38" s="85">
        <f t="shared" ref="O38:O47" si="17">O37</f>
        <v>2</v>
      </c>
      <c r="P38" s="83"/>
      <c r="Q38" s="85">
        <f t="shared" ref="Q38:Q47" si="18">Q37</f>
        <v>257.5</v>
      </c>
      <c r="R38" s="86"/>
      <c r="S38" s="88"/>
      <c r="T38" s="85">
        <f t="shared" ref="T38:T47" si="19">T37</f>
        <v>519.5</v>
      </c>
      <c r="U38" s="86"/>
      <c r="V38" s="87"/>
      <c r="W38" s="85">
        <f t="shared" ref="W38:W47" si="20">W37</f>
        <v>17923</v>
      </c>
      <c r="Y38" s="111"/>
      <c r="AA38" s="140"/>
      <c r="AB38" s="128"/>
      <c r="AE38" s="111"/>
      <c r="AF38" s="111"/>
      <c r="AH38" s="150"/>
      <c r="AI38" s="150"/>
    </row>
    <row r="39" spans="1:35" x14ac:dyDescent="0.2">
      <c r="A39" s="73">
        <v>2016</v>
      </c>
      <c r="B39" s="74" t="s">
        <v>70</v>
      </c>
      <c r="C39" s="82"/>
      <c r="D39" s="83">
        <v>89223506.73323077</v>
      </c>
      <c r="E39" s="83"/>
      <c r="F39" s="84"/>
      <c r="G39" s="85">
        <f t="shared" si="14"/>
        <v>51680.5</v>
      </c>
      <c r="H39" s="83"/>
      <c r="I39" s="85">
        <f t="shared" si="15"/>
        <v>5637.5</v>
      </c>
      <c r="J39" s="86"/>
      <c r="K39" s="87"/>
      <c r="L39" s="85">
        <f t="shared" si="16"/>
        <v>583.5</v>
      </c>
      <c r="M39" s="86"/>
      <c r="N39" s="87"/>
      <c r="O39" s="85">
        <f t="shared" si="17"/>
        <v>2</v>
      </c>
      <c r="P39" s="83"/>
      <c r="Q39" s="85">
        <f t="shared" si="18"/>
        <v>257.5</v>
      </c>
      <c r="R39" s="86"/>
      <c r="S39" s="88"/>
      <c r="T39" s="85">
        <f t="shared" si="19"/>
        <v>519.5</v>
      </c>
      <c r="U39" s="86"/>
      <c r="V39" s="87"/>
      <c r="W39" s="85">
        <f t="shared" si="20"/>
        <v>17923</v>
      </c>
      <c r="Y39" s="111"/>
      <c r="AA39" s="140"/>
      <c r="AB39" s="128"/>
      <c r="AE39" s="111"/>
      <c r="AF39" s="111"/>
      <c r="AH39" s="150"/>
      <c r="AI39" s="150"/>
    </row>
    <row r="40" spans="1:35" x14ac:dyDescent="0.2">
      <c r="A40" s="73">
        <v>2016</v>
      </c>
      <c r="B40" s="74" t="s">
        <v>43</v>
      </c>
      <c r="C40" s="82"/>
      <c r="D40" s="83">
        <v>92885022.863923073</v>
      </c>
      <c r="E40" s="83"/>
      <c r="F40" s="84"/>
      <c r="G40" s="85">
        <f t="shared" si="14"/>
        <v>51680.5</v>
      </c>
      <c r="H40" s="83"/>
      <c r="I40" s="85">
        <f t="shared" si="15"/>
        <v>5637.5</v>
      </c>
      <c r="J40" s="86"/>
      <c r="K40" s="87"/>
      <c r="L40" s="85">
        <f t="shared" si="16"/>
        <v>583.5</v>
      </c>
      <c r="M40" s="86"/>
      <c r="N40" s="87"/>
      <c r="O40" s="85">
        <f t="shared" si="17"/>
        <v>2</v>
      </c>
      <c r="P40" s="83"/>
      <c r="Q40" s="85">
        <f t="shared" si="18"/>
        <v>257.5</v>
      </c>
      <c r="R40" s="86"/>
      <c r="S40" s="88"/>
      <c r="T40" s="85">
        <f t="shared" si="19"/>
        <v>519.5</v>
      </c>
      <c r="U40" s="86"/>
      <c r="V40" s="87"/>
      <c r="W40" s="85">
        <f t="shared" si="20"/>
        <v>17923</v>
      </c>
      <c r="Y40" s="111"/>
      <c r="AA40" s="140"/>
      <c r="AB40" s="128"/>
      <c r="AE40" s="111"/>
      <c r="AF40" s="111"/>
      <c r="AH40" s="150"/>
      <c r="AI40" s="150"/>
    </row>
    <row r="41" spans="1:35" x14ac:dyDescent="0.2">
      <c r="A41" s="73">
        <v>2016</v>
      </c>
      <c r="B41" s="74" t="s">
        <v>71</v>
      </c>
      <c r="C41" s="82"/>
      <c r="D41" s="83">
        <v>103774662.28269231</v>
      </c>
      <c r="E41" s="83"/>
      <c r="F41" s="84"/>
      <c r="G41" s="85">
        <f t="shared" si="14"/>
        <v>51680.5</v>
      </c>
      <c r="H41" s="83"/>
      <c r="I41" s="85">
        <f t="shared" si="15"/>
        <v>5637.5</v>
      </c>
      <c r="J41" s="86"/>
      <c r="K41" s="87"/>
      <c r="L41" s="85">
        <f t="shared" si="16"/>
        <v>583.5</v>
      </c>
      <c r="M41" s="86"/>
      <c r="N41" s="87"/>
      <c r="O41" s="85">
        <f t="shared" si="17"/>
        <v>2</v>
      </c>
      <c r="P41" s="83"/>
      <c r="Q41" s="85">
        <f t="shared" si="18"/>
        <v>257.5</v>
      </c>
      <c r="R41" s="86"/>
      <c r="S41" s="88"/>
      <c r="T41" s="85">
        <f t="shared" si="19"/>
        <v>519.5</v>
      </c>
      <c r="U41" s="86"/>
      <c r="V41" s="87"/>
      <c r="W41" s="85">
        <f t="shared" si="20"/>
        <v>17923</v>
      </c>
      <c r="Y41" s="111"/>
      <c r="AA41" s="140"/>
      <c r="AB41" s="128"/>
      <c r="AE41" s="111"/>
      <c r="AF41" s="111"/>
      <c r="AH41" s="150"/>
      <c r="AI41" s="150"/>
    </row>
    <row r="42" spans="1:35" x14ac:dyDescent="0.2">
      <c r="A42" s="73">
        <v>2016</v>
      </c>
      <c r="B42" s="74" t="s">
        <v>72</v>
      </c>
      <c r="C42" s="82"/>
      <c r="D42" s="83">
        <v>118822675.50546154</v>
      </c>
      <c r="E42" s="83"/>
      <c r="F42" s="84"/>
      <c r="G42" s="85">
        <f t="shared" si="14"/>
        <v>51680.5</v>
      </c>
      <c r="H42" s="83"/>
      <c r="I42" s="85">
        <f t="shared" si="15"/>
        <v>5637.5</v>
      </c>
      <c r="J42" s="86"/>
      <c r="K42" s="87"/>
      <c r="L42" s="85">
        <f t="shared" si="16"/>
        <v>583.5</v>
      </c>
      <c r="M42" s="86"/>
      <c r="N42" s="87"/>
      <c r="O42" s="85">
        <f t="shared" si="17"/>
        <v>2</v>
      </c>
      <c r="P42" s="83"/>
      <c r="Q42" s="85">
        <f t="shared" si="18"/>
        <v>257.5</v>
      </c>
      <c r="R42" s="86"/>
      <c r="S42" s="88"/>
      <c r="T42" s="85">
        <f t="shared" si="19"/>
        <v>519.5</v>
      </c>
      <c r="U42" s="86"/>
      <c r="V42" s="87"/>
      <c r="W42" s="85">
        <f t="shared" si="20"/>
        <v>17923</v>
      </c>
      <c r="Y42" s="111"/>
      <c r="AA42" s="140"/>
      <c r="AB42" s="128"/>
      <c r="AE42" s="111"/>
      <c r="AF42" s="111"/>
      <c r="AH42" s="150"/>
      <c r="AI42" s="150"/>
    </row>
    <row r="43" spans="1:35" x14ac:dyDescent="0.2">
      <c r="A43" s="73">
        <v>2016</v>
      </c>
      <c r="B43" s="74" t="s">
        <v>73</v>
      </c>
      <c r="C43" s="82"/>
      <c r="D43" s="83">
        <v>127445902.89861538</v>
      </c>
      <c r="E43" s="83"/>
      <c r="F43" s="84"/>
      <c r="G43" s="85">
        <f t="shared" si="14"/>
        <v>51680.5</v>
      </c>
      <c r="H43" s="83"/>
      <c r="I43" s="85">
        <f t="shared" si="15"/>
        <v>5637.5</v>
      </c>
      <c r="J43" s="86"/>
      <c r="K43" s="87"/>
      <c r="L43" s="85">
        <f t="shared" si="16"/>
        <v>583.5</v>
      </c>
      <c r="M43" s="86"/>
      <c r="N43" s="87"/>
      <c r="O43" s="85">
        <f t="shared" si="17"/>
        <v>2</v>
      </c>
      <c r="P43" s="83"/>
      <c r="Q43" s="85">
        <f t="shared" si="18"/>
        <v>257.5</v>
      </c>
      <c r="R43" s="86"/>
      <c r="S43" s="88"/>
      <c r="T43" s="85">
        <f t="shared" si="19"/>
        <v>519.5</v>
      </c>
      <c r="U43" s="86"/>
      <c r="V43" s="87"/>
      <c r="W43" s="85">
        <f t="shared" si="20"/>
        <v>17923</v>
      </c>
      <c r="Y43" s="111"/>
      <c r="AA43" s="140"/>
      <c r="AB43" s="128"/>
      <c r="AE43" s="111"/>
      <c r="AF43" s="111"/>
      <c r="AH43" s="150"/>
      <c r="AI43" s="150"/>
    </row>
    <row r="44" spans="1:35" x14ac:dyDescent="0.2">
      <c r="A44" s="73">
        <v>2016</v>
      </c>
      <c r="B44" s="74" t="s">
        <v>74</v>
      </c>
      <c r="C44" s="82"/>
      <c r="D44" s="83">
        <v>105464824.35599998</v>
      </c>
      <c r="E44" s="83"/>
      <c r="F44" s="84"/>
      <c r="G44" s="85">
        <f t="shared" si="14"/>
        <v>51680.5</v>
      </c>
      <c r="H44" s="83"/>
      <c r="I44" s="85">
        <f t="shared" si="15"/>
        <v>5637.5</v>
      </c>
      <c r="J44" s="86"/>
      <c r="K44" s="87"/>
      <c r="L44" s="85">
        <f t="shared" si="16"/>
        <v>583.5</v>
      </c>
      <c r="M44" s="86"/>
      <c r="N44" s="87"/>
      <c r="O44" s="85">
        <f t="shared" si="17"/>
        <v>2</v>
      </c>
      <c r="P44" s="83"/>
      <c r="Q44" s="85">
        <f t="shared" si="18"/>
        <v>257.5</v>
      </c>
      <c r="R44" s="86"/>
      <c r="S44" s="88"/>
      <c r="T44" s="85">
        <f t="shared" si="19"/>
        <v>519.5</v>
      </c>
      <c r="U44" s="86"/>
      <c r="V44" s="87"/>
      <c r="W44" s="85">
        <f t="shared" si="20"/>
        <v>17923</v>
      </c>
      <c r="Y44" s="111"/>
      <c r="AA44" s="140"/>
      <c r="AB44" s="128"/>
      <c r="AE44" s="111"/>
      <c r="AF44" s="111"/>
      <c r="AH44" s="150"/>
      <c r="AI44" s="150"/>
    </row>
    <row r="45" spans="1:35" x14ac:dyDescent="0.2">
      <c r="A45" s="73">
        <v>2016</v>
      </c>
      <c r="B45" s="74" t="s">
        <v>75</v>
      </c>
      <c r="C45" s="82"/>
      <c r="D45" s="83">
        <v>93365521.291000009</v>
      </c>
      <c r="E45" s="83"/>
      <c r="F45" s="84"/>
      <c r="G45" s="85">
        <f t="shared" si="14"/>
        <v>51680.5</v>
      </c>
      <c r="H45" s="83"/>
      <c r="I45" s="85">
        <f t="shared" si="15"/>
        <v>5637.5</v>
      </c>
      <c r="J45" s="86"/>
      <c r="K45" s="87"/>
      <c r="L45" s="85">
        <f t="shared" si="16"/>
        <v>583.5</v>
      </c>
      <c r="M45" s="86"/>
      <c r="N45" s="87"/>
      <c r="O45" s="85">
        <f t="shared" si="17"/>
        <v>2</v>
      </c>
      <c r="P45" s="83"/>
      <c r="Q45" s="85">
        <f t="shared" si="18"/>
        <v>257.5</v>
      </c>
      <c r="R45" s="86"/>
      <c r="S45" s="88"/>
      <c r="T45" s="85">
        <f t="shared" si="19"/>
        <v>519.5</v>
      </c>
      <c r="U45" s="86"/>
      <c r="V45" s="87"/>
      <c r="W45" s="85">
        <f t="shared" si="20"/>
        <v>17923</v>
      </c>
      <c r="Y45" s="111"/>
      <c r="AA45" s="140"/>
      <c r="AB45" s="128"/>
      <c r="AE45" s="111"/>
      <c r="AF45" s="111"/>
      <c r="AH45" s="150"/>
      <c r="AI45" s="150"/>
    </row>
    <row r="46" spans="1:35" x14ac:dyDescent="0.2">
      <c r="A46" s="73">
        <v>2016</v>
      </c>
      <c r="B46" s="74" t="s">
        <v>76</v>
      </c>
      <c r="C46" s="82"/>
      <c r="D46" s="83">
        <v>88461743.387999997</v>
      </c>
      <c r="E46" s="83"/>
      <c r="F46" s="84"/>
      <c r="G46" s="85">
        <f t="shared" si="14"/>
        <v>51680.5</v>
      </c>
      <c r="H46" s="83"/>
      <c r="I46" s="85">
        <f t="shared" si="15"/>
        <v>5637.5</v>
      </c>
      <c r="J46" s="86"/>
      <c r="K46" s="87"/>
      <c r="L46" s="85">
        <f t="shared" si="16"/>
        <v>583.5</v>
      </c>
      <c r="M46" s="86"/>
      <c r="N46" s="87"/>
      <c r="O46" s="85">
        <f t="shared" si="17"/>
        <v>2</v>
      </c>
      <c r="P46" s="83"/>
      <c r="Q46" s="85">
        <f t="shared" si="18"/>
        <v>257.5</v>
      </c>
      <c r="R46" s="86"/>
      <c r="S46" s="88"/>
      <c r="T46" s="85">
        <f t="shared" si="19"/>
        <v>519.5</v>
      </c>
      <c r="U46" s="86"/>
      <c r="V46" s="87"/>
      <c r="W46" s="85">
        <f t="shared" si="20"/>
        <v>17923</v>
      </c>
      <c r="Y46" s="111"/>
      <c r="AA46" s="140"/>
      <c r="AB46" s="128"/>
      <c r="AE46" s="111"/>
      <c r="AF46" s="111"/>
      <c r="AH46" s="150"/>
      <c r="AI46" s="150"/>
    </row>
    <row r="47" spans="1:35" x14ac:dyDescent="0.2">
      <c r="A47" s="73">
        <v>2016</v>
      </c>
      <c r="B47" s="74" t="s">
        <v>77</v>
      </c>
      <c r="C47" s="82"/>
      <c r="D47" s="83">
        <v>95337474.459999993</v>
      </c>
      <c r="E47" s="83"/>
      <c r="F47" s="84">
        <v>405183154.93929309</v>
      </c>
      <c r="G47" s="85">
        <f t="shared" si="14"/>
        <v>51680.5</v>
      </c>
      <c r="H47" s="83">
        <v>152498210.56566197</v>
      </c>
      <c r="I47" s="85">
        <f t="shared" si="15"/>
        <v>5637.5</v>
      </c>
      <c r="J47" s="86">
        <v>527388658.34421581</v>
      </c>
      <c r="K47" s="87">
        <v>1384770.92</v>
      </c>
      <c r="L47" s="85">
        <f t="shared" si="16"/>
        <v>583.5</v>
      </c>
      <c r="M47" s="86">
        <v>68820300.615814403</v>
      </c>
      <c r="N47" s="87">
        <v>227700.89</v>
      </c>
      <c r="O47" s="85">
        <f t="shared" si="17"/>
        <v>2</v>
      </c>
      <c r="P47" s="83">
        <v>1254320.98</v>
      </c>
      <c r="Q47" s="85">
        <f t="shared" si="18"/>
        <v>257.5</v>
      </c>
      <c r="R47" s="86">
        <v>434815.05158768682</v>
      </c>
      <c r="S47" s="88">
        <v>1210.9222222222222</v>
      </c>
      <c r="T47" s="85">
        <f t="shared" si="19"/>
        <v>519.5</v>
      </c>
      <c r="U47" s="86">
        <v>8602548.0142581649</v>
      </c>
      <c r="V47" s="87">
        <v>25105.760000000002</v>
      </c>
      <c r="W47" s="85">
        <f t="shared" si="20"/>
        <v>17923</v>
      </c>
      <c r="X47" s="111"/>
      <c r="Y47" s="111"/>
      <c r="AA47" s="140"/>
      <c r="AB47" s="128"/>
      <c r="AE47" s="111"/>
      <c r="AF47" s="111"/>
      <c r="AH47" s="150"/>
      <c r="AI47" s="151"/>
    </row>
    <row r="48" spans="1:35" x14ac:dyDescent="0.2">
      <c r="A48" s="73">
        <v>2017</v>
      </c>
      <c r="B48" s="74" t="s">
        <v>67</v>
      </c>
      <c r="C48" s="82"/>
      <c r="D48" s="76">
        <v>101083036.44000001</v>
      </c>
      <c r="E48" s="76"/>
      <c r="F48" s="77"/>
      <c r="G48" s="78">
        <v>52149</v>
      </c>
      <c r="H48" s="76"/>
      <c r="I48" s="78">
        <v>5654.5</v>
      </c>
      <c r="J48" s="79"/>
      <c r="K48" s="80"/>
      <c r="L48" s="78">
        <v>562.5</v>
      </c>
      <c r="M48" s="79"/>
      <c r="N48" s="80"/>
      <c r="O48" s="78">
        <v>2</v>
      </c>
      <c r="P48" s="76"/>
      <c r="Q48" s="78">
        <v>246</v>
      </c>
      <c r="R48" s="79"/>
      <c r="S48" s="81"/>
      <c r="T48" s="78">
        <v>451</v>
      </c>
      <c r="U48" s="79"/>
      <c r="V48" s="80"/>
      <c r="W48" s="78">
        <v>17946.5</v>
      </c>
      <c r="Y48" s="111"/>
      <c r="AA48" s="140"/>
      <c r="AB48" s="128"/>
      <c r="AE48" s="111"/>
      <c r="AF48" s="111"/>
      <c r="AH48" s="150"/>
      <c r="AI48" s="150"/>
    </row>
    <row r="49" spans="1:35" x14ac:dyDescent="0.2">
      <c r="A49" s="73">
        <v>2017</v>
      </c>
      <c r="B49" s="74" t="s">
        <v>68</v>
      </c>
      <c r="C49" s="82"/>
      <c r="D49" s="83">
        <v>87791253.170000002</v>
      </c>
      <c r="E49" s="83"/>
      <c r="F49" s="84"/>
      <c r="G49" s="85">
        <f>G48</f>
        <v>52149</v>
      </c>
      <c r="H49" s="83"/>
      <c r="I49" s="85">
        <f>I48</f>
        <v>5654.5</v>
      </c>
      <c r="J49" s="86"/>
      <c r="K49" s="87"/>
      <c r="L49" s="85">
        <f>L48</f>
        <v>562.5</v>
      </c>
      <c r="M49" s="86"/>
      <c r="N49" s="87"/>
      <c r="O49" s="85">
        <f>O48</f>
        <v>2</v>
      </c>
      <c r="P49" s="83"/>
      <c r="Q49" s="85">
        <f>Q48</f>
        <v>246</v>
      </c>
      <c r="R49" s="86"/>
      <c r="S49" s="88"/>
      <c r="T49" s="85">
        <f>T48</f>
        <v>451</v>
      </c>
      <c r="U49" s="86"/>
      <c r="V49" s="87"/>
      <c r="W49" s="85">
        <f>W48</f>
        <v>17946.5</v>
      </c>
      <c r="Y49" s="111"/>
      <c r="AA49" s="140"/>
      <c r="AB49" s="128"/>
      <c r="AE49" s="111"/>
      <c r="AF49" s="111"/>
      <c r="AH49" s="150"/>
      <c r="AI49" s="150"/>
    </row>
    <row r="50" spans="1:35" x14ac:dyDescent="0.2">
      <c r="A50" s="73">
        <v>2017</v>
      </c>
      <c r="B50" s="74" t="s">
        <v>69</v>
      </c>
      <c r="C50" s="82"/>
      <c r="D50" s="83">
        <v>96483175.329999983</v>
      </c>
      <c r="E50" s="83"/>
      <c r="F50" s="84"/>
      <c r="G50" s="85">
        <f t="shared" ref="G50:G59" si="21">G49</f>
        <v>52149</v>
      </c>
      <c r="H50" s="83"/>
      <c r="I50" s="85">
        <f t="shared" ref="I50:I59" si="22">I49</f>
        <v>5654.5</v>
      </c>
      <c r="J50" s="86"/>
      <c r="K50" s="87"/>
      <c r="L50" s="85">
        <f t="shared" ref="L50:L59" si="23">L49</f>
        <v>562.5</v>
      </c>
      <c r="M50" s="86"/>
      <c r="N50" s="87"/>
      <c r="O50" s="85">
        <f t="shared" ref="O50:O59" si="24">O49</f>
        <v>2</v>
      </c>
      <c r="P50" s="83"/>
      <c r="Q50" s="85">
        <f t="shared" ref="Q50:Q59" si="25">Q49</f>
        <v>246</v>
      </c>
      <c r="R50" s="86"/>
      <c r="S50" s="88"/>
      <c r="T50" s="85">
        <f t="shared" ref="T50:T59" si="26">T49</f>
        <v>451</v>
      </c>
      <c r="U50" s="86"/>
      <c r="V50" s="87"/>
      <c r="W50" s="85">
        <f t="shared" ref="W50:W59" si="27">W49</f>
        <v>17946.5</v>
      </c>
      <c r="Y50" s="111"/>
      <c r="AA50" s="140"/>
      <c r="AB50" s="128"/>
      <c r="AE50" s="111"/>
      <c r="AF50" s="111"/>
      <c r="AH50" s="150"/>
      <c r="AI50" s="150"/>
    </row>
    <row r="51" spans="1:35" x14ac:dyDescent="0.2">
      <c r="A51" s="73">
        <v>2017</v>
      </c>
      <c r="B51" s="74" t="s">
        <v>70</v>
      </c>
      <c r="C51" s="82"/>
      <c r="D51" s="83">
        <v>84555157.050000012</v>
      </c>
      <c r="E51" s="83"/>
      <c r="F51" s="84"/>
      <c r="G51" s="85">
        <f t="shared" si="21"/>
        <v>52149</v>
      </c>
      <c r="H51" s="83"/>
      <c r="I51" s="85">
        <f t="shared" si="22"/>
        <v>5654.5</v>
      </c>
      <c r="J51" s="86"/>
      <c r="K51" s="87"/>
      <c r="L51" s="85">
        <f t="shared" si="23"/>
        <v>562.5</v>
      </c>
      <c r="M51" s="86"/>
      <c r="N51" s="87"/>
      <c r="O51" s="85">
        <f t="shared" si="24"/>
        <v>2</v>
      </c>
      <c r="P51" s="83"/>
      <c r="Q51" s="85">
        <f t="shared" si="25"/>
        <v>246</v>
      </c>
      <c r="R51" s="86"/>
      <c r="S51" s="88"/>
      <c r="T51" s="85">
        <f t="shared" si="26"/>
        <v>451</v>
      </c>
      <c r="U51" s="86"/>
      <c r="V51" s="87"/>
      <c r="W51" s="85">
        <f t="shared" si="27"/>
        <v>17946.5</v>
      </c>
      <c r="Y51" s="111"/>
      <c r="AA51" s="140"/>
      <c r="AB51" s="128"/>
      <c r="AE51" s="111"/>
      <c r="AF51" s="111"/>
      <c r="AH51" s="150"/>
      <c r="AI51" s="150"/>
    </row>
    <row r="52" spans="1:35" x14ac:dyDescent="0.2">
      <c r="A52" s="73">
        <v>2017</v>
      </c>
      <c r="B52" s="74" t="s">
        <v>43</v>
      </c>
      <c r="C52" s="82"/>
      <c r="D52" s="83">
        <v>88800673.140000001</v>
      </c>
      <c r="E52" s="83"/>
      <c r="F52" s="84"/>
      <c r="G52" s="85">
        <f t="shared" si="21"/>
        <v>52149</v>
      </c>
      <c r="H52" s="83"/>
      <c r="I52" s="85">
        <f t="shared" si="22"/>
        <v>5654.5</v>
      </c>
      <c r="J52" s="86"/>
      <c r="K52" s="87"/>
      <c r="L52" s="85">
        <f t="shared" si="23"/>
        <v>562.5</v>
      </c>
      <c r="M52" s="86"/>
      <c r="N52" s="87"/>
      <c r="O52" s="85">
        <f t="shared" si="24"/>
        <v>2</v>
      </c>
      <c r="P52" s="83"/>
      <c r="Q52" s="85">
        <f t="shared" si="25"/>
        <v>246</v>
      </c>
      <c r="R52" s="86"/>
      <c r="S52" s="88"/>
      <c r="T52" s="85">
        <f t="shared" si="26"/>
        <v>451</v>
      </c>
      <c r="U52" s="86"/>
      <c r="V52" s="87"/>
      <c r="W52" s="85">
        <f t="shared" si="27"/>
        <v>17946.5</v>
      </c>
      <c r="Y52" s="111"/>
      <c r="AA52" s="140"/>
      <c r="AB52" s="128"/>
      <c r="AE52" s="111"/>
      <c r="AF52" s="111"/>
      <c r="AH52" s="150"/>
      <c r="AI52" s="150"/>
    </row>
    <row r="53" spans="1:35" x14ac:dyDescent="0.2">
      <c r="A53" s="73">
        <v>2017</v>
      </c>
      <c r="B53" s="74" t="s">
        <v>71</v>
      </c>
      <c r="C53" s="82"/>
      <c r="D53" s="83">
        <v>101082278.53099999</v>
      </c>
      <c r="E53" s="83"/>
      <c r="F53" s="84"/>
      <c r="G53" s="85">
        <f t="shared" si="21"/>
        <v>52149</v>
      </c>
      <c r="H53" s="83"/>
      <c r="I53" s="85">
        <f t="shared" si="22"/>
        <v>5654.5</v>
      </c>
      <c r="J53" s="86"/>
      <c r="K53" s="87"/>
      <c r="L53" s="85">
        <f t="shared" si="23"/>
        <v>562.5</v>
      </c>
      <c r="M53" s="86"/>
      <c r="N53" s="87"/>
      <c r="O53" s="85">
        <f t="shared" si="24"/>
        <v>2</v>
      </c>
      <c r="P53" s="83"/>
      <c r="Q53" s="85">
        <f t="shared" si="25"/>
        <v>246</v>
      </c>
      <c r="R53" s="86"/>
      <c r="S53" s="88"/>
      <c r="T53" s="85">
        <f t="shared" si="26"/>
        <v>451</v>
      </c>
      <c r="U53" s="86"/>
      <c r="V53" s="87"/>
      <c r="W53" s="85">
        <f t="shared" si="27"/>
        <v>17946.5</v>
      </c>
      <c r="Y53" s="111"/>
      <c r="AA53" s="140"/>
      <c r="AB53" s="128"/>
      <c r="AE53" s="111"/>
      <c r="AF53" s="111"/>
      <c r="AH53" s="150"/>
      <c r="AI53" s="150"/>
    </row>
    <row r="54" spans="1:35" x14ac:dyDescent="0.2">
      <c r="A54" s="73">
        <v>2017</v>
      </c>
      <c r="B54" s="74" t="s">
        <v>72</v>
      </c>
      <c r="C54" s="82"/>
      <c r="D54" s="83">
        <v>111813962.39</v>
      </c>
      <c r="E54" s="83"/>
      <c r="F54" s="84"/>
      <c r="G54" s="85">
        <f t="shared" si="21"/>
        <v>52149</v>
      </c>
      <c r="H54" s="83"/>
      <c r="I54" s="85">
        <f t="shared" si="22"/>
        <v>5654.5</v>
      </c>
      <c r="J54" s="86"/>
      <c r="K54" s="87"/>
      <c r="L54" s="85">
        <f t="shared" si="23"/>
        <v>562.5</v>
      </c>
      <c r="M54" s="86"/>
      <c r="N54" s="87"/>
      <c r="O54" s="85">
        <f t="shared" si="24"/>
        <v>2</v>
      </c>
      <c r="P54" s="83"/>
      <c r="Q54" s="85">
        <f t="shared" si="25"/>
        <v>246</v>
      </c>
      <c r="R54" s="86"/>
      <c r="S54" s="88"/>
      <c r="T54" s="85">
        <f t="shared" si="26"/>
        <v>451</v>
      </c>
      <c r="U54" s="86"/>
      <c r="V54" s="87"/>
      <c r="W54" s="85">
        <f t="shared" si="27"/>
        <v>17946.5</v>
      </c>
      <c r="Y54" s="111"/>
      <c r="AA54" s="140"/>
      <c r="AB54" s="128"/>
      <c r="AE54" s="111"/>
      <c r="AF54" s="111"/>
      <c r="AH54" s="150"/>
      <c r="AI54" s="150"/>
    </row>
    <row r="55" spans="1:35" x14ac:dyDescent="0.2">
      <c r="A55" s="73">
        <v>2017</v>
      </c>
      <c r="B55" s="74" t="s">
        <v>73</v>
      </c>
      <c r="C55" s="82"/>
      <c r="D55" s="83">
        <v>109237608.23999998</v>
      </c>
      <c r="E55" s="83"/>
      <c r="F55" s="84"/>
      <c r="G55" s="85">
        <f t="shared" si="21"/>
        <v>52149</v>
      </c>
      <c r="H55" s="83"/>
      <c r="I55" s="85">
        <f t="shared" si="22"/>
        <v>5654.5</v>
      </c>
      <c r="J55" s="86"/>
      <c r="K55" s="87"/>
      <c r="L55" s="85">
        <f t="shared" si="23"/>
        <v>562.5</v>
      </c>
      <c r="M55" s="86"/>
      <c r="N55" s="87"/>
      <c r="O55" s="85">
        <f t="shared" si="24"/>
        <v>2</v>
      </c>
      <c r="P55" s="83"/>
      <c r="Q55" s="85">
        <f t="shared" si="25"/>
        <v>246</v>
      </c>
      <c r="R55" s="86"/>
      <c r="S55" s="88"/>
      <c r="T55" s="85">
        <f t="shared" si="26"/>
        <v>451</v>
      </c>
      <c r="U55" s="86"/>
      <c r="V55" s="87"/>
      <c r="W55" s="85">
        <f t="shared" si="27"/>
        <v>17946.5</v>
      </c>
      <c r="Y55" s="111"/>
      <c r="AA55" s="140"/>
      <c r="AB55" s="128"/>
      <c r="AE55" s="111"/>
      <c r="AF55" s="111"/>
      <c r="AH55" s="150"/>
      <c r="AI55" s="150"/>
    </row>
    <row r="56" spans="1:35" x14ac:dyDescent="0.2">
      <c r="A56" s="73">
        <v>2017</v>
      </c>
      <c r="B56" s="74" t="s">
        <v>74</v>
      </c>
      <c r="C56" s="82"/>
      <c r="D56" s="83">
        <v>105318945.7</v>
      </c>
      <c r="E56" s="83"/>
      <c r="F56" s="84"/>
      <c r="G56" s="85">
        <f t="shared" si="21"/>
        <v>52149</v>
      </c>
      <c r="H56" s="83"/>
      <c r="I56" s="85">
        <f t="shared" si="22"/>
        <v>5654.5</v>
      </c>
      <c r="J56" s="86"/>
      <c r="K56" s="87"/>
      <c r="L56" s="85">
        <f t="shared" si="23"/>
        <v>562.5</v>
      </c>
      <c r="M56" s="86"/>
      <c r="N56" s="87"/>
      <c r="O56" s="85">
        <f t="shared" si="24"/>
        <v>2</v>
      </c>
      <c r="P56" s="83"/>
      <c r="Q56" s="85">
        <f t="shared" si="25"/>
        <v>246</v>
      </c>
      <c r="R56" s="86"/>
      <c r="S56" s="88"/>
      <c r="T56" s="85">
        <f t="shared" si="26"/>
        <v>451</v>
      </c>
      <c r="U56" s="86"/>
      <c r="V56" s="87"/>
      <c r="W56" s="85">
        <f t="shared" si="27"/>
        <v>17946.5</v>
      </c>
      <c r="Y56" s="111"/>
      <c r="AA56" s="140"/>
      <c r="AB56" s="128"/>
      <c r="AE56" s="111"/>
      <c r="AF56" s="111"/>
      <c r="AH56" s="150"/>
      <c r="AI56" s="150"/>
    </row>
    <row r="57" spans="1:35" x14ac:dyDescent="0.2">
      <c r="A57" s="73">
        <v>2017</v>
      </c>
      <c r="B57" s="74" t="s">
        <v>75</v>
      </c>
      <c r="C57" s="82"/>
      <c r="D57" s="83">
        <v>99050383.330000013</v>
      </c>
      <c r="E57" s="83"/>
      <c r="F57" s="84"/>
      <c r="G57" s="85">
        <f t="shared" si="21"/>
        <v>52149</v>
      </c>
      <c r="H57" s="83"/>
      <c r="I57" s="85">
        <f t="shared" si="22"/>
        <v>5654.5</v>
      </c>
      <c r="J57" s="86"/>
      <c r="K57" s="87"/>
      <c r="L57" s="85">
        <f t="shared" si="23"/>
        <v>562.5</v>
      </c>
      <c r="M57" s="86"/>
      <c r="N57" s="87"/>
      <c r="O57" s="85">
        <f t="shared" si="24"/>
        <v>2</v>
      </c>
      <c r="P57" s="83"/>
      <c r="Q57" s="85">
        <f t="shared" si="25"/>
        <v>246</v>
      </c>
      <c r="R57" s="86"/>
      <c r="S57" s="88"/>
      <c r="T57" s="85">
        <f t="shared" si="26"/>
        <v>451</v>
      </c>
      <c r="U57" s="86"/>
      <c r="V57" s="87"/>
      <c r="W57" s="85">
        <f t="shared" si="27"/>
        <v>17946.5</v>
      </c>
      <c r="Y57" s="111"/>
      <c r="AA57" s="140"/>
      <c r="AB57" s="128"/>
      <c r="AE57" s="111"/>
      <c r="AF57" s="111"/>
      <c r="AH57" s="150"/>
      <c r="AI57" s="150"/>
    </row>
    <row r="58" spans="1:35" x14ac:dyDescent="0.2">
      <c r="A58" s="73">
        <v>2017</v>
      </c>
      <c r="B58" s="74" t="s">
        <v>76</v>
      </c>
      <c r="C58" s="82"/>
      <c r="D58" s="83">
        <v>99942861.300000012</v>
      </c>
      <c r="E58" s="83"/>
      <c r="F58" s="84"/>
      <c r="G58" s="85">
        <f t="shared" si="21"/>
        <v>52149</v>
      </c>
      <c r="H58" s="83"/>
      <c r="I58" s="85">
        <f t="shared" si="22"/>
        <v>5654.5</v>
      </c>
      <c r="J58" s="86"/>
      <c r="K58" s="87"/>
      <c r="L58" s="85">
        <f t="shared" si="23"/>
        <v>562.5</v>
      </c>
      <c r="M58" s="86"/>
      <c r="N58" s="87"/>
      <c r="O58" s="85">
        <f t="shared" si="24"/>
        <v>2</v>
      </c>
      <c r="P58" s="83"/>
      <c r="Q58" s="85">
        <f t="shared" si="25"/>
        <v>246</v>
      </c>
      <c r="R58" s="86"/>
      <c r="S58" s="88"/>
      <c r="T58" s="85">
        <f t="shared" si="26"/>
        <v>451</v>
      </c>
      <c r="U58" s="86"/>
      <c r="V58" s="87"/>
      <c r="W58" s="85">
        <f t="shared" si="27"/>
        <v>17946.5</v>
      </c>
      <c r="Y58" s="111"/>
      <c r="AA58" s="140"/>
      <c r="AB58" s="128"/>
      <c r="AE58" s="111"/>
      <c r="AF58" s="111"/>
      <c r="AH58" s="150"/>
      <c r="AI58" s="150"/>
    </row>
    <row r="59" spans="1:35" x14ac:dyDescent="0.2">
      <c r="A59" s="73">
        <v>2017</v>
      </c>
      <c r="B59" s="74" t="s">
        <v>77</v>
      </c>
      <c r="C59" s="82"/>
      <c r="D59" s="83">
        <v>103823629.38</v>
      </c>
      <c r="E59" s="83"/>
      <c r="F59" s="84">
        <v>387000724.86000001</v>
      </c>
      <c r="G59" s="85">
        <f t="shared" si="21"/>
        <v>52149</v>
      </c>
      <c r="H59" s="83">
        <v>152138066.16999999</v>
      </c>
      <c r="I59" s="85">
        <f t="shared" si="22"/>
        <v>5654.5</v>
      </c>
      <c r="J59" s="86">
        <v>535305319.84000009</v>
      </c>
      <c r="K59" s="87">
        <v>1472726.2</v>
      </c>
      <c r="L59" s="85">
        <f t="shared" si="23"/>
        <v>562.5</v>
      </c>
      <c r="M59" s="86">
        <v>68876378.480000004</v>
      </c>
      <c r="N59" s="87">
        <v>235754.21</v>
      </c>
      <c r="O59" s="85">
        <f t="shared" si="24"/>
        <v>2</v>
      </c>
      <c r="P59" s="83">
        <v>1348220.9</v>
      </c>
      <c r="Q59" s="85">
        <f t="shared" si="25"/>
        <v>246</v>
      </c>
      <c r="R59" s="86">
        <v>423108.89999999997</v>
      </c>
      <c r="S59" s="88">
        <v>1177.0800000000002</v>
      </c>
      <c r="T59" s="85">
        <f t="shared" si="26"/>
        <v>451</v>
      </c>
      <c r="U59" s="86">
        <v>5848286.7999999998</v>
      </c>
      <c r="V59" s="87">
        <v>16202.59</v>
      </c>
      <c r="W59" s="85">
        <f t="shared" si="27"/>
        <v>17946.5</v>
      </c>
      <c r="X59" s="111"/>
      <c r="Y59" s="111"/>
      <c r="AA59" s="140"/>
      <c r="AB59" s="128"/>
      <c r="AE59" s="111"/>
      <c r="AF59" s="111"/>
      <c r="AH59" s="150"/>
      <c r="AI59" s="151"/>
    </row>
    <row r="60" spans="1:35" x14ac:dyDescent="0.2">
      <c r="A60" s="73">
        <v>2018</v>
      </c>
      <c r="B60" s="74" t="s">
        <v>67</v>
      </c>
      <c r="C60" s="82"/>
      <c r="D60" s="76">
        <v>106825889.7814208</v>
      </c>
      <c r="E60" s="76"/>
      <c r="F60" s="77"/>
      <c r="G60" s="78">
        <v>52685.5</v>
      </c>
      <c r="H60" s="76"/>
      <c r="I60" s="78">
        <v>5686</v>
      </c>
      <c r="J60" s="79"/>
      <c r="K60" s="80"/>
      <c r="L60" s="78">
        <v>549</v>
      </c>
      <c r="M60" s="79"/>
      <c r="N60" s="80"/>
      <c r="O60" s="78">
        <v>2</v>
      </c>
      <c r="P60" s="76"/>
      <c r="Q60" s="78">
        <v>228</v>
      </c>
      <c r="R60" s="79"/>
      <c r="S60" s="81"/>
      <c r="T60" s="78">
        <v>381.5</v>
      </c>
      <c r="U60" s="79"/>
      <c r="V60" s="80"/>
      <c r="W60" s="78">
        <v>18034</v>
      </c>
      <c r="Y60" s="111"/>
      <c r="AA60" s="140"/>
      <c r="AB60" s="128"/>
      <c r="AE60" s="111"/>
      <c r="AF60" s="111"/>
      <c r="AH60" s="150"/>
      <c r="AI60" s="150"/>
    </row>
    <row r="61" spans="1:35" x14ac:dyDescent="0.2">
      <c r="A61" s="73">
        <v>2018</v>
      </c>
      <c r="B61" s="74" t="s">
        <v>68</v>
      </c>
      <c r="C61" s="82"/>
      <c r="D61" s="83">
        <v>92714687.858999997</v>
      </c>
      <c r="E61" s="83"/>
      <c r="F61" s="84"/>
      <c r="G61" s="85">
        <f>G60</f>
        <v>52685.5</v>
      </c>
      <c r="H61" s="83"/>
      <c r="I61" s="85">
        <f>I60</f>
        <v>5686</v>
      </c>
      <c r="J61" s="86"/>
      <c r="K61" s="87"/>
      <c r="L61" s="85">
        <f>L60</f>
        <v>549</v>
      </c>
      <c r="M61" s="86"/>
      <c r="N61" s="87"/>
      <c r="O61" s="85">
        <f>O60</f>
        <v>2</v>
      </c>
      <c r="P61" s="83"/>
      <c r="Q61" s="85">
        <f>Q60</f>
        <v>228</v>
      </c>
      <c r="R61" s="86"/>
      <c r="S61" s="88"/>
      <c r="T61" s="85">
        <f>T60</f>
        <v>381.5</v>
      </c>
      <c r="U61" s="86"/>
      <c r="V61" s="87"/>
      <c r="W61" s="85">
        <f>W60</f>
        <v>18034</v>
      </c>
      <c r="Y61" s="111"/>
      <c r="AA61" s="140"/>
      <c r="AB61" s="128"/>
      <c r="AE61" s="111"/>
      <c r="AF61" s="111"/>
      <c r="AH61" s="150"/>
      <c r="AI61" s="150"/>
    </row>
    <row r="62" spans="1:35" x14ac:dyDescent="0.2">
      <c r="A62" s="73">
        <v>2018</v>
      </c>
      <c r="B62" s="74" t="s">
        <v>69</v>
      </c>
      <c r="C62" s="82"/>
      <c r="D62" s="83">
        <v>100762780.59100001</v>
      </c>
      <c r="E62" s="83"/>
      <c r="F62" s="84"/>
      <c r="G62" s="85">
        <f t="shared" ref="G62:G71" si="28">G61</f>
        <v>52685.5</v>
      </c>
      <c r="H62" s="83"/>
      <c r="I62" s="85">
        <f t="shared" ref="I62:I71" si="29">I61</f>
        <v>5686</v>
      </c>
      <c r="J62" s="86"/>
      <c r="K62" s="87"/>
      <c r="L62" s="85">
        <f t="shared" ref="L62:L71" si="30">L61</f>
        <v>549</v>
      </c>
      <c r="M62" s="86"/>
      <c r="N62" s="87"/>
      <c r="O62" s="85">
        <f t="shared" ref="O62:O71" si="31">O61</f>
        <v>2</v>
      </c>
      <c r="P62" s="83"/>
      <c r="Q62" s="85">
        <f t="shared" ref="Q62:Q71" si="32">Q61</f>
        <v>228</v>
      </c>
      <c r="R62" s="86"/>
      <c r="S62" s="88"/>
      <c r="T62" s="85">
        <f t="shared" ref="T62:T71" si="33">T61</f>
        <v>381.5</v>
      </c>
      <c r="U62" s="86"/>
      <c r="V62" s="87"/>
      <c r="W62" s="85">
        <f t="shared" ref="W62:W71" si="34">W61</f>
        <v>18034</v>
      </c>
      <c r="Y62" s="111"/>
      <c r="AA62" s="140"/>
      <c r="AB62" s="128"/>
      <c r="AE62" s="111"/>
      <c r="AF62" s="111"/>
      <c r="AH62" s="150"/>
      <c r="AI62" s="150"/>
    </row>
    <row r="63" spans="1:35" x14ac:dyDescent="0.2">
      <c r="A63" s="73">
        <v>2018</v>
      </c>
      <c r="B63" s="74" t="s">
        <v>70</v>
      </c>
      <c r="C63" s="82"/>
      <c r="D63" s="83">
        <v>93453119.36999999</v>
      </c>
      <c r="E63" s="83"/>
      <c r="F63" s="84"/>
      <c r="G63" s="85">
        <f t="shared" si="28"/>
        <v>52685.5</v>
      </c>
      <c r="H63" s="83"/>
      <c r="I63" s="85">
        <f t="shared" si="29"/>
        <v>5686</v>
      </c>
      <c r="J63" s="86"/>
      <c r="K63" s="87"/>
      <c r="L63" s="85">
        <f t="shared" si="30"/>
        <v>549</v>
      </c>
      <c r="M63" s="86"/>
      <c r="N63" s="87"/>
      <c r="O63" s="85">
        <f t="shared" si="31"/>
        <v>2</v>
      </c>
      <c r="P63" s="83"/>
      <c r="Q63" s="85">
        <f t="shared" si="32"/>
        <v>228</v>
      </c>
      <c r="R63" s="86"/>
      <c r="S63" s="88"/>
      <c r="T63" s="85">
        <f t="shared" si="33"/>
        <v>381.5</v>
      </c>
      <c r="U63" s="86"/>
      <c r="V63" s="87"/>
      <c r="W63" s="85">
        <f t="shared" si="34"/>
        <v>18034</v>
      </c>
      <c r="Y63" s="111"/>
      <c r="AA63" s="140"/>
      <c r="AB63" s="128"/>
      <c r="AE63" s="111"/>
      <c r="AF63" s="111"/>
      <c r="AH63" s="150"/>
      <c r="AI63" s="150"/>
    </row>
    <row r="64" spans="1:35" x14ac:dyDescent="0.2">
      <c r="A64" s="73">
        <v>2018</v>
      </c>
      <c r="B64" s="74" t="s">
        <v>43</v>
      </c>
      <c r="C64" s="82"/>
      <c r="D64" s="83">
        <v>97499887.127999991</v>
      </c>
      <c r="E64" s="83"/>
      <c r="F64" s="84"/>
      <c r="G64" s="85">
        <f t="shared" si="28"/>
        <v>52685.5</v>
      </c>
      <c r="H64" s="83"/>
      <c r="I64" s="85">
        <f t="shared" si="29"/>
        <v>5686</v>
      </c>
      <c r="J64" s="86"/>
      <c r="K64" s="87"/>
      <c r="L64" s="85">
        <f t="shared" si="30"/>
        <v>549</v>
      </c>
      <c r="M64" s="86"/>
      <c r="N64" s="87"/>
      <c r="O64" s="85">
        <f t="shared" si="31"/>
        <v>2</v>
      </c>
      <c r="P64" s="83"/>
      <c r="Q64" s="85">
        <f t="shared" si="32"/>
        <v>228</v>
      </c>
      <c r="R64" s="86"/>
      <c r="S64" s="88"/>
      <c r="T64" s="85">
        <f t="shared" si="33"/>
        <v>381.5</v>
      </c>
      <c r="U64" s="86"/>
      <c r="V64" s="87"/>
      <c r="W64" s="85">
        <f t="shared" si="34"/>
        <v>18034</v>
      </c>
      <c r="Y64" s="111"/>
      <c r="AA64" s="140"/>
      <c r="AB64" s="128"/>
      <c r="AE64" s="111"/>
      <c r="AF64" s="111"/>
      <c r="AH64" s="150"/>
      <c r="AI64" s="150"/>
    </row>
    <row r="65" spans="1:35" x14ac:dyDescent="0.2">
      <c r="A65" s="73">
        <v>2018</v>
      </c>
      <c r="B65" s="74" t="s">
        <v>71</v>
      </c>
      <c r="C65" s="82"/>
      <c r="D65" s="83">
        <v>104943076.84800002</v>
      </c>
      <c r="E65" s="83"/>
      <c r="F65" s="84"/>
      <c r="G65" s="85">
        <f t="shared" si="28"/>
        <v>52685.5</v>
      </c>
      <c r="H65" s="83"/>
      <c r="I65" s="85">
        <f t="shared" si="29"/>
        <v>5686</v>
      </c>
      <c r="J65" s="86"/>
      <c r="K65" s="87"/>
      <c r="L65" s="85">
        <f t="shared" si="30"/>
        <v>549</v>
      </c>
      <c r="M65" s="86"/>
      <c r="N65" s="87"/>
      <c r="O65" s="85">
        <f t="shared" si="31"/>
        <v>2</v>
      </c>
      <c r="P65" s="83"/>
      <c r="Q65" s="85">
        <f t="shared" si="32"/>
        <v>228</v>
      </c>
      <c r="R65" s="86"/>
      <c r="S65" s="88"/>
      <c r="T65" s="85">
        <f t="shared" si="33"/>
        <v>381.5</v>
      </c>
      <c r="U65" s="86"/>
      <c r="V65" s="87"/>
      <c r="W65" s="85">
        <f t="shared" si="34"/>
        <v>18034</v>
      </c>
      <c r="Y65" s="111"/>
      <c r="AA65" s="140"/>
      <c r="AB65" s="128"/>
      <c r="AE65" s="111"/>
      <c r="AF65" s="111"/>
      <c r="AH65" s="150"/>
      <c r="AI65" s="150"/>
    </row>
    <row r="66" spans="1:35" x14ac:dyDescent="0.2">
      <c r="A66" s="73">
        <v>2018</v>
      </c>
      <c r="B66" s="74" t="s">
        <v>72</v>
      </c>
      <c r="C66" s="82"/>
      <c r="D66" s="83">
        <v>122641656.529</v>
      </c>
      <c r="E66" s="83"/>
      <c r="F66" s="84"/>
      <c r="G66" s="85">
        <f t="shared" si="28"/>
        <v>52685.5</v>
      </c>
      <c r="H66" s="83"/>
      <c r="I66" s="85">
        <f t="shared" si="29"/>
        <v>5686</v>
      </c>
      <c r="J66" s="86"/>
      <c r="K66" s="87"/>
      <c r="L66" s="85">
        <f t="shared" si="30"/>
        <v>549</v>
      </c>
      <c r="M66" s="86"/>
      <c r="N66" s="87"/>
      <c r="O66" s="85">
        <f t="shared" si="31"/>
        <v>2</v>
      </c>
      <c r="P66" s="83"/>
      <c r="Q66" s="85">
        <f t="shared" si="32"/>
        <v>228</v>
      </c>
      <c r="R66" s="86"/>
      <c r="S66" s="88"/>
      <c r="T66" s="85">
        <f t="shared" si="33"/>
        <v>381.5</v>
      </c>
      <c r="U66" s="86"/>
      <c r="V66" s="87"/>
      <c r="W66" s="85">
        <f t="shared" si="34"/>
        <v>18034</v>
      </c>
      <c r="Y66" s="111"/>
      <c r="AA66" s="140"/>
      <c r="AB66" s="128"/>
      <c r="AE66" s="111"/>
      <c r="AF66" s="111"/>
      <c r="AH66" s="150"/>
      <c r="AI66" s="150"/>
    </row>
    <row r="67" spans="1:35" x14ac:dyDescent="0.2">
      <c r="A67" s="73">
        <v>2018</v>
      </c>
      <c r="B67" s="74" t="s">
        <v>73</v>
      </c>
      <c r="C67" s="82"/>
      <c r="D67" s="83">
        <v>125626145.32900003</v>
      </c>
      <c r="E67" s="83"/>
      <c r="F67" s="84"/>
      <c r="G67" s="85">
        <f t="shared" si="28"/>
        <v>52685.5</v>
      </c>
      <c r="H67" s="83"/>
      <c r="I67" s="85">
        <f t="shared" si="29"/>
        <v>5686</v>
      </c>
      <c r="J67" s="86"/>
      <c r="K67" s="87"/>
      <c r="L67" s="85">
        <f t="shared" si="30"/>
        <v>549</v>
      </c>
      <c r="M67" s="86"/>
      <c r="N67" s="87"/>
      <c r="O67" s="85">
        <f t="shared" si="31"/>
        <v>2</v>
      </c>
      <c r="P67" s="83"/>
      <c r="Q67" s="85">
        <f t="shared" si="32"/>
        <v>228</v>
      </c>
      <c r="R67" s="86"/>
      <c r="S67" s="88"/>
      <c r="T67" s="85">
        <f t="shared" si="33"/>
        <v>381.5</v>
      </c>
      <c r="U67" s="86"/>
      <c r="V67" s="87"/>
      <c r="W67" s="85">
        <f t="shared" si="34"/>
        <v>18034</v>
      </c>
      <c r="Y67" s="111"/>
      <c r="AA67" s="140"/>
      <c r="AB67" s="128"/>
      <c r="AE67" s="111"/>
      <c r="AF67" s="111"/>
      <c r="AH67" s="150"/>
      <c r="AI67" s="150"/>
    </row>
    <row r="68" spans="1:35" x14ac:dyDescent="0.2">
      <c r="A68" s="73">
        <v>2018</v>
      </c>
      <c r="B68" s="74" t="s">
        <v>74</v>
      </c>
      <c r="C68" s="82"/>
      <c r="D68" s="83">
        <v>108215469.03999999</v>
      </c>
      <c r="E68" s="83"/>
      <c r="F68" s="84"/>
      <c r="G68" s="85">
        <f t="shared" si="28"/>
        <v>52685.5</v>
      </c>
      <c r="H68" s="83"/>
      <c r="I68" s="85">
        <f t="shared" si="29"/>
        <v>5686</v>
      </c>
      <c r="J68" s="86"/>
      <c r="K68" s="87"/>
      <c r="L68" s="85">
        <f t="shared" si="30"/>
        <v>549</v>
      </c>
      <c r="M68" s="86"/>
      <c r="N68" s="87"/>
      <c r="O68" s="85">
        <f t="shared" si="31"/>
        <v>2</v>
      </c>
      <c r="P68" s="83"/>
      <c r="Q68" s="85">
        <f t="shared" si="32"/>
        <v>228</v>
      </c>
      <c r="R68" s="86"/>
      <c r="S68" s="88"/>
      <c r="T68" s="85">
        <f t="shared" si="33"/>
        <v>381.5</v>
      </c>
      <c r="U68" s="86"/>
      <c r="V68" s="87"/>
      <c r="W68" s="85">
        <f t="shared" si="34"/>
        <v>18034</v>
      </c>
      <c r="Y68" s="111"/>
      <c r="AA68" s="140"/>
      <c r="AB68" s="128"/>
      <c r="AE68" s="111"/>
      <c r="AF68" s="111"/>
      <c r="AH68" s="150"/>
      <c r="AI68" s="150"/>
    </row>
    <row r="69" spans="1:35" x14ac:dyDescent="0.2">
      <c r="A69" s="73">
        <v>2018</v>
      </c>
      <c r="B69" s="74" t="s">
        <v>75</v>
      </c>
      <c r="C69" s="82"/>
      <c r="D69" s="83">
        <v>98748100.769000039</v>
      </c>
      <c r="E69" s="83"/>
      <c r="F69" s="84"/>
      <c r="G69" s="85">
        <f t="shared" si="28"/>
        <v>52685.5</v>
      </c>
      <c r="H69" s="83"/>
      <c r="I69" s="85">
        <f t="shared" si="29"/>
        <v>5686</v>
      </c>
      <c r="J69" s="86"/>
      <c r="K69" s="87"/>
      <c r="L69" s="85">
        <f t="shared" si="30"/>
        <v>549</v>
      </c>
      <c r="M69" s="86"/>
      <c r="N69" s="87"/>
      <c r="O69" s="85">
        <f t="shared" si="31"/>
        <v>2</v>
      </c>
      <c r="P69" s="83"/>
      <c r="Q69" s="85">
        <f t="shared" si="32"/>
        <v>228</v>
      </c>
      <c r="R69" s="86"/>
      <c r="S69" s="88"/>
      <c r="T69" s="85">
        <f t="shared" si="33"/>
        <v>381.5</v>
      </c>
      <c r="U69" s="86"/>
      <c r="V69" s="87"/>
      <c r="W69" s="85">
        <f t="shared" si="34"/>
        <v>18034</v>
      </c>
      <c r="Y69" s="111"/>
      <c r="AA69" s="140"/>
      <c r="AB69" s="128"/>
      <c r="AE69" s="111"/>
      <c r="AF69" s="111"/>
      <c r="AH69" s="150"/>
      <c r="AI69" s="150"/>
    </row>
    <row r="70" spans="1:35" x14ac:dyDescent="0.2">
      <c r="A70" s="73">
        <v>2018</v>
      </c>
      <c r="B70" s="74" t="s">
        <v>76</v>
      </c>
      <c r="C70" s="82"/>
      <c r="D70" s="83">
        <v>99742440.160000011</v>
      </c>
      <c r="E70" s="83"/>
      <c r="F70" s="84"/>
      <c r="G70" s="85">
        <f t="shared" si="28"/>
        <v>52685.5</v>
      </c>
      <c r="H70" s="83"/>
      <c r="I70" s="85">
        <f t="shared" si="29"/>
        <v>5686</v>
      </c>
      <c r="J70" s="86"/>
      <c r="K70" s="87"/>
      <c r="L70" s="85">
        <f t="shared" si="30"/>
        <v>549</v>
      </c>
      <c r="M70" s="86"/>
      <c r="N70" s="87"/>
      <c r="O70" s="85">
        <f t="shared" si="31"/>
        <v>2</v>
      </c>
      <c r="P70" s="83"/>
      <c r="Q70" s="85">
        <f t="shared" si="32"/>
        <v>228</v>
      </c>
      <c r="R70" s="86"/>
      <c r="S70" s="88"/>
      <c r="T70" s="85">
        <f t="shared" si="33"/>
        <v>381.5</v>
      </c>
      <c r="U70" s="86"/>
      <c r="V70" s="87"/>
      <c r="W70" s="85">
        <f t="shared" si="34"/>
        <v>18034</v>
      </c>
      <c r="Y70" s="111"/>
      <c r="AA70" s="140"/>
      <c r="AB70" s="128"/>
      <c r="AE70" s="111"/>
      <c r="AF70" s="111"/>
      <c r="AH70" s="150"/>
      <c r="AI70" s="150"/>
    </row>
    <row r="71" spans="1:35" x14ac:dyDescent="0.2">
      <c r="A71" s="73">
        <v>2018</v>
      </c>
      <c r="B71" s="74" t="s">
        <v>77</v>
      </c>
      <c r="C71" s="82"/>
      <c r="D71" s="83">
        <v>98928053.012999997</v>
      </c>
      <c r="E71" s="83"/>
      <c r="F71" s="84">
        <v>425242692</v>
      </c>
      <c r="G71" s="85">
        <f t="shared" si="28"/>
        <v>52685.5</v>
      </c>
      <c r="H71" s="83">
        <v>158043644</v>
      </c>
      <c r="I71" s="85">
        <f t="shared" si="29"/>
        <v>5686</v>
      </c>
      <c r="J71" s="86">
        <v>535709795.42999995</v>
      </c>
      <c r="K71" s="87">
        <v>1449719.46</v>
      </c>
      <c r="L71" s="85">
        <f t="shared" si="30"/>
        <v>549</v>
      </c>
      <c r="M71" s="86">
        <v>78736784.100000009</v>
      </c>
      <c r="N71" s="87">
        <v>248845.94</v>
      </c>
      <c r="O71" s="85">
        <f t="shared" si="31"/>
        <v>2</v>
      </c>
      <c r="P71" s="83">
        <v>1344468</v>
      </c>
      <c r="Q71" s="85">
        <f t="shared" si="32"/>
        <v>228</v>
      </c>
      <c r="R71" s="86">
        <v>420751</v>
      </c>
      <c r="S71" s="88">
        <v>1039</v>
      </c>
      <c r="T71" s="85">
        <f t="shared" si="33"/>
        <v>381.5</v>
      </c>
      <c r="U71" s="86">
        <v>5551665</v>
      </c>
      <c r="V71" s="87">
        <v>15561</v>
      </c>
      <c r="W71" s="85">
        <f t="shared" si="34"/>
        <v>18034</v>
      </c>
      <c r="X71" s="111"/>
      <c r="Y71" s="111"/>
      <c r="AA71" s="140"/>
      <c r="AB71" s="128"/>
      <c r="AE71" s="111"/>
      <c r="AF71" s="111"/>
      <c r="AH71" s="150"/>
      <c r="AI71" s="151"/>
    </row>
    <row r="72" spans="1:35" x14ac:dyDescent="0.2">
      <c r="A72" s="73">
        <v>2019</v>
      </c>
      <c r="B72" s="74" t="s">
        <v>67</v>
      </c>
      <c r="C72" s="82"/>
      <c r="D72" s="76">
        <v>107530191.59399998</v>
      </c>
      <c r="E72" s="76"/>
      <c r="F72" s="77"/>
      <c r="G72" s="78">
        <v>53245</v>
      </c>
      <c r="H72" s="76"/>
      <c r="I72" s="78">
        <v>5693.5</v>
      </c>
      <c r="J72" s="79"/>
      <c r="K72" s="80"/>
      <c r="L72" s="78">
        <v>556.5</v>
      </c>
      <c r="M72" s="79"/>
      <c r="N72" s="80"/>
      <c r="O72" s="78">
        <v>2</v>
      </c>
      <c r="P72" s="76"/>
      <c r="Q72" s="78">
        <v>228</v>
      </c>
      <c r="R72" s="79"/>
      <c r="S72" s="81"/>
      <c r="T72" s="78">
        <v>393</v>
      </c>
      <c r="U72" s="79"/>
      <c r="V72" s="80"/>
      <c r="W72" s="78">
        <v>18074.5</v>
      </c>
      <c r="Y72" s="111"/>
      <c r="AA72" s="140"/>
      <c r="AB72" s="128"/>
      <c r="AE72" s="111"/>
      <c r="AF72" s="111"/>
      <c r="AH72" s="150"/>
      <c r="AI72" s="150"/>
    </row>
    <row r="73" spans="1:35" x14ac:dyDescent="0.2">
      <c r="A73" s="73">
        <v>2019</v>
      </c>
      <c r="B73" s="74" t="s">
        <v>68</v>
      </c>
      <c r="C73" s="82"/>
      <c r="D73" s="83">
        <v>96871247.836999983</v>
      </c>
      <c r="E73" s="83"/>
      <c r="F73" s="84"/>
      <c r="G73" s="85">
        <f t="shared" ref="G73:G83" si="35">G72</f>
        <v>53245</v>
      </c>
      <c r="H73" s="83"/>
      <c r="I73" s="85">
        <f t="shared" ref="I73:I83" si="36">I72</f>
        <v>5693.5</v>
      </c>
      <c r="J73" s="86"/>
      <c r="K73" s="87"/>
      <c r="L73" s="85">
        <f t="shared" ref="L73:L83" si="37">L72</f>
        <v>556.5</v>
      </c>
      <c r="M73" s="86"/>
      <c r="N73" s="87"/>
      <c r="O73" s="85">
        <f t="shared" ref="O73:O83" si="38">O72</f>
        <v>2</v>
      </c>
      <c r="P73" s="83"/>
      <c r="Q73" s="85">
        <f t="shared" ref="Q73:Q83" si="39">Q72</f>
        <v>228</v>
      </c>
      <c r="R73" s="86"/>
      <c r="S73" s="88"/>
      <c r="T73" s="85">
        <f t="shared" ref="T73:T83" si="40">T72</f>
        <v>393</v>
      </c>
      <c r="U73" s="86"/>
      <c r="V73" s="87"/>
      <c r="W73" s="85">
        <f t="shared" ref="W73:W83" si="41">W72</f>
        <v>18074.5</v>
      </c>
      <c r="Y73" s="111"/>
      <c r="AA73" s="140"/>
      <c r="AB73" s="128"/>
      <c r="AE73" s="111"/>
      <c r="AF73" s="111"/>
      <c r="AH73" s="150"/>
      <c r="AI73" s="150"/>
    </row>
    <row r="74" spans="1:35" x14ac:dyDescent="0.2">
      <c r="A74" s="73">
        <v>2019</v>
      </c>
      <c r="B74" s="74" t="s">
        <v>69</v>
      </c>
      <c r="C74" s="82"/>
      <c r="D74" s="83">
        <v>101278430.30499999</v>
      </c>
      <c r="E74" s="83"/>
      <c r="F74" s="84"/>
      <c r="G74" s="85">
        <f t="shared" si="35"/>
        <v>53245</v>
      </c>
      <c r="H74" s="83"/>
      <c r="I74" s="85">
        <f t="shared" si="36"/>
        <v>5693.5</v>
      </c>
      <c r="J74" s="86"/>
      <c r="K74" s="87"/>
      <c r="L74" s="85">
        <f t="shared" si="37"/>
        <v>556.5</v>
      </c>
      <c r="M74" s="86"/>
      <c r="N74" s="87"/>
      <c r="O74" s="85">
        <f t="shared" si="38"/>
        <v>2</v>
      </c>
      <c r="P74" s="83"/>
      <c r="Q74" s="85">
        <f t="shared" si="39"/>
        <v>228</v>
      </c>
      <c r="R74" s="86"/>
      <c r="S74" s="88"/>
      <c r="T74" s="85">
        <f t="shared" si="40"/>
        <v>393</v>
      </c>
      <c r="U74" s="86"/>
      <c r="V74" s="87"/>
      <c r="W74" s="85">
        <f t="shared" si="41"/>
        <v>18074.5</v>
      </c>
      <c r="Y74" s="111"/>
      <c r="AA74" s="140"/>
      <c r="AB74" s="128"/>
      <c r="AE74" s="111"/>
      <c r="AF74" s="111"/>
      <c r="AH74" s="150"/>
      <c r="AI74" s="150"/>
    </row>
    <row r="75" spans="1:35" x14ac:dyDescent="0.2">
      <c r="A75" s="73">
        <v>2019</v>
      </c>
      <c r="B75" s="74" t="s">
        <v>70</v>
      </c>
      <c r="C75" s="82"/>
      <c r="D75" s="83">
        <v>89051057.089999989</v>
      </c>
      <c r="E75" s="83"/>
      <c r="F75" s="84"/>
      <c r="G75" s="85">
        <f t="shared" si="35"/>
        <v>53245</v>
      </c>
      <c r="H75" s="83"/>
      <c r="I75" s="85">
        <f t="shared" si="36"/>
        <v>5693.5</v>
      </c>
      <c r="J75" s="86"/>
      <c r="K75" s="87"/>
      <c r="L75" s="85">
        <f t="shared" si="37"/>
        <v>556.5</v>
      </c>
      <c r="M75" s="86"/>
      <c r="N75" s="87"/>
      <c r="O75" s="85">
        <f t="shared" si="38"/>
        <v>2</v>
      </c>
      <c r="P75" s="83"/>
      <c r="Q75" s="85">
        <f t="shared" si="39"/>
        <v>228</v>
      </c>
      <c r="R75" s="86"/>
      <c r="S75" s="88"/>
      <c r="T75" s="85">
        <f t="shared" si="40"/>
        <v>393</v>
      </c>
      <c r="U75" s="86"/>
      <c r="V75" s="87"/>
      <c r="W75" s="85">
        <f t="shared" si="41"/>
        <v>18074.5</v>
      </c>
      <c r="Y75" s="111"/>
      <c r="AA75" s="140"/>
      <c r="AB75" s="128"/>
      <c r="AE75" s="111"/>
      <c r="AF75" s="111"/>
      <c r="AH75" s="150"/>
      <c r="AI75" s="150"/>
    </row>
    <row r="76" spans="1:35" x14ac:dyDescent="0.2">
      <c r="A76" s="73">
        <v>2019</v>
      </c>
      <c r="B76" s="74" t="s">
        <v>43</v>
      </c>
      <c r="C76" s="82"/>
      <c r="D76" s="83">
        <v>91271581.115999982</v>
      </c>
      <c r="E76" s="83"/>
      <c r="F76" s="84"/>
      <c r="G76" s="85">
        <f t="shared" si="35"/>
        <v>53245</v>
      </c>
      <c r="H76" s="83"/>
      <c r="I76" s="85">
        <f t="shared" si="36"/>
        <v>5693.5</v>
      </c>
      <c r="J76" s="86"/>
      <c r="K76" s="87"/>
      <c r="L76" s="85">
        <f t="shared" si="37"/>
        <v>556.5</v>
      </c>
      <c r="M76" s="86"/>
      <c r="N76" s="87"/>
      <c r="O76" s="85">
        <f t="shared" si="38"/>
        <v>2</v>
      </c>
      <c r="P76" s="83"/>
      <c r="Q76" s="85">
        <f t="shared" si="39"/>
        <v>228</v>
      </c>
      <c r="R76" s="86"/>
      <c r="S76" s="88"/>
      <c r="T76" s="85">
        <f t="shared" si="40"/>
        <v>393</v>
      </c>
      <c r="U76" s="86"/>
      <c r="V76" s="87"/>
      <c r="W76" s="85">
        <f t="shared" si="41"/>
        <v>18074.5</v>
      </c>
      <c r="Y76" s="111"/>
      <c r="AA76" s="140"/>
      <c r="AB76" s="128"/>
      <c r="AE76" s="111"/>
      <c r="AF76" s="111"/>
      <c r="AH76" s="150"/>
      <c r="AI76" s="150"/>
    </row>
    <row r="77" spans="1:35" x14ac:dyDescent="0.2">
      <c r="A77" s="73">
        <v>2019</v>
      </c>
      <c r="B77" s="74" t="s">
        <v>71</v>
      </c>
      <c r="C77" s="82"/>
      <c r="D77" s="83">
        <v>97440947.072999999</v>
      </c>
      <c r="E77" s="83"/>
      <c r="F77" s="84"/>
      <c r="G77" s="85">
        <f t="shared" si="35"/>
        <v>53245</v>
      </c>
      <c r="H77" s="83"/>
      <c r="I77" s="85">
        <f t="shared" si="36"/>
        <v>5693.5</v>
      </c>
      <c r="J77" s="86"/>
      <c r="K77" s="87"/>
      <c r="L77" s="85">
        <f t="shared" si="37"/>
        <v>556.5</v>
      </c>
      <c r="M77" s="86"/>
      <c r="N77" s="87"/>
      <c r="O77" s="85">
        <f t="shared" si="38"/>
        <v>2</v>
      </c>
      <c r="P77" s="83"/>
      <c r="Q77" s="85">
        <f t="shared" si="39"/>
        <v>228</v>
      </c>
      <c r="R77" s="86"/>
      <c r="S77" s="88"/>
      <c r="T77" s="85">
        <f t="shared" si="40"/>
        <v>393</v>
      </c>
      <c r="U77" s="86"/>
      <c r="V77" s="87"/>
      <c r="W77" s="85">
        <f t="shared" si="41"/>
        <v>18074.5</v>
      </c>
      <c r="Y77" s="111"/>
      <c r="AA77" s="140"/>
      <c r="AB77" s="128"/>
      <c r="AE77" s="111"/>
      <c r="AF77" s="111"/>
      <c r="AH77" s="150"/>
      <c r="AI77" s="150"/>
    </row>
    <row r="78" spans="1:35" x14ac:dyDescent="0.2">
      <c r="A78" s="73">
        <v>2019</v>
      </c>
      <c r="B78" s="74" t="s">
        <v>72</v>
      </c>
      <c r="C78" s="82"/>
      <c r="D78" s="83">
        <v>124803907.67999999</v>
      </c>
      <c r="E78" s="83"/>
      <c r="F78" s="84"/>
      <c r="G78" s="85">
        <f t="shared" si="35"/>
        <v>53245</v>
      </c>
      <c r="H78" s="83"/>
      <c r="I78" s="85">
        <f t="shared" si="36"/>
        <v>5693.5</v>
      </c>
      <c r="J78" s="86"/>
      <c r="K78" s="87"/>
      <c r="L78" s="85">
        <f t="shared" si="37"/>
        <v>556.5</v>
      </c>
      <c r="M78" s="86"/>
      <c r="N78" s="87"/>
      <c r="O78" s="85">
        <f t="shared" si="38"/>
        <v>2</v>
      </c>
      <c r="P78" s="83"/>
      <c r="Q78" s="85">
        <f t="shared" si="39"/>
        <v>228</v>
      </c>
      <c r="R78" s="86"/>
      <c r="S78" s="88"/>
      <c r="T78" s="85">
        <f t="shared" si="40"/>
        <v>393</v>
      </c>
      <c r="U78" s="86"/>
      <c r="V78" s="87"/>
      <c r="W78" s="85">
        <f t="shared" si="41"/>
        <v>18074.5</v>
      </c>
      <c r="Y78" s="111"/>
      <c r="AA78" s="140"/>
      <c r="AB78" s="128"/>
      <c r="AE78" s="111"/>
      <c r="AF78" s="111"/>
      <c r="AH78" s="150"/>
      <c r="AI78" s="150"/>
    </row>
    <row r="79" spans="1:35" x14ac:dyDescent="0.2">
      <c r="A79" s="73">
        <v>2019</v>
      </c>
      <c r="B79" s="74" t="s">
        <v>73</v>
      </c>
      <c r="C79" s="82"/>
      <c r="D79" s="83">
        <v>118125634.766</v>
      </c>
      <c r="E79" s="83"/>
      <c r="F79" s="84"/>
      <c r="G79" s="85">
        <f t="shared" si="35"/>
        <v>53245</v>
      </c>
      <c r="H79" s="83"/>
      <c r="I79" s="85">
        <f t="shared" si="36"/>
        <v>5693.5</v>
      </c>
      <c r="J79" s="86"/>
      <c r="K79" s="87"/>
      <c r="L79" s="85">
        <f t="shared" si="37"/>
        <v>556.5</v>
      </c>
      <c r="M79" s="86"/>
      <c r="N79" s="87"/>
      <c r="O79" s="85">
        <f t="shared" si="38"/>
        <v>2</v>
      </c>
      <c r="P79" s="83"/>
      <c r="Q79" s="85">
        <f t="shared" si="39"/>
        <v>228</v>
      </c>
      <c r="R79" s="86"/>
      <c r="S79" s="88"/>
      <c r="T79" s="85">
        <f t="shared" si="40"/>
        <v>393</v>
      </c>
      <c r="U79" s="86"/>
      <c r="V79" s="87"/>
      <c r="W79" s="85">
        <f t="shared" si="41"/>
        <v>18074.5</v>
      </c>
      <c r="Y79" s="111"/>
      <c r="AA79" s="140"/>
      <c r="AB79" s="128"/>
      <c r="AE79" s="111"/>
      <c r="AF79" s="111"/>
      <c r="AH79" s="150"/>
      <c r="AI79" s="150"/>
    </row>
    <row r="80" spans="1:35" x14ac:dyDescent="0.2">
      <c r="A80" s="73">
        <v>2019</v>
      </c>
      <c r="B80" s="74" t="s">
        <v>74</v>
      </c>
      <c r="C80" s="82"/>
      <c r="D80" s="83">
        <v>103269140.34899999</v>
      </c>
      <c r="E80" s="83"/>
      <c r="F80" s="84"/>
      <c r="G80" s="85">
        <f t="shared" si="35"/>
        <v>53245</v>
      </c>
      <c r="H80" s="83"/>
      <c r="I80" s="85">
        <f t="shared" si="36"/>
        <v>5693.5</v>
      </c>
      <c r="J80" s="86"/>
      <c r="K80" s="87"/>
      <c r="L80" s="85">
        <f t="shared" si="37"/>
        <v>556.5</v>
      </c>
      <c r="M80" s="86"/>
      <c r="N80" s="87"/>
      <c r="O80" s="85">
        <f t="shared" si="38"/>
        <v>2</v>
      </c>
      <c r="P80" s="83"/>
      <c r="Q80" s="85">
        <f t="shared" si="39"/>
        <v>228</v>
      </c>
      <c r="R80" s="86"/>
      <c r="S80" s="88"/>
      <c r="T80" s="85">
        <f t="shared" si="40"/>
        <v>393</v>
      </c>
      <c r="U80" s="86"/>
      <c r="V80" s="87"/>
      <c r="W80" s="85">
        <f t="shared" si="41"/>
        <v>18074.5</v>
      </c>
      <c r="Y80" s="111"/>
      <c r="AA80" s="140"/>
      <c r="AB80" s="128"/>
      <c r="AE80" s="111"/>
      <c r="AF80" s="111"/>
      <c r="AH80" s="150"/>
      <c r="AI80" s="150"/>
    </row>
    <row r="81" spans="1:35" x14ac:dyDescent="0.2">
      <c r="A81" s="73">
        <v>2019</v>
      </c>
      <c r="B81" s="74" t="s">
        <v>75</v>
      </c>
      <c r="C81" s="82"/>
      <c r="D81" s="83">
        <v>95954535.86999999</v>
      </c>
      <c r="E81" s="83"/>
      <c r="F81" s="84"/>
      <c r="G81" s="85">
        <f t="shared" si="35"/>
        <v>53245</v>
      </c>
      <c r="H81" s="83"/>
      <c r="I81" s="85">
        <f t="shared" si="36"/>
        <v>5693.5</v>
      </c>
      <c r="J81" s="86"/>
      <c r="K81" s="87"/>
      <c r="L81" s="85">
        <f t="shared" si="37"/>
        <v>556.5</v>
      </c>
      <c r="M81" s="86"/>
      <c r="N81" s="87"/>
      <c r="O81" s="85">
        <f t="shared" si="38"/>
        <v>2</v>
      </c>
      <c r="P81" s="83"/>
      <c r="Q81" s="85">
        <f t="shared" si="39"/>
        <v>228</v>
      </c>
      <c r="R81" s="86"/>
      <c r="S81" s="88"/>
      <c r="T81" s="85">
        <f t="shared" si="40"/>
        <v>393</v>
      </c>
      <c r="U81" s="86"/>
      <c r="V81" s="87"/>
      <c r="W81" s="85">
        <f t="shared" si="41"/>
        <v>18074.5</v>
      </c>
      <c r="Y81" s="111"/>
      <c r="AA81" s="140"/>
      <c r="AB81" s="128"/>
      <c r="AE81" s="111"/>
      <c r="AF81" s="111"/>
      <c r="AH81" s="150"/>
      <c r="AI81" s="150"/>
    </row>
    <row r="82" spans="1:35" x14ac:dyDescent="0.2">
      <c r="A82" s="73">
        <v>2019</v>
      </c>
      <c r="B82" s="74" t="s">
        <v>76</v>
      </c>
      <c r="C82" s="82"/>
      <c r="D82" s="83">
        <v>99106544.030000001</v>
      </c>
      <c r="E82" s="83"/>
      <c r="F82" s="84"/>
      <c r="G82" s="85">
        <f t="shared" si="35"/>
        <v>53245</v>
      </c>
      <c r="H82" s="83"/>
      <c r="I82" s="85">
        <f t="shared" si="36"/>
        <v>5693.5</v>
      </c>
      <c r="J82" s="86"/>
      <c r="K82" s="87"/>
      <c r="L82" s="85">
        <f t="shared" si="37"/>
        <v>556.5</v>
      </c>
      <c r="M82" s="86"/>
      <c r="N82" s="87"/>
      <c r="O82" s="85">
        <f t="shared" si="38"/>
        <v>2</v>
      </c>
      <c r="P82" s="83"/>
      <c r="Q82" s="85">
        <f t="shared" si="39"/>
        <v>228</v>
      </c>
      <c r="R82" s="86"/>
      <c r="S82" s="88"/>
      <c r="T82" s="85">
        <f t="shared" si="40"/>
        <v>393</v>
      </c>
      <c r="U82" s="86"/>
      <c r="V82" s="87"/>
      <c r="W82" s="85">
        <f t="shared" si="41"/>
        <v>18074.5</v>
      </c>
      <c r="Y82" s="111"/>
      <c r="AA82" s="140"/>
      <c r="AB82" s="128"/>
      <c r="AE82" s="111"/>
      <c r="AF82" s="111"/>
      <c r="AH82" s="150"/>
      <c r="AI82" s="150"/>
    </row>
    <row r="83" spans="1:35" x14ac:dyDescent="0.2">
      <c r="A83" s="73">
        <v>2019</v>
      </c>
      <c r="B83" s="74" t="s">
        <v>77</v>
      </c>
      <c r="C83" s="82"/>
      <c r="D83" s="83">
        <v>99618091.980000004</v>
      </c>
      <c r="E83" s="83"/>
      <c r="F83" s="84">
        <v>411936659</v>
      </c>
      <c r="G83" s="85">
        <f t="shared" si="35"/>
        <v>53245</v>
      </c>
      <c r="H83" s="83">
        <v>153655138</v>
      </c>
      <c r="I83" s="85">
        <f t="shared" si="36"/>
        <v>5693.5</v>
      </c>
      <c r="J83" s="86">
        <v>517080386.50000006</v>
      </c>
      <c r="K83" s="87">
        <v>1406359.4300000002</v>
      </c>
      <c r="L83" s="85">
        <f t="shared" si="37"/>
        <v>556.5</v>
      </c>
      <c r="M83" s="86">
        <v>83222289.280000001</v>
      </c>
      <c r="N83" s="87">
        <v>192285.66</v>
      </c>
      <c r="O83" s="85">
        <f t="shared" si="38"/>
        <v>2</v>
      </c>
      <c r="P83" s="83">
        <v>1276935</v>
      </c>
      <c r="Q83" s="85">
        <f t="shared" si="39"/>
        <v>228</v>
      </c>
      <c r="R83" s="86">
        <v>423572</v>
      </c>
      <c r="S83" s="88">
        <v>1060</v>
      </c>
      <c r="T83" s="85">
        <f t="shared" si="40"/>
        <v>393</v>
      </c>
      <c r="U83" s="86">
        <v>5300509</v>
      </c>
      <c r="V83" s="87">
        <v>15393</v>
      </c>
      <c r="W83" s="85">
        <f t="shared" si="41"/>
        <v>18074.5</v>
      </c>
      <c r="X83" s="111"/>
      <c r="Y83" s="111"/>
      <c r="AA83" s="140"/>
      <c r="AB83" s="128"/>
      <c r="AE83" s="111"/>
      <c r="AF83" s="111"/>
      <c r="AH83" s="150"/>
      <c r="AI83" s="151"/>
    </row>
    <row r="84" spans="1:35" x14ac:dyDescent="0.2">
      <c r="A84" s="73">
        <v>2020</v>
      </c>
      <c r="B84" s="74" t="s">
        <v>67</v>
      </c>
      <c r="C84" s="82"/>
      <c r="D84" s="76">
        <v>101627798.58</v>
      </c>
      <c r="E84" s="76"/>
      <c r="F84" s="77"/>
      <c r="G84" s="78">
        <v>53932.5</v>
      </c>
      <c r="H84" s="76"/>
      <c r="I84" s="78">
        <v>5703.5</v>
      </c>
      <c r="J84" s="79"/>
      <c r="K84" s="80"/>
      <c r="L84" s="78">
        <v>559.5</v>
      </c>
      <c r="M84" s="79"/>
      <c r="N84" s="80"/>
      <c r="O84" s="78">
        <v>2</v>
      </c>
      <c r="P84" s="76"/>
      <c r="Q84" s="78">
        <v>226</v>
      </c>
      <c r="R84" s="79"/>
      <c r="S84" s="81"/>
      <c r="T84" s="78">
        <v>376</v>
      </c>
      <c r="U84" s="79"/>
      <c r="V84" s="80"/>
      <c r="W84" s="78">
        <v>18138</v>
      </c>
      <c r="Y84" s="111"/>
      <c r="AA84" s="140"/>
      <c r="AB84" s="128"/>
      <c r="AE84" s="111"/>
      <c r="AF84" s="111"/>
      <c r="AH84" s="150"/>
      <c r="AI84" s="150"/>
    </row>
    <row r="85" spans="1:35" x14ac:dyDescent="0.2">
      <c r="A85" s="73">
        <v>2020</v>
      </c>
      <c r="B85" s="74" t="s">
        <v>68</v>
      </c>
      <c r="C85" s="82"/>
      <c r="D85" s="83">
        <v>96316557.670000002</v>
      </c>
      <c r="E85" s="83"/>
      <c r="F85" s="84"/>
      <c r="G85" s="85">
        <f t="shared" ref="G85:G95" si="42">G84</f>
        <v>53932.5</v>
      </c>
      <c r="H85" s="83"/>
      <c r="I85" s="85">
        <f t="shared" ref="I85:I95" si="43">I84</f>
        <v>5703.5</v>
      </c>
      <c r="J85" s="86"/>
      <c r="K85" s="87"/>
      <c r="L85" s="85">
        <f t="shared" ref="L85:L95" si="44">L84</f>
        <v>559.5</v>
      </c>
      <c r="M85" s="86"/>
      <c r="N85" s="87"/>
      <c r="O85" s="85">
        <f t="shared" ref="O85:O95" si="45">O84</f>
        <v>2</v>
      </c>
      <c r="P85" s="83"/>
      <c r="Q85" s="85">
        <f t="shared" ref="Q85:Q95" si="46">Q84</f>
        <v>226</v>
      </c>
      <c r="R85" s="86"/>
      <c r="S85" s="88"/>
      <c r="T85" s="85">
        <f t="shared" ref="T85:T95" si="47">T84</f>
        <v>376</v>
      </c>
      <c r="U85" s="86"/>
      <c r="V85" s="87"/>
      <c r="W85" s="85">
        <f t="shared" ref="W85:W95" si="48">W84</f>
        <v>18138</v>
      </c>
      <c r="Y85" s="111"/>
      <c r="AA85" s="140"/>
      <c r="AB85" s="128"/>
      <c r="AE85" s="111"/>
      <c r="AF85" s="111"/>
      <c r="AH85" s="150"/>
      <c r="AI85" s="150"/>
    </row>
    <row r="86" spans="1:35" x14ac:dyDescent="0.2">
      <c r="A86" s="73">
        <v>2020</v>
      </c>
      <c r="B86" s="74" t="s">
        <v>69</v>
      </c>
      <c r="C86" s="82"/>
      <c r="D86" s="83">
        <v>93201085.260000005</v>
      </c>
      <c r="E86" s="83"/>
      <c r="F86" s="84"/>
      <c r="G86" s="85">
        <f t="shared" si="42"/>
        <v>53932.5</v>
      </c>
      <c r="H86" s="83"/>
      <c r="I86" s="85">
        <f t="shared" si="43"/>
        <v>5703.5</v>
      </c>
      <c r="J86" s="86"/>
      <c r="K86" s="87"/>
      <c r="L86" s="85">
        <f t="shared" si="44"/>
        <v>559.5</v>
      </c>
      <c r="M86" s="86"/>
      <c r="N86" s="87"/>
      <c r="O86" s="85">
        <f t="shared" si="45"/>
        <v>2</v>
      </c>
      <c r="P86" s="83"/>
      <c r="Q86" s="85">
        <f t="shared" si="46"/>
        <v>226</v>
      </c>
      <c r="R86" s="86"/>
      <c r="S86" s="88"/>
      <c r="T86" s="85">
        <f t="shared" si="47"/>
        <v>376</v>
      </c>
      <c r="U86" s="86"/>
      <c r="V86" s="87"/>
      <c r="W86" s="85">
        <f t="shared" si="48"/>
        <v>18138</v>
      </c>
      <c r="Y86" s="111"/>
      <c r="AA86" s="140"/>
      <c r="AB86" s="128"/>
      <c r="AE86" s="111"/>
      <c r="AF86" s="111"/>
      <c r="AH86" s="150"/>
      <c r="AI86" s="150"/>
    </row>
    <row r="87" spans="1:35" x14ac:dyDescent="0.2">
      <c r="A87" s="73">
        <v>2020</v>
      </c>
      <c r="B87" s="74" t="s">
        <v>70</v>
      </c>
      <c r="C87" s="82"/>
      <c r="D87" s="83">
        <v>75481979.349999994</v>
      </c>
      <c r="E87" s="83"/>
      <c r="F87" s="84"/>
      <c r="G87" s="85">
        <f t="shared" si="42"/>
        <v>53932.5</v>
      </c>
      <c r="H87" s="83"/>
      <c r="I87" s="85">
        <f t="shared" si="43"/>
        <v>5703.5</v>
      </c>
      <c r="J87" s="86"/>
      <c r="K87" s="87"/>
      <c r="L87" s="85">
        <f t="shared" si="44"/>
        <v>559.5</v>
      </c>
      <c r="M87" s="86"/>
      <c r="N87" s="87"/>
      <c r="O87" s="85">
        <f t="shared" si="45"/>
        <v>2</v>
      </c>
      <c r="P87" s="83"/>
      <c r="Q87" s="85">
        <f t="shared" si="46"/>
        <v>226</v>
      </c>
      <c r="R87" s="86"/>
      <c r="S87" s="88"/>
      <c r="T87" s="85">
        <f t="shared" si="47"/>
        <v>376</v>
      </c>
      <c r="U87" s="86"/>
      <c r="V87" s="87"/>
      <c r="W87" s="85">
        <f t="shared" si="48"/>
        <v>18138</v>
      </c>
      <c r="Y87" s="111"/>
      <c r="AA87" s="140"/>
      <c r="AB87" s="128"/>
      <c r="AE87" s="111"/>
      <c r="AF87" s="111"/>
      <c r="AH87" s="150"/>
      <c r="AI87" s="150"/>
    </row>
    <row r="88" spans="1:35" x14ac:dyDescent="0.2">
      <c r="A88" s="73">
        <v>2020</v>
      </c>
      <c r="B88" s="74" t="s">
        <v>43</v>
      </c>
      <c r="C88" s="82"/>
      <c r="D88" s="83">
        <v>82850237.760000005</v>
      </c>
      <c r="E88" s="83"/>
      <c r="F88" s="84"/>
      <c r="G88" s="85">
        <f t="shared" si="42"/>
        <v>53932.5</v>
      </c>
      <c r="H88" s="83"/>
      <c r="I88" s="85">
        <f t="shared" si="43"/>
        <v>5703.5</v>
      </c>
      <c r="J88" s="86"/>
      <c r="K88" s="87"/>
      <c r="L88" s="85">
        <f t="shared" si="44"/>
        <v>559.5</v>
      </c>
      <c r="M88" s="86"/>
      <c r="N88" s="87"/>
      <c r="O88" s="85">
        <f t="shared" si="45"/>
        <v>2</v>
      </c>
      <c r="P88" s="83"/>
      <c r="Q88" s="85">
        <f t="shared" si="46"/>
        <v>226</v>
      </c>
      <c r="R88" s="86"/>
      <c r="S88" s="88"/>
      <c r="T88" s="85">
        <f t="shared" si="47"/>
        <v>376</v>
      </c>
      <c r="U88" s="86"/>
      <c r="V88" s="87"/>
      <c r="W88" s="85">
        <f t="shared" si="48"/>
        <v>18138</v>
      </c>
      <c r="Y88" s="111"/>
      <c r="AA88" s="140"/>
      <c r="AB88" s="128"/>
      <c r="AE88" s="111"/>
      <c r="AF88" s="111"/>
      <c r="AH88" s="150"/>
      <c r="AI88" s="150"/>
    </row>
    <row r="89" spans="1:35" x14ac:dyDescent="0.2">
      <c r="A89" s="73">
        <v>2020</v>
      </c>
      <c r="B89" s="74" t="s">
        <v>71</v>
      </c>
      <c r="C89" s="82"/>
      <c r="D89" s="83">
        <v>107229138.54000001</v>
      </c>
      <c r="E89" s="83"/>
      <c r="F89" s="84"/>
      <c r="G89" s="85">
        <f t="shared" si="42"/>
        <v>53932.5</v>
      </c>
      <c r="H89" s="83"/>
      <c r="I89" s="85">
        <f t="shared" si="43"/>
        <v>5703.5</v>
      </c>
      <c r="J89" s="86"/>
      <c r="K89" s="87"/>
      <c r="L89" s="85">
        <f t="shared" si="44"/>
        <v>559.5</v>
      </c>
      <c r="M89" s="86"/>
      <c r="N89" s="87"/>
      <c r="O89" s="85">
        <f t="shared" si="45"/>
        <v>2</v>
      </c>
      <c r="P89" s="83"/>
      <c r="Q89" s="85">
        <f t="shared" si="46"/>
        <v>226</v>
      </c>
      <c r="R89" s="86"/>
      <c r="S89" s="88"/>
      <c r="T89" s="85">
        <f t="shared" si="47"/>
        <v>376</v>
      </c>
      <c r="U89" s="86"/>
      <c r="V89" s="87"/>
      <c r="W89" s="85">
        <f t="shared" si="48"/>
        <v>18138</v>
      </c>
      <c r="Y89" s="111"/>
      <c r="AA89" s="140"/>
      <c r="AB89" s="128"/>
      <c r="AE89" s="111"/>
      <c r="AF89" s="111"/>
      <c r="AH89" s="150"/>
      <c r="AI89" s="150"/>
    </row>
    <row r="90" spans="1:35" x14ac:dyDescent="0.2">
      <c r="A90" s="73">
        <v>2020</v>
      </c>
      <c r="B90" s="74" t="s">
        <v>72</v>
      </c>
      <c r="C90" s="82"/>
      <c r="D90" s="83">
        <v>132467120.21000001</v>
      </c>
      <c r="E90" s="83"/>
      <c r="F90" s="84"/>
      <c r="G90" s="85">
        <f t="shared" si="42"/>
        <v>53932.5</v>
      </c>
      <c r="H90" s="83"/>
      <c r="I90" s="85">
        <f t="shared" si="43"/>
        <v>5703.5</v>
      </c>
      <c r="J90" s="86"/>
      <c r="K90" s="87"/>
      <c r="L90" s="85">
        <f t="shared" si="44"/>
        <v>559.5</v>
      </c>
      <c r="M90" s="86"/>
      <c r="N90" s="87"/>
      <c r="O90" s="85">
        <f t="shared" si="45"/>
        <v>2</v>
      </c>
      <c r="P90" s="83"/>
      <c r="Q90" s="85">
        <f t="shared" si="46"/>
        <v>226</v>
      </c>
      <c r="R90" s="86"/>
      <c r="S90" s="88"/>
      <c r="T90" s="85">
        <f t="shared" si="47"/>
        <v>376</v>
      </c>
      <c r="U90" s="86"/>
      <c r="V90" s="87"/>
      <c r="W90" s="85">
        <f t="shared" si="48"/>
        <v>18138</v>
      </c>
      <c r="Y90" s="111"/>
      <c r="AA90" s="140"/>
      <c r="AB90" s="128"/>
      <c r="AE90" s="111"/>
      <c r="AF90" s="111"/>
      <c r="AH90" s="150"/>
      <c r="AI90" s="150"/>
    </row>
    <row r="91" spans="1:35" x14ac:dyDescent="0.2">
      <c r="A91" s="73">
        <v>2020</v>
      </c>
      <c r="B91" s="74" t="s">
        <v>73</v>
      </c>
      <c r="C91" s="82"/>
      <c r="D91" s="83">
        <v>122122854.4431349</v>
      </c>
      <c r="E91" s="83"/>
      <c r="F91" s="84"/>
      <c r="G91" s="85">
        <f t="shared" si="42"/>
        <v>53932.5</v>
      </c>
      <c r="H91" s="83"/>
      <c r="I91" s="85">
        <f t="shared" si="43"/>
        <v>5703.5</v>
      </c>
      <c r="J91" s="86"/>
      <c r="K91" s="87"/>
      <c r="L91" s="85">
        <f t="shared" si="44"/>
        <v>559.5</v>
      </c>
      <c r="M91" s="86"/>
      <c r="N91" s="87"/>
      <c r="O91" s="85">
        <f t="shared" si="45"/>
        <v>2</v>
      </c>
      <c r="P91" s="83"/>
      <c r="Q91" s="85">
        <f t="shared" si="46"/>
        <v>226</v>
      </c>
      <c r="R91" s="86"/>
      <c r="S91" s="88"/>
      <c r="T91" s="85">
        <f t="shared" si="47"/>
        <v>376</v>
      </c>
      <c r="U91" s="86"/>
      <c r="V91" s="87"/>
      <c r="W91" s="85">
        <f t="shared" si="48"/>
        <v>18138</v>
      </c>
      <c r="Y91" s="111"/>
      <c r="AA91" s="140"/>
      <c r="AB91" s="128"/>
      <c r="AE91" s="111"/>
      <c r="AF91" s="111"/>
      <c r="AH91" s="150"/>
      <c r="AI91" s="150"/>
    </row>
    <row r="92" spans="1:35" x14ac:dyDescent="0.2">
      <c r="A92" s="73">
        <v>2020</v>
      </c>
      <c r="B92" s="74" t="s">
        <v>74</v>
      </c>
      <c r="C92" s="82"/>
      <c r="D92" s="83">
        <v>100618417.11999999</v>
      </c>
      <c r="E92" s="83"/>
      <c r="F92" s="84"/>
      <c r="G92" s="85">
        <f t="shared" si="42"/>
        <v>53932.5</v>
      </c>
      <c r="H92" s="83"/>
      <c r="I92" s="85">
        <f t="shared" si="43"/>
        <v>5703.5</v>
      </c>
      <c r="J92" s="86"/>
      <c r="K92" s="87"/>
      <c r="L92" s="85">
        <f t="shared" si="44"/>
        <v>559.5</v>
      </c>
      <c r="M92" s="86"/>
      <c r="N92" s="87"/>
      <c r="O92" s="85">
        <f t="shared" si="45"/>
        <v>2</v>
      </c>
      <c r="P92" s="83"/>
      <c r="Q92" s="85">
        <f t="shared" si="46"/>
        <v>226</v>
      </c>
      <c r="R92" s="86"/>
      <c r="S92" s="88"/>
      <c r="T92" s="85">
        <f t="shared" si="47"/>
        <v>376</v>
      </c>
      <c r="U92" s="86"/>
      <c r="V92" s="87"/>
      <c r="W92" s="85">
        <f t="shared" si="48"/>
        <v>18138</v>
      </c>
      <c r="Y92" s="111"/>
      <c r="AA92" s="140"/>
      <c r="AB92" s="128"/>
      <c r="AE92" s="111"/>
      <c r="AF92" s="111"/>
      <c r="AH92" s="150"/>
      <c r="AI92" s="150"/>
    </row>
    <row r="93" spans="1:35" x14ac:dyDescent="0.2">
      <c r="A93" s="73">
        <v>2020</v>
      </c>
      <c r="B93" s="74" t="s">
        <v>75</v>
      </c>
      <c r="C93" s="82"/>
      <c r="D93" s="83">
        <v>96511344.889999986</v>
      </c>
      <c r="E93" s="83"/>
      <c r="F93" s="84"/>
      <c r="G93" s="85">
        <f t="shared" si="42"/>
        <v>53932.5</v>
      </c>
      <c r="H93" s="83"/>
      <c r="I93" s="85">
        <f t="shared" si="43"/>
        <v>5703.5</v>
      </c>
      <c r="J93" s="86"/>
      <c r="K93" s="87"/>
      <c r="L93" s="85">
        <f t="shared" si="44"/>
        <v>559.5</v>
      </c>
      <c r="M93" s="86"/>
      <c r="N93" s="87"/>
      <c r="O93" s="85">
        <f t="shared" si="45"/>
        <v>2</v>
      </c>
      <c r="P93" s="83"/>
      <c r="Q93" s="85">
        <f t="shared" si="46"/>
        <v>226</v>
      </c>
      <c r="R93" s="86"/>
      <c r="S93" s="88"/>
      <c r="T93" s="85">
        <f t="shared" si="47"/>
        <v>376</v>
      </c>
      <c r="U93" s="86"/>
      <c r="V93" s="87"/>
      <c r="W93" s="85">
        <f t="shared" si="48"/>
        <v>18138</v>
      </c>
      <c r="Y93" s="111"/>
      <c r="AA93" s="140"/>
      <c r="AB93" s="128"/>
      <c r="AE93" s="111"/>
      <c r="AF93" s="111"/>
      <c r="AH93" s="150"/>
      <c r="AI93" s="150"/>
    </row>
    <row r="94" spans="1:35" x14ac:dyDescent="0.2">
      <c r="A94" s="73">
        <v>2020</v>
      </c>
      <c r="B94" s="74" t="s">
        <v>76</v>
      </c>
      <c r="C94" s="82"/>
      <c r="D94" s="83">
        <v>97157709.070000008</v>
      </c>
      <c r="E94" s="83"/>
      <c r="F94" s="84"/>
      <c r="G94" s="85">
        <f t="shared" si="42"/>
        <v>53932.5</v>
      </c>
      <c r="H94" s="83"/>
      <c r="I94" s="85">
        <f t="shared" si="43"/>
        <v>5703.5</v>
      </c>
      <c r="J94" s="86"/>
      <c r="K94" s="87"/>
      <c r="L94" s="85">
        <f t="shared" si="44"/>
        <v>559.5</v>
      </c>
      <c r="M94" s="86"/>
      <c r="N94" s="87"/>
      <c r="O94" s="85">
        <f t="shared" si="45"/>
        <v>2</v>
      </c>
      <c r="P94" s="83"/>
      <c r="Q94" s="85">
        <f t="shared" si="46"/>
        <v>226</v>
      </c>
      <c r="R94" s="86"/>
      <c r="S94" s="88"/>
      <c r="T94" s="85">
        <f t="shared" si="47"/>
        <v>376</v>
      </c>
      <c r="U94" s="86"/>
      <c r="V94" s="87"/>
      <c r="W94" s="85">
        <f t="shared" si="48"/>
        <v>18138</v>
      </c>
      <c r="Y94" s="111"/>
      <c r="AA94" s="140"/>
      <c r="AB94" s="128"/>
      <c r="AE94" s="111"/>
      <c r="AF94" s="111"/>
      <c r="AH94" s="150"/>
      <c r="AI94" s="150"/>
    </row>
    <row r="95" spans="1:35" x14ac:dyDescent="0.2">
      <c r="A95" s="73">
        <v>2020</v>
      </c>
      <c r="B95" s="74" t="s">
        <v>77</v>
      </c>
      <c r="C95" s="82"/>
      <c r="D95" s="83">
        <v>102432434.14000002</v>
      </c>
      <c r="E95" s="83"/>
      <c r="F95" s="84">
        <v>439168361</v>
      </c>
      <c r="G95" s="85">
        <f t="shared" si="42"/>
        <v>53932.5</v>
      </c>
      <c r="H95" s="83">
        <v>143543988</v>
      </c>
      <c r="I95" s="85">
        <f t="shared" si="43"/>
        <v>5703.5</v>
      </c>
      <c r="J95" s="86">
        <v>492213122.17000002</v>
      </c>
      <c r="K95" s="87">
        <v>1388268.83</v>
      </c>
      <c r="L95" s="85">
        <f t="shared" si="44"/>
        <v>559.5</v>
      </c>
      <c r="M95" s="86">
        <v>77427944.38000001</v>
      </c>
      <c r="N95" s="87">
        <v>180185.72000000003</v>
      </c>
      <c r="O95" s="85">
        <f t="shared" si="45"/>
        <v>2</v>
      </c>
      <c r="P95" s="83">
        <v>1272419</v>
      </c>
      <c r="Q95" s="85">
        <f t="shared" si="46"/>
        <v>226</v>
      </c>
      <c r="R95" s="86">
        <v>461598</v>
      </c>
      <c r="S95" s="88">
        <v>1023</v>
      </c>
      <c r="T95" s="85">
        <f t="shared" si="47"/>
        <v>376</v>
      </c>
      <c r="U95" s="86">
        <v>5337821</v>
      </c>
      <c r="V95" s="87">
        <v>15438</v>
      </c>
      <c r="W95" s="85">
        <f t="shared" si="48"/>
        <v>18138</v>
      </c>
      <c r="X95" s="111"/>
      <c r="Y95" s="111"/>
      <c r="AA95" s="140"/>
      <c r="AB95" s="128"/>
      <c r="AE95" s="111"/>
      <c r="AF95" s="111"/>
      <c r="AH95" s="150"/>
      <c r="AI95" s="151"/>
    </row>
    <row r="96" spans="1:35" x14ac:dyDescent="0.2">
      <c r="A96" s="73">
        <v>2021</v>
      </c>
      <c r="B96" s="74" t="s">
        <v>67</v>
      </c>
      <c r="C96" s="82"/>
      <c r="D96" s="76">
        <v>104046184.96943997</v>
      </c>
      <c r="E96" s="76"/>
      <c r="F96" s="77"/>
      <c r="G96" s="78">
        <v>54770.5</v>
      </c>
      <c r="H96" s="76"/>
      <c r="I96" s="78">
        <v>5732</v>
      </c>
      <c r="J96" s="79"/>
      <c r="K96" s="80"/>
      <c r="L96" s="78">
        <v>541.5</v>
      </c>
      <c r="M96" s="79"/>
      <c r="N96" s="80"/>
      <c r="O96" s="78">
        <v>2</v>
      </c>
      <c r="P96" s="76"/>
      <c r="Q96" s="78">
        <v>224</v>
      </c>
      <c r="R96" s="79"/>
      <c r="S96" s="81"/>
      <c r="T96" s="78">
        <v>341.5</v>
      </c>
      <c r="U96" s="79"/>
      <c r="V96" s="80"/>
      <c r="W96" s="78">
        <v>18334.5</v>
      </c>
      <c r="Y96" s="111"/>
      <c r="AA96" s="140"/>
      <c r="AB96" s="128"/>
      <c r="AE96" s="111"/>
      <c r="AF96" s="111"/>
      <c r="AH96" s="150"/>
      <c r="AI96" s="150"/>
    </row>
    <row r="97" spans="1:35" x14ac:dyDescent="0.2">
      <c r="A97" s="73">
        <v>2021</v>
      </c>
      <c r="B97" s="74" t="s">
        <v>68</v>
      </c>
      <c r="C97" s="82"/>
      <c r="D97" s="83">
        <v>97687812.67583999</v>
      </c>
      <c r="E97" s="83"/>
      <c r="F97" s="84"/>
      <c r="G97" s="85">
        <f t="shared" ref="G97:G107" si="49">G96</f>
        <v>54770.5</v>
      </c>
      <c r="H97" s="83"/>
      <c r="I97" s="85">
        <f t="shared" ref="I97:I107" si="50">I96</f>
        <v>5732</v>
      </c>
      <c r="J97" s="86"/>
      <c r="K97" s="87"/>
      <c r="L97" s="85">
        <f t="shared" ref="L97:L107" si="51">L96</f>
        <v>541.5</v>
      </c>
      <c r="M97" s="86"/>
      <c r="N97" s="87"/>
      <c r="O97" s="85">
        <f t="shared" ref="O97:O107" si="52">O96</f>
        <v>2</v>
      </c>
      <c r="P97" s="83"/>
      <c r="Q97" s="85">
        <f t="shared" ref="Q97:Q107" si="53">Q96</f>
        <v>224</v>
      </c>
      <c r="R97" s="86"/>
      <c r="S97" s="88"/>
      <c r="T97" s="85">
        <f t="shared" ref="T97:T107" si="54">T96</f>
        <v>341.5</v>
      </c>
      <c r="U97" s="86"/>
      <c r="V97" s="87"/>
      <c r="W97" s="85">
        <f t="shared" ref="W97:W107" si="55">W96</f>
        <v>18334.5</v>
      </c>
      <c r="Y97" s="111"/>
      <c r="AA97" s="140"/>
      <c r="AB97" s="128"/>
      <c r="AE97" s="111"/>
      <c r="AF97" s="111"/>
      <c r="AH97" s="150"/>
      <c r="AI97" s="150"/>
    </row>
    <row r="98" spans="1:35" x14ac:dyDescent="0.2">
      <c r="A98" s="73">
        <v>2021</v>
      </c>
      <c r="B98" s="74" t="s">
        <v>69</v>
      </c>
      <c r="C98" s="82"/>
      <c r="D98" s="83">
        <v>98587575.805620015</v>
      </c>
      <c r="E98" s="83"/>
      <c r="F98" s="84"/>
      <c r="G98" s="85">
        <f t="shared" si="49"/>
        <v>54770.5</v>
      </c>
      <c r="H98" s="83"/>
      <c r="I98" s="85">
        <f t="shared" si="50"/>
        <v>5732</v>
      </c>
      <c r="J98" s="86"/>
      <c r="K98" s="87"/>
      <c r="L98" s="85">
        <f t="shared" si="51"/>
        <v>541.5</v>
      </c>
      <c r="M98" s="86"/>
      <c r="N98" s="87"/>
      <c r="O98" s="85">
        <f t="shared" si="52"/>
        <v>2</v>
      </c>
      <c r="P98" s="83"/>
      <c r="Q98" s="85">
        <f t="shared" si="53"/>
        <v>224</v>
      </c>
      <c r="R98" s="86"/>
      <c r="S98" s="88"/>
      <c r="T98" s="85">
        <f t="shared" si="54"/>
        <v>341.5</v>
      </c>
      <c r="U98" s="86"/>
      <c r="V98" s="87"/>
      <c r="W98" s="85">
        <f t="shared" si="55"/>
        <v>18334.5</v>
      </c>
      <c r="Y98" s="111"/>
      <c r="AA98" s="140"/>
      <c r="AB98" s="128"/>
      <c r="AE98" s="111"/>
      <c r="AF98" s="111"/>
      <c r="AH98" s="150"/>
      <c r="AI98" s="150"/>
    </row>
    <row r="99" spans="1:35" x14ac:dyDescent="0.2">
      <c r="A99" s="73">
        <v>2021</v>
      </c>
      <c r="B99" s="74" t="s">
        <v>70</v>
      </c>
      <c r="C99" s="82"/>
      <c r="D99" s="83">
        <v>88565909.468879998</v>
      </c>
      <c r="E99" s="83"/>
      <c r="F99" s="84"/>
      <c r="G99" s="85">
        <f t="shared" si="49"/>
        <v>54770.5</v>
      </c>
      <c r="H99" s="83"/>
      <c r="I99" s="85">
        <f t="shared" si="50"/>
        <v>5732</v>
      </c>
      <c r="J99" s="86"/>
      <c r="K99" s="87"/>
      <c r="L99" s="85">
        <f t="shared" si="51"/>
        <v>541.5</v>
      </c>
      <c r="M99" s="86"/>
      <c r="N99" s="87"/>
      <c r="O99" s="85">
        <f t="shared" si="52"/>
        <v>2</v>
      </c>
      <c r="P99" s="83"/>
      <c r="Q99" s="85">
        <f t="shared" si="53"/>
        <v>224</v>
      </c>
      <c r="R99" s="86"/>
      <c r="S99" s="88"/>
      <c r="T99" s="85">
        <f t="shared" si="54"/>
        <v>341.5</v>
      </c>
      <c r="U99" s="86"/>
      <c r="V99" s="87"/>
      <c r="W99" s="85">
        <f t="shared" si="55"/>
        <v>18334.5</v>
      </c>
      <c r="Y99" s="111"/>
      <c r="AA99" s="140"/>
      <c r="AB99" s="128"/>
      <c r="AE99" s="111"/>
      <c r="AF99" s="111"/>
      <c r="AH99" s="150"/>
      <c r="AI99" s="150"/>
    </row>
    <row r="100" spans="1:35" x14ac:dyDescent="0.2">
      <c r="A100" s="73">
        <v>2021</v>
      </c>
      <c r="B100" s="74" t="s">
        <v>43</v>
      </c>
      <c r="C100" s="82"/>
      <c r="D100" s="83">
        <v>93367567.454999998</v>
      </c>
      <c r="E100" s="83"/>
      <c r="F100" s="84"/>
      <c r="G100" s="85">
        <f t="shared" si="49"/>
        <v>54770.5</v>
      </c>
      <c r="H100" s="83"/>
      <c r="I100" s="85">
        <f t="shared" si="50"/>
        <v>5732</v>
      </c>
      <c r="J100" s="86"/>
      <c r="K100" s="87"/>
      <c r="L100" s="85">
        <f t="shared" si="51"/>
        <v>541.5</v>
      </c>
      <c r="M100" s="86"/>
      <c r="N100" s="87"/>
      <c r="O100" s="85">
        <f t="shared" si="52"/>
        <v>2</v>
      </c>
      <c r="P100" s="83"/>
      <c r="Q100" s="85">
        <f t="shared" si="53"/>
        <v>224</v>
      </c>
      <c r="R100" s="86"/>
      <c r="S100" s="88"/>
      <c r="T100" s="85">
        <f t="shared" si="54"/>
        <v>341.5</v>
      </c>
      <c r="U100" s="86"/>
      <c r="V100" s="87"/>
      <c r="W100" s="85">
        <f t="shared" si="55"/>
        <v>18334.5</v>
      </c>
      <c r="Y100" s="111"/>
      <c r="AA100" s="140"/>
      <c r="AB100" s="128"/>
      <c r="AE100" s="111"/>
      <c r="AF100" s="111"/>
      <c r="AH100" s="150"/>
      <c r="AI100" s="150"/>
    </row>
    <row r="101" spans="1:35" x14ac:dyDescent="0.2">
      <c r="A101" s="73">
        <v>2021</v>
      </c>
      <c r="B101" s="74" t="s">
        <v>71</v>
      </c>
      <c r="C101" s="82"/>
      <c r="D101" s="83">
        <v>113508662.69369999</v>
      </c>
      <c r="E101" s="83"/>
      <c r="F101" s="84"/>
      <c r="G101" s="85">
        <f t="shared" si="49"/>
        <v>54770.5</v>
      </c>
      <c r="H101" s="83"/>
      <c r="I101" s="85">
        <f t="shared" si="50"/>
        <v>5732</v>
      </c>
      <c r="J101" s="86"/>
      <c r="K101" s="87"/>
      <c r="L101" s="85">
        <f t="shared" si="51"/>
        <v>541.5</v>
      </c>
      <c r="M101" s="86"/>
      <c r="N101" s="87"/>
      <c r="O101" s="85">
        <f t="shared" si="52"/>
        <v>2</v>
      </c>
      <c r="P101" s="83"/>
      <c r="Q101" s="85">
        <f t="shared" si="53"/>
        <v>224</v>
      </c>
      <c r="R101" s="86"/>
      <c r="S101" s="88"/>
      <c r="T101" s="85">
        <f t="shared" si="54"/>
        <v>341.5</v>
      </c>
      <c r="U101" s="86"/>
      <c r="V101" s="87"/>
      <c r="W101" s="85">
        <f t="shared" si="55"/>
        <v>18334.5</v>
      </c>
      <c r="Y101" s="111"/>
      <c r="AA101" s="140"/>
      <c r="AB101" s="128"/>
      <c r="AE101" s="111"/>
      <c r="AF101" s="111"/>
      <c r="AH101" s="150"/>
      <c r="AI101" s="150"/>
    </row>
    <row r="102" spans="1:35" x14ac:dyDescent="0.2">
      <c r="A102" s="73">
        <v>2021</v>
      </c>
      <c r="B102" s="74" t="s">
        <v>72</v>
      </c>
      <c r="C102" s="82"/>
      <c r="D102" s="83">
        <v>117927718.07169999</v>
      </c>
      <c r="E102" s="83"/>
      <c r="F102" s="84"/>
      <c r="G102" s="85">
        <f t="shared" si="49"/>
        <v>54770.5</v>
      </c>
      <c r="H102" s="83"/>
      <c r="I102" s="85">
        <f t="shared" si="50"/>
        <v>5732</v>
      </c>
      <c r="J102" s="86"/>
      <c r="K102" s="87"/>
      <c r="L102" s="85">
        <f t="shared" si="51"/>
        <v>541.5</v>
      </c>
      <c r="M102" s="86"/>
      <c r="N102" s="87"/>
      <c r="O102" s="85">
        <f t="shared" si="52"/>
        <v>2</v>
      </c>
      <c r="P102" s="83"/>
      <c r="Q102" s="85">
        <f t="shared" si="53"/>
        <v>224</v>
      </c>
      <c r="R102" s="86"/>
      <c r="S102" s="88"/>
      <c r="T102" s="85">
        <f t="shared" si="54"/>
        <v>341.5</v>
      </c>
      <c r="U102" s="86"/>
      <c r="V102" s="87"/>
      <c r="W102" s="85">
        <f t="shared" si="55"/>
        <v>18334.5</v>
      </c>
      <c r="Y102" s="111"/>
      <c r="AA102" s="140"/>
      <c r="AB102" s="128"/>
      <c r="AE102" s="111"/>
      <c r="AF102" s="111"/>
      <c r="AH102" s="150"/>
      <c r="AI102" s="150"/>
    </row>
    <row r="103" spans="1:35" x14ac:dyDescent="0.2">
      <c r="A103" s="73">
        <v>2021</v>
      </c>
      <c r="B103" s="74" t="s">
        <v>73</v>
      </c>
      <c r="C103" s="82"/>
      <c r="D103" s="83">
        <v>130508463.65386</v>
      </c>
      <c r="E103" s="83"/>
      <c r="F103" s="84"/>
      <c r="G103" s="85">
        <f t="shared" si="49"/>
        <v>54770.5</v>
      </c>
      <c r="H103" s="83"/>
      <c r="I103" s="85">
        <f t="shared" si="50"/>
        <v>5732</v>
      </c>
      <c r="J103" s="86"/>
      <c r="K103" s="87"/>
      <c r="L103" s="85">
        <f t="shared" si="51"/>
        <v>541.5</v>
      </c>
      <c r="M103" s="86"/>
      <c r="N103" s="87"/>
      <c r="O103" s="85">
        <f t="shared" si="52"/>
        <v>2</v>
      </c>
      <c r="P103" s="83"/>
      <c r="Q103" s="85">
        <f t="shared" si="53"/>
        <v>224</v>
      </c>
      <c r="R103" s="86"/>
      <c r="S103" s="88"/>
      <c r="T103" s="85">
        <f t="shared" si="54"/>
        <v>341.5</v>
      </c>
      <c r="U103" s="86"/>
      <c r="V103" s="87"/>
      <c r="W103" s="85">
        <f t="shared" si="55"/>
        <v>18334.5</v>
      </c>
      <c r="Y103" s="111"/>
      <c r="AA103" s="140"/>
      <c r="AB103" s="128"/>
      <c r="AE103" s="111"/>
      <c r="AF103" s="111"/>
      <c r="AH103" s="150"/>
      <c r="AI103" s="150"/>
    </row>
    <row r="104" spans="1:35" x14ac:dyDescent="0.2">
      <c r="A104" s="73">
        <v>2021</v>
      </c>
      <c r="B104" s="74" t="s">
        <v>74</v>
      </c>
      <c r="C104" s="82"/>
      <c r="D104" s="83">
        <v>102665813.36771999</v>
      </c>
      <c r="E104" s="83"/>
      <c r="F104" s="84"/>
      <c r="G104" s="85">
        <f t="shared" si="49"/>
        <v>54770.5</v>
      </c>
      <c r="H104" s="83"/>
      <c r="I104" s="85">
        <f t="shared" si="50"/>
        <v>5732</v>
      </c>
      <c r="J104" s="86"/>
      <c r="K104" s="87"/>
      <c r="L104" s="85">
        <f t="shared" si="51"/>
        <v>541.5</v>
      </c>
      <c r="M104" s="86"/>
      <c r="N104" s="87"/>
      <c r="O104" s="85">
        <f t="shared" si="52"/>
        <v>2</v>
      </c>
      <c r="P104" s="83"/>
      <c r="Q104" s="85">
        <f t="shared" si="53"/>
        <v>224</v>
      </c>
      <c r="R104" s="86"/>
      <c r="S104" s="88"/>
      <c r="T104" s="85">
        <f t="shared" si="54"/>
        <v>341.5</v>
      </c>
      <c r="U104" s="86"/>
      <c r="V104" s="87"/>
      <c r="W104" s="85">
        <f t="shared" si="55"/>
        <v>18334.5</v>
      </c>
      <c r="Y104" s="111"/>
      <c r="AA104" s="140"/>
      <c r="AB104" s="128"/>
      <c r="AE104" s="111"/>
      <c r="AF104" s="111"/>
      <c r="AH104" s="150"/>
      <c r="AI104" s="150"/>
    </row>
    <row r="105" spans="1:35" x14ac:dyDescent="0.2">
      <c r="A105" s="73">
        <v>2021</v>
      </c>
      <c r="B105" s="74" t="s">
        <v>75</v>
      </c>
      <c r="C105" s="82"/>
      <c r="D105" s="83">
        <v>97643894.774719983</v>
      </c>
      <c r="E105" s="83"/>
      <c r="F105" s="84"/>
      <c r="G105" s="85">
        <f t="shared" si="49"/>
        <v>54770.5</v>
      </c>
      <c r="H105" s="83"/>
      <c r="I105" s="85">
        <f t="shared" si="50"/>
        <v>5732</v>
      </c>
      <c r="J105" s="86"/>
      <c r="K105" s="87"/>
      <c r="L105" s="85">
        <f t="shared" si="51"/>
        <v>541.5</v>
      </c>
      <c r="M105" s="86"/>
      <c r="N105" s="87"/>
      <c r="O105" s="85">
        <f t="shared" si="52"/>
        <v>2</v>
      </c>
      <c r="P105" s="83"/>
      <c r="Q105" s="85">
        <f t="shared" si="53"/>
        <v>224</v>
      </c>
      <c r="R105" s="86"/>
      <c r="S105" s="88"/>
      <c r="T105" s="85">
        <f t="shared" si="54"/>
        <v>341.5</v>
      </c>
      <c r="U105" s="86"/>
      <c r="V105" s="87"/>
      <c r="W105" s="85">
        <f t="shared" si="55"/>
        <v>18334.5</v>
      </c>
      <c r="Y105" s="111"/>
      <c r="AA105" s="140"/>
      <c r="AB105" s="128"/>
      <c r="AE105" s="111"/>
      <c r="AF105" s="111"/>
      <c r="AH105" s="150"/>
      <c r="AI105" s="150"/>
    </row>
    <row r="106" spans="1:35" x14ac:dyDescent="0.2">
      <c r="A106" s="73">
        <v>2021</v>
      </c>
      <c r="B106" s="74" t="s">
        <v>76</v>
      </c>
      <c r="C106" s="82"/>
      <c r="D106" s="83">
        <v>98863391.719999999</v>
      </c>
      <c r="E106" s="83"/>
      <c r="F106" s="84"/>
      <c r="G106" s="85">
        <f t="shared" si="49"/>
        <v>54770.5</v>
      </c>
      <c r="H106" s="83"/>
      <c r="I106" s="85">
        <f t="shared" si="50"/>
        <v>5732</v>
      </c>
      <c r="J106" s="86"/>
      <c r="K106" s="87"/>
      <c r="L106" s="85">
        <f t="shared" si="51"/>
        <v>541.5</v>
      </c>
      <c r="M106" s="86"/>
      <c r="N106" s="87"/>
      <c r="O106" s="85">
        <f t="shared" si="52"/>
        <v>2</v>
      </c>
      <c r="P106" s="83"/>
      <c r="Q106" s="85">
        <f t="shared" si="53"/>
        <v>224</v>
      </c>
      <c r="R106" s="86"/>
      <c r="S106" s="88"/>
      <c r="T106" s="85">
        <f t="shared" si="54"/>
        <v>341.5</v>
      </c>
      <c r="U106" s="86"/>
      <c r="V106" s="87"/>
      <c r="W106" s="85">
        <f t="shared" si="55"/>
        <v>18334.5</v>
      </c>
      <c r="Y106" s="111"/>
      <c r="AA106" s="140"/>
      <c r="AB106" s="128"/>
      <c r="AE106" s="111"/>
      <c r="AF106" s="111"/>
      <c r="AH106" s="150"/>
      <c r="AI106" s="150"/>
    </row>
    <row r="107" spans="1:35" x14ac:dyDescent="0.2">
      <c r="A107" s="73">
        <v>2021</v>
      </c>
      <c r="B107" s="74" t="s">
        <v>77</v>
      </c>
      <c r="C107" s="82"/>
      <c r="D107" s="83">
        <v>104617631.75</v>
      </c>
      <c r="E107" s="83"/>
      <c r="F107" s="84">
        <v>447806289</v>
      </c>
      <c r="G107" s="85">
        <f t="shared" si="49"/>
        <v>54770.5</v>
      </c>
      <c r="H107" s="83">
        <v>153599300</v>
      </c>
      <c r="I107" s="85">
        <f t="shared" si="50"/>
        <v>5732</v>
      </c>
      <c r="J107" s="86">
        <v>509952255.57999998</v>
      </c>
      <c r="K107" s="87">
        <v>1369361.6800000002</v>
      </c>
      <c r="L107" s="85">
        <f t="shared" si="51"/>
        <v>541.5</v>
      </c>
      <c r="M107" s="86">
        <v>81637911.159999996</v>
      </c>
      <c r="N107" s="87">
        <v>189298.78</v>
      </c>
      <c r="O107" s="85">
        <f t="shared" si="52"/>
        <v>2</v>
      </c>
      <c r="P107" s="83">
        <v>1247052</v>
      </c>
      <c r="Q107" s="85">
        <f t="shared" si="53"/>
        <v>224</v>
      </c>
      <c r="R107" s="86">
        <v>357348</v>
      </c>
      <c r="S107" s="88">
        <v>860</v>
      </c>
      <c r="T107" s="85">
        <f t="shared" si="54"/>
        <v>341.5</v>
      </c>
      <c r="U107" s="86">
        <v>5360221</v>
      </c>
      <c r="V107" s="87">
        <v>15533</v>
      </c>
      <c r="W107" s="85">
        <f t="shared" si="55"/>
        <v>18334.5</v>
      </c>
      <c r="X107" s="111"/>
      <c r="Y107" s="111"/>
      <c r="AA107" s="140"/>
      <c r="AB107" s="128"/>
      <c r="AE107" s="111"/>
      <c r="AF107" s="111"/>
      <c r="AH107" s="150"/>
      <c r="AI107" s="151"/>
    </row>
    <row r="108" spans="1:35" x14ac:dyDescent="0.2">
      <c r="A108" s="73">
        <v>2022</v>
      </c>
      <c r="B108" s="74" t="s">
        <v>67</v>
      </c>
      <c r="C108" s="82"/>
      <c r="D108" s="76">
        <v>115048969.70999999</v>
      </c>
      <c r="E108" s="76"/>
      <c r="F108" s="77"/>
      <c r="G108" s="78">
        <v>55652</v>
      </c>
      <c r="H108" s="76"/>
      <c r="I108" s="78">
        <v>5798.5</v>
      </c>
      <c r="J108" s="79"/>
      <c r="K108" s="80"/>
      <c r="L108" s="78">
        <v>521</v>
      </c>
      <c r="M108" s="79"/>
      <c r="N108" s="80"/>
      <c r="O108" s="78">
        <v>3</v>
      </c>
      <c r="P108" s="76"/>
      <c r="Q108" s="78">
        <v>224</v>
      </c>
      <c r="R108" s="79"/>
      <c r="S108" s="81"/>
      <c r="T108" s="78">
        <v>323</v>
      </c>
      <c r="U108" s="79"/>
      <c r="V108" s="80"/>
      <c r="W108" s="78">
        <v>18584.5</v>
      </c>
      <c r="Y108" s="111"/>
      <c r="AA108" s="140"/>
      <c r="AB108" s="128"/>
      <c r="AE108" s="111"/>
      <c r="AF108" s="111"/>
      <c r="AH108" s="150"/>
      <c r="AI108" s="150"/>
    </row>
    <row r="109" spans="1:35" x14ac:dyDescent="0.2">
      <c r="A109" s="73">
        <v>2022</v>
      </c>
      <c r="B109" s="74" t="s">
        <v>68</v>
      </c>
      <c r="C109" s="82"/>
      <c r="D109" s="83">
        <v>103279027.06999999</v>
      </c>
      <c r="E109" s="83"/>
      <c r="F109" s="84"/>
      <c r="G109" s="85">
        <f t="shared" ref="G109:G119" si="56">G108</f>
        <v>55652</v>
      </c>
      <c r="H109" s="83"/>
      <c r="I109" s="85">
        <f t="shared" ref="I109:I119" si="57">I108</f>
        <v>5798.5</v>
      </c>
      <c r="J109" s="86"/>
      <c r="K109" s="87"/>
      <c r="L109" s="85">
        <f t="shared" ref="L109:L119" si="58">L108</f>
        <v>521</v>
      </c>
      <c r="M109" s="86"/>
      <c r="N109" s="87"/>
      <c r="O109" s="85">
        <f t="shared" ref="O109:O119" si="59">O108</f>
        <v>3</v>
      </c>
      <c r="P109" s="83"/>
      <c r="Q109" s="85">
        <f t="shared" ref="Q109:Q119" si="60">Q108</f>
        <v>224</v>
      </c>
      <c r="R109" s="86"/>
      <c r="S109" s="88"/>
      <c r="T109" s="85">
        <f t="shared" ref="T109:T119" si="61">T108</f>
        <v>323</v>
      </c>
      <c r="U109" s="86"/>
      <c r="V109" s="87"/>
      <c r="W109" s="85">
        <f t="shared" ref="W109:W119" si="62">W108</f>
        <v>18584.5</v>
      </c>
      <c r="Y109" s="111"/>
      <c r="AA109" s="140"/>
      <c r="AB109" s="128"/>
      <c r="AE109" s="111"/>
      <c r="AF109" s="111"/>
      <c r="AH109" s="150"/>
      <c r="AI109" s="150"/>
    </row>
    <row r="110" spans="1:35" x14ac:dyDescent="0.2">
      <c r="A110" s="73">
        <v>2022</v>
      </c>
      <c r="B110" s="74" t="s">
        <v>69</v>
      </c>
      <c r="C110" s="82"/>
      <c r="D110" s="83">
        <v>106094515.68000001</v>
      </c>
      <c r="E110" s="83"/>
      <c r="F110" s="84"/>
      <c r="G110" s="85">
        <f t="shared" si="56"/>
        <v>55652</v>
      </c>
      <c r="H110" s="83"/>
      <c r="I110" s="85">
        <f t="shared" si="57"/>
        <v>5798.5</v>
      </c>
      <c r="J110" s="86"/>
      <c r="K110" s="87"/>
      <c r="L110" s="85">
        <f t="shared" si="58"/>
        <v>521</v>
      </c>
      <c r="M110" s="86"/>
      <c r="N110" s="87"/>
      <c r="O110" s="85">
        <f t="shared" si="59"/>
        <v>3</v>
      </c>
      <c r="P110" s="83"/>
      <c r="Q110" s="85">
        <f t="shared" si="60"/>
        <v>224</v>
      </c>
      <c r="R110" s="86"/>
      <c r="S110" s="88"/>
      <c r="T110" s="85">
        <f t="shared" si="61"/>
        <v>323</v>
      </c>
      <c r="U110" s="86"/>
      <c r="V110" s="87"/>
      <c r="W110" s="85">
        <f t="shared" si="62"/>
        <v>18584.5</v>
      </c>
      <c r="Y110" s="111"/>
      <c r="AA110" s="140"/>
      <c r="AB110" s="128"/>
      <c r="AE110" s="111"/>
      <c r="AF110" s="111"/>
      <c r="AH110" s="150"/>
      <c r="AI110" s="150"/>
    </row>
    <row r="111" spans="1:35" x14ac:dyDescent="0.2">
      <c r="A111" s="73">
        <v>2022</v>
      </c>
      <c r="B111" s="74" t="s">
        <v>70</v>
      </c>
      <c r="C111" s="82"/>
      <c r="D111" s="83">
        <v>93143888.519999996</v>
      </c>
      <c r="E111" s="83"/>
      <c r="F111" s="84"/>
      <c r="G111" s="85">
        <f t="shared" si="56"/>
        <v>55652</v>
      </c>
      <c r="H111" s="83"/>
      <c r="I111" s="85">
        <f t="shared" si="57"/>
        <v>5798.5</v>
      </c>
      <c r="J111" s="86"/>
      <c r="K111" s="87"/>
      <c r="L111" s="85">
        <f t="shared" si="58"/>
        <v>521</v>
      </c>
      <c r="M111" s="86"/>
      <c r="N111" s="87"/>
      <c r="O111" s="85">
        <f t="shared" si="59"/>
        <v>3</v>
      </c>
      <c r="P111" s="83"/>
      <c r="Q111" s="85">
        <f t="shared" si="60"/>
        <v>224</v>
      </c>
      <c r="R111" s="86"/>
      <c r="S111" s="88"/>
      <c r="T111" s="85">
        <f t="shared" si="61"/>
        <v>323</v>
      </c>
      <c r="U111" s="86"/>
      <c r="V111" s="87"/>
      <c r="W111" s="85">
        <f t="shared" si="62"/>
        <v>18584.5</v>
      </c>
      <c r="Y111" s="111"/>
      <c r="AA111" s="140"/>
      <c r="AB111" s="128"/>
      <c r="AE111" s="111"/>
      <c r="AF111" s="111"/>
      <c r="AH111" s="150"/>
      <c r="AI111" s="150"/>
    </row>
    <row r="112" spans="1:35" x14ac:dyDescent="0.2">
      <c r="A112" s="73">
        <v>2022</v>
      </c>
      <c r="B112" s="74" t="s">
        <v>43</v>
      </c>
      <c r="C112" s="82"/>
      <c r="D112" s="83">
        <v>97889856.38000001</v>
      </c>
      <c r="E112" s="83"/>
      <c r="F112" s="84"/>
      <c r="G112" s="85">
        <f t="shared" si="56"/>
        <v>55652</v>
      </c>
      <c r="H112" s="83"/>
      <c r="I112" s="85">
        <f t="shared" si="57"/>
        <v>5798.5</v>
      </c>
      <c r="J112" s="86"/>
      <c r="K112" s="87"/>
      <c r="L112" s="85">
        <f t="shared" si="58"/>
        <v>521</v>
      </c>
      <c r="M112" s="86"/>
      <c r="N112" s="87"/>
      <c r="O112" s="85">
        <f t="shared" si="59"/>
        <v>3</v>
      </c>
      <c r="P112" s="83"/>
      <c r="Q112" s="85">
        <f t="shared" si="60"/>
        <v>224</v>
      </c>
      <c r="R112" s="86"/>
      <c r="S112" s="88"/>
      <c r="T112" s="85">
        <f t="shared" si="61"/>
        <v>323</v>
      </c>
      <c r="U112" s="86"/>
      <c r="V112" s="87"/>
      <c r="W112" s="85">
        <f t="shared" si="62"/>
        <v>18584.5</v>
      </c>
      <c r="Y112" s="111"/>
      <c r="AA112" s="140"/>
      <c r="AB112" s="128"/>
      <c r="AE112" s="111"/>
      <c r="AF112" s="111"/>
      <c r="AH112" s="150"/>
      <c r="AI112" s="150"/>
    </row>
    <row r="113" spans="1:35" x14ac:dyDescent="0.2">
      <c r="A113" s="73">
        <v>2022</v>
      </c>
      <c r="B113" s="74" t="s">
        <v>71</v>
      </c>
      <c r="C113" s="82"/>
      <c r="D113" s="83">
        <v>109702407.65000001</v>
      </c>
      <c r="E113" s="83"/>
      <c r="F113" s="84"/>
      <c r="G113" s="85">
        <f t="shared" si="56"/>
        <v>55652</v>
      </c>
      <c r="H113" s="83"/>
      <c r="I113" s="85">
        <f t="shared" si="57"/>
        <v>5798.5</v>
      </c>
      <c r="J113" s="86"/>
      <c r="K113" s="87"/>
      <c r="L113" s="85">
        <f t="shared" si="58"/>
        <v>521</v>
      </c>
      <c r="M113" s="86"/>
      <c r="N113" s="87"/>
      <c r="O113" s="85">
        <f t="shared" si="59"/>
        <v>3</v>
      </c>
      <c r="P113" s="83"/>
      <c r="Q113" s="85">
        <f t="shared" si="60"/>
        <v>224</v>
      </c>
      <c r="R113" s="86"/>
      <c r="S113" s="88"/>
      <c r="T113" s="85">
        <f t="shared" si="61"/>
        <v>323</v>
      </c>
      <c r="U113" s="86"/>
      <c r="V113" s="87"/>
      <c r="W113" s="85">
        <f t="shared" si="62"/>
        <v>18584.5</v>
      </c>
      <c r="Y113" s="111"/>
      <c r="AA113" s="140"/>
      <c r="AB113" s="128"/>
      <c r="AE113" s="111"/>
      <c r="AF113" s="111"/>
      <c r="AH113" s="150"/>
      <c r="AI113" s="150"/>
    </row>
    <row r="114" spans="1:35" x14ac:dyDescent="0.2">
      <c r="A114" s="73">
        <v>2022</v>
      </c>
      <c r="B114" s="74" t="s">
        <v>72</v>
      </c>
      <c r="C114" s="82"/>
      <c r="D114" s="83">
        <v>124312236.88</v>
      </c>
      <c r="E114" s="83"/>
      <c r="F114" s="84"/>
      <c r="G114" s="85">
        <f t="shared" si="56"/>
        <v>55652</v>
      </c>
      <c r="H114" s="83"/>
      <c r="I114" s="85">
        <f t="shared" si="57"/>
        <v>5798.5</v>
      </c>
      <c r="J114" s="86"/>
      <c r="K114" s="87"/>
      <c r="L114" s="85">
        <f t="shared" si="58"/>
        <v>521</v>
      </c>
      <c r="M114" s="86"/>
      <c r="N114" s="87"/>
      <c r="O114" s="85">
        <f t="shared" si="59"/>
        <v>3</v>
      </c>
      <c r="P114" s="83"/>
      <c r="Q114" s="85">
        <f t="shared" si="60"/>
        <v>224</v>
      </c>
      <c r="R114" s="86"/>
      <c r="S114" s="88"/>
      <c r="T114" s="85">
        <f t="shared" si="61"/>
        <v>323</v>
      </c>
      <c r="U114" s="86"/>
      <c r="V114" s="87"/>
      <c r="W114" s="85">
        <f t="shared" si="62"/>
        <v>18584.5</v>
      </c>
      <c r="Y114" s="111"/>
      <c r="AA114" s="140"/>
      <c r="AB114" s="128"/>
      <c r="AE114" s="111"/>
      <c r="AF114" s="111"/>
      <c r="AH114" s="150"/>
      <c r="AI114" s="150"/>
    </row>
    <row r="115" spans="1:35" x14ac:dyDescent="0.2">
      <c r="A115" s="73">
        <v>2022</v>
      </c>
      <c r="B115" s="74" t="s">
        <v>73</v>
      </c>
      <c r="C115" s="82"/>
      <c r="D115" s="83">
        <v>126147600.72</v>
      </c>
      <c r="E115" s="83"/>
      <c r="F115" s="84"/>
      <c r="G115" s="85">
        <f t="shared" si="56"/>
        <v>55652</v>
      </c>
      <c r="H115" s="83"/>
      <c r="I115" s="85">
        <f t="shared" si="57"/>
        <v>5798.5</v>
      </c>
      <c r="J115" s="86"/>
      <c r="K115" s="87"/>
      <c r="L115" s="85">
        <f t="shared" si="58"/>
        <v>521</v>
      </c>
      <c r="M115" s="86"/>
      <c r="N115" s="87"/>
      <c r="O115" s="85">
        <f t="shared" si="59"/>
        <v>3</v>
      </c>
      <c r="P115" s="83"/>
      <c r="Q115" s="85">
        <f t="shared" si="60"/>
        <v>224</v>
      </c>
      <c r="R115" s="86"/>
      <c r="S115" s="88"/>
      <c r="T115" s="85">
        <f t="shared" si="61"/>
        <v>323</v>
      </c>
      <c r="U115" s="86"/>
      <c r="V115" s="87"/>
      <c r="W115" s="85">
        <f t="shared" si="62"/>
        <v>18584.5</v>
      </c>
      <c r="Y115" s="111"/>
      <c r="AA115" s="140"/>
      <c r="AB115" s="128"/>
      <c r="AE115" s="111"/>
      <c r="AF115" s="111"/>
      <c r="AH115" s="150"/>
      <c r="AI115" s="150"/>
    </row>
    <row r="116" spans="1:35" x14ac:dyDescent="0.2">
      <c r="A116" s="73">
        <v>2022</v>
      </c>
      <c r="B116" s="74" t="s">
        <v>74</v>
      </c>
      <c r="C116" s="82"/>
      <c r="D116" s="83">
        <v>108217059.48999999</v>
      </c>
      <c r="E116" s="83"/>
      <c r="F116" s="84"/>
      <c r="G116" s="85">
        <f t="shared" si="56"/>
        <v>55652</v>
      </c>
      <c r="H116" s="83"/>
      <c r="I116" s="85">
        <f t="shared" si="57"/>
        <v>5798.5</v>
      </c>
      <c r="J116" s="86"/>
      <c r="K116" s="87"/>
      <c r="L116" s="85">
        <f t="shared" si="58"/>
        <v>521</v>
      </c>
      <c r="M116" s="86"/>
      <c r="N116" s="87"/>
      <c r="O116" s="85">
        <f t="shared" si="59"/>
        <v>3</v>
      </c>
      <c r="P116" s="83"/>
      <c r="Q116" s="85">
        <f t="shared" si="60"/>
        <v>224</v>
      </c>
      <c r="R116" s="86"/>
      <c r="S116" s="88"/>
      <c r="T116" s="85">
        <f t="shared" si="61"/>
        <v>323</v>
      </c>
      <c r="U116" s="86"/>
      <c r="V116" s="87"/>
      <c r="W116" s="85">
        <f t="shared" si="62"/>
        <v>18584.5</v>
      </c>
      <c r="Y116" s="111"/>
      <c r="AA116" s="140"/>
      <c r="AB116" s="128"/>
      <c r="AE116" s="111"/>
      <c r="AF116" s="111"/>
      <c r="AH116" s="150"/>
      <c r="AI116" s="150"/>
    </row>
    <row r="117" spans="1:35" x14ac:dyDescent="0.2">
      <c r="A117" s="73">
        <v>2022</v>
      </c>
      <c r="B117" s="74" t="s">
        <v>75</v>
      </c>
      <c r="C117" s="82"/>
      <c r="D117" s="83">
        <v>98159215.599999994</v>
      </c>
      <c r="E117" s="83"/>
      <c r="F117" s="84"/>
      <c r="G117" s="85">
        <f t="shared" si="56"/>
        <v>55652</v>
      </c>
      <c r="H117" s="83"/>
      <c r="I117" s="85">
        <f t="shared" si="57"/>
        <v>5798.5</v>
      </c>
      <c r="J117" s="86"/>
      <c r="K117" s="87"/>
      <c r="L117" s="85">
        <f t="shared" si="58"/>
        <v>521</v>
      </c>
      <c r="M117" s="86"/>
      <c r="N117" s="87"/>
      <c r="O117" s="85">
        <f t="shared" si="59"/>
        <v>3</v>
      </c>
      <c r="P117" s="83"/>
      <c r="Q117" s="85">
        <f t="shared" si="60"/>
        <v>224</v>
      </c>
      <c r="R117" s="86"/>
      <c r="S117" s="88"/>
      <c r="T117" s="85">
        <f t="shared" si="61"/>
        <v>323</v>
      </c>
      <c r="U117" s="86"/>
      <c r="V117" s="87"/>
      <c r="W117" s="85">
        <f t="shared" si="62"/>
        <v>18584.5</v>
      </c>
      <c r="Y117" s="111"/>
      <c r="AA117" s="140"/>
      <c r="AB117" s="128"/>
      <c r="AE117" s="111"/>
      <c r="AF117" s="111"/>
      <c r="AH117" s="150"/>
      <c r="AI117" s="150"/>
    </row>
    <row r="118" spans="1:35" x14ac:dyDescent="0.2">
      <c r="A118" s="73">
        <v>2022</v>
      </c>
      <c r="B118" s="74" t="s">
        <v>76</v>
      </c>
      <c r="C118" s="82"/>
      <c r="D118" s="83">
        <v>101487092.63</v>
      </c>
      <c r="E118" s="83"/>
      <c r="F118" s="84"/>
      <c r="G118" s="85">
        <f t="shared" si="56"/>
        <v>55652</v>
      </c>
      <c r="H118" s="83"/>
      <c r="I118" s="85">
        <f t="shared" si="57"/>
        <v>5798.5</v>
      </c>
      <c r="J118" s="86"/>
      <c r="K118" s="87"/>
      <c r="L118" s="85">
        <f t="shared" si="58"/>
        <v>521</v>
      </c>
      <c r="M118" s="86"/>
      <c r="N118" s="87"/>
      <c r="O118" s="85">
        <f t="shared" si="59"/>
        <v>3</v>
      </c>
      <c r="P118" s="83"/>
      <c r="Q118" s="85">
        <f t="shared" si="60"/>
        <v>224</v>
      </c>
      <c r="R118" s="86"/>
      <c r="S118" s="88"/>
      <c r="T118" s="85">
        <f t="shared" si="61"/>
        <v>323</v>
      </c>
      <c r="U118" s="86"/>
      <c r="V118" s="87"/>
      <c r="W118" s="85">
        <f t="shared" si="62"/>
        <v>18584.5</v>
      </c>
      <c r="Y118" s="111"/>
      <c r="AA118" s="140"/>
      <c r="AB118" s="128"/>
      <c r="AE118" s="111"/>
      <c r="AF118" s="111"/>
      <c r="AH118" s="150"/>
      <c r="AI118" s="150"/>
    </row>
    <row r="119" spans="1:35" x14ac:dyDescent="0.2">
      <c r="A119" s="73">
        <v>2022</v>
      </c>
      <c r="B119" s="74" t="s">
        <v>77</v>
      </c>
      <c r="C119" s="82"/>
      <c r="D119" s="83">
        <v>107898869.66999999</v>
      </c>
      <c r="E119" s="83"/>
      <c r="F119" s="84">
        <v>447775679</v>
      </c>
      <c r="G119" s="85">
        <f t="shared" si="56"/>
        <v>55652</v>
      </c>
      <c r="H119" s="83">
        <v>158958811</v>
      </c>
      <c r="I119" s="85">
        <f t="shared" si="57"/>
        <v>5798.5</v>
      </c>
      <c r="J119" s="86">
        <v>527626633.36000001</v>
      </c>
      <c r="K119" s="87">
        <v>1416160.24</v>
      </c>
      <c r="L119" s="85">
        <f t="shared" si="58"/>
        <v>521</v>
      </c>
      <c r="M119" s="86">
        <v>101920233.49000001</v>
      </c>
      <c r="N119" s="87">
        <v>228226.57</v>
      </c>
      <c r="O119" s="85">
        <f t="shared" si="59"/>
        <v>3</v>
      </c>
      <c r="P119" s="83">
        <v>1247677</v>
      </c>
      <c r="Q119" s="85">
        <f t="shared" si="60"/>
        <v>224</v>
      </c>
      <c r="R119" s="86">
        <v>378834</v>
      </c>
      <c r="S119" s="88">
        <v>913</v>
      </c>
      <c r="T119" s="85">
        <f t="shared" si="61"/>
        <v>323</v>
      </c>
      <c r="U119" s="86">
        <v>5385057</v>
      </c>
      <c r="V119" s="87">
        <v>15621</v>
      </c>
      <c r="W119" s="85">
        <f t="shared" si="62"/>
        <v>18584.5</v>
      </c>
      <c r="X119" s="111"/>
      <c r="Y119" s="111"/>
      <c r="AA119" s="140"/>
      <c r="AB119" s="128"/>
      <c r="AE119" s="111"/>
      <c r="AF119" s="111"/>
      <c r="AH119" s="150"/>
      <c r="AI119" s="151"/>
    </row>
    <row r="120" spans="1:35" x14ac:dyDescent="0.2">
      <c r="A120" s="73">
        <v>2023</v>
      </c>
      <c r="B120" s="74" t="s">
        <v>67</v>
      </c>
      <c r="C120" s="82"/>
      <c r="D120" s="76">
        <v>109159973.71000001</v>
      </c>
      <c r="E120" s="76"/>
      <c r="F120" s="77"/>
      <c r="G120" s="78">
        <v>56302</v>
      </c>
      <c r="H120" s="76"/>
      <c r="I120" s="78">
        <v>5860</v>
      </c>
      <c r="J120" s="79"/>
      <c r="K120" s="80"/>
      <c r="L120" s="78">
        <v>512</v>
      </c>
      <c r="M120" s="79"/>
      <c r="N120" s="80"/>
      <c r="O120" s="78">
        <v>4</v>
      </c>
      <c r="P120" s="76"/>
      <c r="Q120" s="78">
        <v>224</v>
      </c>
      <c r="R120" s="79"/>
      <c r="S120" s="81"/>
      <c r="T120" s="78">
        <v>308</v>
      </c>
      <c r="U120" s="79"/>
      <c r="V120" s="80"/>
      <c r="W120" s="78">
        <v>18793</v>
      </c>
      <c r="Y120" s="111"/>
      <c r="AA120" s="140"/>
      <c r="AB120" s="128"/>
      <c r="AE120" s="111"/>
      <c r="AF120" s="111"/>
      <c r="AH120" s="150"/>
      <c r="AI120" s="150"/>
    </row>
    <row r="121" spans="1:35" x14ac:dyDescent="0.2">
      <c r="A121" s="73">
        <v>2023</v>
      </c>
      <c r="B121" s="74" t="s">
        <v>68</v>
      </c>
      <c r="C121" s="82"/>
      <c r="D121" s="83">
        <v>98764635.64000003</v>
      </c>
      <c r="E121" s="83"/>
      <c r="F121" s="84"/>
      <c r="G121" s="85">
        <f t="shared" ref="G121:G131" si="63">G120</f>
        <v>56302</v>
      </c>
      <c r="H121" s="83"/>
      <c r="I121" s="85">
        <f t="shared" ref="I121:I131" si="64">I120</f>
        <v>5860</v>
      </c>
      <c r="J121" s="86"/>
      <c r="K121" s="87"/>
      <c r="L121" s="85">
        <f t="shared" ref="L121:L131" si="65">L120</f>
        <v>512</v>
      </c>
      <c r="M121" s="86"/>
      <c r="N121" s="87"/>
      <c r="O121" s="85">
        <f t="shared" ref="O121:O131" si="66">O120</f>
        <v>4</v>
      </c>
      <c r="P121" s="83"/>
      <c r="Q121" s="85">
        <f t="shared" ref="Q121:Q131" si="67">Q120</f>
        <v>224</v>
      </c>
      <c r="R121" s="86"/>
      <c r="S121" s="88"/>
      <c r="T121" s="85">
        <f t="shared" ref="T121:T131" si="68">T120</f>
        <v>308</v>
      </c>
      <c r="U121" s="86"/>
      <c r="V121" s="87"/>
      <c r="W121" s="85">
        <f t="shared" ref="W121:W131" si="69">W120</f>
        <v>18793</v>
      </c>
      <c r="Y121" s="111"/>
      <c r="AA121" s="140"/>
      <c r="AB121" s="128"/>
      <c r="AE121" s="111"/>
      <c r="AF121" s="111"/>
      <c r="AH121" s="150"/>
      <c r="AI121" s="150"/>
    </row>
    <row r="122" spans="1:35" x14ac:dyDescent="0.2">
      <c r="A122" s="73">
        <v>2023</v>
      </c>
      <c r="B122" s="74" t="s">
        <v>69</v>
      </c>
      <c r="C122" s="82"/>
      <c r="D122" s="83">
        <v>105254657.88</v>
      </c>
      <c r="E122" s="83"/>
      <c r="F122" s="84"/>
      <c r="G122" s="85">
        <f t="shared" si="63"/>
        <v>56302</v>
      </c>
      <c r="H122" s="83"/>
      <c r="I122" s="85">
        <f t="shared" si="64"/>
        <v>5860</v>
      </c>
      <c r="J122" s="86"/>
      <c r="K122" s="87"/>
      <c r="L122" s="85">
        <f t="shared" si="65"/>
        <v>512</v>
      </c>
      <c r="M122" s="86"/>
      <c r="N122" s="87"/>
      <c r="O122" s="85">
        <f t="shared" si="66"/>
        <v>4</v>
      </c>
      <c r="P122" s="83"/>
      <c r="Q122" s="85">
        <f t="shared" si="67"/>
        <v>224</v>
      </c>
      <c r="R122" s="86"/>
      <c r="S122" s="88"/>
      <c r="T122" s="85">
        <f t="shared" si="68"/>
        <v>308</v>
      </c>
      <c r="U122" s="86"/>
      <c r="V122" s="87"/>
      <c r="W122" s="85">
        <f t="shared" si="69"/>
        <v>18793</v>
      </c>
      <c r="Y122" s="111"/>
      <c r="AA122" s="140"/>
      <c r="AB122" s="128"/>
      <c r="AE122" s="111"/>
      <c r="AF122" s="111"/>
      <c r="AH122" s="150"/>
      <c r="AI122" s="150"/>
    </row>
    <row r="123" spans="1:35" x14ac:dyDescent="0.2">
      <c r="A123" s="73">
        <v>2023</v>
      </c>
      <c r="B123" s="74" t="s">
        <v>70</v>
      </c>
      <c r="C123" s="82"/>
      <c r="D123" s="83">
        <v>93768436.560000002</v>
      </c>
      <c r="E123" s="83"/>
      <c r="F123" s="84"/>
      <c r="G123" s="85">
        <f t="shared" si="63"/>
        <v>56302</v>
      </c>
      <c r="H123" s="83"/>
      <c r="I123" s="85">
        <f t="shared" si="64"/>
        <v>5860</v>
      </c>
      <c r="J123" s="86"/>
      <c r="K123" s="87"/>
      <c r="L123" s="85">
        <f t="shared" si="65"/>
        <v>512</v>
      </c>
      <c r="M123" s="86"/>
      <c r="N123" s="87"/>
      <c r="O123" s="85">
        <f t="shared" si="66"/>
        <v>4</v>
      </c>
      <c r="P123" s="83"/>
      <c r="Q123" s="85">
        <f t="shared" si="67"/>
        <v>224</v>
      </c>
      <c r="R123" s="86"/>
      <c r="S123" s="88"/>
      <c r="T123" s="85">
        <f t="shared" si="68"/>
        <v>308</v>
      </c>
      <c r="U123" s="86"/>
      <c r="V123" s="87"/>
      <c r="W123" s="85">
        <f t="shared" si="69"/>
        <v>18793</v>
      </c>
      <c r="Y123" s="111"/>
      <c r="AA123" s="140"/>
      <c r="AB123" s="128"/>
      <c r="AE123" s="111"/>
      <c r="AF123" s="111"/>
      <c r="AH123" s="150"/>
      <c r="AI123" s="150"/>
    </row>
    <row r="124" spans="1:35" x14ac:dyDescent="0.2">
      <c r="A124" s="73">
        <v>2023</v>
      </c>
      <c r="B124" s="74" t="s">
        <v>43</v>
      </c>
      <c r="C124" s="82"/>
      <c r="D124" s="83">
        <v>99703860.189999998</v>
      </c>
      <c r="E124" s="83"/>
      <c r="F124" s="84"/>
      <c r="G124" s="85">
        <f t="shared" si="63"/>
        <v>56302</v>
      </c>
      <c r="H124" s="83"/>
      <c r="I124" s="85">
        <f t="shared" si="64"/>
        <v>5860</v>
      </c>
      <c r="J124" s="86"/>
      <c r="K124" s="87"/>
      <c r="L124" s="85">
        <f t="shared" si="65"/>
        <v>512</v>
      </c>
      <c r="M124" s="86"/>
      <c r="N124" s="87"/>
      <c r="O124" s="85">
        <f t="shared" si="66"/>
        <v>4</v>
      </c>
      <c r="P124" s="83"/>
      <c r="Q124" s="85">
        <f t="shared" si="67"/>
        <v>224</v>
      </c>
      <c r="R124" s="86"/>
      <c r="S124" s="88"/>
      <c r="T124" s="85">
        <f t="shared" si="68"/>
        <v>308</v>
      </c>
      <c r="U124" s="86"/>
      <c r="V124" s="87"/>
      <c r="W124" s="85">
        <f t="shared" si="69"/>
        <v>18793</v>
      </c>
      <c r="Y124" s="111"/>
      <c r="AA124" s="140"/>
      <c r="AB124" s="128"/>
      <c r="AE124" s="111"/>
      <c r="AF124" s="111"/>
      <c r="AH124" s="150"/>
      <c r="AI124" s="150"/>
    </row>
    <row r="125" spans="1:35" x14ac:dyDescent="0.2">
      <c r="A125" s="73">
        <v>2023</v>
      </c>
      <c r="B125" s="74" t="s">
        <v>71</v>
      </c>
      <c r="C125" s="82"/>
      <c r="D125" s="83">
        <v>106677864.72</v>
      </c>
      <c r="E125" s="83"/>
      <c r="F125" s="84"/>
      <c r="G125" s="85">
        <f t="shared" si="63"/>
        <v>56302</v>
      </c>
      <c r="H125" s="83"/>
      <c r="I125" s="85">
        <f t="shared" si="64"/>
        <v>5860</v>
      </c>
      <c r="J125" s="86"/>
      <c r="K125" s="87"/>
      <c r="L125" s="85">
        <f t="shared" si="65"/>
        <v>512</v>
      </c>
      <c r="M125" s="86"/>
      <c r="N125" s="87"/>
      <c r="O125" s="85">
        <f t="shared" si="66"/>
        <v>4</v>
      </c>
      <c r="P125" s="83"/>
      <c r="Q125" s="85">
        <f t="shared" si="67"/>
        <v>224</v>
      </c>
      <c r="R125" s="86"/>
      <c r="S125" s="88"/>
      <c r="T125" s="85">
        <f t="shared" si="68"/>
        <v>308</v>
      </c>
      <c r="U125" s="86"/>
      <c r="V125" s="87"/>
      <c r="W125" s="85">
        <f t="shared" si="69"/>
        <v>18793</v>
      </c>
      <c r="Y125" s="111"/>
      <c r="AA125" s="140"/>
      <c r="AB125" s="128"/>
      <c r="AE125" s="111"/>
      <c r="AF125" s="111"/>
      <c r="AH125" s="150"/>
      <c r="AI125" s="150"/>
    </row>
    <row r="126" spans="1:35" x14ac:dyDescent="0.2">
      <c r="A126" s="73">
        <v>2023</v>
      </c>
      <c r="B126" s="74" t="s">
        <v>72</v>
      </c>
      <c r="C126" s="82"/>
      <c r="D126" s="83">
        <v>123730259.39</v>
      </c>
      <c r="E126" s="83"/>
      <c r="F126" s="84"/>
      <c r="G126" s="85">
        <f t="shared" si="63"/>
        <v>56302</v>
      </c>
      <c r="H126" s="83"/>
      <c r="I126" s="85">
        <f t="shared" si="64"/>
        <v>5860</v>
      </c>
      <c r="J126" s="86"/>
      <c r="K126" s="87"/>
      <c r="L126" s="85">
        <f t="shared" si="65"/>
        <v>512</v>
      </c>
      <c r="M126" s="86"/>
      <c r="N126" s="87"/>
      <c r="O126" s="85">
        <f t="shared" si="66"/>
        <v>4</v>
      </c>
      <c r="P126" s="83"/>
      <c r="Q126" s="85">
        <f t="shared" si="67"/>
        <v>224</v>
      </c>
      <c r="R126" s="86"/>
      <c r="S126" s="88"/>
      <c r="T126" s="85">
        <f t="shared" si="68"/>
        <v>308</v>
      </c>
      <c r="U126" s="86"/>
      <c r="V126" s="87"/>
      <c r="W126" s="85">
        <f t="shared" si="69"/>
        <v>18793</v>
      </c>
      <c r="Y126" s="111"/>
      <c r="AA126" s="140"/>
      <c r="AB126" s="128"/>
      <c r="AE126" s="111"/>
      <c r="AF126" s="111"/>
      <c r="AH126" s="150"/>
      <c r="AI126" s="150"/>
    </row>
    <row r="127" spans="1:35" x14ac:dyDescent="0.2">
      <c r="A127" s="73">
        <v>2023</v>
      </c>
      <c r="B127" s="74" t="s">
        <v>73</v>
      </c>
      <c r="C127" s="82"/>
      <c r="D127" s="83">
        <v>118372301.53000002</v>
      </c>
      <c r="E127" s="83"/>
      <c r="F127" s="84"/>
      <c r="G127" s="85">
        <f t="shared" si="63"/>
        <v>56302</v>
      </c>
      <c r="H127" s="83"/>
      <c r="I127" s="85">
        <f t="shared" si="64"/>
        <v>5860</v>
      </c>
      <c r="J127" s="86"/>
      <c r="K127" s="87"/>
      <c r="L127" s="85">
        <f t="shared" si="65"/>
        <v>512</v>
      </c>
      <c r="M127" s="86"/>
      <c r="N127" s="87"/>
      <c r="O127" s="85">
        <f t="shared" si="66"/>
        <v>4</v>
      </c>
      <c r="P127" s="83"/>
      <c r="Q127" s="85">
        <f t="shared" si="67"/>
        <v>224</v>
      </c>
      <c r="R127" s="86"/>
      <c r="S127" s="88"/>
      <c r="T127" s="85">
        <f t="shared" si="68"/>
        <v>308</v>
      </c>
      <c r="U127" s="86"/>
      <c r="V127" s="87"/>
      <c r="W127" s="85">
        <f t="shared" si="69"/>
        <v>18793</v>
      </c>
      <c r="Y127" s="111"/>
      <c r="AA127" s="140"/>
      <c r="AB127" s="128"/>
      <c r="AE127" s="111"/>
      <c r="AF127" s="111"/>
      <c r="AH127" s="150"/>
      <c r="AI127" s="150"/>
    </row>
    <row r="128" spans="1:35" x14ac:dyDescent="0.2">
      <c r="A128" s="73">
        <v>2023</v>
      </c>
      <c r="B128" s="74" t="s">
        <v>74</v>
      </c>
      <c r="C128" s="82"/>
      <c r="D128" s="83">
        <v>107470986.69999999</v>
      </c>
      <c r="E128" s="83"/>
      <c r="F128" s="84"/>
      <c r="G128" s="85">
        <f t="shared" si="63"/>
        <v>56302</v>
      </c>
      <c r="H128" s="83"/>
      <c r="I128" s="85">
        <f t="shared" si="64"/>
        <v>5860</v>
      </c>
      <c r="J128" s="86"/>
      <c r="K128" s="87"/>
      <c r="L128" s="85">
        <f t="shared" si="65"/>
        <v>512</v>
      </c>
      <c r="M128" s="86"/>
      <c r="N128" s="87"/>
      <c r="O128" s="85">
        <f t="shared" si="66"/>
        <v>4</v>
      </c>
      <c r="P128" s="83"/>
      <c r="Q128" s="85">
        <f t="shared" si="67"/>
        <v>224</v>
      </c>
      <c r="R128" s="86"/>
      <c r="S128" s="88"/>
      <c r="T128" s="85">
        <f t="shared" si="68"/>
        <v>308</v>
      </c>
      <c r="U128" s="86"/>
      <c r="V128" s="87"/>
      <c r="W128" s="85">
        <f t="shared" si="69"/>
        <v>18793</v>
      </c>
      <c r="Y128" s="111"/>
      <c r="AA128" s="140"/>
      <c r="AB128" s="128"/>
      <c r="AE128" s="111"/>
      <c r="AF128" s="111"/>
      <c r="AH128" s="150"/>
      <c r="AI128" s="150"/>
    </row>
    <row r="129" spans="1:35" x14ac:dyDescent="0.2">
      <c r="A129" s="73">
        <v>2023</v>
      </c>
      <c r="B129" s="74" t="s">
        <v>75</v>
      </c>
      <c r="C129" s="82"/>
      <c r="D129" s="83">
        <v>101567452.83999999</v>
      </c>
      <c r="E129" s="83"/>
      <c r="F129" s="84"/>
      <c r="G129" s="85">
        <f t="shared" si="63"/>
        <v>56302</v>
      </c>
      <c r="H129" s="83"/>
      <c r="I129" s="85">
        <f t="shared" si="64"/>
        <v>5860</v>
      </c>
      <c r="J129" s="86"/>
      <c r="K129" s="87"/>
      <c r="L129" s="85">
        <f t="shared" si="65"/>
        <v>512</v>
      </c>
      <c r="M129" s="86"/>
      <c r="N129" s="87"/>
      <c r="O129" s="85">
        <f t="shared" si="66"/>
        <v>4</v>
      </c>
      <c r="P129" s="83"/>
      <c r="Q129" s="85">
        <f t="shared" si="67"/>
        <v>224</v>
      </c>
      <c r="R129" s="86"/>
      <c r="S129" s="88"/>
      <c r="T129" s="85">
        <f t="shared" si="68"/>
        <v>308</v>
      </c>
      <c r="U129" s="86"/>
      <c r="V129" s="87"/>
      <c r="W129" s="85">
        <f t="shared" si="69"/>
        <v>18793</v>
      </c>
      <c r="Y129" s="111"/>
      <c r="AA129" s="140"/>
      <c r="AB129" s="128"/>
      <c r="AE129" s="111"/>
      <c r="AF129" s="111"/>
      <c r="AH129" s="150"/>
      <c r="AI129" s="150"/>
    </row>
    <row r="130" spans="1:35" x14ac:dyDescent="0.2">
      <c r="A130" s="73">
        <v>2023</v>
      </c>
      <c r="B130" s="74" t="s">
        <v>76</v>
      </c>
      <c r="C130" s="82"/>
      <c r="D130" s="83">
        <v>103573335.30000001</v>
      </c>
      <c r="E130" s="83"/>
      <c r="F130" s="84"/>
      <c r="G130" s="85">
        <f t="shared" si="63"/>
        <v>56302</v>
      </c>
      <c r="H130" s="83"/>
      <c r="I130" s="85">
        <f t="shared" si="64"/>
        <v>5860</v>
      </c>
      <c r="J130" s="86"/>
      <c r="K130" s="87"/>
      <c r="L130" s="85">
        <f t="shared" si="65"/>
        <v>512</v>
      </c>
      <c r="M130" s="86"/>
      <c r="N130" s="87"/>
      <c r="O130" s="85">
        <f t="shared" si="66"/>
        <v>4</v>
      </c>
      <c r="P130" s="83"/>
      <c r="Q130" s="85">
        <f t="shared" si="67"/>
        <v>224</v>
      </c>
      <c r="R130" s="86"/>
      <c r="S130" s="88"/>
      <c r="T130" s="85">
        <f t="shared" si="68"/>
        <v>308</v>
      </c>
      <c r="U130" s="86"/>
      <c r="V130" s="87"/>
      <c r="W130" s="85">
        <f t="shared" si="69"/>
        <v>18793</v>
      </c>
      <c r="Y130" s="111"/>
      <c r="AA130" s="140"/>
      <c r="AB130" s="128"/>
      <c r="AE130" s="111"/>
      <c r="AF130" s="111"/>
      <c r="AH130" s="150"/>
      <c r="AI130" s="150"/>
    </row>
    <row r="131" spans="1:35" x14ac:dyDescent="0.2">
      <c r="A131" s="73">
        <v>2023</v>
      </c>
      <c r="B131" s="74" t="s">
        <v>77</v>
      </c>
      <c r="C131" s="82"/>
      <c r="D131" s="83">
        <v>103900094.45</v>
      </c>
      <c r="E131" s="83"/>
      <c r="F131" s="84">
        <v>429855844</v>
      </c>
      <c r="G131" s="85">
        <f t="shared" si="63"/>
        <v>56302</v>
      </c>
      <c r="H131" s="83">
        <v>159307883</v>
      </c>
      <c r="I131" s="85">
        <f t="shared" si="64"/>
        <v>5860</v>
      </c>
      <c r="J131" s="86">
        <v>523144015.48000002</v>
      </c>
      <c r="K131" s="87">
        <v>1409639.32</v>
      </c>
      <c r="L131" s="85">
        <f t="shared" si="65"/>
        <v>512</v>
      </c>
      <c r="M131" s="86">
        <v>103677541</v>
      </c>
      <c r="N131" s="87">
        <v>239895</v>
      </c>
      <c r="O131" s="85">
        <f t="shared" si="66"/>
        <v>4</v>
      </c>
      <c r="P131" s="83">
        <v>1250514</v>
      </c>
      <c r="Q131" s="85">
        <f t="shared" si="67"/>
        <v>224</v>
      </c>
      <c r="R131" s="86">
        <v>365715</v>
      </c>
      <c r="S131" s="88">
        <v>876</v>
      </c>
      <c r="T131" s="85">
        <f t="shared" si="68"/>
        <v>308</v>
      </c>
      <c r="U131" s="86">
        <v>5413099</v>
      </c>
      <c r="V131" s="87">
        <v>15696</v>
      </c>
      <c r="W131" s="85">
        <f t="shared" si="69"/>
        <v>18793</v>
      </c>
      <c r="X131" s="111"/>
      <c r="Y131" s="111"/>
      <c r="AA131" s="140"/>
      <c r="AB131" s="128"/>
      <c r="AE131" s="111"/>
      <c r="AF131" s="111"/>
      <c r="AH131" s="150"/>
      <c r="AI131" s="151"/>
    </row>
    <row r="132" spans="1:35" x14ac:dyDescent="0.2">
      <c r="A132" s="73">
        <v>2024</v>
      </c>
      <c r="B132" s="74" t="s">
        <v>67</v>
      </c>
      <c r="C132" s="82"/>
      <c r="D132" s="76">
        <v>114889567.74999997</v>
      </c>
      <c r="E132" s="76"/>
      <c r="F132" s="77"/>
      <c r="G132" s="78">
        <v>56797</v>
      </c>
      <c r="H132" s="76"/>
      <c r="I132" s="78">
        <v>5889</v>
      </c>
      <c r="J132" s="79"/>
      <c r="K132" s="80"/>
      <c r="L132" s="78">
        <v>508.5</v>
      </c>
      <c r="M132" s="79"/>
      <c r="N132" s="80"/>
      <c r="O132" s="78">
        <v>4</v>
      </c>
      <c r="P132" s="76"/>
      <c r="Q132" s="78">
        <v>225</v>
      </c>
      <c r="R132" s="79"/>
      <c r="S132" s="81"/>
      <c r="T132" s="78">
        <v>304</v>
      </c>
      <c r="U132" s="79"/>
      <c r="V132" s="80"/>
      <c r="W132" s="78">
        <v>18884.5</v>
      </c>
      <c r="Y132" s="111"/>
      <c r="AA132" s="140"/>
      <c r="AB132" s="128"/>
      <c r="AE132" s="111"/>
      <c r="AF132" s="111"/>
      <c r="AH132" s="150"/>
      <c r="AI132" s="150"/>
    </row>
    <row r="133" spans="1:35" x14ac:dyDescent="0.2">
      <c r="A133" s="73">
        <v>2024</v>
      </c>
      <c r="B133" s="74" t="s">
        <v>68</v>
      </c>
      <c r="C133" s="82"/>
      <c r="D133" s="83">
        <v>103465923.86999999</v>
      </c>
      <c r="E133" s="83"/>
      <c r="F133" s="84"/>
      <c r="G133" s="85">
        <f t="shared" ref="G133:G143" si="70">G132</f>
        <v>56797</v>
      </c>
      <c r="H133" s="83"/>
      <c r="I133" s="85">
        <f t="shared" ref="I133:I143" si="71">I132</f>
        <v>5889</v>
      </c>
      <c r="J133" s="86"/>
      <c r="K133" s="87"/>
      <c r="L133" s="85">
        <f t="shared" ref="L133:L143" si="72">L132</f>
        <v>508.5</v>
      </c>
      <c r="M133" s="86"/>
      <c r="N133" s="87"/>
      <c r="O133" s="85">
        <f t="shared" ref="O133:O143" si="73">O132</f>
        <v>4</v>
      </c>
      <c r="P133" s="83"/>
      <c r="Q133" s="85">
        <f t="shared" ref="Q133:Q143" si="74">Q132</f>
        <v>225</v>
      </c>
      <c r="R133" s="86"/>
      <c r="S133" s="88"/>
      <c r="T133" s="85">
        <f t="shared" ref="T133:T143" si="75">T132</f>
        <v>304</v>
      </c>
      <c r="U133" s="86"/>
      <c r="V133" s="87"/>
      <c r="W133" s="85">
        <f t="shared" ref="W133:W143" si="76">W132</f>
        <v>18884.5</v>
      </c>
      <c r="Y133" s="111"/>
      <c r="AA133" s="140"/>
      <c r="AB133" s="128"/>
      <c r="AE133" s="111"/>
      <c r="AF133" s="111"/>
      <c r="AH133" s="150"/>
      <c r="AI133" s="150"/>
    </row>
    <row r="134" spans="1:35" x14ac:dyDescent="0.2">
      <c r="A134" s="73">
        <v>2024</v>
      </c>
      <c r="B134" s="74" t="s">
        <v>69</v>
      </c>
      <c r="C134" s="82"/>
      <c r="D134" s="83">
        <v>104383760.00000003</v>
      </c>
      <c r="E134" s="83"/>
      <c r="F134" s="84"/>
      <c r="G134" s="85">
        <f t="shared" si="70"/>
        <v>56797</v>
      </c>
      <c r="H134" s="83"/>
      <c r="I134" s="85">
        <f t="shared" si="71"/>
        <v>5889</v>
      </c>
      <c r="J134" s="86"/>
      <c r="K134" s="87"/>
      <c r="L134" s="85">
        <f t="shared" si="72"/>
        <v>508.5</v>
      </c>
      <c r="M134" s="86"/>
      <c r="N134" s="87"/>
      <c r="O134" s="85">
        <f t="shared" si="73"/>
        <v>4</v>
      </c>
      <c r="P134" s="83"/>
      <c r="Q134" s="85">
        <f t="shared" si="74"/>
        <v>225</v>
      </c>
      <c r="R134" s="86"/>
      <c r="S134" s="88"/>
      <c r="T134" s="85">
        <f t="shared" si="75"/>
        <v>304</v>
      </c>
      <c r="U134" s="86"/>
      <c r="V134" s="87"/>
      <c r="W134" s="85">
        <f t="shared" si="76"/>
        <v>18884.5</v>
      </c>
      <c r="Y134" s="111"/>
      <c r="AA134" s="140"/>
      <c r="AB134" s="128"/>
      <c r="AE134" s="111"/>
      <c r="AF134" s="111"/>
      <c r="AH134" s="150"/>
      <c r="AI134" s="150"/>
    </row>
    <row r="135" spans="1:35" x14ac:dyDescent="0.2">
      <c r="A135" s="73">
        <v>2024</v>
      </c>
      <c r="B135" s="74" t="s">
        <v>70</v>
      </c>
      <c r="C135" s="82"/>
      <c r="D135" s="83">
        <v>96290702.249999985</v>
      </c>
      <c r="E135" s="83"/>
      <c r="F135" s="84"/>
      <c r="G135" s="85">
        <f t="shared" si="70"/>
        <v>56797</v>
      </c>
      <c r="H135" s="83"/>
      <c r="I135" s="85">
        <f t="shared" si="71"/>
        <v>5889</v>
      </c>
      <c r="J135" s="86"/>
      <c r="K135" s="87"/>
      <c r="L135" s="85">
        <f t="shared" si="72"/>
        <v>508.5</v>
      </c>
      <c r="M135" s="86"/>
      <c r="N135" s="87"/>
      <c r="O135" s="85">
        <f t="shared" si="73"/>
        <v>4</v>
      </c>
      <c r="P135" s="83"/>
      <c r="Q135" s="85">
        <f t="shared" si="74"/>
        <v>225</v>
      </c>
      <c r="R135" s="86"/>
      <c r="S135" s="88"/>
      <c r="T135" s="85">
        <f t="shared" si="75"/>
        <v>304</v>
      </c>
      <c r="U135" s="86"/>
      <c r="V135" s="87"/>
      <c r="W135" s="85">
        <f t="shared" si="76"/>
        <v>18884.5</v>
      </c>
      <c r="Y135" s="111"/>
      <c r="AA135" s="140"/>
      <c r="AB135" s="128"/>
      <c r="AE135" s="111"/>
      <c r="AF135" s="111"/>
      <c r="AH135" s="150"/>
      <c r="AI135" s="150"/>
    </row>
    <row r="136" spans="1:35" x14ac:dyDescent="0.2">
      <c r="A136" s="73">
        <v>2024</v>
      </c>
      <c r="B136" s="74" t="s">
        <v>43</v>
      </c>
      <c r="C136" s="82"/>
      <c r="D136" s="83">
        <v>103034309.11999999</v>
      </c>
      <c r="E136" s="83"/>
      <c r="F136" s="84"/>
      <c r="G136" s="85">
        <f t="shared" si="70"/>
        <v>56797</v>
      </c>
      <c r="H136" s="83"/>
      <c r="I136" s="85">
        <f t="shared" si="71"/>
        <v>5889</v>
      </c>
      <c r="J136" s="86"/>
      <c r="K136" s="87"/>
      <c r="L136" s="85">
        <f t="shared" si="72"/>
        <v>508.5</v>
      </c>
      <c r="M136" s="86"/>
      <c r="N136" s="87"/>
      <c r="O136" s="85">
        <f t="shared" si="73"/>
        <v>4</v>
      </c>
      <c r="P136" s="83"/>
      <c r="Q136" s="85">
        <f t="shared" si="74"/>
        <v>225</v>
      </c>
      <c r="R136" s="86"/>
      <c r="S136" s="88"/>
      <c r="T136" s="85">
        <f t="shared" si="75"/>
        <v>304</v>
      </c>
      <c r="U136" s="86"/>
      <c r="V136" s="87"/>
      <c r="W136" s="85">
        <f t="shared" si="76"/>
        <v>18884.5</v>
      </c>
      <c r="Y136" s="111"/>
      <c r="AA136" s="140"/>
      <c r="AB136" s="128"/>
      <c r="AE136" s="111"/>
      <c r="AF136" s="111"/>
      <c r="AH136" s="150"/>
      <c r="AI136" s="150"/>
    </row>
    <row r="137" spans="1:35" x14ac:dyDescent="0.2">
      <c r="A137" s="73">
        <v>2024</v>
      </c>
      <c r="B137" s="74" t="s">
        <v>71</v>
      </c>
      <c r="C137" s="82"/>
      <c r="D137" s="83">
        <v>115554806.21000001</v>
      </c>
      <c r="E137" s="83"/>
      <c r="F137" s="84"/>
      <c r="G137" s="85">
        <f t="shared" si="70"/>
        <v>56797</v>
      </c>
      <c r="H137" s="83"/>
      <c r="I137" s="85">
        <f t="shared" si="71"/>
        <v>5889</v>
      </c>
      <c r="J137" s="86"/>
      <c r="K137" s="87"/>
      <c r="L137" s="85">
        <f t="shared" si="72"/>
        <v>508.5</v>
      </c>
      <c r="M137" s="86"/>
      <c r="N137" s="87"/>
      <c r="O137" s="85">
        <f t="shared" si="73"/>
        <v>4</v>
      </c>
      <c r="P137" s="83"/>
      <c r="Q137" s="85">
        <f t="shared" si="74"/>
        <v>225</v>
      </c>
      <c r="R137" s="86"/>
      <c r="S137" s="88"/>
      <c r="T137" s="85">
        <f t="shared" si="75"/>
        <v>304</v>
      </c>
      <c r="U137" s="86"/>
      <c r="V137" s="87"/>
      <c r="W137" s="85">
        <f t="shared" si="76"/>
        <v>18884.5</v>
      </c>
      <c r="Y137" s="111"/>
      <c r="AA137" s="140"/>
      <c r="AB137" s="128"/>
      <c r="AE137" s="111"/>
      <c r="AF137" s="111"/>
      <c r="AH137" s="150"/>
      <c r="AI137" s="150"/>
    </row>
    <row r="138" spans="1:35" x14ac:dyDescent="0.2">
      <c r="A138" s="73">
        <v>2024</v>
      </c>
      <c r="B138" s="74" t="s">
        <v>72</v>
      </c>
      <c r="C138" s="82"/>
      <c r="D138" s="83">
        <v>127431775.88</v>
      </c>
      <c r="E138" s="83"/>
      <c r="F138" s="84"/>
      <c r="G138" s="85">
        <f t="shared" si="70"/>
        <v>56797</v>
      </c>
      <c r="H138" s="83"/>
      <c r="I138" s="85">
        <f t="shared" si="71"/>
        <v>5889</v>
      </c>
      <c r="J138" s="86"/>
      <c r="K138" s="87"/>
      <c r="L138" s="85">
        <f t="shared" si="72"/>
        <v>508.5</v>
      </c>
      <c r="M138" s="86"/>
      <c r="N138" s="87"/>
      <c r="O138" s="85">
        <f t="shared" si="73"/>
        <v>4</v>
      </c>
      <c r="P138" s="83"/>
      <c r="Q138" s="85">
        <f t="shared" si="74"/>
        <v>225</v>
      </c>
      <c r="R138" s="86"/>
      <c r="S138" s="88"/>
      <c r="T138" s="85">
        <f t="shared" si="75"/>
        <v>304</v>
      </c>
      <c r="U138" s="86"/>
      <c r="V138" s="87"/>
      <c r="W138" s="85">
        <f t="shared" si="76"/>
        <v>18884.5</v>
      </c>
      <c r="Y138" s="111"/>
      <c r="AA138" s="140"/>
      <c r="AB138" s="128"/>
      <c r="AE138" s="111"/>
      <c r="AF138" s="111"/>
      <c r="AH138" s="150"/>
      <c r="AI138" s="150"/>
    </row>
    <row r="139" spans="1:35" x14ac:dyDescent="0.2">
      <c r="A139" s="73">
        <v>2024</v>
      </c>
      <c r="B139" s="74" t="s">
        <v>73</v>
      </c>
      <c r="C139" s="82"/>
      <c r="D139" s="83">
        <v>124968723.37</v>
      </c>
      <c r="E139" s="83"/>
      <c r="F139" s="84"/>
      <c r="G139" s="85">
        <f t="shared" si="70"/>
        <v>56797</v>
      </c>
      <c r="H139" s="83"/>
      <c r="I139" s="85">
        <f t="shared" si="71"/>
        <v>5889</v>
      </c>
      <c r="J139" s="86"/>
      <c r="K139" s="87"/>
      <c r="L139" s="85">
        <f t="shared" si="72"/>
        <v>508.5</v>
      </c>
      <c r="M139" s="86"/>
      <c r="N139" s="87"/>
      <c r="O139" s="85">
        <f t="shared" si="73"/>
        <v>4</v>
      </c>
      <c r="P139" s="83"/>
      <c r="Q139" s="85">
        <f t="shared" si="74"/>
        <v>225</v>
      </c>
      <c r="R139" s="86"/>
      <c r="S139" s="88"/>
      <c r="T139" s="85">
        <f t="shared" si="75"/>
        <v>304</v>
      </c>
      <c r="U139" s="86"/>
      <c r="V139" s="87"/>
      <c r="W139" s="85">
        <f t="shared" si="76"/>
        <v>18884.5</v>
      </c>
      <c r="Y139" s="111"/>
      <c r="AA139" s="140"/>
      <c r="AB139" s="128"/>
      <c r="AE139" s="111"/>
      <c r="AF139" s="111"/>
      <c r="AH139" s="150"/>
      <c r="AI139" s="150"/>
    </row>
    <row r="140" spans="1:35" x14ac:dyDescent="0.2">
      <c r="A140" s="73">
        <v>2024</v>
      </c>
      <c r="B140" s="74" t="s">
        <v>74</v>
      </c>
      <c r="C140" s="82"/>
      <c r="D140" s="83">
        <v>110181971.18999998</v>
      </c>
      <c r="E140" s="83"/>
      <c r="F140" s="84"/>
      <c r="G140" s="85">
        <f t="shared" si="70"/>
        <v>56797</v>
      </c>
      <c r="H140" s="83"/>
      <c r="I140" s="85">
        <f t="shared" si="71"/>
        <v>5889</v>
      </c>
      <c r="J140" s="86"/>
      <c r="K140" s="87"/>
      <c r="L140" s="85">
        <f t="shared" si="72"/>
        <v>508.5</v>
      </c>
      <c r="M140" s="86"/>
      <c r="N140" s="87"/>
      <c r="O140" s="85">
        <f t="shared" si="73"/>
        <v>4</v>
      </c>
      <c r="P140" s="83"/>
      <c r="Q140" s="85">
        <f t="shared" si="74"/>
        <v>225</v>
      </c>
      <c r="R140" s="86"/>
      <c r="S140" s="88"/>
      <c r="T140" s="85">
        <f t="shared" si="75"/>
        <v>304</v>
      </c>
      <c r="U140" s="86"/>
      <c r="V140" s="87"/>
      <c r="W140" s="85">
        <f t="shared" si="76"/>
        <v>18884.5</v>
      </c>
      <c r="Y140" s="111"/>
      <c r="AA140" s="140"/>
      <c r="AB140" s="128"/>
      <c r="AE140" s="111"/>
      <c r="AF140" s="111"/>
      <c r="AH140" s="150"/>
      <c r="AI140" s="150"/>
    </row>
    <row r="141" spans="1:35" x14ac:dyDescent="0.2">
      <c r="A141" s="73">
        <v>2024</v>
      </c>
      <c r="B141" s="74" t="s">
        <v>75</v>
      </c>
      <c r="C141" s="82"/>
      <c r="D141" s="83">
        <v>99255142.859999985</v>
      </c>
      <c r="E141" s="83"/>
      <c r="F141" s="84"/>
      <c r="G141" s="85">
        <f t="shared" si="70"/>
        <v>56797</v>
      </c>
      <c r="H141" s="83"/>
      <c r="I141" s="85">
        <f t="shared" si="71"/>
        <v>5889</v>
      </c>
      <c r="J141" s="86"/>
      <c r="K141" s="87"/>
      <c r="L141" s="85">
        <f t="shared" si="72"/>
        <v>508.5</v>
      </c>
      <c r="M141" s="86"/>
      <c r="N141" s="87"/>
      <c r="O141" s="85">
        <f t="shared" si="73"/>
        <v>4</v>
      </c>
      <c r="P141" s="83"/>
      <c r="Q141" s="85">
        <f t="shared" si="74"/>
        <v>225</v>
      </c>
      <c r="R141" s="86"/>
      <c r="S141" s="88"/>
      <c r="T141" s="85">
        <f t="shared" si="75"/>
        <v>304</v>
      </c>
      <c r="U141" s="86"/>
      <c r="V141" s="88"/>
      <c r="W141" s="85">
        <f t="shared" si="76"/>
        <v>18884.5</v>
      </c>
      <c r="Y141" s="111"/>
      <c r="AA141" s="140"/>
      <c r="AB141" s="128"/>
      <c r="AE141" s="111"/>
      <c r="AF141" s="111"/>
      <c r="AH141" s="150"/>
      <c r="AI141" s="150"/>
    </row>
    <row r="142" spans="1:35" x14ac:dyDescent="0.2">
      <c r="A142" s="73">
        <v>2024</v>
      </c>
      <c r="B142" s="74" t="s">
        <v>76</v>
      </c>
      <c r="C142" s="82"/>
      <c r="D142" s="83">
        <v>100050319.93000001</v>
      </c>
      <c r="E142" s="83"/>
      <c r="F142" s="84"/>
      <c r="G142" s="85">
        <f t="shared" si="70"/>
        <v>56797</v>
      </c>
      <c r="H142" s="83"/>
      <c r="I142" s="85">
        <f t="shared" si="71"/>
        <v>5889</v>
      </c>
      <c r="J142" s="86"/>
      <c r="K142" s="87"/>
      <c r="L142" s="85">
        <f t="shared" si="72"/>
        <v>508.5</v>
      </c>
      <c r="M142" s="86"/>
      <c r="N142" s="87"/>
      <c r="O142" s="85">
        <f t="shared" si="73"/>
        <v>4</v>
      </c>
      <c r="P142" s="83"/>
      <c r="Q142" s="85">
        <f t="shared" si="74"/>
        <v>225</v>
      </c>
      <c r="R142" s="86"/>
      <c r="S142" s="88"/>
      <c r="T142" s="85">
        <f t="shared" si="75"/>
        <v>304</v>
      </c>
      <c r="U142" s="86"/>
      <c r="V142" s="88"/>
      <c r="W142" s="85">
        <f t="shared" si="76"/>
        <v>18884.5</v>
      </c>
      <c r="Y142" s="111"/>
      <c r="AA142" s="140"/>
      <c r="AB142" s="128"/>
      <c r="AE142" s="111"/>
      <c r="AF142" s="111"/>
      <c r="AH142" s="150"/>
      <c r="AI142" s="150"/>
    </row>
    <row r="143" spans="1:35" ht="13.5" thickBot="1" x14ac:dyDescent="0.25">
      <c r="A143" s="73">
        <v>2024</v>
      </c>
      <c r="B143" s="74" t="s">
        <v>77</v>
      </c>
      <c r="C143" s="82"/>
      <c r="D143" s="89">
        <v>109118061.53199999</v>
      </c>
      <c r="E143" s="89"/>
      <c r="F143" s="152">
        <v>452835509.43999988</v>
      </c>
      <c r="G143" s="90">
        <f t="shared" si="70"/>
        <v>56797</v>
      </c>
      <c r="H143" s="89">
        <v>165653053.61000001</v>
      </c>
      <c r="I143" s="90">
        <f t="shared" si="71"/>
        <v>5889</v>
      </c>
      <c r="J143" s="153">
        <v>525118764.23000008</v>
      </c>
      <c r="K143" s="154">
        <v>1416608.47</v>
      </c>
      <c r="L143" s="90">
        <f t="shared" si="72"/>
        <v>508.5</v>
      </c>
      <c r="M143" s="153">
        <v>108051126.57999998</v>
      </c>
      <c r="N143" s="154">
        <v>256331.52999999997</v>
      </c>
      <c r="O143" s="90">
        <f t="shared" si="73"/>
        <v>4</v>
      </c>
      <c r="P143" s="89">
        <v>1238523</v>
      </c>
      <c r="Q143" s="90">
        <f t="shared" si="74"/>
        <v>225</v>
      </c>
      <c r="R143" s="153">
        <v>358166</v>
      </c>
      <c r="S143" s="155">
        <v>855.48759471555218</v>
      </c>
      <c r="T143" s="90">
        <f t="shared" si="75"/>
        <v>304</v>
      </c>
      <c r="U143" s="153">
        <v>5361272.29</v>
      </c>
      <c r="V143" s="155">
        <v>15532.919999999998</v>
      </c>
      <c r="W143" s="90">
        <f t="shared" si="76"/>
        <v>18884.5</v>
      </c>
      <c r="X143" s="111"/>
      <c r="Y143" s="111"/>
      <c r="AA143" s="140"/>
      <c r="AB143" s="128"/>
      <c r="AE143" s="111"/>
      <c r="AF143" s="111"/>
      <c r="AH143" s="150"/>
      <c r="AI143" s="151"/>
    </row>
    <row r="144" spans="1:35" x14ac:dyDescent="0.2">
      <c r="A144" s="73">
        <v>2025</v>
      </c>
      <c r="B144" s="74" t="s">
        <v>67</v>
      </c>
      <c r="C144" s="82"/>
      <c r="D144" s="76">
        <v>118581601.45</v>
      </c>
      <c r="E144" s="76"/>
      <c r="F144" s="77">
        <v>42216991.089999974</v>
      </c>
      <c r="G144" s="78">
        <v>57114</v>
      </c>
      <c r="H144" s="76">
        <v>15861244.149999997</v>
      </c>
      <c r="I144" s="78">
        <v>5905</v>
      </c>
      <c r="J144" s="79">
        <v>44127156.989999987</v>
      </c>
      <c r="K144" s="80">
        <v>114794.42000000001</v>
      </c>
      <c r="L144" s="78">
        <v>508</v>
      </c>
      <c r="M144" s="79">
        <v>9685841.0199999996</v>
      </c>
      <c r="N144" s="80">
        <v>18035.59</v>
      </c>
      <c r="O144" s="78">
        <v>4</v>
      </c>
      <c r="P144" s="76">
        <v>102609</v>
      </c>
      <c r="Q144" s="78">
        <v>224</v>
      </c>
      <c r="R144" s="79">
        <v>29216.379999999997</v>
      </c>
      <c r="S144" s="81">
        <v>70.11033333333333</v>
      </c>
      <c r="T144" s="78">
        <v>301</v>
      </c>
      <c r="U144" s="79">
        <v>564525.06000000006</v>
      </c>
      <c r="V144" s="80">
        <v>1288.3499999999999</v>
      </c>
      <c r="W144" s="78">
        <v>18941</v>
      </c>
      <c r="Y144" s="111"/>
      <c r="AA144" s="140"/>
      <c r="AB144" s="128"/>
      <c r="AE144" s="111"/>
      <c r="AF144" s="111"/>
      <c r="AH144" s="150"/>
      <c r="AI144" s="150"/>
    </row>
    <row r="145" spans="1:35" x14ac:dyDescent="0.2">
      <c r="A145" s="73">
        <v>2025</v>
      </c>
      <c r="B145" s="74" t="s">
        <v>68</v>
      </c>
      <c r="C145" s="82"/>
      <c r="D145" s="83">
        <v>105233374.78999999</v>
      </c>
      <c r="E145" s="83"/>
      <c r="F145" s="84">
        <v>37081783.990000002</v>
      </c>
      <c r="G145" s="85">
        <v>57167</v>
      </c>
      <c r="H145" s="83">
        <v>14133431.77</v>
      </c>
      <c r="I145" s="85">
        <v>5918</v>
      </c>
      <c r="J145" s="86">
        <v>39925350.289999992</v>
      </c>
      <c r="K145" s="87">
        <v>112540</v>
      </c>
      <c r="L145" s="85">
        <v>508</v>
      </c>
      <c r="M145" s="86">
        <v>8808930.9299999997</v>
      </c>
      <c r="N145" s="87">
        <v>21214.06</v>
      </c>
      <c r="O145" s="85">
        <v>4</v>
      </c>
      <c r="P145" s="83">
        <v>106152.45</v>
      </c>
      <c r="Q145" s="85">
        <v>225</v>
      </c>
      <c r="R145" s="86">
        <v>29120.299999999996</v>
      </c>
      <c r="S145" s="88">
        <v>69.606333333333325</v>
      </c>
      <c r="T145" s="85">
        <v>301</v>
      </c>
      <c r="U145" s="86">
        <v>497375.94</v>
      </c>
      <c r="V145" s="87">
        <v>1287.6100000000001</v>
      </c>
      <c r="W145" s="85">
        <v>18941</v>
      </c>
      <c r="Y145" s="111"/>
      <c r="AA145" s="140"/>
      <c r="AB145" s="128"/>
      <c r="AE145" s="111"/>
      <c r="AF145" s="111"/>
      <c r="AH145" s="150"/>
      <c r="AI145" s="150"/>
    </row>
    <row r="146" spans="1:35" x14ac:dyDescent="0.2">
      <c r="A146" s="73">
        <v>2025</v>
      </c>
      <c r="B146" s="74" t="s">
        <v>69</v>
      </c>
      <c r="C146" s="82"/>
      <c r="D146" s="83">
        <v>106623428.59</v>
      </c>
      <c r="E146" s="83"/>
      <c r="F146" s="84">
        <v>36196757.230000019</v>
      </c>
      <c r="G146" s="85">
        <v>57204</v>
      </c>
      <c r="H146" s="83">
        <v>14048697.999999991</v>
      </c>
      <c r="I146" s="85">
        <v>5921</v>
      </c>
      <c r="J146" s="86">
        <v>42729524.5</v>
      </c>
      <c r="K146" s="87">
        <v>109263.97</v>
      </c>
      <c r="L146" s="85">
        <v>509</v>
      </c>
      <c r="M146" s="86">
        <v>9847674</v>
      </c>
      <c r="N146" s="87">
        <v>21338.83</v>
      </c>
      <c r="O146" s="85">
        <v>4</v>
      </c>
      <c r="P146" s="83">
        <v>103043.55</v>
      </c>
      <c r="Q146" s="85">
        <v>225</v>
      </c>
      <c r="R146" s="86">
        <v>30071.040000000005</v>
      </c>
      <c r="S146" s="88">
        <v>69.645333333333326</v>
      </c>
      <c r="T146" s="85">
        <v>301</v>
      </c>
      <c r="U146" s="86">
        <v>464686.47</v>
      </c>
      <c r="V146" s="87">
        <v>1287.6100000000001</v>
      </c>
      <c r="W146" s="85">
        <v>18941</v>
      </c>
      <c r="Y146" s="111"/>
      <c r="AA146" s="140"/>
      <c r="AB146" s="128"/>
      <c r="AE146" s="111"/>
      <c r="AF146" s="111"/>
      <c r="AH146" s="150"/>
      <c r="AI146" s="150"/>
    </row>
    <row r="147" spans="1:35" x14ac:dyDescent="0.2">
      <c r="A147" s="73">
        <v>2025</v>
      </c>
      <c r="B147" s="74" t="s">
        <v>70</v>
      </c>
      <c r="C147" s="82"/>
      <c r="D147" s="83">
        <v>96067244.75</v>
      </c>
      <c r="E147" s="83"/>
      <c r="F147" s="84">
        <v>31222710.229999989</v>
      </c>
      <c r="G147" s="85">
        <v>57237</v>
      </c>
      <c r="H147" s="83">
        <v>12533154.579999996</v>
      </c>
      <c r="I147" s="85">
        <v>5930</v>
      </c>
      <c r="J147" s="86">
        <v>40181044.010000005</v>
      </c>
      <c r="K147" s="87">
        <v>110454.94</v>
      </c>
      <c r="L147" s="85">
        <v>507</v>
      </c>
      <c r="M147" s="86">
        <v>7069266.1599999992</v>
      </c>
      <c r="N147" s="87">
        <v>23249.440000000002</v>
      </c>
      <c r="O147" s="85">
        <v>4</v>
      </c>
      <c r="P147" s="83">
        <v>102429</v>
      </c>
      <c r="Q147" s="85">
        <v>225</v>
      </c>
      <c r="R147" s="86">
        <v>29492.53</v>
      </c>
      <c r="S147" s="88">
        <v>69.576999999999998</v>
      </c>
      <c r="T147" s="85">
        <v>301</v>
      </c>
      <c r="U147" s="86">
        <v>388367.67</v>
      </c>
      <c r="V147" s="87">
        <v>1287.6100000000001</v>
      </c>
      <c r="W147" s="85">
        <v>18941</v>
      </c>
      <c r="Y147" s="111"/>
      <c r="AA147" s="140"/>
      <c r="AB147" s="128"/>
      <c r="AE147" s="111"/>
      <c r="AF147" s="111"/>
      <c r="AH147" s="150"/>
      <c r="AI147" s="150"/>
    </row>
    <row r="148" spans="1:35" x14ac:dyDescent="0.2">
      <c r="A148" s="73">
        <v>2025</v>
      </c>
      <c r="B148" s="74" t="s">
        <v>43</v>
      </c>
      <c r="C148" s="82"/>
      <c r="D148" s="83">
        <v>96698395.920000002</v>
      </c>
      <c r="E148" s="83"/>
      <c r="F148" s="84">
        <v>31648690.579999994</v>
      </c>
      <c r="G148" s="85">
        <v>57187</v>
      </c>
      <c r="H148" s="83">
        <v>12121836.930000007</v>
      </c>
      <c r="I148" s="85">
        <v>5928</v>
      </c>
      <c r="J148" s="86">
        <v>41359285.409999996</v>
      </c>
      <c r="K148" s="87">
        <v>119196.36</v>
      </c>
      <c r="L148" s="85">
        <v>516</v>
      </c>
      <c r="M148" s="86">
        <v>7913930.29</v>
      </c>
      <c r="N148" s="87">
        <v>14761.42</v>
      </c>
      <c r="O148" s="85">
        <v>4</v>
      </c>
      <c r="P148" s="83">
        <v>102429</v>
      </c>
      <c r="Q148" s="85">
        <v>225</v>
      </c>
      <c r="R148" s="86">
        <v>29656.119999999995</v>
      </c>
      <c r="S148" s="88">
        <v>69.420333333333332</v>
      </c>
      <c r="T148" s="85">
        <v>301</v>
      </c>
      <c r="U148" s="86">
        <v>357860.39</v>
      </c>
      <c r="V148" s="87">
        <v>1287.6100000000001</v>
      </c>
      <c r="W148" s="85">
        <v>18941</v>
      </c>
      <c r="Y148" s="111"/>
      <c r="AA148" s="140"/>
      <c r="AB148" s="128"/>
      <c r="AE148" s="111"/>
      <c r="AF148" s="111"/>
      <c r="AH148" s="150"/>
      <c r="AI148" s="150"/>
    </row>
    <row r="149" spans="1:35" x14ac:dyDescent="0.2">
      <c r="A149" s="73">
        <v>2025</v>
      </c>
      <c r="B149" s="74" t="s">
        <v>71</v>
      </c>
      <c r="C149" s="82"/>
      <c r="D149" s="83">
        <v>116051472.24000001</v>
      </c>
      <c r="E149" s="83"/>
      <c r="F149" s="84">
        <v>44496869.480000034</v>
      </c>
      <c r="G149" s="85">
        <v>57232</v>
      </c>
      <c r="H149" s="83">
        <v>14517049.350000001</v>
      </c>
      <c r="I149" s="85">
        <v>5928</v>
      </c>
      <c r="J149" s="86">
        <v>44461377.270000003</v>
      </c>
      <c r="K149" s="87">
        <v>115919.03999999999</v>
      </c>
      <c r="L149" s="85">
        <v>516</v>
      </c>
      <c r="M149" s="86">
        <v>8209086.4399999995</v>
      </c>
      <c r="N149" s="87">
        <v>20207.29</v>
      </c>
      <c r="O149" s="85">
        <v>4</v>
      </c>
      <c r="P149" s="83">
        <v>102429</v>
      </c>
      <c r="Q149" s="85">
        <v>225</v>
      </c>
      <c r="R149" s="86">
        <v>28907.030000000006</v>
      </c>
      <c r="S149" s="88">
        <v>69.242999999999995</v>
      </c>
      <c r="T149" s="85">
        <v>301</v>
      </c>
      <c r="U149" s="86">
        <v>313270.18</v>
      </c>
      <c r="V149" s="87">
        <v>1287.6100000000001</v>
      </c>
      <c r="W149" s="85">
        <v>18941</v>
      </c>
      <c r="Y149" s="111"/>
      <c r="AA149" s="140"/>
      <c r="AB149" s="128"/>
      <c r="AE149" s="111"/>
      <c r="AF149" s="111"/>
      <c r="AH149" s="150"/>
      <c r="AI149" s="150"/>
    </row>
    <row r="150" spans="1:35" x14ac:dyDescent="0.2">
      <c r="A150" s="73">
        <v>2025</v>
      </c>
      <c r="B150" s="74" t="s">
        <v>72</v>
      </c>
      <c r="C150" s="82"/>
      <c r="D150" s="83">
        <v>136150521.76000002</v>
      </c>
      <c r="E150" s="83"/>
      <c r="F150" s="84">
        <v>55435075.309999987</v>
      </c>
      <c r="G150" s="85">
        <v>57274</v>
      </c>
      <c r="H150" s="83">
        <v>17100907.019999996</v>
      </c>
      <c r="I150" s="85">
        <v>5937</v>
      </c>
      <c r="J150" s="86">
        <v>48632151.600000009</v>
      </c>
      <c r="K150" s="87">
        <v>131032.01</v>
      </c>
      <c r="L150" s="85">
        <v>515</v>
      </c>
      <c r="M150" s="86">
        <v>8330699.0099999998</v>
      </c>
      <c r="N150" s="87">
        <v>20632.38</v>
      </c>
      <c r="O150" s="85">
        <v>4</v>
      </c>
      <c r="P150" s="83">
        <v>102429</v>
      </c>
      <c r="Q150" s="85">
        <v>225</v>
      </c>
      <c r="R150" s="86">
        <v>29077.930000000008</v>
      </c>
      <c r="S150" s="88">
        <v>68.356333333333325</v>
      </c>
      <c r="T150" s="85">
        <v>301</v>
      </c>
      <c r="U150" s="86">
        <v>344143.69</v>
      </c>
      <c r="V150" s="87">
        <v>1287.6100000000001</v>
      </c>
      <c r="W150" s="85">
        <v>18941</v>
      </c>
      <c r="Y150" s="111"/>
      <c r="AA150" s="140"/>
      <c r="AB150" s="128"/>
      <c r="AE150" s="111"/>
      <c r="AF150" s="111"/>
      <c r="AH150" s="150"/>
      <c r="AI150" s="150"/>
    </row>
    <row r="151" spans="1:35" x14ac:dyDescent="0.2">
      <c r="A151" s="73">
        <v>2025</v>
      </c>
      <c r="B151" s="74" t="s">
        <v>73</v>
      </c>
      <c r="C151" s="82"/>
      <c r="D151" s="83">
        <v>125410722.38000001</v>
      </c>
      <c r="E151" s="83"/>
      <c r="F151" s="84">
        <v>44416558.369999982</v>
      </c>
      <c r="G151" s="85">
        <v>57285</v>
      </c>
      <c r="H151" s="83">
        <v>14904602.629999999</v>
      </c>
      <c r="I151" s="85">
        <v>5934</v>
      </c>
      <c r="J151" s="86">
        <v>47631965.950000003</v>
      </c>
      <c r="K151" s="87">
        <v>130283.32</v>
      </c>
      <c r="L151" s="85">
        <v>515</v>
      </c>
      <c r="M151" s="86">
        <v>9222644.1500000004</v>
      </c>
      <c r="N151" s="87">
        <v>18128.89</v>
      </c>
      <c r="O151" s="85">
        <v>4</v>
      </c>
      <c r="P151" s="83">
        <v>102429</v>
      </c>
      <c r="Q151" s="85">
        <v>225</v>
      </c>
      <c r="R151" s="86">
        <v>28714.15</v>
      </c>
      <c r="S151" s="88">
        <v>68.146333333333331</v>
      </c>
      <c r="T151" s="85">
        <v>301</v>
      </c>
      <c r="U151" s="86">
        <v>379404.76</v>
      </c>
      <c r="V151" s="87">
        <v>1287.56</v>
      </c>
      <c r="W151" s="85">
        <v>18941</v>
      </c>
      <c r="Y151" s="111"/>
      <c r="AA151" s="140"/>
      <c r="AB151" s="128"/>
      <c r="AE151" s="111"/>
      <c r="AF151" s="111"/>
      <c r="AH151" s="150"/>
      <c r="AI151" s="150"/>
    </row>
    <row r="152" spans="1:35" x14ac:dyDescent="0.2">
      <c r="A152" s="73">
        <v>2025</v>
      </c>
      <c r="B152" s="74" t="s">
        <v>74</v>
      </c>
      <c r="C152" s="82"/>
      <c r="D152" s="83">
        <v>111533693.86</v>
      </c>
      <c r="E152" s="83"/>
      <c r="F152" s="84">
        <v>36302750.670000002</v>
      </c>
      <c r="G152" s="85">
        <v>57311</v>
      </c>
      <c r="H152" s="83">
        <v>12367297.939999998</v>
      </c>
      <c r="I152" s="85">
        <v>5929</v>
      </c>
      <c r="J152" s="86">
        <v>46619932.909999982</v>
      </c>
      <c r="K152" s="87">
        <v>131188.13999999998</v>
      </c>
      <c r="L152" s="85">
        <v>518</v>
      </c>
      <c r="M152" s="86">
        <v>8666538.3499999996</v>
      </c>
      <c r="N152" s="87">
        <v>16680.310000000001</v>
      </c>
      <c r="O152" s="85">
        <v>4</v>
      </c>
      <c r="P152" s="83">
        <v>102429</v>
      </c>
      <c r="Q152" s="85">
        <v>225</v>
      </c>
      <c r="R152" s="86">
        <v>29125.86</v>
      </c>
      <c r="S152" s="88">
        <v>68.679000000000002</v>
      </c>
      <c r="T152" s="85">
        <v>301</v>
      </c>
      <c r="U152" s="86">
        <v>423157.3</v>
      </c>
      <c r="V152" s="87">
        <v>1287.56</v>
      </c>
      <c r="W152" s="85">
        <v>18941</v>
      </c>
      <c r="Y152" s="111"/>
      <c r="AA152" s="140"/>
      <c r="AB152" s="128"/>
      <c r="AE152" s="111"/>
      <c r="AF152" s="111"/>
      <c r="AH152" s="150"/>
      <c r="AI152" s="150"/>
    </row>
    <row r="153" spans="1:35" x14ac:dyDescent="0.2">
      <c r="A153" s="73">
        <v>2025</v>
      </c>
      <c r="B153" s="74" t="s">
        <v>75</v>
      </c>
      <c r="C153" s="82"/>
      <c r="D153" s="83"/>
      <c r="E153" s="83"/>
      <c r="F153" s="84"/>
      <c r="G153" s="85"/>
      <c r="H153" s="83"/>
      <c r="I153" s="85"/>
      <c r="J153" s="86"/>
      <c r="K153" s="87"/>
      <c r="L153" s="85"/>
      <c r="M153" s="86"/>
      <c r="N153" s="87"/>
      <c r="O153" s="85"/>
      <c r="P153" s="83"/>
      <c r="Q153" s="85"/>
      <c r="R153" s="86"/>
      <c r="S153" s="88"/>
      <c r="T153" s="85"/>
      <c r="U153" s="86"/>
      <c r="V153" s="88"/>
      <c r="W153" s="85"/>
      <c r="Y153" s="111"/>
      <c r="AA153" s="140"/>
      <c r="AB153" s="128"/>
      <c r="AE153" s="111"/>
      <c r="AF153" s="111"/>
      <c r="AH153" s="150"/>
      <c r="AI153" s="150"/>
    </row>
    <row r="154" spans="1:35" x14ac:dyDescent="0.2">
      <c r="A154" s="73">
        <v>2025</v>
      </c>
      <c r="B154" s="74" t="s">
        <v>76</v>
      </c>
      <c r="C154" s="82"/>
      <c r="D154" s="83"/>
      <c r="E154" s="83"/>
      <c r="F154" s="84"/>
      <c r="G154" s="85"/>
      <c r="H154" s="83"/>
      <c r="I154" s="85"/>
      <c r="J154" s="86"/>
      <c r="K154" s="87"/>
      <c r="L154" s="85"/>
      <c r="M154" s="86"/>
      <c r="N154" s="87"/>
      <c r="O154" s="85"/>
      <c r="P154" s="83"/>
      <c r="Q154" s="85"/>
      <c r="R154" s="86"/>
      <c r="S154" s="88"/>
      <c r="T154" s="85"/>
      <c r="U154" s="86"/>
      <c r="V154" s="88"/>
      <c r="W154" s="85"/>
      <c r="Y154" s="111"/>
      <c r="AA154" s="140"/>
      <c r="AB154" s="128"/>
      <c r="AE154" s="111"/>
      <c r="AF154" s="111"/>
      <c r="AH154" s="150"/>
      <c r="AI154" s="150"/>
    </row>
    <row r="155" spans="1:35" ht="13.5" thickBot="1" x14ac:dyDescent="0.25">
      <c r="A155" s="73">
        <v>2025</v>
      </c>
      <c r="B155" s="74" t="s">
        <v>77</v>
      </c>
      <c r="C155" s="82"/>
      <c r="D155" s="89"/>
      <c r="E155" s="89"/>
      <c r="F155" s="152"/>
      <c r="G155" s="90"/>
      <c r="H155" s="89"/>
      <c r="I155" s="90"/>
      <c r="J155" s="153"/>
      <c r="K155" s="154"/>
      <c r="L155" s="90"/>
      <c r="M155" s="153"/>
      <c r="N155" s="154"/>
      <c r="O155" s="90"/>
      <c r="P155" s="89"/>
      <c r="Q155" s="90"/>
      <c r="R155" s="153"/>
      <c r="S155" s="155"/>
      <c r="T155" s="90"/>
      <c r="U155" s="153"/>
      <c r="V155" s="155"/>
      <c r="W155" s="90"/>
      <c r="X155" s="111"/>
      <c r="Y155" s="111"/>
      <c r="AA155" s="140"/>
      <c r="AB155" s="128"/>
      <c r="AE155" s="111"/>
      <c r="AF155" s="111"/>
      <c r="AH155" s="150"/>
      <c r="AI155" s="151"/>
    </row>
    <row r="156" spans="1:35" x14ac:dyDescent="0.2">
      <c r="K156" s="172">
        <f>SUM(K144:K152)/SUM(J144:J152)</f>
        <v>2.7160972666140557E-3</v>
      </c>
      <c r="N156" s="172">
        <f>SUM(N144:N152)/SUM(M144:M152)</f>
        <v>2.2410016488494952E-3</v>
      </c>
      <c r="S156" s="172">
        <f>SUM(S144:S152)/SUM(R144:R152)</f>
        <v>2.3645714612887912E-3</v>
      </c>
      <c r="V156" s="172">
        <f>SUM(V144:V152)/SUM(U144:U152)</f>
        <v>3.1046818779423592E-3</v>
      </c>
      <c r="AE156" s="111"/>
      <c r="AF156" s="149"/>
    </row>
    <row r="157" spans="1:35" x14ac:dyDescent="0.2">
      <c r="AE157" s="111"/>
      <c r="AF157" s="111"/>
    </row>
    <row r="158" spans="1:35" x14ac:dyDescent="0.2">
      <c r="AE158" s="111"/>
      <c r="AF158" s="111"/>
    </row>
    <row r="159" spans="1:35" x14ac:dyDescent="0.2">
      <c r="AE159" s="111"/>
      <c r="AF159" s="111"/>
    </row>
    <row r="160" spans="1:35" x14ac:dyDescent="0.2">
      <c r="AE160" s="111"/>
      <c r="AF160" s="111"/>
    </row>
    <row r="161" spans="31:32" x14ac:dyDescent="0.2">
      <c r="AE161" s="111"/>
      <c r="AF161" s="111"/>
    </row>
    <row r="162" spans="31:32" x14ac:dyDescent="0.2">
      <c r="AE162" s="111"/>
      <c r="AF162" s="111"/>
    </row>
    <row r="163" spans="31:32" x14ac:dyDescent="0.2">
      <c r="AE163" s="111"/>
      <c r="AF163" s="111"/>
    </row>
    <row r="164" spans="31:32" x14ac:dyDescent="0.2">
      <c r="AE164" s="111"/>
      <c r="AF164" s="111"/>
    </row>
    <row r="165" spans="31:32" x14ac:dyDescent="0.2">
      <c r="AE165" s="111"/>
      <c r="AF165" s="111"/>
    </row>
    <row r="166" spans="31:32" x14ac:dyDescent="0.2">
      <c r="AE166" s="111"/>
      <c r="AF166" s="111"/>
    </row>
    <row r="167" spans="31:32" x14ac:dyDescent="0.2">
      <c r="AE167" s="111"/>
      <c r="AF167" s="111"/>
    </row>
    <row r="168" spans="31:32" x14ac:dyDescent="0.2">
      <c r="AE168" s="111"/>
      <c r="AF168" s="149"/>
    </row>
  </sheetData>
  <sheetProtection selectLockedCells="1" selectUnlockedCells="1"/>
  <mergeCells count="11">
    <mergeCell ref="A3:H3"/>
    <mergeCell ref="F20:W20"/>
    <mergeCell ref="A20:B20"/>
    <mergeCell ref="D20:E20"/>
    <mergeCell ref="U21:W21"/>
    <mergeCell ref="F21:G21"/>
    <mergeCell ref="H21:I21"/>
    <mergeCell ref="J21:L21"/>
    <mergeCell ref="P21:Q21"/>
    <mergeCell ref="R21:T21"/>
    <mergeCell ref="M21:O21"/>
  </mergeCells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77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27" sqref="P27"/>
    </sheetView>
  </sheetViews>
  <sheetFormatPr defaultRowHeight="12.75" x14ac:dyDescent="0.2"/>
  <cols>
    <col min="1" max="1" width="42.5703125" customWidth="1"/>
    <col min="2" max="10" width="13.5703125" customWidth="1"/>
    <col min="11" max="13" width="13.5703125" bestFit="1" customWidth="1"/>
    <col min="14" max="14" width="12" bestFit="1" customWidth="1"/>
    <col min="15" max="15" width="11" customWidth="1"/>
  </cols>
  <sheetData>
    <row r="1" spans="1:15" ht="15.75" x14ac:dyDescent="0.25">
      <c r="A1" s="22" t="s">
        <v>100</v>
      </c>
    </row>
    <row r="2" spans="1:15" x14ac:dyDescent="0.2">
      <c r="L2" s="24" t="s">
        <v>101</v>
      </c>
      <c r="M2" s="24" t="s">
        <v>102</v>
      </c>
    </row>
    <row r="3" spans="1:15" ht="25.5" x14ac:dyDescent="0.2">
      <c r="B3" s="24" t="s">
        <v>82</v>
      </c>
      <c r="C3" s="24" t="s">
        <v>104</v>
      </c>
      <c r="D3" s="24" t="s">
        <v>105</v>
      </c>
      <c r="E3" s="24" t="s">
        <v>106</v>
      </c>
      <c r="F3" s="24" t="s">
        <v>107</v>
      </c>
      <c r="G3" s="24" t="s">
        <v>108</v>
      </c>
      <c r="H3" s="24" t="s">
        <v>55</v>
      </c>
      <c r="I3" s="24" t="s">
        <v>56</v>
      </c>
      <c r="J3" s="24" t="s">
        <v>92</v>
      </c>
      <c r="K3" s="24" t="s">
        <v>103</v>
      </c>
      <c r="L3" s="24" t="s">
        <v>81</v>
      </c>
      <c r="M3" s="24" t="s">
        <v>81</v>
      </c>
    </row>
    <row r="4" spans="1:15" x14ac:dyDescent="0.2">
      <c r="A4" s="10" t="s">
        <v>38</v>
      </c>
      <c r="B4" s="17">
        <f>+'Power Purchased Model'!B152</f>
        <v>1231015857.4130769</v>
      </c>
      <c r="C4" s="17">
        <f>+'Power Purchased Model'!B153</f>
        <v>1210096646.9295385</v>
      </c>
      <c r="D4" s="17">
        <f>+'Power Purchased Model'!B154</f>
        <v>1188982964.0009999</v>
      </c>
      <c r="E4" s="17">
        <f>+'Power Purchased Model'!B155</f>
        <v>1250101306.4174209</v>
      </c>
      <c r="F4" s="17">
        <f>+'Power Purchased Model'!B156</f>
        <v>1224321309.6899998</v>
      </c>
      <c r="G4" s="17">
        <f>+'Power Purchased Model'!B157</f>
        <v>1208016677.0331349</v>
      </c>
      <c r="H4" s="17">
        <f>+'Power Purchased Model'!B158</f>
        <v>1247990626.4064798</v>
      </c>
      <c r="I4" s="17">
        <f>+'Power Purchased Model'!B159</f>
        <v>1291380740</v>
      </c>
      <c r="J4" s="17">
        <f>+'Power Purchased Model'!B160</f>
        <v>1271943858.9100001</v>
      </c>
      <c r="K4" s="17">
        <f>+'Power Purchased Model'!B161</f>
        <v>1308625063.9620001</v>
      </c>
    </row>
    <row r="5" spans="1:15" x14ac:dyDescent="0.2">
      <c r="A5" s="10" t="s">
        <v>39</v>
      </c>
      <c r="B5" s="17">
        <f>+'Power Purchased Model'!I152</f>
        <v>1190903112.5063496</v>
      </c>
      <c r="C5" s="17">
        <f>+'Power Purchased Model'!I153</f>
        <v>1219045349.6955669</v>
      </c>
      <c r="D5" s="17">
        <f>+'Power Purchased Model'!I154</f>
        <v>1206141857.1005039</v>
      </c>
      <c r="E5" s="17">
        <f>+'Power Purchased Model'!I155</f>
        <v>1258553863.9155185</v>
      </c>
      <c r="F5" s="17">
        <f>+'Power Purchased Model'!I156</f>
        <v>1242585761.5241613</v>
      </c>
      <c r="G5" s="17">
        <f>+'Power Purchased Model'!I157</f>
        <v>1200203146.4462194</v>
      </c>
      <c r="H5" s="17">
        <f>+'Power Purchased Model'!I158</f>
        <v>1264040541.7193544</v>
      </c>
      <c r="I5" s="17">
        <f>+'Power Purchased Model'!I159</f>
        <v>1288515054.7636354</v>
      </c>
      <c r="J5" s="17">
        <f>+'Power Purchased Model'!I160</f>
        <v>1272846483.1152611</v>
      </c>
      <c r="K5" s="17">
        <f>+'Power Purchased Model'!I161</f>
        <v>1301315474.6885662</v>
      </c>
      <c r="L5" s="17">
        <f>+'Power Purchased Model'!I162</f>
        <v>1299597914.2039313</v>
      </c>
      <c r="M5" s="17">
        <f>+'Power Purchased Model'!I163</f>
        <v>1291291102.7767923</v>
      </c>
    </row>
    <row r="6" spans="1:15" x14ac:dyDescent="0.2">
      <c r="A6" s="10" t="s">
        <v>4</v>
      </c>
      <c r="B6" s="23">
        <f t="shared" ref="B6:K6" si="0">(B5-B4)/B4</f>
        <v>-3.258507570407939E-2</v>
      </c>
      <c r="C6" s="23">
        <f t="shared" si="0"/>
        <v>7.3950314536731952E-3</v>
      </c>
      <c r="D6" s="23">
        <f t="shared" si="0"/>
        <v>1.4431571871949515E-2</v>
      </c>
      <c r="E6" s="23">
        <f t="shared" si="0"/>
        <v>6.7614980119661341E-3</v>
      </c>
      <c r="F6" s="23">
        <f t="shared" si="0"/>
        <v>1.4918021674217293E-2</v>
      </c>
      <c r="G6" s="23">
        <f t="shared" si="0"/>
        <v>-6.4680651645516764E-3</v>
      </c>
      <c r="H6" s="23">
        <f t="shared" si="0"/>
        <v>1.2860605659426627E-2</v>
      </c>
      <c r="I6" s="23">
        <f t="shared" si="0"/>
        <v>-2.2190862443593538E-3</v>
      </c>
      <c r="J6" s="23">
        <f t="shared" si="0"/>
        <v>7.0964154505569242E-4</v>
      </c>
      <c r="K6" s="23">
        <f t="shared" si="0"/>
        <v>-5.5857017221597246E-3</v>
      </c>
    </row>
    <row r="7" spans="1:15" x14ac:dyDescent="0.2">
      <c r="A7" s="10"/>
      <c r="B7" s="23"/>
      <c r="C7" s="23"/>
      <c r="D7" s="23"/>
      <c r="E7" s="23"/>
      <c r="F7" s="23"/>
      <c r="G7" s="23"/>
      <c r="H7" s="23"/>
      <c r="I7" s="23"/>
      <c r="J7" s="23"/>
      <c r="K7" s="23"/>
      <c r="L7" s="17"/>
      <c r="M7" s="17"/>
    </row>
    <row r="8" spans="1:15" x14ac:dyDescent="0.2">
      <c r="A8" s="10"/>
      <c r="B8" s="23"/>
      <c r="C8" s="23"/>
      <c r="D8" s="23"/>
      <c r="E8" s="23"/>
      <c r="F8" s="23"/>
      <c r="G8" s="23"/>
      <c r="H8" s="23"/>
      <c r="I8" s="23"/>
      <c r="J8" s="23"/>
      <c r="K8" s="23"/>
      <c r="L8" s="29"/>
      <c r="M8" s="29"/>
    </row>
    <row r="9" spans="1:15" x14ac:dyDescent="0.2">
      <c r="A9" s="10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">
      <c r="A10" s="10" t="s">
        <v>49</v>
      </c>
      <c r="B10" s="4">
        <f>'Rate Class Energy Model'!G3</f>
        <v>1148834612.5799999</v>
      </c>
      <c r="C10" s="4">
        <f>'Rate Class Energy Model'!G4</f>
        <v>1164182008.5108311</v>
      </c>
      <c r="D10" s="4">
        <f>'Rate Class Energy Model'!G5</f>
        <v>1150940105.9500003</v>
      </c>
      <c r="E10" s="4">
        <f>'Rate Class Energy Model'!G6</f>
        <v>1205049799.5299997</v>
      </c>
      <c r="F10" s="4">
        <f>'Rate Class Energy Model'!G7</f>
        <v>1172895488.78</v>
      </c>
      <c r="G10" s="4">
        <f>'Rate Class Energy Model'!G8</f>
        <v>1159425253.5500002</v>
      </c>
      <c r="H10" s="4">
        <f>'Rate Class Energy Model'!G9</f>
        <v>1199960376.74</v>
      </c>
      <c r="I10" s="4">
        <f>'Rate Class Energy Model'!G10</f>
        <v>1243292924.8500001</v>
      </c>
      <c r="J10" s="4">
        <f>'Rate Class Energy Model'!G11</f>
        <v>1223014611.48</v>
      </c>
      <c r="K10" s="4">
        <f>'Rate Class Energy Model'!G12</f>
        <v>1258616415.1499999</v>
      </c>
      <c r="L10" s="4">
        <f>'Rate Class Energy Model'!G31</f>
        <v>1246543441.5323596</v>
      </c>
      <c r="M10" s="4">
        <f>'Rate Class Energy Model'!G32</f>
        <v>1238575745.3769767</v>
      </c>
    </row>
    <row r="11" spans="1:15" x14ac:dyDescent="0.2">
      <c r="A11" s="10"/>
      <c r="L11" s="49"/>
      <c r="M11" s="4"/>
    </row>
    <row r="12" spans="1:15" ht="15.75" x14ac:dyDescent="0.25">
      <c r="A12" s="22" t="s">
        <v>40</v>
      </c>
      <c r="C12" s="1"/>
      <c r="E12" s="1"/>
      <c r="H12" s="29"/>
    </row>
    <row r="13" spans="1:15" x14ac:dyDescent="0.2">
      <c r="A13" s="21" t="str">
        <f>'Rate Class Energy Model'!H2</f>
        <v>Residential</v>
      </c>
      <c r="C13" s="1"/>
      <c r="D13" s="1"/>
      <c r="E13" s="1"/>
      <c r="H13" s="4"/>
      <c r="I13" s="4"/>
      <c r="J13" s="4"/>
      <c r="K13" s="4"/>
      <c r="L13" s="4"/>
      <c r="M13" s="4"/>
    </row>
    <row r="14" spans="1:15" x14ac:dyDescent="0.2">
      <c r="A14" t="s">
        <v>32</v>
      </c>
      <c r="B14" s="4">
        <f>'Rate Class Customer Model'!B3</f>
        <v>50511.5</v>
      </c>
      <c r="C14" s="4">
        <f>'Rate Class Customer Model'!B4</f>
        <v>51680.5</v>
      </c>
      <c r="D14" s="4">
        <f>'Rate Class Customer Model'!B5</f>
        <v>52149</v>
      </c>
      <c r="E14" s="4">
        <f>'Rate Class Customer Model'!B6</f>
        <v>52685.5</v>
      </c>
      <c r="F14" s="4">
        <f>'Rate Class Customer Model'!B7</f>
        <v>53245</v>
      </c>
      <c r="G14" s="4">
        <f>'Rate Class Customer Model'!B8</f>
        <v>53932.5</v>
      </c>
      <c r="H14" s="4">
        <f>'Rate Class Customer Model'!B9</f>
        <v>54770.5</v>
      </c>
      <c r="I14" s="4">
        <f>'Rate Class Customer Model'!B10</f>
        <v>55652</v>
      </c>
      <c r="J14" s="4">
        <f>'Rate Class Customer Model'!B11</f>
        <v>56302</v>
      </c>
      <c r="K14" s="4">
        <f>'Rate Class Customer Model'!B12</f>
        <v>56797</v>
      </c>
      <c r="L14" s="4">
        <f>'Rate Class Customer Model'!B13</f>
        <v>57258.869489293611</v>
      </c>
      <c r="M14" s="4">
        <f>'Rate Class Customer Model'!B14</f>
        <v>57981.309481874006</v>
      </c>
      <c r="N14" s="143"/>
      <c r="O14" s="29"/>
    </row>
    <row r="15" spans="1:15" x14ac:dyDescent="0.2">
      <c r="A15" t="s">
        <v>33</v>
      </c>
      <c r="B15" s="4">
        <f>'Rate Class Energy Model'!H3</f>
        <v>396832649.18000001</v>
      </c>
      <c r="C15" s="4">
        <f>'Rate Class Energy Model'!H4</f>
        <v>405183154.93929309</v>
      </c>
      <c r="D15" s="4">
        <f>'Rate Class Energy Model'!H5</f>
        <v>387000724.86000001</v>
      </c>
      <c r="E15" s="28">
        <f>'Rate Class Energy Model'!H6</f>
        <v>425242692</v>
      </c>
      <c r="F15" s="4">
        <f>'Rate Class Energy Model'!H7</f>
        <v>411936659</v>
      </c>
      <c r="G15" s="4">
        <f>'Rate Class Energy Model'!H8</f>
        <v>439168361</v>
      </c>
      <c r="H15" s="4">
        <f>'Rate Class Energy Model'!H9</f>
        <v>447806289</v>
      </c>
      <c r="I15" s="4">
        <f>'Rate Class Energy Model'!H10</f>
        <v>447775679</v>
      </c>
      <c r="J15" s="4">
        <f>'Rate Class Energy Model'!H11</f>
        <v>429855844</v>
      </c>
      <c r="K15" s="4">
        <f>'Rate Class Energy Model'!H12</f>
        <v>452835509.43999988</v>
      </c>
      <c r="L15" s="4">
        <f>'Rate Class Energy Model'!H31</f>
        <v>444775707.67091572</v>
      </c>
      <c r="M15" s="4">
        <f>'Rate Class Energy Model'!H32</f>
        <v>446810597.89929187</v>
      </c>
      <c r="N15" s="143"/>
    </row>
    <row r="16" spans="1:15" x14ac:dyDescent="0.2">
      <c r="C16" s="28"/>
      <c r="F16" s="29"/>
      <c r="G16" s="29"/>
      <c r="I16" s="29"/>
      <c r="J16" s="29"/>
      <c r="K16" s="29"/>
      <c r="L16" s="29"/>
      <c r="M16" s="29"/>
      <c r="N16" s="143"/>
    </row>
    <row r="17" spans="1:14" x14ac:dyDescent="0.2">
      <c r="A17" s="21" t="str">
        <f>'Rate Class Energy Model'!I2</f>
        <v>General Service &lt; 50 kW</v>
      </c>
      <c r="C17" s="40"/>
      <c r="D17" s="1"/>
      <c r="E17" s="1"/>
      <c r="F17" s="1"/>
      <c r="G17" s="4"/>
      <c r="H17" s="4"/>
      <c r="I17" s="4"/>
      <c r="J17" s="4"/>
      <c r="K17" s="4"/>
      <c r="L17" s="4"/>
      <c r="M17" s="4"/>
      <c r="N17" s="156"/>
    </row>
    <row r="18" spans="1:14" ht="13.5" customHeight="1" x14ac:dyDescent="0.2">
      <c r="A18" t="s">
        <v>32</v>
      </c>
      <c r="B18" s="4">
        <f>'Rate Class Customer Model'!C3</f>
        <v>5527</v>
      </c>
      <c r="C18" s="4">
        <f>'Rate Class Customer Model'!C4</f>
        <v>5637.5</v>
      </c>
      <c r="D18" s="4">
        <f>'Rate Class Customer Model'!C5</f>
        <v>5654.5</v>
      </c>
      <c r="E18" s="4">
        <f>'Rate Class Customer Model'!C6</f>
        <v>5686</v>
      </c>
      <c r="F18" s="4">
        <f>'Rate Class Customer Model'!C7</f>
        <v>5693.5</v>
      </c>
      <c r="G18" s="4">
        <f>'Rate Class Customer Model'!C8</f>
        <v>5703.5</v>
      </c>
      <c r="H18" s="4">
        <f>'Rate Class Customer Model'!C9</f>
        <v>5732</v>
      </c>
      <c r="I18" s="4">
        <f>'Rate Class Customer Model'!C10</f>
        <v>5798.5</v>
      </c>
      <c r="J18" s="4">
        <f>'Rate Class Customer Model'!C11</f>
        <v>5860</v>
      </c>
      <c r="K18" s="4">
        <f>'Rate Class Customer Model'!C12</f>
        <v>5889</v>
      </c>
      <c r="L18" s="4">
        <f>'Rate Class Customer Model'!C13</f>
        <v>5927.8651125701044</v>
      </c>
      <c r="M18" s="4">
        <f>'Rate Class Customer Model'!C14</f>
        <v>5969.5170590717007</v>
      </c>
      <c r="N18" s="143"/>
    </row>
    <row r="19" spans="1:14" x14ac:dyDescent="0.2">
      <c r="A19" t="s">
        <v>33</v>
      </c>
      <c r="B19" s="4">
        <f>'Rate Class Energy Model'!I3</f>
        <v>152529020.18000001</v>
      </c>
      <c r="C19" s="4">
        <f>'Rate Class Energy Model'!I4</f>
        <v>152498210.56566197</v>
      </c>
      <c r="D19" s="4">
        <f>'Rate Class Energy Model'!I5</f>
        <v>152138066.16999999</v>
      </c>
      <c r="E19" s="4">
        <f>'Rate Class Energy Model'!I6</f>
        <v>158043644</v>
      </c>
      <c r="F19" s="4">
        <f>'Rate Class Energy Model'!I7</f>
        <v>153655138</v>
      </c>
      <c r="G19" s="4">
        <f>'Rate Class Energy Model'!I8</f>
        <v>143543988</v>
      </c>
      <c r="H19" s="4">
        <f>'Rate Class Energy Model'!I9</f>
        <v>153599300</v>
      </c>
      <c r="I19" s="4">
        <f>'Rate Class Energy Model'!I10</f>
        <v>158958811</v>
      </c>
      <c r="J19" s="4">
        <f>'Rate Class Energy Model'!I11</f>
        <v>159307883</v>
      </c>
      <c r="K19" s="4">
        <f>'Rate Class Energy Model'!I12</f>
        <v>165653053.61000001</v>
      </c>
      <c r="L19" s="4">
        <f>'Rate Class Energy Model'!I31</f>
        <v>162457369.40991828</v>
      </c>
      <c r="M19" s="4">
        <f>'Rate Class Energy Model'!I32</f>
        <v>162299602.94774145</v>
      </c>
      <c r="N19" s="143"/>
    </row>
    <row r="20" spans="1:14" x14ac:dyDescent="0.2">
      <c r="B20" s="4"/>
      <c r="C20" s="1"/>
      <c r="G20" s="29"/>
      <c r="I20" s="29"/>
      <c r="J20" s="29"/>
      <c r="K20" s="29"/>
      <c r="L20" s="29"/>
      <c r="M20" s="29"/>
      <c r="N20" s="156"/>
    </row>
    <row r="21" spans="1:14" x14ac:dyDescent="0.2">
      <c r="A21" s="21" t="str">
        <f>'Rate Class Energy Model'!J2</f>
        <v>General Service &gt; 50 to 4999 kW</v>
      </c>
      <c r="B21" s="4"/>
      <c r="C21" s="1"/>
      <c r="D21" s="1"/>
      <c r="E21" s="1"/>
      <c r="F21" s="1"/>
      <c r="N21" s="156"/>
    </row>
    <row r="22" spans="1:14" x14ac:dyDescent="0.2">
      <c r="A22" t="s">
        <v>32</v>
      </c>
      <c r="B22" s="4">
        <f>'Rate Class Customer Model'!D3</f>
        <v>597.5</v>
      </c>
      <c r="C22" s="4">
        <f>'Rate Class Customer Model'!D4</f>
        <v>583.5</v>
      </c>
      <c r="D22" s="4">
        <f>'Rate Class Customer Model'!D5</f>
        <v>562.5</v>
      </c>
      <c r="E22" s="4">
        <f>'Rate Class Customer Model'!D6</f>
        <v>549</v>
      </c>
      <c r="F22" s="4">
        <f>'Rate Class Customer Model'!D7</f>
        <v>556.5</v>
      </c>
      <c r="G22" s="4">
        <f>'Rate Class Customer Model'!D8</f>
        <v>559.5</v>
      </c>
      <c r="H22" s="4">
        <f>'Rate Class Customer Model'!D9</f>
        <v>541.5</v>
      </c>
      <c r="I22" s="4">
        <f>'Rate Class Customer Model'!D10</f>
        <v>521</v>
      </c>
      <c r="J22" s="4">
        <f>'Rate Class Customer Model'!D11</f>
        <v>512</v>
      </c>
      <c r="K22" s="4">
        <f>'Rate Class Customer Model'!D12</f>
        <v>508.5</v>
      </c>
      <c r="L22" s="4">
        <f>'Rate Class Customer Model'!D13</f>
        <v>514.39574166242073</v>
      </c>
      <c r="M22" s="4">
        <f>'Rate Class Customer Model'!D14</f>
        <v>506.74947823933263</v>
      </c>
      <c r="N22" s="143"/>
    </row>
    <row r="23" spans="1:14" x14ac:dyDescent="0.2">
      <c r="A23" t="s">
        <v>33</v>
      </c>
      <c r="B23" s="4">
        <f>'Rate Class Energy Model'!J3</f>
        <v>526568935.87000006</v>
      </c>
      <c r="C23" s="4">
        <f>'Rate Class Energy Model'!J4</f>
        <v>527388658.34421581</v>
      </c>
      <c r="D23" s="4">
        <f>'Rate Class Energy Model'!J5</f>
        <v>535305319.84000009</v>
      </c>
      <c r="E23" s="4">
        <f>'Rate Class Energy Model'!J6</f>
        <v>535709795.42999995</v>
      </c>
      <c r="F23" s="4">
        <f>'Rate Class Energy Model'!J7</f>
        <v>517080386.50000006</v>
      </c>
      <c r="G23" s="4">
        <f>'Rate Class Energy Model'!J8</f>
        <v>492213122.17000002</v>
      </c>
      <c r="H23" s="4">
        <f>'Rate Class Energy Model'!J9</f>
        <v>509952255.57999998</v>
      </c>
      <c r="I23" s="4">
        <f>'Rate Class Energy Model'!J10</f>
        <v>527626633.36000001</v>
      </c>
      <c r="J23" s="4">
        <f>'Rate Class Energy Model'!J11</f>
        <v>523144015.48000002</v>
      </c>
      <c r="K23" s="4">
        <f>'Rate Class Energy Model'!J12</f>
        <v>525118764.23000008</v>
      </c>
      <c r="L23" s="4">
        <f>'Rate Class Energy Model'!J31</f>
        <v>524288491.29410231</v>
      </c>
      <c r="M23" s="4">
        <f>'Rate Class Energy Model'!J32</f>
        <v>514444820.96307063</v>
      </c>
      <c r="N23" s="143"/>
    </row>
    <row r="24" spans="1:14" x14ac:dyDescent="0.2">
      <c r="A24" t="s">
        <v>34</v>
      </c>
      <c r="B24" s="4">
        <f>'Rate Class Load Model'!B2</f>
        <v>1406752.2499999998</v>
      </c>
      <c r="C24" s="4">
        <f>'Rate Class Load Model'!B3</f>
        <v>1384770.92</v>
      </c>
      <c r="D24" s="4">
        <f>'Rate Class Load Model'!B4</f>
        <v>1472726.2</v>
      </c>
      <c r="E24" s="4">
        <f>'Rate Class Load Model'!B5</f>
        <v>1449719.46</v>
      </c>
      <c r="F24" s="4">
        <f>'Rate Class Load Model'!B6</f>
        <v>1406359.4300000002</v>
      </c>
      <c r="G24" s="4">
        <f>'Rate Class Load Model'!B7</f>
        <v>1388268.83</v>
      </c>
      <c r="H24" s="4">
        <f>'Rate Class Load Model'!B8</f>
        <v>1369361.6800000002</v>
      </c>
      <c r="I24" s="4">
        <f>'Rate Class Load Model'!B9</f>
        <v>1416160.24</v>
      </c>
      <c r="J24" s="4">
        <f>'Rate Class Load Model'!B10</f>
        <v>1409639.32</v>
      </c>
      <c r="K24" s="4">
        <f>'Rate Class Load Model'!B11</f>
        <v>1416608.47</v>
      </c>
      <c r="L24" s="4">
        <f>'Rate Class Load Model'!B12</f>
        <v>1419035.3388955675</v>
      </c>
      <c r="M24" s="4">
        <f>'Rate Class Load Model'!B13</f>
        <v>1392392.5338443003</v>
      </c>
      <c r="N24" s="143"/>
    </row>
    <row r="25" spans="1:14" x14ac:dyDescent="0.2">
      <c r="B25" s="4"/>
      <c r="C25" s="4"/>
      <c r="D25" s="4"/>
      <c r="E25" s="4"/>
      <c r="F25" s="4"/>
      <c r="G25" s="4"/>
      <c r="H25" s="4"/>
      <c r="I25" s="4"/>
      <c r="K25" s="4"/>
      <c r="L25" s="4"/>
      <c r="M25" s="4"/>
      <c r="N25" s="156"/>
    </row>
    <row r="26" spans="1:14" x14ac:dyDescent="0.2">
      <c r="A26" s="126" t="str">
        <f>Inputs!M21</f>
        <v>Large Use</v>
      </c>
      <c r="B26" s="4"/>
      <c r="C26" s="1"/>
      <c r="D26" s="1"/>
      <c r="E26" s="1"/>
      <c r="F26" s="1"/>
      <c r="N26" s="156"/>
    </row>
    <row r="27" spans="1:14" x14ac:dyDescent="0.2">
      <c r="A27" t="s">
        <v>32</v>
      </c>
      <c r="B27" s="4">
        <f>'Rate Class Customer Model'!E3</f>
        <v>2</v>
      </c>
      <c r="C27" s="4">
        <f>'Rate Class Customer Model'!E4</f>
        <v>2</v>
      </c>
      <c r="D27" s="4">
        <f>'Rate Class Customer Model'!E5</f>
        <v>2</v>
      </c>
      <c r="E27" s="4">
        <f>'Rate Class Customer Model'!E6</f>
        <v>2</v>
      </c>
      <c r="F27" s="4">
        <f>'Rate Class Customer Model'!E7</f>
        <v>2</v>
      </c>
      <c r="G27" s="4">
        <f>'Rate Class Customer Model'!E8</f>
        <v>2</v>
      </c>
      <c r="H27" s="4">
        <f>'Rate Class Customer Model'!E9</f>
        <v>2</v>
      </c>
      <c r="I27" s="4">
        <f>'Rate Class Customer Model'!E10</f>
        <v>3</v>
      </c>
      <c r="J27" s="4">
        <f>'Rate Class Customer Model'!E11</f>
        <v>4</v>
      </c>
      <c r="K27" s="4">
        <f>'Rate Class Customer Model'!E12</f>
        <v>4</v>
      </c>
      <c r="L27" s="4">
        <f>'Rate Class Customer Model'!E13</f>
        <v>4</v>
      </c>
      <c r="M27" s="4">
        <f>'Rate Class Customer Model'!E14</f>
        <v>4</v>
      </c>
      <c r="N27" s="143"/>
    </row>
    <row r="28" spans="1:14" x14ac:dyDescent="0.2">
      <c r="A28" t="s">
        <v>33</v>
      </c>
      <c r="B28" s="4">
        <f>SUMIF(Inputs!$A24:$A143,'Load Forecast Summary'!B77,Inputs!$M24:$M143)</f>
        <v>60621606.239999995</v>
      </c>
      <c r="C28" s="4">
        <f>SUMIF(Inputs!$A24:$A143,'Load Forecast Summary'!C77,Inputs!$M24:$M143)</f>
        <v>68820300.615814403</v>
      </c>
      <c r="D28" s="4">
        <f>SUMIF(Inputs!$A24:$A143,'Load Forecast Summary'!D77,Inputs!$M24:$M143)</f>
        <v>68876378.480000004</v>
      </c>
      <c r="E28" s="4">
        <f>SUMIF(Inputs!$A24:$A143,'Load Forecast Summary'!E77,Inputs!$M24:$M143)</f>
        <v>78736784.100000009</v>
      </c>
      <c r="F28" s="4">
        <f>SUMIF(Inputs!$A24:$A143,'Load Forecast Summary'!F77,Inputs!$M24:$M143)</f>
        <v>83222289.280000001</v>
      </c>
      <c r="G28" s="4">
        <f>SUMIF(Inputs!$A24:$A143,'Load Forecast Summary'!G77,Inputs!$M24:$M143)</f>
        <v>77427944.38000001</v>
      </c>
      <c r="H28" s="4">
        <f>SUMIF(Inputs!$A24:$A143,'Load Forecast Summary'!H77,Inputs!$M24:$M143)</f>
        <v>81637911.159999996</v>
      </c>
      <c r="I28" s="4">
        <f>SUMIF(Inputs!$A24:$A143,'Load Forecast Summary'!I77,Inputs!$M24:$M143)</f>
        <v>101920233.49000001</v>
      </c>
      <c r="J28" s="4">
        <f>SUMIF(Inputs!$A24:$A143,'Load Forecast Summary'!J77,Inputs!$M24:$M143)</f>
        <v>103677541</v>
      </c>
      <c r="K28" s="4">
        <f>SUMIF(Inputs!$A24:$A143,'Load Forecast Summary'!K77,Inputs!$M24:$M143)</f>
        <v>108051126.57999998</v>
      </c>
      <c r="L28" s="4">
        <f>'Rate Class Energy Model'!K31</f>
        <v>108051126.57999998</v>
      </c>
      <c r="M28" s="4">
        <f>'Rate Class Energy Model'!K32</f>
        <v>108051126.57999998</v>
      </c>
      <c r="N28" s="143"/>
    </row>
    <row r="29" spans="1:14" x14ac:dyDescent="0.2">
      <c r="A29" t="s">
        <v>34</v>
      </c>
      <c r="B29" s="4">
        <f>'Rate Class Load Model'!C2</f>
        <v>147250.81</v>
      </c>
      <c r="C29" s="4">
        <f>'Rate Class Load Model'!C3</f>
        <v>227700.89</v>
      </c>
      <c r="D29" s="4">
        <f>'Rate Class Load Model'!C4</f>
        <v>235754.21</v>
      </c>
      <c r="E29" s="4">
        <f>'Rate Class Load Model'!C5</f>
        <v>248845.94</v>
      </c>
      <c r="F29" s="4">
        <f>'Rate Class Load Model'!C6</f>
        <v>192285.66</v>
      </c>
      <c r="G29" s="4">
        <f>'Rate Class Load Model'!C7</f>
        <v>180185.72000000003</v>
      </c>
      <c r="H29" s="4">
        <f>'Rate Class Load Model'!C8</f>
        <v>189298.78</v>
      </c>
      <c r="I29" s="4">
        <f>'Rate Class Load Model'!C9</f>
        <v>228226.57</v>
      </c>
      <c r="J29" s="4">
        <f>'Rate Class Load Model'!C10</f>
        <v>239895</v>
      </c>
      <c r="K29" s="4">
        <f>'Rate Class Load Model'!C11</f>
        <v>256331.52999999997</v>
      </c>
      <c r="L29" s="4">
        <f>'Rate Class Load Model'!C12</f>
        <v>249433.8850940101</v>
      </c>
      <c r="M29" s="4">
        <f>'Rate Class Load Model'!C13</f>
        <v>249433.8850940101</v>
      </c>
      <c r="N29" s="143"/>
    </row>
    <row r="30" spans="1:14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9"/>
    </row>
    <row r="31" spans="1:14" x14ac:dyDescent="0.2">
      <c r="A31" s="21" t="str">
        <f>'Rate Class Energy Model'!L2</f>
        <v>USL</v>
      </c>
      <c r="E31" s="1"/>
      <c r="F31" s="1"/>
      <c r="H31" s="1"/>
      <c r="K31" s="4"/>
      <c r="N31" s="29"/>
    </row>
    <row r="32" spans="1:14" x14ac:dyDescent="0.2">
      <c r="A32" t="s">
        <v>35</v>
      </c>
      <c r="B32" s="4">
        <f>'Rate Class Customer Model'!F3</f>
        <v>250.5</v>
      </c>
      <c r="C32" s="4">
        <f>'Rate Class Customer Model'!F4</f>
        <v>257.5</v>
      </c>
      <c r="D32" s="4">
        <f>'Rate Class Customer Model'!F5</f>
        <v>246</v>
      </c>
      <c r="E32" s="4">
        <f>'Rate Class Customer Model'!F6</f>
        <v>228</v>
      </c>
      <c r="F32" s="4">
        <f>'Rate Class Customer Model'!F7</f>
        <v>228</v>
      </c>
      <c r="G32" s="4">
        <f>'Rate Class Customer Model'!F8</f>
        <v>226</v>
      </c>
      <c r="H32" s="4">
        <f>'Rate Class Customer Model'!F9</f>
        <v>224</v>
      </c>
      <c r="I32" s="4">
        <f>'Rate Class Customer Model'!F10</f>
        <v>224</v>
      </c>
      <c r="J32" s="4">
        <f>'Rate Class Customer Model'!F11</f>
        <v>224</v>
      </c>
      <c r="K32" s="4">
        <f>'Rate Class Customer Model'!F12</f>
        <v>225</v>
      </c>
      <c r="L32" s="4">
        <f>'Rate Class Customer Model'!F13</f>
        <v>224.86126605550308</v>
      </c>
      <c r="M32" s="4">
        <f>'Rate Class Customer Model'!F14</f>
        <v>222.4463805655576</v>
      </c>
      <c r="N32" s="29"/>
    </row>
    <row r="33" spans="1:14" x14ac:dyDescent="0.2">
      <c r="A33" t="s">
        <v>33</v>
      </c>
      <c r="B33" s="4">
        <f>'Rate Class Energy Model'!L3</f>
        <v>1247803</v>
      </c>
      <c r="C33" s="4">
        <f>'Rate Class Energy Model'!L4</f>
        <v>1254320.98</v>
      </c>
      <c r="D33" s="4">
        <f>'Rate Class Energy Model'!L5</f>
        <v>1348220.9</v>
      </c>
      <c r="E33" s="4">
        <f>'Rate Class Energy Model'!L6</f>
        <v>1344468</v>
      </c>
      <c r="F33" s="4">
        <f>'Rate Class Energy Model'!L7</f>
        <v>1276935</v>
      </c>
      <c r="G33" s="4">
        <f>'Rate Class Energy Model'!L8</f>
        <v>1272419</v>
      </c>
      <c r="H33" s="4">
        <f>'Rate Class Energy Model'!L9</f>
        <v>1247052</v>
      </c>
      <c r="I33" s="4">
        <f>'Rate Class Energy Model'!L10</f>
        <v>1247677</v>
      </c>
      <c r="J33" s="4">
        <f>'Rate Class Energy Model'!L11</f>
        <v>1250514</v>
      </c>
      <c r="K33" s="4">
        <f>'Rate Class Energy Model'!L12</f>
        <v>1238523</v>
      </c>
      <c r="L33" s="4">
        <f>'Rate Class Energy Model'!L31</f>
        <v>1237759.3325282661</v>
      </c>
      <c r="M33" s="4">
        <f>'Rate Class Energy Model'!L32</f>
        <v>1224466.4826542051</v>
      </c>
      <c r="N33" s="29"/>
    </row>
    <row r="34" spans="1:14" x14ac:dyDescent="0.2">
      <c r="H34" s="4"/>
      <c r="I34" s="4"/>
      <c r="K34" s="4"/>
      <c r="L34" s="4"/>
      <c r="M34" s="4"/>
    </row>
    <row r="35" spans="1:14" x14ac:dyDescent="0.2">
      <c r="A35" s="21" t="str">
        <f>'Rate Class Energy Model'!M2</f>
        <v>Sentinel Lighting</v>
      </c>
      <c r="E35" s="1"/>
      <c r="G35" s="1"/>
      <c r="K35" s="14"/>
    </row>
    <row r="36" spans="1:14" x14ac:dyDescent="0.2">
      <c r="A36" t="s">
        <v>35</v>
      </c>
      <c r="B36" s="4">
        <f>'Rate Class Customer Model'!G3</f>
        <v>521.5</v>
      </c>
      <c r="C36" s="4">
        <f>'Rate Class Customer Model'!G4</f>
        <v>519.5</v>
      </c>
      <c r="D36" s="4">
        <f>'Rate Class Customer Model'!G5</f>
        <v>451</v>
      </c>
      <c r="E36" s="4">
        <f>'Rate Class Customer Model'!G6</f>
        <v>381.5</v>
      </c>
      <c r="F36" s="4">
        <f>'Rate Class Customer Model'!G7</f>
        <v>393</v>
      </c>
      <c r="G36" s="4">
        <f>'Rate Class Customer Model'!G8</f>
        <v>376</v>
      </c>
      <c r="H36" s="4">
        <f>'Rate Class Customer Model'!G9</f>
        <v>341.5</v>
      </c>
      <c r="I36" s="4">
        <f>'Rate Class Customer Model'!G10</f>
        <v>323</v>
      </c>
      <c r="J36" s="4">
        <f>'Rate Class Customer Model'!G11</f>
        <v>308</v>
      </c>
      <c r="K36" s="4">
        <f>'Rate Class Customer Model'!G12</f>
        <v>304</v>
      </c>
      <c r="L36" s="4">
        <f>'Rate Class Customer Model'!G13</f>
        <v>301</v>
      </c>
      <c r="M36" s="4">
        <f>'Rate Class Customer Model'!G14</f>
        <v>284.90345365731361</v>
      </c>
    </row>
    <row r="37" spans="1:14" x14ac:dyDescent="0.2">
      <c r="A37" t="s">
        <v>33</v>
      </c>
      <c r="B37" s="4">
        <f>'Rate Class Energy Model'!M3</f>
        <v>452830</v>
      </c>
      <c r="C37" s="4">
        <f>'Rate Class Energy Model'!M4</f>
        <v>434815.05158768682</v>
      </c>
      <c r="D37" s="4">
        <f>'Rate Class Energy Model'!M5</f>
        <v>423108.89999999997</v>
      </c>
      <c r="E37" s="4">
        <f>'Rate Class Energy Model'!M6</f>
        <v>420751</v>
      </c>
      <c r="F37" s="4">
        <f>'Rate Class Energy Model'!M7</f>
        <v>423572</v>
      </c>
      <c r="G37" s="4">
        <f>'Rate Class Energy Model'!M8</f>
        <v>461598</v>
      </c>
      <c r="H37" s="4">
        <f>'Rate Class Energy Model'!M9</f>
        <v>357348</v>
      </c>
      <c r="I37" s="4">
        <f>'Rate Class Energy Model'!M10</f>
        <v>378834</v>
      </c>
      <c r="J37" s="4">
        <f>'Rate Class Energy Model'!M11</f>
        <v>365715</v>
      </c>
      <c r="K37" s="4">
        <f>'Rate Class Energy Model'!M12</f>
        <v>358166</v>
      </c>
      <c r="L37" s="4">
        <f>'Rate Class Energy Model'!M31</f>
        <v>354631.46710526315</v>
      </c>
      <c r="M37" s="4">
        <f>'Rate Class Energy Model'!M32</f>
        <v>335666.87625863613</v>
      </c>
    </row>
    <row r="38" spans="1:14" x14ac:dyDescent="0.2">
      <c r="A38" t="s">
        <v>34</v>
      </c>
      <c r="B38" s="4">
        <f>'Rate Class Load Model'!D2</f>
        <v>1257.4000000000001</v>
      </c>
      <c r="C38" s="4">
        <f>'Rate Class Load Model'!D3</f>
        <v>1210.9222222222222</v>
      </c>
      <c r="D38" s="4">
        <f>'Rate Class Load Model'!D4</f>
        <v>1177.0800000000002</v>
      </c>
      <c r="E38" s="4">
        <f>'Rate Class Load Model'!D5</f>
        <v>1039</v>
      </c>
      <c r="F38" s="4">
        <f>'Rate Class Load Model'!D6</f>
        <v>1060</v>
      </c>
      <c r="G38" s="4">
        <f>'Rate Class Load Model'!D7</f>
        <v>1023</v>
      </c>
      <c r="H38" s="4">
        <f>'Rate Class Load Model'!D8</f>
        <v>860</v>
      </c>
      <c r="I38" s="4">
        <f>'Rate Class Load Model'!D9</f>
        <v>913</v>
      </c>
      <c r="J38" s="4">
        <f>'Rate Class Load Model'!D10</f>
        <v>876</v>
      </c>
      <c r="K38" s="4">
        <f>'Rate Class Load Model'!D11</f>
        <v>855.48759471555218</v>
      </c>
      <c r="L38" s="4">
        <f>'Rate Class Load Model'!D12</f>
        <v>886.47653315153673</v>
      </c>
      <c r="M38" s="4">
        <f>'Rate Class Load Model'!D13</f>
        <v>839.07051787719229</v>
      </c>
    </row>
    <row r="40" spans="1:14" x14ac:dyDescent="0.2">
      <c r="A40" s="21" t="str">
        <f>'Rate Class Energy Model'!N2</f>
        <v>Street Lighting</v>
      </c>
      <c r="E40" s="1"/>
      <c r="F40" s="1"/>
      <c r="G40" s="1"/>
      <c r="H40" s="1"/>
    </row>
    <row r="41" spans="1:14" x14ac:dyDescent="0.2">
      <c r="A41" t="s">
        <v>35</v>
      </c>
      <c r="B41" s="4">
        <f>'Rate Class Customer Model'!H3</f>
        <v>17883</v>
      </c>
      <c r="C41" s="4">
        <f>'Rate Class Customer Model'!H4</f>
        <v>17923</v>
      </c>
      <c r="D41" s="4">
        <f>'Rate Class Customer Model'!H5</f>
        <v>17946.5</v>
      </c>
      <c r="E41" s="4">
        <f>'Rate Class Customer Model'!H6</f>
        <v>18034</v>
      </c>
      <c r="F41" s="4">
        <f>'Rate Class Customer Model'!H7</f>
        <v>18074.5</v>
      </c>
      <c r="G41" s="4">
        <f>'Rate Class Customer Model'!H8</f>
        <v>18138</v>
      </c>
      <c r="H41" s="4">
        <f>'Rate Class Customer Model'!H9</f>
        <v>18334.5</v>
      </c>
      <c r="I41" s="4">
        <f>'Rate Class Customer Model'!H10</f>
        <v>18584.5</v>
      </c>
      <c r="J41" s="4">
        <f>'Rate Class Customer Model'!H11</f>
        <v>18793</v>
      </c>
      <c r="K41" s="4">
        <f>'Rate Class Customer Model'!H12</f>
        <v>18884.5</v>
      </c>
      <c r="L41" s="4">
        <f>'Rate Class Customer Model'!H13</f>
        <v>18944.674732361123</v>
      </c>
      <c r="M41" s="4">
        <f>'Rate Class Customer Model'!H14</f>
        <v>19054.248759712558</v>
      </c>
    </row>
    <row r="42" spans="1:14" x14ac:dyDescent="0.2">
      <c r="A42" t="s">
        <v>33</v>
      </c>
      <c r="B42" s="4">
        <f>'Rate Class Energy Model'!N3</f>
        <v>10581768.109999999</v>
      </c>
      <c r="C42" s="4">
        <f>'Rate Class Energy Model'!N4</f>
        <v>8602548.0142581649</v>
      </c>
      <c r="D42" s="4">
        <f>'Rate Class Energy Model'!N5</f>
        <v>5848286.7999999998</v>
      </c>
      <c r="E42" s="4">
        <f>'Rate Class Energy Model'!N6</f>
        <v>5551665</v>
      </c>
      <c r="F42" s="4">
        <f>'Rate Class Energy Model'!N7</f>
        <v>5300509</v>
      </c>
      <c r="G42" s="4">
        <f>'Rate Class Energy Model'!N8</f>
        <v>5337821</v>
      </c>
      <c r="H42" s="4">
        <f>'Rate Class Energy Model'!N9</f>
        <v>5360221</v>
      </c>
      <c r="I42" s="4">
        <f>'Rate Class Energy Model'!N10</f>
        <v>5385057</v>
      </c>
      <c r="J42" s="4">
        <f>'Rate Class Energy Model'!N11</f>
        <v>5413099</v>
      </c>
      <c r="K42" s="4">
        <f>'Rate Class Energy Model'!N12</f>
        <v>5361272.29</v>
      </c>
      <c r="L42" s="4">
        <f>'Rate Class Energy Model'!N31</f>
        <v>5378355.7777897669</v>
      </c>
      <c r="M42" s="4">
        <f>'Rate Class Energy Model'!N32</f>
        <v>5409463.6279601688</v>
      </c>
    </row>
    <row r="43" spans="1:14" x14ac:dyDescent="0.2">
      <c r="A43" t="s">
        <v>34</v>
      </c>
      <c r="B43" s="4">
        <f>'Rate Class Load Model'!E2</f>
        <v>30671.940000000002</v>
      </c>
      <c r="C43" s="4">
        <f>'Rate Class Load Model'!E3</f>
        <v>25105.760000000002</v>
      </c>
      <c r="D43" s="4">
        <f>'Rate Class Load Model'!E4</f>
        <v>16202.59</v>
      </c>
      <c r="E43" s="4">
        <f>'Rate Class Load Model'!E5</f>
        <v>15561</v>
      </c>
      <c r="F43" s="4">
        <f>'Rate Class Load Model'!E6</f>
        <v>15393</v>
      </c>
      <c r="G43" s="4">
        <f>'Rate Class Load Model'!E7</f>
        <v>15438</v>
      </c>
      <c r="H43" s="4">
        <f>'Rate Class Load Model'!E8</f>
        <v>15533</v>
      </c>
      <c r="I43" s="4">
        <f>'Rate Class Load Model'!E9</f>
        <v>15621</v>
      </c>
      <c r="J43" s="4">
        <f>'Rate Class Load Model'!E10</f>
        <v>15696</v>
      </c>
      <c r="K43" s="4">
        <f>'Rate Class Load Model'!E11</f>
        <v>15532.919999999998</v>
      </c>
      <c r="L43" s="4">
        <f>'Rate Class Load Model'!E12</f>
        <v>15590.800961480774</v>
      </c>
      <c r="M43" s="4">
        <f>'Rate Class Load Model'!E13</f>
        <v>15680.97653193097</v>
      </c>
    </row>
    <row r="45" spans="1:14" x14ac:dyDescent="0.2">
      <c r="A45" s="21" t="s">
        <v>5</v>
      </c>
      <c r="C45" s="1"/>
      <c r="E45" s="1"/>
      <c r="H45" s="37"/>
    </row>
    <row r="46" spans="1:14" x14ac:dyDescent="0.2">
      <c r="A46" t="s">
        <v>37</v>
      </c>
      <c r="B46" s="4">
        <f>+B14+B18+B22+B27+B32+B36+B41</f>
        <v>75293</v>
      </c>
      <c r="C46" s="4">
        <f t="shared" ref="C46:M46" si="1">+C14+C18+C22+C27+C32+C36+C41</f>
        <v>76603.5</v>
      </c>
      <c r="D46" s="4">
        <f t="shared" si="1"/>
        <v>77011.5</v>
      </c>
      <c r="E46" s="4">
        <f t="shared" si="1"/>
        <v>77566</v>
      </c>
      <c r="F46" s="4">
        <f t="shared" si="1"/>
        <v>78192.5</v>
      </c>
      <c r="G46" s="4">
        <f t="shared" si="1"/>
        <v>78937.5</v>
      </c>
      <c r="H46" s="4">
        <f t="shared" si="1"/>
        <v>79946</v>
      </c>
      <c r="I46" s="4">
        <f t="shared" si="1"/>
        <v>81106</v>
      </c>
      <c r="J46" s="4">
        <f t="shared" si="1"/>
        <v>82003</v>
      </c>
      <c r="K46" s="4">
        <f t="shared" si="1"/>
        <v>82612</v>
      </c>
      <c r="L46" s="4">
        <f t="shared" si="1"/>
        <v>83175.666341942764</v>
      </c>
      <c r="M46" s="4">
        <f t="shared" si="1"/>
        <v>84023.174613120471</v>
      </c>
    </row>
    <row r="47" spans="1:14" x14ac:dyDescent="0.2">
      <c r="A47" t="s">
        <v>33</v>
      </c>
      <c r="B47" s="4">
        <f t="shared" ref="B47:L47" si="2">+B15+B19+B23+B28+B33+B37+B42</f>
        <v>1148834612.5799999</v>
      </c>
      <c r="C47" s="4">
        <f t="shared" si="2"/>
        <v>1164182008.5108311</v>
      </c>
      <c r="D47" s="4">
        <f t="shared" si="2"/>
        <v>1150940105.9500003</v>
      </c>
      <c r="E47" s="4">
        <f t="shared" si="2"/>
        <v>1205049799.5299997</v>
      </c>
      <c r="F47" s="4">
        <f t="shared" si="2"/>
        <v>1172895488.78</v>
      </c>
      <c r="G47" s="4">
        <f t="shared" si="2"/>
        <v>1159425253.5500002</v>
      </c>
      <c r="H47" s="4">
        <f t="shared" si="2"/>
        <v>1199960376.74</v>
      </c>
      <c r="I47" s="4">
        <f t="shared" si="2"/>
        <v>1243292924.8500001</v>
      </c>
      <c r="J47" s="4">
        <f t="shared" si="2"/>
        <v>1223014611.48</v>
      </c>
      <c r="K47" s="4">
        <f>+K15+K19+K23+K28+K33+K37+K42</f>
        <v>1258616415.1499999</v>
      </c>
      <c r="L47" s="4">
        <f t="shared" si="2"/>
        <v>1246543441.5323596</v>
      </c>
      <c r="M47" s="4">
        <f>+M15+M19+M23+M28+M33+M37+M42</f>
        <v>1238575745.3769767</v>
      </c>
      <c r="N47" s="143"/>
    </row>
    <row r="48" spans="1:14" x14ac:dyDescent="0.2">
      <c r="A48" t="s">
        <v>36</v>
      </c>
      <c r="B48" s="4">
        <f t="shared" ref="B48:M48" si="3">+B16+B20+B24+B29+B34+B38+B43</f>
        <v>1585932.3999999997</v>
      </c>
      <c r="C48" s="4">
        <f t="shared" si="3"/>
        <v>1638788.4922222223</v>
      </c>
      <c r="D48" s="4">
        <f t="shared" si="3"/>
        <v>1725860.08</v>
      </c>
      <c r="E48" s="4">
        <f t="shared" si="3"/>
        <v>1715165.4</v>
      </c>
      <c r="F48" s="4">
        <f t="shared" si="3"/>
        <v>1615098.09</v>
      </c>
      <c r="G48" s="4">
        <f t="shared" si="3"/>
        <v>1584915.55</v>
      </c>
      <c r="H48" s="4">
        <f t="shared" si="3"/>
        <v>1575053.4600000002</v>
      </c>
      <c r="I48" s="4">
        <f t="shared" si="3"/>
        <v>1660920.81</v>
      </c>
      <c r="J48" s="4">
        <f t="shared" si="3"/>
        <v>1666106.32</v>
      </c>
      <c r="K48" s="4">
        <f t="shared" si="3"/>
        <v>1689328.4075947155</v>
      </c>
      <c r="L48" s="4">
        <f t="shared" si="3"/>
        <v>1684946.5014842097</v>
      </c>
      <c r="M48" s="4">
        <f t="shared" si="3"/>
        <v>1658346.4659881184</v>
      </c>
      <c r="N48" s="143"/>
    </row>
    <row r="49" spans="1:15" x14ac:dyDescent="0.2">
      <c r="C49" s="37"/>
      <c r="D49" s="1"/>
      <c r="E49" s="1"/>
      <c r="F49" s="1"/>
    </row>
    <row r="50" spans="1:15" x14ac:dyDescent="0.2">
      <c r="A50" t="s">
        <v>37</v>
      </c>
      <c r="B50" s="4">
        <f>'Rate Class Customer Model'!I3</f>
        <v>75293</v>
      </c>
      <c r="C50" s="4">
        <f>'Rate Class Customer Model'!I4</f>
        <v>76603.5</v>
      </c>
      <c r="D50" s="4">
        <f>'Rate Class Customer Model'!I5</f>
        <v>77011.5</v>
      </c>
      <c r="E50" s="4">
        <f>'Rate Class Customer Model'!I6</f>
        <v>77566</v>
      </c>
      <c r="F50" s="4">
        <f>'Rate Class Customer Model'!I7</f>
        <v>78192.5</v>
      </c>
      <c r="G50" s="4">
        <f>'Rate Class Customer Model'!I8</f>
        <v>78937.5</v>
      </c>
      <c r="H50" s="4">
        <f>'Rate Class Customer Model'!I9</f>
        <v>79946</v>
      </c>
      <c r="I50" s="4">
        <f>'Rate Class Customer Model'!I10</f>
        <v>81106</v>
      </c>
      <c r="J50" s="4">
        <f>'Rate Class Customer Model'!I11</f>
        <v>82003</v>
      </c>
      <c r="K50" s="4">
        <f>'Rate Class Customer Model'!I12</f>
        <v>82612</v>
      </c>
      <c r="L50" s="4">
        <f>'Rate Class Customer Model'!I13</f>
        <v>83175.666341942764</v>
      </c>
      <c r="M50" s="4">
        <f>'Rate Class Customer Model'!I14</f>
        <v>84023.174613120471</v>
      </c>
    </row>
    <row r="51" spans="1:15" x14ac:dyDescent="0.2">
      <c r="A51" t="s">
        <v>33</v>
      </c>
      <c r="B51" s="4">
        <f>B10</f>
        <v>1148834612.5799999</v>
      </c>
      <c r="C51" s="4">
        <f t="shared" ref="C51:K51" si="4">C10</f>
        <v>1164182008.5108311</v>
      </c>
      <c r="D51" s="4">
        <f t="shared" si="4"/>
        <v>1150940105.9500003</v>
      </c>
      <c r="E51" s="4">
        <f t="shared" si="4"/>
        <v>1205049799.5299997</v>
      </c>
      <c r="F51" s="4">
        <f t="shared" si="4"/>
        <v>1172895488.78</v>
      </c>
      <c r="G51" s="4">
        <f t="shared" si="4"/>
        <v>1159425253.5500002</v>
      </c>
      <c r="H51" s="4">
        <f t="shared" si="4"/>
        <v>1199960376.74</v>
      </c>
      <c r="I51" s="4">
        <f t="shared" si="4"/>
        <v>1243292924.8500001</v>
      </c>
      <c r="J51" s="4">
        <f t="shared" si="4"/>
        <v>1223014611.48</v>
      </c>
      <c r="K51" s="4">
        <f t="shared" si="4"/>
        <v>1258616415.1499999</v>
      </c>
      <c r="L51" s="4">
        <f>'Rate Class Energy Model'!G13+'Rate Class Energy Model'!G43+'Rate Class Energy Model'!G47</f>
        <v>1246543441.5323596</v>
      </c>
      <c r="M51" s="4">
        <f>'Rate Class Energy Model'!G14+'Rate Class Energy Model'!G44+'Rate Class Energy Model'!G48</f>
        <v>1238575745.3769767</v>
      </c>
      <c r="N51" s="143"/>
    </row>
    <row r="52" spans="1:15" x14ac:dyDescent="0.2">
      <c r="A52" t="s">
        <v>36</v>
      </c>
      <c r="B52" s="4">
        <f>'Rate Class Load Model'!F2</f>
        <v>1585932.3999999997</v>
      </c>
      <c r="C52" s="4">
        <f>'Rate Class Load Model'!F3</f>
        <v>1638788.4922222223</v>
      </c>
      <c r="D52" s="4">
        <f>'Rate Class Load Model'!F4</f>
        <v>1725860.08</v>
      </c>
      <c r="E52" s="4">
        <f>'Rate Class Load Model'!F5</f>
        <v>1715165.4</v>
      </c>
      <c r="F52" s="4">
        <f>'Rate Class Load Model'!F6</f>
        <v>1615098.09</v>
      </c>
      <c r="G52" s="4">
        <f>'Rate Class Load Model'!F7</f>
        <v>1584915.55</v>
      </c>
      <c r="H52" s="4">
        <f>'Rate Class Load Model'!F8</f>
        <v>1575053.4600000002</v>
      </c>
      <c r="I52" s="4">
        <f>'Rate Class Load Model'!F9</f>
        <v>1660920.81</v>
      </c>
      <c r="J52" s="4">
        <f>'Rate Class Load Model'!F10</f>
        <v>1666106.32</v>
      </c>
      <c r="K52" s="4">
        <f>'Rate Class Load Model'!F11</f>
        <v>1689328.4075947155</v>
      </c>
      <c r="L52" s="4">
        <f>'Rate Class Load Model'!F12</f>
        <v>1684946.5014842097</v>
      </c>
      <c r="M52" s="4">
        <f>'Rate Class Load Model'!F13</f>
        <v>1658346.4659881184</v>
      </c>
      <c r="N52" s="143"/>
      <c r="O52" s="29"/>
    </row>
    <row r="54" spans="1:15" hidden="1" x14ac:dyDescent="0.2">
      <c r="A54" t="s">
        <v>37</v>
      </c>
      <c r="H54" s="4">
        <f>'Rate Class Load Model'!F12</f>
        <v>1684946.5014842097</v>
      </c>
      <c r="I54" s="4" t="e">
        <f>#REF!</f>
        <v>#REF!</v>
      </c>
      <c r="J54" s="4"/>
      <c r="K54" s="4"/>
      <c r="L54" s="4" t="e">
        <f>#REF!</f>
        <v>#REF!</v>
      </c>
      <c r="M54" s="4" t="e">
        <f>#REF!</f>
        <v>#REF!</v>
      </c>
    </row>
    <row r="55" spans="1:15" hidden="1" x14ac:dyDescent="0.2">
      <c r="A55" t="s">
        <v>33</v>
      </c>
      <c r="H55" s="4">
        <f>'Rate Class Load Model'!F13</f>
        <v>1658346.4659881184</v>
      </c>
      <c r="I55" s="4" t="e">
        <f>#REF!</f>
        <v>#REF!</v>
      </c>
      <c r="J55" s="4"/>
      <c r="K55" s="4"/>
      <c r="L55" s="4" t="e">
        <f>#REF!</f>
        <v>#REF!</v>
      </c>
      <c r="M55" s="4" t="e">
        <f>#REF!</f>
        <v>#REF!</v>
      </c>
    </row>
    <row r="56" spans="1:15" hidden="1" x14ac:dyDescent="0.2">
      <c r="A56" t="s">
        <v>36</v>
      </c>
      <c r="H56" s="4">
        <f>'Rate Class Load Model'!F14</f>
        <v>0</v>
      </c>
      <c r="I56" s="4" t="e">
        <f>#REF!</f>
        <v>#REF!</v>
      </c>
      <c r="J56" s="4"/>
      <c r="K56" s="4"/>
      <c r="L56" s="4" t="e">
        <f>#REF!</f>
        <v>#REF!</v>
      </c>
      <c r="M56" s="4" t="e">
        <f>#REF!</f>
        <v>#REF!</v>
      </c>
    </row>
    <row r="57" spans="1:15" hidden="1" x14ac:dyDescent="0.2">
      <c r="H57" s="4">
        <f>'Rate Class Load Model'!F15</f>
        <v>0</v>
      </c>
    </row>
    <row r="58" spans="1:15" hidden="1" x14ac:dyDescent="0.2">
      <c r="A58" t="s">
        <v>37</v>
      </c>
      <c r="H58" s="4">
        <f>'Rate Class Load Model'!F16</f>
        <v>0</v>
      </c>
      <c r="I58" s="4" t="e">
        <f>#REF!-I54</f>
        <v>#REF!</v>
      </c>
      <c r="J58" s="4"/>
      <c r="K58" s="4"/>
      <c r="L58" s="4" t="e">
        <f>#REF!-L54</f>
        <v>#REF!</v>
      </c>
      <c r="M58" s="4" t="e">
        <f>#REF!-M54</f>
        <v>#REF!</v>
      </c>
    </row>
    <row r="59" spans="1:15" hidden="1" x14ac:dyDescent="0.2">
      <c r="A59" t="s">
        <v>33</v>
      </c>
      <c r="H59" s="4">
        <f>'Rate Class Load Model'!F17</f>
        <v>0</v>
      </c>
      <c r="I59" s="4" t="e">
        <f>#REF!-I55</f>
        <v>#REF!</v>
      </c>
      <c r="J59" s="4"/>
      <c r="K59" s="4"/>
      <c r="L59" s="4" t="e">
        <f>#REF!-L55</f>
        <v>#REF!</v>
      </c>
      <c r="M59" s="4" t="e">
        <f>#REF!-M55</f>
        <v>#REF!</v>
      </c>
    </row>
    <row r="60" spans="1:15" hidden="1" x14ac:dyDescent="0.2">
      <c r="A60" t="s">
        <v>36</v>
      </c>
      <c r="H60" s="4">
        <f>'Rate Class Load Model'!F18</f>
        <v>0</v>
      </c>
      <c r="I60" s="4" t="e">
        <f>#REF!-I56</f>
        <v>#REF!</v>
      </c>
      <c r="J60" s="4"/>
      <c r="K60" s="4"/>
      <c r="L60" s="4" t="e">
        <f>#REF!-L56</f>
        <v>#REF!</v>
      </c>
      <c r="M60" s="4" t="e">
        <f>#REF!-M56</f>
        <v>#REF!</v>
      </c>
    </row>
    <row r="61" spans="1:15" hidden="1" x14ac:dyDescent="0.2">
      <c r="H61" s="4">
        <f>'Rate Class Load Model'!F19</f>
        <v>0</v>
      </c>
    </row>
    <row r="62" spans="1:15" x14ac:dyDescent="0.2">
      <c r="A62" s="36" t="s">
        <v>10</v>
      </c>
      <c r="H62" s="4"/>
    </row>
    <row r="63" spans="1:15" x14ac:dyDescent="0.2">
      <c r="A63" t="s">
        <v>37</v>
      </c>
      <c r="B63" s="4">
        <f>B46-B50</f>
        <v>0</v>
      </c>
      <c r="C63" s="4">
        <f t="shared" ref="C63:M63" si="5">C46-C50</f>
        <v>0</v>
      </c>
      <c r="D63" s="4">
        <f t="shared" si="5"/>
        <v>0</v>
      </c>
      <c r="E63" s="4">
        <f t="shared" si="5"/>
        <v>0</v>
      </c>
      <c r="F63" s="4">
        <f t="shared" si="5"/>
        <v>0</v>
      </c>
      <c r="G63" s="4">
        <f t="shared" si="5"/>
        <v>0</v>
      </c>
      <c r="H63" s="4">
        <f t="shared" si="5"/>
        <v>0</v>
      </c>
      <c r="I63" s="4">
        <f t="shared" si="5"/>
        <v>0</v>
      </c>
      <c r="J63" s="4">
        <f t="shared" ref="J63:K65" si="6">J46-J50</f>
        <v>0</v>
      </c>
      <c r="K63" s="4">
        <f t="shared" si="6"/>
        <v>0</v>
      </c>
      <c r="L63" s="4">
        <f t="shared" si="5"/>
        <v>0</v>
      </c>
      <c r="M63" s="4">
        <f t="shared" si="5"/>
        <v>0</v>
      </c>
    </row>
    <row r="64" spans="1:15" x14ac:dyDescent="0.2">
      <c r="A64" t="s">
        <v>33</v>
      </c>
      <c r="B64" s="4">
        <f>B47-B51</f>
        <v>0</v>
      </c>
      <c r="C64" s="4">
        <f t="shared" ref="C64:M64" si="7">C47-C51</f>
        <v>0</v>
      </c>
      <c r="D64" s="4">
        <f t="shared" si="7"/>
        <v>0</v>
      </c>
      <c r="E64" s="4">
        <f t="shared" si="7"/>
        <v>0</v>
      </c>
      <c r="F64" s="4">
        <f t="shared" si="7"/>
        <v>0</v>
      </c>
      <c r="G64" s="4">
        <f t="shared" si="7"/>
        <v>0</v>
      </c>
      <c r="H64" s="4">
        <f t="shared" si="7"/>
        <v>0</v>
      </c>
      <c r="I64" s="4">
        <f t="shared" si="7"/>
        <v>0</v>
      </c>
      <c r="J64" s="4">
        <f t="shared" si="6"/>
        <v>0</v>
      </c>
      <c r="K64" s="4">
        <f t="shared" si="6"/>
        <v>0</v>
      </c>
      <c r="L64" s="4">
        <f>L47-L51</f>
        <v>0</v>
      </c>
      <c r="M64" s="4">
        <f t="shared" si="7"/>
        <v>0</v>
      </c>
    </row>
    <row r="65" spans="1:13" x14ac:dyDescent="0.2">
      <c r="A65" t="s">
        <v>36</v>
      </c>
      <c r="B65" s="4">
        <f t="shared" ref="B65:M65" si="8">B48-B52</f>
        <v>0</v>
      </c>
      <c r="C65" s="4">
        <f t="shared" si="8"/>
        <v>0</v>
      </c>
      <c r="D65" s="4">
        <f t="shared" si="8"/>
        <v>0</v>
      </c>
      <c r="E65" s="4">
        <f t="shared" si="8"/>
        <v>0</v>
      </c>
      <c r="F65" s="4">
        <f t="shared" si="8"/>
        <v>0</v>
      </c>
      <c r="G65" s="4">
        <f t="shared" si="8"/>
        <v>0</v>
      </c>
      <c r="H65" s="4">
        <f t="shared" si="8"/>
        <v>0</v>
      </c>
      <c r="I65" s="4">
        <f t="shared" si="8"/>
        <v>0</v>
      </c>
      <c r="J65" s="4">
        <f t="shared" si="6"/>
        <v>0</v>
      </c>
      <c r="K65" s="4">
        <f t="shared" si="6"/>
        <v>0</v>
      </c>
      <c r="L65" s="4">
        <f t="shared" si="8"/>
        <v>0</v>
      </c>
      <c r="M65" s="4">
        <f t="shared" si="8"/>
        <v>0</v>
      </c>
    </row>
    <row r="67" spans="1:13" x14ac:dyDescent="0.2">
      <c r="H67" s="29">
        <f>H15+H19+H23+H28</f>
        <v>1192995755.74</v>
      </c>
      <c r="I67" s="29">
        <f t="shared" ref="I67:M67" si="9">I15+I19+I23+I28</f>
        <v>1236281356.8500001</v>
      </c>
      <c r="J67" s="29">
        <f>J15+J19+J23+J28</f>
        <v>1215985283.48</v>
      </c>
      <c r="K67" s="29">
        <f t="shared" si="9"/>
        <v>1251658453.8599999</v>
      </c>
      <c r="L67" s="29">
        <f>L15+L19+L23+L28</f>
        <v>1239572694.9549363</v>
      </c>
      <c r="M67" s="29">
        <f t="shared" si="9"/>
        <v>1231606148.3901038</v>
      </c>
    </row>
    <row r="68" spans="1:13" x14ac:dyDescent="0.2">
      <c r="H68" s="29"/>
    </row>
    <row r="69" spans="1:13" x14ac:dyDescent="0.2">
      <c r="C69" s="142">
        <f>(C47-B47)/B47</f>
        <v>1.3359099528142453E-2</v>
      </c>
      <c r="D69" s="142">
        <f t="shared" ref="D69:M69" si="10">(D47-C47)/C47</f>
        <v>-1.1374426390396871E-2</v>
      </c>
      <c r="E69" s="142">
        <f t="shared" si="10"/>
        <v>4.7013474724070574E-2</v>
      </c>
      <c r="F69" s="142">
        <f t="shared" si="10"/>
        <v>-2.6682972573034546E-2</v>
      </c>
      <c r="G69" s="142">
        <f t="shared" si="10"/>
        <v>-1.1484599743845032E-2</v>
      </c>
      <c r="H69" s="142">
        <f t="shared" si="10"/>
        <v>3.4961394075113394E-2</v>
      </c>
      <c r="I69" s="142">
        <f t="shared" si="10"/>
        <v>3.6111649142719283E-2</v>
      </c>
      <c r="J69" s="142">
        <f t="shared" si="10"/>
        <v>-1.6310165500577144E-2</v>
      </c>
      <c r="K69" s="142">
        <f t="shared" si="10"/>
        <v>2.910987598661411E-2</v>
      </c>
      <c r="L69" s="142">
        <f t="shared" si="10"/>
        <v>-9.5922581910719944E-3</v>
      </c>
      <c r="M69" s="142">
        <f t="shared" si="10"/>
        <v>-6.3918319168951602E-3</v>
      </c>
    </row>
    <row r="70" spans="1:13" x14ac:dyDescent="0.2">
      <c r="C70" s="142">
        <f>(C48-B48)/B48</f>
        <v>3.3328086507484561E-2</v>
      </c>
      <c r="D70" s="142">
        <f t="shared" ref="D70" si="11">(D48-C48)/C48</f>
        <v>5.3131681233438123E-2</v>
      </c>
      <c r="E70" s="142">
        <f t="shared" ref="E70" si="12">(E48-D48)/D48</f>
        <v>-6.1967248237181352E-3</v>
      </c>
      <c r="F70" s="142">
        <f t="shared" ref="F70" si="13">(F48-E48)/E48</f>
        <v>-5.8342658964552242E-2</v>
      </c>
      <c r="G70" s="142">
        <f t="shared" ref="G70" si="14">(G48-F48)/F48</f>
        <v>-1.8687744222395827E-2</v>
      </c>
      <c r="H70" s="142">
        <f t="shared" ref="H70" si="15">(H48-G48)/G48</f>
        <v>-6.2224703391924258E-3</v>
      </c>
      <c r="I70" s="142">
        <f t="shared" ref="I70" si="16">(I48-H48)/H48</f>
        <v>5.4517101914750149E-2</v>
      </c>
      <c r="J70" s="142">
        <f t="shared" ref="J70" si="17">(J48-I48)/I48</f>
        <v>3.1220693778892502E-3</v>
      </c>
      <c r="K70" s="142">
        <f t="shared" ref="K70" si="18">(K48-J48)/J48</f>
        <v>1.3937938603291183E-2</v>
      </c>
      <c r="L70" s="142">
        <f t="shared" ref="L70" si="19">(L48-K48)/K48</f>
        <v>-2.5938746372854839E-3</v>
      </c>
      <c r="M70" s="142">
        <f>(M48-L48)/L48</f>
        <v>-1.5786872445303284E-2</v>
      </c>
    </row>
    <row r="77" spans="1:13" x14ac:dyDescent="0.2">
      <c r="B77">
        <v>2015</v>
      </c>
      <c r="C77">
        <v>2016</v>
      </c>
      <c r="D77">
        <v>2017</v>
      </c>
      <c r="E77">
        <v>2018</v>
      </c>
      <c r="F77">
        <v>2019</v>
      </c>
      <c r="G77">
        <v>2020</v>
      </c>
      <c r="H77">
        <v>2021</v>
      </c>
      <c r="I77">
        <v>2022</v>
      </c>
      <c r="J77">
        <v>2023</v>
      </c>
      <c r="K77">
        <v>2024</v>
      </c>
    </row>
  </sheetData>
  <phoneticPr fontId="0" type="noConversion"/>
  <pageMargins left="0.38" right="0.75" top="0.73" bottom="0.74" header="0.5" footer="0.5"/>
  <pageSetup scale="62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D196"/>
  <sheetViews>
    <sheetView tabSelected="1" zoomScale="90" zoomScaleNormal="90" workbookViewId="0">
      <pane xSplit="1" ySplit="2" topLeftCell="B140" activePane="bottomRight" state="frozen"/>
      <selection pane="topRight" activeCell="C1" sqref="C1"/>
      <selection pane="bottomLeft" activeCell="A3" sqref="A3"/>
      <selection pane="bottomRight" activeCell="H150" sqref="H150"/>
    </sheetView>
  </sheetViews>
  <sheetFormatPr defaultRowHeight="12.75" x14ac:dyDescent="0.2"/>
  <cols>
    <col min="1" max="1" width="11.85546875" style="20" customWidth="1"/>
    <col min="2" max="2" width="16.85546875" style="4" customWidth="1"/>
    <col min="3" max="4" width="11.5703125" style="1" customWidth="1"/>
    <col min="5" max="8" width="13" style="1" customWidth="1"/>
    <col min="9" max="9" width="15.5703125" style="1" bestFit="1" customWidth="1"/>
    <col min="10" max="10" width="18.42578125" style="1" customWidth="1"/>
    <col min="11" max="11" width="19" style="1" customWidth="1"/>
    <col min="12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2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98"/>
      <c r="AA1" s="98"/>
      <c r="AB1" s="98"/>
      <c r="AC1" s="98"/>
      <c r="AD1" s="98"/>
    </row>
    <row r="2" spans="1:30" ht="38.25" x14ac:dyDescent="0.2">
      <c r="A2" s="93" t="s">
        <v>57</v>
      </c>
      <c r="B2" s="94" t="s">
        <v>46</v>
      </c>
      <c r="C2" s="95" t="s">
        <v>113</v>
      </c>
      <c r="D2" s="95" t="s">
        <v>114</v>
      </c>
      <c r="E2" s="96" t="s">
        <v>111</v>
      </c>
      <c r="F2" s="119" t="s">
        <v>112</v>
      </c>
      <c r="G2" s="146" t="s">
        <v>110</v>
      </c>
      <c r="H2" s="180" t="s">
        <v>129</v>
      </c>
      <c r="I2" s="95" t="s">
        <v>6</v>
      </c>
      <c r="J2" s="97" t="s">
        <v>94</v>
      </c>
      <c r="K2" s="95" t="s">
        <v>95</v>
      </c>
      <c r="L2" s="95" t="s">
        <v>96</v>
      </c>
      <c r="M2" s="115" t="s">
        <v>97</v>
      </c>
      <c r="N2" s="115" t="s">
        <v>98</v>
      </c>
      <c r="O2" s="115" t="s">
        <v>99</v>
      </c>
      <c r="P2"/>
      <c r="Q2" t="s">
        <v>11</v>
      </c>
      <c r="Z2" s="98"/>
      <c r="AA2" s="98"/>
      <c r="AB2" s="98"/>
      <c r="AC2" s="98"/>
      <c r="AD2" s="98"/>
    </row>
    <row r="3" spans="1:30" ht="13.5" thickBot="1" x14ac:dyDescent="0.25">
      <c r="A3" s="41">
        <v>42035</v>
      </c>
      <c r="B3" s="42">
        <f>Inputs!D24</f>
        <v>110640792.16784623</v>
      </c>
      <c r="C3" s="123">
        <v>31</v>
      </c>
      <c r="D3" s="123">
        <v>0</v>
      </c>
      <c r="E3" s="120">
        <v>791.20000000000016</v>
      </c>
      <c r="F3" s="120">
        <v>0</v>
      </c>
      <c r="G3" s="147">
        <v>0</v>
      </c>
      <c r="H3" s="181">
        <v>5164.1000000000004</v>
      </c>
      <c r="I3" s="42">
        <f t="shared" ref="I3:I34" si="0">$R$18+$R$19*C3+$R$20*D3+$R$21*E3+$R$22*F3+$R$23*G3+$R$24*H3</f>
        <v>105222484.72370799</v>
      </c>
      <c r="J3" s="25">
        <f t="shared" ref="J3:J34" si="1">I3-B3</f>
        <v>-5418307.4441382438</v>
      </c>
      <c r="K3" s="34">
        <f t="shared" ref="K3:K34" si="2">J3/B3</f>
        <v>-4.8972059382207493E-2</v>
      </c>
      <c r="L3" s="8">
        <f>ABS(K3)</f>
        <v>4.8972059382207493E-2</v>
      </c>
      <c r="M3" s="121">
        <f>J3*J3</f>
        <v>29358055559203.906</v>
      </c>
      <c r="N3" s="8"/>
      <c r="O3" s="8"/>
      <c r="P3" s="8"/>
      <c r="Z3" s="98"/>
      <c r="AA3" s="98"/>
      <c r="AB3" s="98"/>
      <c r="AC3" s="98"/>
      <c r="AD3" s="98"/>
    </row>
    <row r="4" spans="1:30" x14ac:dyDescent="0.2">
      <c r="A4" s="41">
        <v>42063</v>
      </c>
      <c r="B4" s="42">
        <f>Inputs!D25</f>
        <v>103566414.00452422</v>
      </c>
      <c r="C4" s="123">
        <v>28</v>
      </c>
      <c r="D4" s="123">
        <v>0</v>
      </c>
      <c r="E4" s="120">
        <v>878.59999999999991</v>
      </c>
      <c r="F4" s="120">
        <v>0</v>
      </c>
      <c r="G4" s="147">
        <v>0</v>
      </c>
      <c r="H4" s="181">
        <v>5211.3999999999996</v>
      </c>
      <c r="I4" s="42">
        <f t="shared" si="0"/>
        <v>99364330.052175611</v>
      </c>
      <c r="J4" s="25">
        <f t="shared" si="1"/>
        <v>-4202083.9523486048</v>
      </c>
      <c r="K4" s="34">
        <f t="shared" si="2"/>
        <v>-4.0573809499332862E-2</v>
      </c>
      <c r="L4" s="8">
        <f t="shared" ref="L4:L66" si="3">ABS(K4)</f>
        <v>4.0573809499332862E-2</v>
      </c>
      <c r="M4" s="121">
        <f t="shared" ref="M4:M67" si="4">J4*J4</f>
        <v>17657509542585.672</v>
      </c>
      <c r="N4" s="121">
        <f>J4-J3</f>
        <v>1216223.491789639</v>
      </c>
      <c r="O4" s="121">
        <f>N4*N4</f>
        <v>1479199581980.9822</v>
      </c>
      <c r="P4" s="8"/>
      <c r="Q4" s="169" t="s">
        <v>12</v>
      </c>
      <c r="R4" s="169"/>
      <c r="Z4" s="98"/>
      <c r="AA4" s="98"/>
      <c r="AB4" s="98"/>
      <c r="AC4" s="98"/>
      <c r="AD4" s="98"/>
    </row>
    <row r="5" spans="1:30" x14ac:dyDescent="0.2">
      <c r="A5" s="41">
        <v>42094</v>
      </c>
      <c r="B5" s="42">
        <f>Inputs!D26</f>
        <v>102786797.33119218</v>
      </c>
      <c r="C5" s="123">
        <v>31</v>
      </c>
      <c r="D5" s="123">
        <v>1</v>
      </c>
      <c r="E5" s="120">
        <v>606.79999999999984</v>
      </c>
      <c r="F5" s="120">
        <v>0</v>
      </c>
      <c r="G5" s="147">
        <v>0</v>
      </c>
      <c r="H5" s="181">
        <v>5223.8</v>
      </c>
      <c r="I5" s="42">
        <f t="shared" si="0"/>
        <v>97378073.218861595</v>
      </c>
      <c r="J5" s="25">
        <f t="shared" si="1"/>
        <v>-5408724.1123305857</v>
      </c>
      <c r="K5" s="34">
        <f t="shared" si="2"/>
        <v>-5.262080590859336E-2</v>
      </c>
      <c r="L5" s="8">
        <f t="shared" si="3"/>
        <v>5.262080590859336E-2</v>
      </c>
      <c r="M5" s="121">
        <f t="shared" si="4"/>
        <v>29254296523306.281</v>
      </c>
      <c r="N5" s="121">
        <f t="shared" ref="N5:N68" si="5">J5-J4</f>
        <v>-1206640.1599819809</v>
      </c>
      <c r="O5" s="121">
        <f t="shared" ref="O5:O68" si="6">N5*N5</f>
        <v>1455980475681.3406</v>
      </c>
      <c r="P5" s="8"/>
      <c r="Q5" t="s">
        <v>13</v>
      </c>
      <c r="R5">
        <v>0.95079059868759241</v>
      </c>
      <c r="Z5" s="98"/>
      <c r="AA5" s="98"/>
      <c r="AB5" s="98"/>
      <c r="AC5" s="98"/>
      <c r="AD5" s="98"/>
    </row>
    <row r="6" spans="1:30" x14ac:dyDescent="0.2">
      <c r="A6" s="41">
        <v>42124</v>
      </c>
      <c r="B6" s="42">
        <f>Inputs!D27</f>
        <v>90141833.681816638</v>
      </c>
      <c r="C6" s="123">
        <v>30</v>
      </c>
      <c r="D6" s="123">
        <v>1</v>
      </c>
      <c r="E6" s="120">
        <v>324.09999999999997</v>
      </c>
      <c r="F6" s="120">
        <v>0</v>
      </c>
      <c r="G6" s="147">
        <v>0</v>
      </c>
      <c r="H6" s="181">
        <v>5281.1</v>
      </c>
      <c r="I6" s="42">
        <f t="shared" si="0"/>
        <v>88996868.89431873</v>
      </c>
      <c r="J6" s="25">
        <f t="shared" si="1"/>
        <v>-1144964.7874979079</v>
      </c>
      <c r="K6" s="34">
        <f t="shared" si="2"/>
        <v>-1.2701813805334975E-2</v>
      </c>
      <c r="L6" s="8">
        <f t="shared" si="3"/>
        <v>1.2701813805334975E-2</v>
      </c>
      <c r="M6" s="121">
        <f t="shared" si="4"/>
        <v>1310944364610.1294</v>
      </c>
      <c r="N6" s="121">
        <f t="shared" si="5"/>
        <v>4263759.3248326778</v>
      </c>
      <c r="O6" s="121">
        <f t="shared" si="6"/>
        <v>18179643580097.613</v>
      </c>
      <c r="P6" s="8"/>
      <c r="Q6" t="s">
        <v>14</v>
      </c>
      <c r="R6">
        <v>0.90400276255271039</v>
      </c>
      <c r="Z6" s="98"/>
      <c r="AA6" s="98"/>
      <c r="AB6" s="98"/>
      <c r="AC6" s="98"/>
      <c r="AD6" s="98"/>
    </row>
    <row r="7" spans="1:30" x14ac:dyDescent="0.2">
      <c r="A7" s="41">
        <v>42155</v>
      </c>
      <c r="B7" s="42">
        <f>Inputs!D28</f>
        <v>94347448.581504494</v>
      </c>
      <c r="C7" s="123">
        <v>31</v>
      </c>
      <c r="D7" s="123">
        <v>1</v>
      </c>
      <c r="E7" s="120">
        <v>99.000000000000014</v>
      </c>
      <c r="F7" s="120">
        <v>38.600000000000009</v>
      </c>
      <c r="G7" s="147">
        <v>0</v>
      </c>
      <c r="H7" s="181">
        <v>5445.2</v>
      </c>
      <c r="I7" s="42">
        <f t="shared" si="0"/>
        <v>97865109.87375392</v>
      </c>
      <c r="J7" s="25">
        <f t="shared" si="1"/>
        <v>3517661.2922494262</v>
      </c>
      <c r="K7" s="34">
        <f t="shared" si="2"/>
        <v>3.7284116795279348E-2</v>
      </c>
      <c r="L7" s="8">
        <f t="shared" si="3"/>
        <v>3.7284116795279348E-2</v>
      </c>
      <c r="M7" s="121">
        <f t="shared" si="4"/>
        <v>12373940966989.904</v>
      </c>
      <c r="N7" s="121">
        <f t="shared" si="5"/>
        <v>4662626.0797473341</v>
      </c>
      <c r="O7" s="121">
        <f t="shared" si="6"/>
        <v>21740081959539.992</v>
      </c>
      <c r="P7" s="8"/>
      <c r="Q7" t="s">
        <v>15</v>
      </c>
      <c r="R7">
        <v>0.89924256896028287</v>
      </c>
      <c r="Z7" s="98"/>
      <c r="AA7" s="98"/>
      <c r="AB7" s="98"/>
      <c r="AC7" s="98"/>
      <c r="AD7" s="98"/>
    </row>
    <row r="8" spans="1:30" x14ac:dyDescent="0.2">
      <c r="A8" s="41">
        <v>42185</v>
      </c>
      <c r="B8" s="42">
        <f>Inputs!D29</f>
        <v>100728895.94686395</v>
      </c>
      <c r="C8" s="123">
        <v>30</v>
      </c>
      <c r="D8" s="123">
        <v>0</v>
      </c>
      <c r="E8" s="120">
        <v>30.800000000000004</v>
      </c>
      <c r="F8" s="120">
        <v>35.100000000000009</v>
      </c>
      <c r="G8" s="147">
        <v>0</v>
      </c>
      <c r="H8" s="181">
        <v>5566.4</v>
      </c>
      <c r="I8" s="42">
        <f t="shared" si="0"/>
        <v>98199542.318114042</v>
      </c>
      <c r="J8" s="25">
        <f t="shared" si="1"/>
        <v>-2529353.628749907</v>
      </c>
      <c r="K8" s="34">
        <f t="shared" si="2"/>
        <v>-2.5110506821043488E-2</v>
      </c>
      <c r="L8" s="8">
        <f t="shared" si="3"/>
        <v>2.5110506821043488E-2</v>
      </c>
      <c r="M8" s="121">
        <f t="shared" si="4"/>
        <v>6397629779270.3223</v>
      </c>
      <c r="N8" s="121">
        <f t="shared" si="5"/>
        <v>-6047014.9209993333</v>
      </c>
      <c r="O8" s="121">
        <f t="shared" si="6"/>
        <v>36566389454788.57</v>
      </c>
      <c r="P8" s="8"/>
      <c r="Q8" t="s">
        <v>16</v>
      </c>
      <c r="R8">
        <v>3523600.2910895017</v>
      </c>
      <c r="Z8" s="98"/>
      <c r="AA8" s="98"/>
      <c r="AB8" s="98"/>
      <c r="AC8" s="98"/>
      <c r="AD8" s="98"/>
    </row>
    <row r="9" spans="1:30" ht="13.5" thickBot="1" x14ac:dyDescent="0.25">
      <c r="A9" s="41">
        <v>42216</v>
      </c>
      <c r="B9" s="42">
        <f>Inputs!D30</f>
        <v>115474381.0595226</v>
      </c>
      <c r="C9" s="123">
        <v>31</v>
      </c>
      <c r="D9" s="123">
        <v>0</v>
      </c>
      <c r="E9" s="120">
        <v>15.799999999999999</v>
      </c>
      <c r="F9" s="120">
        <v>70.499999999999986</v>
      </c>
      <c r="G9" s="147">
        <v>0</v>
      </c>
      <c r="H9" s="181">
        <v>5592.6</v>
      </c>
      <c r="I9" s="42">
        <f t="shared" si="0"/>
        <v>109636797.7092787</v>
      </c>
      <c r="J9" s="25">
        <f t="shared" si="1"/>
        <v>-5837583.3502438962</v>
      </c>
      <c r="K9" s="34">
        <f t="shared" si="2"/>
        <v>-5.0553060312441479E-2</v>
      </c>
      <c r="L9" s="8">
        <f t="shared" si="3"/>
        <v>5.0553060312441479E-2</v>
      </c>
      <c r="M9" s="121">
        <f t="shared" si="4"/>
        <v>34077379371044.75</v>
      </c>
      <c r="N9" s="121">
        <f t="shared" si="5"/>
        <v>-3308229.7214939892</v>
      </c>
      <c r="O9" s="121">
        <f t="shared" si="6"/>
        <v>10944383890176.197</v>
      </c>
      <c r="P9" s="8"/>
      <c r="Q9" s="167" t="s">
        <v>17</v>
      </c>
      <c r="R9" s="167">
        <v>128</v>
      </c>
      <c r="Z9" s="98"/>
      <c r="AA9" s="98"/>
      <c r="AB9" s="98"/>
      <c r="AC9" s="98"/>
      <c r="AD9" s="98"/>
    </row>
    <row r="10" spans="1:30" x14ac:dyDescent="0.2">
      <c r="A10" s="41">
        <v>42247</v>
      </c>
      <c r="B10" s="42">
        <f>Inputs!D31</f>
        <v>113703937.40356903</v>
      </c>
      <c r="C10" s="123">
        <v>31</v>
      </c>
      <c r="D10" s="123">
        <v>0</v>
      </c>
      <c r="E10" s="120">
        <v>15.799999999999999</v>
      </c>
      <c r="F10" s="120">
        <v>66.699999999999989</v>
      </c>
      <c r="G10" s="147">
        <v>0</v>
      </c>
      <c r="H10" s="181">
        <v>5653</v>
      </c>
      <c r="I10" s="42">
        <f t="shared" si="0"/>
        <v>109222174.90096739</v>
      </c>
      <c r="J10" s="25">
        <f t="shared" si="1"/>
        <v>-4481762.5026016384</v>
      </c>
      <c r="K10" s="34">
        <f t="shared" si="2"/>
        <v>-3.941607128955027E-2</v>
      </c>
      <c r="L10" s="8">
        <f t="shared" si="3"/>
        <v>3.941607128955027E-2</v>
      </c>
      <c r="M10" s="121">
        <f t="shared" si="4"/>
        <v>20086195129726.102</v>
      </c>
      <c r="N10" s="121">
        <f t="shared" si="5"/>
        <v>1355820.8476422578</v>
      </c>
      <c r="O10" s="121">
        <f t="shared" si="6"/>
        <v>1838250170901.3704</v>
      </c>
      <c r="P10" s="8"/>
      <c r="Z10" s="98"/>
      <c r="AA10" s="98"/>
      <c r="AB10" s="98"/>
      <c r="AC10" s="98"/>
      <c r="AD10" s="98"/>
    </row>
    <row r="11" spans="1:30" ht="13.5" thickBot="1" x14ac:dyDescent="0.25">
      <c r="A11" s="41">
        <v>42277</v>
      </c>
      <c r="B11" s="42">
        <f>Inputs!D32</f>
        <v>110599264.66068232</v>
      </c>
      <c r="C11" s="123">
        <v>30</v>
      </c>
      <c r="D11" s="123">
        <v>0</v>
      </c>
      <c r="E11" s="120">
        <v>37</v>
      </c>
      <c r="F11" s="120">
        <v>68.599999999999994</v>
      </c>
      <c r="G11" s="147">
        <v>0</v>
      </c>
      <c r="H11" s="181">
        <v>5392.6</v>
      </c>
      <c r="I11" s="42">
        <f t="shared" si="0"/>
        <v>105142170.47098354</v>
      </c>
      <c r="J11" s="25">
        <f t="shared" si="1"/>
        <v>-5457094.1896987855</v>
      </c>
      <c r="K11" s="34">
        <f t="shared" si="2"/>
        <v>-4.9341143509779271E-2</v>
      </c>
      <c r="L11" s="8">
        <f t="shared" si="3"/>
        <v>4.9341143509779271E-2</v>
      </c>
      <c r="M11" s="121">
        <f t="shared" si="4"/>
        <v>29779876995244.246</v>
      </c>
      <c r="N11" s="121">
        <f t="shared" si="5"/>
        <v>-975331.68709714711</v>
      </c>
      <c r="O11" s="121">
        <f t="shared" si="6"/>
        <v>951271899855.76721</v>
      </c>
      <c r="P11" s="8"/>
      <c r="Q11" t="s">
        <v>18</v>
      </c>
    </row>
    <row r="12" spans="1:30" x14ac:dyDescent="0.2">
      <c r="A12" s="41">
        <v>42308</v>
      </c>
      <c r="B12" s="42">
        <f>Inputs!D33</f>
        <v>97507362.396773115</v>
      </c>
      <c r="C12" s="123">
        <v>31</v>
      </c>
      <c r="D12" s="123">
        <v>1</v>
      </c>
      <c r="E12" s="120">
        <v>222.6</v>
      </c>
      <c r="F12" s="120">
        <v>0.8</v>
      </c>
      <c r="G12" s="147">
        <v>0</v>
      </c>
      <c r="H12" s="181">
        <v>5413.3</v>
      </c>
      <c r="I12" s="42">
        <f t="shared" si="0"/>
        <v>90872529.598422945</v>
      </c>
      <c r="J12" s="25">
        <f t="shared" si="1"/>
        <v>-6634832.7983501703</v>
      </c>
      <c r="K12" s="34">
        <f t="shared" si="2"/>
        <v>-6.8044429007852458E-2</v>
      </c>
      <c r="L12" s="8">
        <f t="shared" si="3"/>
        <v>6.8044429007852458E-2</v>
      </c>
      <c r="M12" s="121">
        <f t="shared" si="4"/>
        <v>44021006262063.148</v>
      </c>
      <c r="N12" s="121">
        <f t="shared" si="5"/>
        <v>-1177738.6086513847</v>
      </c>
      <c r="O12" s="121">
        <f t="shared" si="6"/>
        <v>1387068230308.0996</v>
      </c>
      <c r="P12" s="8"/>
      <c r="Q12" s="168"/>
      <c r="R12" s="168" t="s">
        <v>22</v>
      </c>
      <c r="S12" s="168" t="s">
        <v>23</v>
      </c>
      <c r="T12" s="168" t="s">
        <v>24</v>
      </c>
      <c r="U12" s="168" t="s">
        <v>25</v>
      </c>
      <c r="V12" s="168" t="s">
        <v>26</v>
      </c>
    </row>
    <row r="13" spans="1:30" x14ac:dyDescent="0.2">
      <c r="A13" s="41">
        <v>42338</v>
      </c>
      <c r="B13" s="42">
        <f>Inputs!D34</f>
        <v>95837426.027168244</v>
      </c>
      <c r="C13" s="123">
        <v>30</v>
      </c>
      <c r="D13" s="123">
        <v>1</v>
      </c>
      <c r="E13" s="120">
        <v>326.19999999999993</v>
      </c>
      <c r="F13" s="120">
        <v>0</v>
      </c>
      <c r="G13" s="147">
        <v>0</v>
      </c>
      <c r="H13" s="181">
        <v>5389.4</v>
      </c>
      <c r="I13" s="42">
        <f t="shared" si="0"/>
        <v>89994451.390535951</v>
      </c>
      <c r="J13" s="25">
        <f t="shared" si="1"/>
        <v>-5842974.6366322935</v>
      </c>
      <c r="K13" s="34">
        <f t="shared" si="2"/>
        <v>-6.0967566417903497E-2</v>
      </c>
      <c r="L13" s="8">
        <f t="shared" si="3"/>
        <v>6.0967566417903497E-2</v>
      </c>
      <c r="M13" s="121">
        <f t="shared" si="4"/>
        <v>34140352604328.281</v>
      </c>
      <c r="N13" s="121">
        <f t="shared" si="5"/>
        <v>791858.16171787679</v>
      </c>
      <c r="O13" s="121">
        <f t="shared" si="6"/>
        <v>627039348279.21509</v>
      </c>
      <c r="P13" s="8"/>
      <c r="Q13" t="s">
        <v>19</v>
      </c>
      <c r="R13">
        <v>6</v>
      </c>
      <c r="S13">
        <v>1.4147173085546316E+16</v>
      </c>
      <c r="T13">
        <v>2357862180924386</v>
      </c>
      <c r="U13">
        <v>189.90882303416797</v>
      </c>
      <c r="V13">
        <v>4.2093775352266836E-59</v>
      </c>
    </row>
    <row r="14" spans="1:30" x14ac:dyDescent="0.2">
      <c r="A14" s="41">
        <v>42369</v>
      </c>
      <c r="B14" s="42">
        <f>Inputs!D35</f>
        <v>95681304.151613995</v>
      </c>
      <c r="C14" s="123">
        <v>31</v>
      </c>
      <c r="D14" s="123">
        <v>0</v>
      </c>
      <c r="E14" s="120">
        <v>415.00000000000011</v>
      </c>
      <c r="F14" s="120">
        <v>0</v>
      </c>
      <c r="G14" s="147">
        <v>0</v>
      </c>
      <c r="H14" s="181">
        <v>5389.6</v>
      </c>
      <c r="I14" s="42">
        <f t="shared" si="0"/>
        <v>99008579.355229452</v>
      </c>
      <c r="J14" s="25">
        <f t="shared" si="1"/>
        <v>3327275.2036154568</v>
      </c>
      <c r="K14" s="34">
        <f t="shared" si="2"/>
        <v>3.4774559493285617E-2</v>
      </c>
      <c r="L14" s="8">
        <f t="shared" si="3"/>
        <v>3.4774559493285617E-2</v>
      </c>
      <c r="M14" s="121">
        <f t="shared" si="4"/>
        <v>11070760280594.279</v>
      </c>
      <c r="N14" s="121">
        <f t="shared" si="5"/>
        <v>9170249.8402477503</v>
      </c>
      <c r="O14" s="121">
        <f t="shared" si="6"/>
        <v>84093482132563.891</v>
      </c>
      <c r="P14" s="8"/>
      <c r="Q14" t="s">
        <v>20</v>
      </c>
      <c r="R14">
        <v>121</v>
      </c>
      <c r="S14">
        <v>1502306840375288.5</v>
      </c>
      <c r="T14">
        <v>12415759011366.021</v>
      </c>
    </row>
    <row r="15" spans="1:30" ht="13.5" thickBot="1" x14ac:dyDescent="0.25">
      <c r="A15" s="41">
        <v>42400</v>
      </c>
      <c r="B15" s="42">
        <f>Inputs!D36</f>
        <v>104360489.6203077</v>
      </c>
      <c r="C15" s="123">
        <v>31</v>
      </c>
      <c r="D15" s="123">
        <f>D3</f>
        <v>0</v>
      </c>
      <c r="E15" s="120">
        <v>663</v>
      </c>
      <c r="F15" s="120">
        <v>0</v>
      </c>
      <c r="G15" s="147">
        <v>0</v>
      </c>
      <c r="H15" s="181">
        <v>5327.7</v>
      </c>
      <c r="I15" s="42">
        <f t="shared" si="0"/>
        <v>103867410.20529918</v>
      </c>
      <c r="J15" s="25">
        <f t="shared" si="1"/>
        <v>-493079.41500851512</v>
      </c>
      <c r="K15" s="34">
        <f t="shared" si="2"/>
        <v>-4.724771001003103E-3</v>
      </c>
      <c r="L15" s="8">
        <f t="shared" si="3"/>
        <v>4.724771001003103E-3</v>
      </c>
      <c r="M15" s="121">
        <f t="shared" si="4"/>
        <v>243127309505.1395</v>
      </c>
      <c r="N15" s="121">
        <f t="shared" si="5"/>
        <v>-3820354.6186239719</v>
      </c>
      <c r="O15" s="121">
        <f t="shared" si="6"/>
        <v>14595109412041.514</v>
      </c>
      <c r="P15" s="8"/>
      <c r="Q15" s="167" t="s">
        <v>5</v>
      </c>
      <c r="R15" s="167">
        <v>127</v>
      </c>
      <c r="S15" s="167">
        <v>1.5649479925921604E+16</v>
      </c>
      <c r="T15" s="167"/>
      <c r="U15" s="167"/>
      <c r="V15" s="167"/>
    </row>
    <row r="16" spans="1:30" ht="13.5" thickBot="1" x14ac:dyDescent="0.25">
      <c r="A16" s="41">
        <v>42429</v>
      </c>
      <c r="B16" s="42">
        <f>Inputs!D37</f>
        <v>95757610.426384613</v>
      </c>
      <c r="C16" s="123">
        <v>28</v>
      </c>
      <c r="D16" s="123">
        <f t="shared" ref="D16:D79" si="7">D4</f>
        <v>0</v>
      </c>
      <c r="E16" s="120">
        <v>577.9</v>
      </c>
      <c r="F16" s="120">
        <v>0</v>
      </c>
      <c r="G16" s="147">
        <v>0</v>
      </c>
      <c r="H16" s="181">
        <v>5264.9</v>
      </c>
      <c r="I16" s="42">
        <f t="shared" si="0"/>
        <v>93283564.968522251</v>
      </c>
      <c r="J16" s="25">
        <f t="shared" si="1"/>
        <v>-2474045.4578623623</v>
      </c>
      <c r="K16" s="34">
        <f t="shared" si="2"/>
        <v>-2.5836541313489954E-2</v>
      </c>
      <c r="L16" s="8">
        <f t="shared" si="3"/>
        <v>2.5836541313489954E-2</v>
      </c>
      <c r="M16" s="121">
        <f t="shared" si="4"/>
        <v>6120900927569.3857</v>
      </c>
      <c r="N16" s="121">
        <f t="shared" si="5"/>
        <v>-1980966.0428538471</v>
      </c>
      <c r="O16" s="121">
        <f t="shared" si="6"/>
        <v>3924226462940.0303</v>
      </c>
      <c r="P16" s="8"/>
    </row>
    <row r="17" spans="1:25" x14ac:dyDescent="0.2">
      <c r="A17" s="41">
        <v>42460</v>
      </c>
      <c r="B17" s="42">
        <f>Inputs!D38</f>
        <v>95197213.103923097</v>
      </c>
      <c r="C17" s="123">
        <v>31</v>
      </c>
      <c r="D17" s="123">
        <f t="shared" si="7"/>
        <v>1</v>
      </c>
      <c r="E17" s="120">
        <v>437.4</v>
      </c>
      <c r="F17" s="120">
        <v>0</v>
      </c>
      <c r="G17" s="147">
        <v>0</v>
      </c>
      <c r="H17" s="181">
        <v>5306.6</v>
      </c>
      <c r="I17" s="42">
        <f t="shared" si="0"/>
        <v>94415287.59720473</v>
      </c>
      <c r="J17" s="25">
        <f t="shared" si="1"/>
        <v>-781925.50671836734</v>
      </c>
      <c r="K17" s="34">
        <f t="shared" si="2"/>
        <v>-8.2137436719368004E-3</v>
      </c>
      <c r="L17" s="8">
        <f t="shared" si="3"/>
        <v>8.2137436719368004E-3</v>
      </c>
      <c r="M17" s="121">
        <f t="shared" si="4"/>
        <v>611407498056.77551</v>
      </c>
      <c r="N17" s="121">
        <f t="shared" si="5"/>
        <v>1692119.9511439949</v>
      </c>
      <c r="O17" s="121">
        <f t="shared" si="6"/>
        <v>2863269929059.5557</v>
      </c>
      <c r="P17" s="8"/>
      <c r="Q17" s="168"/>
      <c r="R17" s="168" t="s">
        <v>85</v>
      </c>
      <c r="S17" s="168" t="s">
        <v>16</v>
      </c>
      <c r="T17" s="168" t="s">
        <v>86</v>
      </c>
      <c r="U17" s="168" t="s">
        <v>87</v>
      </c>
      <c r="V17" s="168" t="s">
        <v>88</v>
      </c>
      <c r="W17" s="168" t="s">
        <v>89</v>
      </c>
      <c r="X17" s="168" t="s">
        <v>90</v>
      </c>
      <c r="Y17" s="168" t="s">
        <v>91</v>
      </c>
    </row>
    <row r="18" spans="1:25" x14ac:dyDescent="0.2">
      <c r="A18" s="41">
        <v>42490</v>
      </c>
      <c r="B18" s="42">
        <f>Inputs!D39</f>
        <v>89223506.73323077</v>
      </c>
      <c r="C18" s="123">
        <v>30</v>
      </c>
      <c r="D18" s="123">
        <f t="shared" si="7"/>
        <v>1</v>
      </c>
      <c r="E18" s="120">
        <v>371.50000000000006</v>
      </c>
      <c r="F18" s="120">
        <v>0</v>
      </c>
      <c r="G18" s="147">
        <v>0</v>
      </c>
      <c r="H18" s="181">
        <v>5336.8</v>
      </c>
      <c r="I18" s="42">
        <f t="shared" si="0"/>
        <v>90519051.376727998</v>
      </c>
      <c r="J18" s="25">
        <f t="shared" si="1"/>
        <v>1295544.6434972286</v>
      </c>
      <c r="K18" s="34">
        <f t="shared" si="2"/>
        <v>1.4520216599093954E-2</v>
      </c>
      <c r="L18" s="8">
        <f t="shared" si="3"/>
        <v>1.4520216599093954E-2</v>
      </c>
      <c r="M18" s="121">
        <f t="shared" si="4"/>
        <v>1678435923294.3611</v>
      </c>
      <c r="N18" s="121">
        <f t="shared" si="5"/>
        <v>2077470.150215596</v>
      </c>
      <c r="O18" s="121">
        <f t="shared" si="6"/>
        <v>4315882225036.811</v>
      </c>
      <c r="P18" s="8"/>
      <c r="Q18" t="s">
        <v>21</v>
      </c>
      <c r="R18">
        <v>-41906264.023303077</v>
      </c>
      <c r="S18">
        <v>12809449.5141738</v>
      </c>
      <c r="T18">
        <v>-3.2715117052402074</v>
      </c>
      <c r="U18">
        <v>1.3940617499525905E-3</v>
      </c>
      <c r="V18">
        <v>-67265947.989106581</v>
      </c>
      <c r="W18">
        <v>-16546580.057499576</v>
      </c>
      <c r="X18">
        <v>-67265947.989106581</v>
      </c>
      <c r="Y18">
        <v>-16546580.057499576</v>
      </c>
    </row>
    <row r="19" spans="1:25" x14ac:dyDescent="0.2">
      <c r="A19" s="41">
        <v>42521</v>
      </c>
      <c r="B19" s="42">
        <f>Inputs!D40</f>
        <v>92885022.863923073</v>
      </c>
      <c r="C19" s="123">
        <v>31</v>
      </c>
      <c r="D19" s="123">
        <f t="shared" si="7"/>
        <v>1</v>
      </c>
      <c r="E19" s="120">
        <v>160.6</v>
      </c>
      <c r="F19" s="120">
        <v>31.3</v>
      </c>
      <c r="G19" s="147">
        <v>0</v>
      </c>
      <c r="H19" s="181">
        <v>5536.3</v>
      </c>
      <c r="I19" s="42">
        <f t="shared" si="0"/>
        <v>98191478.602975056</v>
      </c>
      <c r="J19" s="25">
        <f t="shared" si="1"/>
        <v>5306455.7390519828</v>
      </c>
      <c r="K19" s="34">
        <f t="shared" si="2"/>
        <v>5.7129293565723306E-2</v>
      </c>
      <c r="L19" s="8">
        <f t="shared" si="3"/>
        <v>5.7129293565723306E-2</v>
      </c>
      <c r="M19" s="121">
        <f t="shared" si="4"/>
        <v>28158472510517.723</v>
      </c>
      <c r="N19" s="121">
        <f t="shared" si="5"/>
        <v>4010911.0955547541</v>
      </c>
      <c r="O19" s="121">
        <f t="shared" si="6"/>
        <v>16087407816444.238</v>
      </c>
      <c r="P19" s="8"/>
      <c r="Q19" t="s">
        <v>113</v>
      </c>
      <c r="R19">
        <v>2725979.9845449417</v>
      </c>
      <c r="S19">
        <v>404176.18720287894</v>
      </c>
      <c r="T19">
        <v>6.7445338712560465</v>
      </c>
      <c r="U19">
        <v>5.5870502448600475E-10</v>
      </c>
      <c r="V19">
        <v>1925806.6154530891</v>
      </c>
      <c r="W19">
        <v>3526153.3536367943</v>
      </c>
      <c r="X19">
        <v>1925806.6154530891</v>
      </c>
      <c r="Y19">
        <v>3526153.3536367943</v>
      </c>
    </row>
    <row r="20" spans="1:25" x14ac:dyDescent="0.2">
      <c r="A20" s="41">
        <v>42551</v>
      </c>
      <c r="B20" s="42">
        <f>Inputs!D41</f>
        <v>103774662.28269231</v>
      </c>
      <c r="C20" s="123">
        <v>30</v>
      </c>
      <c r="D20" s="123">
        <f t="shared" si="7"/>
        <v>0</v>
      </c>
      <c r="E20" s="120">
        <v>23.900000000000002</v>
      </c>
      <c r="F20" s="120">
        <v>53.500000000000007</v>
      </c>
      <c r="G20" s="147">
        <v>0</v>
      </c>
      <c r="H20" s="181">
        <v>5590.7</v>
      </c>
      <c r="I20" s="42">
        <f t="shared" si="0"/>
        <v>102840851.98713753</v>
      </c>
      <c r="J20" s="25">
        <f t="shared" si="1"/>
        <v>-933810.29555478692</v>
      </c>
      <c r="K20" s="34">
        <f t="shared" si="2"/>
        <v>-8.9984421535480065E-3</v>
      </c>
      <c r="L20" s="8">
        <f t="shared" si="3"/>
        <v>8.9984421535480065E-3</v>
      </c>
      <c r="M20" s="121">
        <f t="shared" si="4"/>
        <v>872001668084.11853</v>
      </c>
      <c r="N20" s="121">
        <f t="shared" si="5"/>
        <v>-6240266.0346067697</v>
      </c>
      <c r="O20" s="121">
        <f t="shared" si="6"/>
        <v>38940920182666.898</v>
      </c>
      <c r="P20" s="8"/>
      <c r="Q20" t="s">
        <v>114</v>
      </c>
      <c r="R20">
        <v>-4351817.5180566357</v>
      </c>
      <c r="S20">
        <v>852532.64946925186</v>
      </c>
      <c r="T20">
        <v>-5.1045757845941502</v>
      </c>
      <c r="U20">
        <v>1.2474397034942076E-6</v>
      </c>
      <c r="V20">
        <v>-6039630.7638285663</v>
      </c>
      <c r="W20">
        <v>-2664004.2722847052</v>
      </c>
      <c r="X20">
        <v>-6039630.7638285663</v>
      </c>
      <c r="Y20">
        <v>-2664004.2722847052</v>
      </c>
    </row>
    <row r="21" spans="1:25" x14ac:dyDescent="0.2">
      <c r="A21" s="41">
        <v>42582</v>
      </c>
      <c r="B21" s="42">
        <f>Inputs!D42</f>
        <v>118822675.50546154</v>
      </c>
      <c r="C21" s="123">
        <v>31</v>
      </c>
      <c r="D21" s="123">
        <f t="shared" si="7"/>
        <v>0</v>
      </c>
      <c r="E21" s="120">
        <v>2.9999999999999996</v>
      </c>
      <c r="F21" s="120">
        <v>120.8</v>
      </c>
      <c r="G21" s="147">
        <v>0</v>
      </c>
      <c r="H21" s="181">
        <v>5617.1</v>
      </c>
      <c r="I21" s="42">
        <f t="shared" si="0"/>
        <v>122088295.7745174</v>
      </c>
      <c r="J21" s="25">
        <f t="shared" si="1"/>
        <v>3265620.2690558583</v>
      </c>
      <c r="K21" s="34">
        <f t="shared" si="2"/>
        <v>2.7483140361586604E-2</v>
      </c>
      <c r="L21" s="8">
        <f t="shared" si="3"/>
        <v>2.7483140361586604E-2</v>
      </c>
      <c r="M21" s="121">
        <f t="shared" si="4"/>
        <v>10664275741668.457</v>
      </c>
      <c r="N21" s="121">
        <f t="shared" si="5"/>
        <v>4199430.5646106452</v>
      </c>
      <c r="O21" s="121">
        <f t="shared" si="6"/>
        <v>17635217066986.082</v>
      </c>
      <c r="P21" s="8"/>
      <c r="Q21" t="s">
        <v>111</v>
      </c>
      <c r="R21">
        <v>21785.728514312981</v>
      </c>
      <c r="S21">
        <v>2208.2624460728662</v>
      </c>
      <c r="T21">
        <v>9.8655522368078685</v>
      </c>
      <c r="U21">
        <v>3.3347089325308785E-17</v>
      </c>
      <c r="V21">
        <v>17413.890545476417</v>
      </c>
      <c r="W21">
        <v>26157.566483149545</v>
      </c>
      <c r="X21">
        <v>17413.890545476417</v>
      </c>
      <c r="Y21">
        <v>26157.566483149545</v>
      </c>
    </row>
    <row r="22" spans="1:25" x14ac:dyDescent="0.2">
      <c r="A22" s="41">
        <v>42613</v>
      </c>
      <c r="B22" s="42">
        <f>Inputs!D43</f>
        <v>127445902.89861538</v>
      </c>
      <c r="C22" s="123">
        <v>31</v>
      </c>
      <c r="D22" s="123">
        <f t="shared" si="7"/>
        <v>0</v>
      </c>
      <c r="E22" s="120">
        <v>0.7</v>
      </c>
      <c r="F22" s="120">
        <v>133.39999999999998</v>
      </c>
      <c r="G22" s="147">
        <v>0</v>
      </c>
      <c r="H22" s="181">
        <v>5647.2</v>
      </c>
      <c r="I22" s="42">
        <f t="shared" si="0"/>
        <v>125437710.32087231</v>
      </c>
      <c r="J22" s="25">
        <f t="shared" si="1"/>
        <v>-2008192.5777430683</v>
      </c>
      <c r="K22" s="34">
        <f t="shared" si="2"/>
        <v>-1.5757215666168632E-2</v>
      </c>
      <c r="L22" s="8">
        <f t="shared" si="3"/>
        <v>1.5757215666168632E-2</v>
      </c>
      <c r="M22" s="121">
        <f t="shared" si="4"/>
        <v>4032837429302.3496</v>
      </c>
      <c r="N22" s="121">
        <f t="shared" si="5"/>
        <v>-5273812.8467989266</v>
      </c>
      <c r="O22" s="121">
        <f t="shared" si="6"/>
        <v>27813101943061.398</v>
      </c>
      <c r="P22" s="8"/>
      <c r="Q22" t="s">
        <v>112</v>
      </c>
      <c r="R22">
        <v>248807.72490372116</v>
      </c>
      <c r="S22">
        <v>14799.110593707899</v>
      </c>
      <c r="T22">
        <v>16.812343101855468</v>
      </c>
      <c r="U22">
        <v>1.9073283350155118E-33</v>
      </c>
      <c r="V22">
        <v>219508.98203298872</v>
      </c>
      <c r="W22">
        <v>278106.46777445363</v>
      </c>
      <c r="X22">
        <v>219508.98203298872</v>
      </c>
      <c r="Y22">
        <v>278106.46777445363</v>
      </c>
    </row>
    <row r="23" spans="1:25" x14ac:dyDescent="0.2">
      <c r="A23" s="41">
        <v>42643</v>
      </c>
      <c r="B23" s="42">
        <f>Inputs!D44</f>
        <v>105464824.35599998</v>
      </c>
      <c r="C23" s="123">
        <v>30</v>
      </c>
      <c r="D23" s="123">
        <f t="shared" si="7"/>
        <v>0</v>
      </c>
      <c r="E23" s="120">
        <v>32</v>
      </c>
      <c r="F23" s="120">
        <v>53.899999999999991</v>
      </c>
      <c r="G23" s="147">
        <v>0</v>
      </c>
      <c r="H23" s="181">
        <v>5441.2</v>
      </c>
      <c r="I23" s="42">
        <f t="shared" si="0"/>
        <v>101802906.38741486</v>
      </c>
      <c r="J23" s="25">
        <f t="shared" si="1"/>
        <v>-3661917.9685851187</v>
      </c>
      <c r="K23" s="34">
        <f t="shared" si="2"/>
        <v>-3.4721699779484715E-2</v>
      </c>
      <c r="L23" s="8">
        <f t="shared" si="3"/>
        <v>3.4721699779484715E-2</v>
      </c>
      <c r="M23" s="121">
        <f t="shared" si="4"/>
        <v>13409643208646.563</v>
      </c>
      <c r="N23" s="121">
        <f t="shared" si="5"/>
        <v>-1653725.3908420503</v>
      </c>
      <c r="O23" s="121">
        <f t="shared" si="6"/>
        <v>2734807668315.6919</v>
      </c>
      <c r="P23" s="8"/>
      <c r="Q23" t="s">
        <v>110</v>
      </c>
      <c r="R23">
        <v>-11386249.996606499</v>
      </c>
      <c r="S23">
        <v>2357869.4696388692</v>
      </c>
      <c r="T23">
        <v>-4.8290417019354406</v>
      </c>
      <c r="U23">
        <v>4.0555700129988406E-6</v>
      </c>
      <c r="V23">
        <v>-16054274.529315323</v>
      </c>
      <c r="W23">
        <v>-6718225.4638976743</v>
      </c>
      <c r="X23">
        <v>-16054274.529315323</v>
      </c>
      <c r="Y23">
        <v>-6718225.4638976743</v>
      </c>
    </row>
    <row r="24" spans="1:25" ht="13.5" thickBot="1" x14ac:dyDescent="0.25">
      <c r="A24" s="41">
        <v>42674</v>
      </c>
      <c r="B24" s="42">
        <f>Inputs!D45</f>
        <v>93365521.291000009</v>
      </c>
      <c r="C24" s="123">
        <v>31</v>
      </c>
      <c r="D24" s="123">
        <f t="shared" si="7"/>
        <v>1</v>
      </c>
      <c r="E24" s="120">
        <v>196.2</v>
      </c>
      <c r="F24" s="120">
        <v>10.5</v>
      </c>
      <c r="G24" s="147">
        <v>0</v>
      </c>
      <c r="H24" s="181">
        <v>5412.5</v>
      </c>
      <c r="I24" s="42">
        <f t="shared" si="0"/>
        <v>92703790.217127442</v>
      </c>
      <c r="J24" s="25">
        <f t="shared" si="1"/>
        <v>-661731.07387256622</v>
      </c>
      <c r="K24" s="34">
        <f t="shared" si="2"/>
        <v>-7.0875315075904144E-3</v>
      </c>
      <c r="L24" s="8">
        <f t="shared" si="3"/>
        <v>7.0875315075904144E-3</v>
      </c>
      <c r="M24" s="121">
        <f t="shared" si="4"/>
        <v>437888014128.53967</v>
      </c>
      <c r="N24" s="121">
        <f t="shared" si="5"/>
        <v>3000186.8947125524</v>
      </c>
      <c r="O24" s="121">
        <f t="shared" si="6"/>
        <v>9001121403204.9473</v>
      </c>
      <c r="P24" s="8"/>
      <c r="Q24" s="167" t="s">
        <v>129</v>
      </c>
      <c r="R24" s="167">
        <v>8788.8501046829915</v>
      </c>
      <c r="S24" s="167">
        <v>832.43436544041901</v>
      </c>
      <c r="T24" s="171">
        <v>10.558009699699319</v>
      </c>
      <c r="U24" s="167">
        <v>7.2216947631298151E-19</v>
      </c>
      <c r="V24" s="167">
        <v>7140.8267133198842</v>
      </c>
      <c r="W24" s="167">
        <v>10436.873496046099</v>
      </c>
      <c r="X24" s="167">
        <v>7140.8267133198842</v>
      </c>
      <c r="Y24" s="167">
        <v>10436.873496046099</v>
      </c>
    </row>
    <row r="25" spans="1:25" x14ac:dyDescent="0.2">
      <c r="A25" s="41">
        <v>42704</v>
      </c>
      <c r="B25" s="42">
        <f>Inputs!D46</f>
        <v>88461743.387999997</v>
      </c>
      <c r="C25" s="123">
        <v>30</v>
      </c>
      <c r="D25" s="123">
        <f t="shared" si="7"/>
        <v>1</v>
      </c>
      <c r="E25" s="120">
        <v>325.70000000000005</v>
      </c>
      <c r="F25" s="120">
        <v>0</v>
      </c>
      <c r="G25" s="147">
        <v>0</v>
      </c>
      <c r="H25" s="181">
        <v>5424.6</v>
      </c>
      <c r="I25" s="42">
        <f t="shared" si="0"/>
        <v>90292926.049963638</v>
      </c>
      <c r="J25" s="25">
        <f t="shared" si="1"/>
        <v>1831182.6619636416</v>
      </c>
      <c r="K25" s="34">
        <f t="shared" si="2"/>
        <v>2.0700277790501299E-2</v>
      </c>
      <c r="L25" s="8">
        <f t="shared" si="3"/>
        <v>2.0700277790501299E-2</v>
      </c>
      <c r="M25" s="121">
        <f t="shared" si="4"/>
        <v>3353229941476.2485</v>
      </c>
      <c r="N25" s="121">
        <f t="shared" si="5"/>
        <v>2492913.7358362079</v>
      </c>
      <c r="O25" s="121">
        <f t="shared" si="6"/>
        <v>6214618894320.8379</v>
      </c>
      <c r="P25" s="8"/>
    </row>
    <row r="26" spans="1:25" x14ac:dyDescent="0.2">
      <c r="A26" s="41">
        <v>42735</v>
      </c>
      <c r="B26" s="42">
        <f>Inputs!D47</f>
        <v>95337474.459999993</v>
      </c>
      <c r="C26" s="123">
        <v>31</v>
      </c>
      <c r="D26" s="123">
        <f t="shared" si="7"/>
        <v>0</v>
      </c>
      <c r="E26" s="120">
        <v>624.80000000000007</v>
      </c>
      <c r="F26" s="120">
        <v>0</v>
      </c>
      <c r="G26" s="147">
        <v>0</v>
      </c>
      <c r="H26" s="181">
        <v>5392.2</v>
      </c>
      <c r="I26" s="42">
        <f t="shared" si="0"/>
        <v>103602076.20780449</v>
      </c>
      <c r="J26" s="25">
        <f t="shared" si="1"/>
        <v>8264601.7478044927</v>
      </c>
      <c r="K26" s="34">
        <f t="shared" si="2"/>
        <v>8.6687861143961889E-2</v>
      </c>
      <c r="L26" s="8">
        <f t="shared" si="3"/>
        <v>8.6687861143961889E-2</v>
      </c>
      <c r="M26" s="121">
        <f t="shared" si="4"/>
        <v>68303642049813.078</v>
      </c>
      <c r="N26" s="121">
        <f t="shared" si="5"/>
        <v>6433419.0858408511</v>
      </c>
      <c r="O26" s="121">
        <f t="shared" si="6"/>
        <v>41388881134061.328</v>
      </c>
      <c r="P26" s="8"/>
    </row>
    <row r="27" spans="1:25" x14ac:dyDescent="0.2">
      <c r="A27" s="41">
        <v>42766</v>
      </c>
      <c r="B27" s="42">
        <f>Inputs!D48</f>
        <v>101083036.44000001</v>
      </c>
      <c r="C27" s="123">
        <v>31</v>
      </c>
      <c r="D27" s="123">
        <f t="shared" si="7"/>
        <v>0</v>
      </c>
      <c r="E27" s="120">
        <v>586.59999999999991</v>
      </c>
      <c r="F27" s="120">
        <v>0</v>
      </c>
      <c r="G27" s="147">
        <v>0</v>
      </c>
      <c r="H27" s="181">
        <v>5349.1</v>
      </c>
      <c r="I27" s="42">
        <f t="shared" si="0"/>
        <v>102391061.93904591</v>
      </c>
      <c r="J27" s="25">
        <f t="shared" si="1"/>
        <v>1308025.4990458935</v>
      </c>
      <c r="K27" s="34">
        <f t="shared" si="2"/>
        <v>1.2940108895742363E-2</v>
      </c>
      <c r="L27" s="8">
        <f t="shared" si="3"/>
        <v>1.2940108895742363E-2</v>
      </c>
      <c r="M27" s="121">
        <f t="shared" si="4"/>
        <v>1710930706154.2588</v>
      </c>
      <c r="N27" s="121">
        <f t="shared" si="5"/>
        <v>-6956576.2487585992</v>
      </c>
      <c r="O27" s="121">
        <f t="shared" si="6"/>
        <v>48393953104792.266</v>
      </c>
    </row>
    <row r="28" spans="1:25" x14ac:dyDescent="0.2">
      <c r="A28" s="41">
        <v>42794</v>
      </c>
      <c r="B28" s="42">
        <f>Inputs!D49</f>
        <v>87791253.170000002</v>
      </c>
      <c r="C28" s="123">
        <v>28</v>
      </c>
      <c r="D28" s="123">
        <f t="shared" si="7"/>
        <v>0</v>
      </c>
      <c r="E28" s="120">
        <v>465.8</v>
      </c>
      <c r="F28" s="120">
        <v>0</v>
      </c>
      <c r="G28" s="147">
        <v>0</v>
      </c>
      <c r="H28" s="181">
        <v>5361.3</v>
      </c>
      <c r="I28" s="42">
        <f t="shared" si="0"/>
        <v>91688629.952159196</v>
      </c>
      <c r="J28" s="25">
        <f t="shared" si="1"/>
        <v>3897376.7821591944</v>
      </c>
      <c r="K28" s="34">
        <f t="shared" si="2"/>
        <v>4.4393679796462963E-2</v>
      </c>
      <c r="L28" s="8">
        <f t="shared" si="3"/>
        <v>4.4393679796462963E-2</v>
      </c>
      <c r="M28" s="121">
        <f t="shared" si="4"/>
        <v>15189545782113.557</v>
      </c>
      <c r="N28" s="121">
        <f t="shared" si="5"/>
        <v>2589351.2831133008</v>
      </c>
      <c r="O28" s="121">
        <f t="shared" si="6"/>
        <v>6704740067360.4971</v>
      </c>
      <c r="Q28" t="s">
        <v>123</v>
      </c>
      <c r="R28" s="29">
        <f>M123</f>
        <v>1431162614283793</v>
      </c>
    </row>
    <row r="29" spans="1:25" x14ac:dyDescent="0.2">
      <c r="A29" s="41">
        <v>42825</v>
      </c>
      <c r="B29" s="42">
        <f>Inputs!D50</f>
        <v>96483175.329999983</v>
      </c>
      <c r="C29" s="123">
        <v>31</v>
      </c>
      <c r="D29" s="123">
        <f t="shared" si="7"/>
        <v>1</v>
      </c>
      <c r="E29" s="120">
        <v>538.44999999999993</v>
      </c>
      <c r="F29" s="120">
        <v>0</v>
      </c>
      <c r="G29" s="147">
        <v>0</v>
      </c>
      <c r="H29" s="181">
        <v>5383.5</v>
      </c>
      <c r="I29" s="42">
        <f t="shared" si="0"/>
        <v>97292598.036626175</v>
      </c>
      <c r="J29" s="25">
        <f t="shared" si="1"/>
        <v>809422.70662619174</v>
      </c>
      <c r="K29" s="34">
        <f t="shared" si="2"/>
        <v>8.3892627274935253E-3</v>
      </c>
      <c r="L29" s="8">
        <f t="shared" si="3"/>
        <v>8.3892627274935253E-3</v>
      </c>
      <c r="M29" s="121">
        <f t="shared" si="4"/>
        <v>655165118002.07007</v>
      </c>
      <c r="N29" s="121">
        <f t="shared" si="5"/>
        <v>-3087954.0755330026</v>
      </c>
      <c r="O29" s="121">
        <f t="shared" si="6"/>
        <v>9535460372600.8809</v>
      </c>
    </row>
    <row r="30" spans="1:25" x14ac:dyDescent="0.2">
      <c r="A30" s="41">
        <v>42855</v>
      </c>
      <c r="B30" s="42">
        <f>Inputs!D51</f>
        <v>84555157.050000012</v>
      </c>
      <c r="C30" s="123">
        <v>30</v>
      </c>
      <c r="D30" s="123">
        <f t="shared" si="7"/>
        <v>1</v>
      </c>
      <c r="E30" s="120">
        <v>237.20000000000007</v>
      </c>
      <c r="F30" s="120">
        <v>0.2</v>
      </c>
      <c r="G30" s="147">
        <v>0</v>
      </c>
      <c r="H30" s="181">
        <v>5418.6</v>
      </c>
      <c r="I30" s="42">
        <f t="shared" si="0"/>
        <v>88361917.520799577</v>
      </c>
      <c r="J30" s="25">
        <f t="shared" si="1"/>
        <v>3806760.4707995653</v>
      </c>
      <c r="K30" s="34">
        <f t="shared" si="2"/>
        <v>4.5021032466990907E-2</v>
      </c>
      <c r="L30" s="8">
        <f t="shared" si="3"/>
        <v>4.5021032466990907E-2</v>
      </c>
      <c r="M30" s="121">
        <f t="shared" si="4"/>
        <v>14491425282042.129</v>
      </c>
      <c r="N30" s="121">
        <f t="shared" si="5"/>
        <v>2997337.7641733736</v>
      </c>
      <c r="O30" s="121">
        <f t="shared" si="6"/>
        <v>8984033672539.8379</v>
      </c>
      <c r="Q30" t="s">
        <v>124</v>
      </c>
      <c r="R30">
        <f>R27/R28</f>
        <v>0</v>
      </c>
    </row>
    <row r="31" spans="1:25" x14ac:dyDescent="0.2">
      <c r="A31" s="41">
        <v>42886</v>
      </c>
      <c r="B31" s="42">
        <f>Inputs!D52</f>
        <v>88800673.140000001</v>
      </c>
      <c r="C31" s="123">
        <v>31</v>
      </c>
      <c r="D31" s="123">
        <f t="shared" si="7"/>
        <v>1</v>
      </c>
      <c r="E31" s="120">
        <v>177.9</v>
      </c>
      <c r="F31" s="120">
        <v>10.1</v>
      </c>
      <c r="G31" s="147">
        <v>0</v>
      </c>
      <c r="H31" s="181">
        <v>5626.6</v>
      </c>
      <c r="I31" s="42">
        <f t="shared" si="0"/>
        <v>94087281.102766663</v>
      </c>
      <c r="J31" s="25">
        <f t="shared" si="1"/>
        <v>5286607.9627666622</v>
      </c>
      <c r="K31" s="34">
        <f t="shared" si="2"/>
        <v>5.9533422167104333E-2</v>
      </c>
      <c r="L31" s="8">
        <f t="shared" si="3"/>
        <v>5.9533422167104333E-2</v>
      </c>
      <c r="M31" s="121">
        <f t="shared" si="4"/>
        <v>27948223751987.879</v>
      </c>
      <c r="N31" s="121">
        <f t="shared" si="5"/>
        <v>1479847.4919670969</v>
      </c>
      <c r="O31" s="121">
        <f t="shared" si="6"/>
        <v>2189948599481.3069</v>
      </c>
    </row>
    <row r="32" spans="1:25" x14ac:dyDescent="0.2">
      <c r="A32" s="41">
        <v>42916</v>
      </c>
      <c r="B32" s="42">
        <f>Inputs!D53</f>
        <v>101082278.53099999</v>
      </c>
      <c r="C32" s="123">
        <v>30</v>
      </c>
      <c r="D32" s="123">
        <f t="shared" si="7"/>
        <v>0</v>
      </c>
      <c r="E32" s="120">
        <v>28.000000000000004</v>
      </c>
      <c r="F32" s="120">
        <v>78.400000000000006</v>
      </c>
      <c r="G32" s="147">
        <v>0</v>
      </c>
      <c r="H32" s="181">
        <v>5672</v>
      </c>
      <c r="I32" s="42">
        <f t="shared" si="0"/>
        <v>109840019.3376596</v>
      </c>
      <c r="J32" s="25">
        <f t="shared" si="1"/>
        <v>8757740.8066596091</v>
      </c>
      <c r="K32" s="34">
        <f t="shared" si="2"/>
        <v>8.6639724924421624E-2</v>
      </c>
      <c r="L32" s="8">
        <f t="shared" si="3"/>
        <v>8.6639724924421624E-2</v>
      </c>
      <c r="M32" s="121">
        <f t="shared" si="4"/>
        <v>76698024036630.906</v>
      </c>
      <c r="N32" s="121">
        <f t="shared" si="5"/>
        <v>3471132.8438929468</v>
      </c>
      <c r="O32" s="121">
        <f t="shared" si="6"/>
        <v>12048763219952.336</v>
      </c>
    </row>
    <row r="33" spans="1:18" x14ac:dyDescent="0.2">
      <c r="A33" s="41">
        <v>42947</v>
      </c>
      <c r="B33" s="42">
        <f>Inputs!D54</f>
        <v>111813962.39</v>
      </c>
      <c r="C33" s="123">
        <v>31</v>
      </c>
      <c r="D33" s="123">
        <f t="shared" si="7"/>
        <v>0</v>
      </c>
      <c r="E33" s="120">
        <v>1.2</v>
      </c>
      <c r="F33" s="120">
        <v>99.7</v>
      </c>
      <c r="G33" s="147">
        <v>0</v>
      </c>
      <c r="H33" s="181">
        <v>5755.6</v>
      </c>
      <c r="I33" s="42">
        <f t="shared" si="0"/>
        <v>118016494.20722172</v>
      </c>
      <c r="J33" s="25">
        <f t="shared" si="1"/>
        <v>6202531.817221716</v>
      </c>
      <c r="K33" s="34">
        <f t="shared" si="2"/>
        <v>5.5471889955814993E-2</v>
      </c>
      <c r="L33" s="8">
        <f t="shared" si="3"/>
        <v>5.5471889955814993E-2</v>
      </c>
      <c r="M33" s="121">
        <f t="shared" si="4"/>
        <v>38471400943647.727</v>
      </c>
      <c r="N33" s="121">
        <f t="shared" si="5"/>
        <v>-2555208.989437893</v>
      </c>
      <c r="O33" s="121">
        <f t="shared" si="6"/>
        <v>6529092979704.2188</v>
      </c>
      <c r="P33"/>
      <c r="R33" s="38"/>
    </row>
    <row r="34" spans="1:18" x14ac:dyDescent="0.2">
      <c r="A34" s="41">
        <v>42978</v>
      </c>
      <c r="B34" s="42">
        <f>Inputs!D55</f>
        <v>109237608.23999998</v>
      </c>
      <c r="C34" s="123">
        <v>31</v>
      </c>
      <c r="D34" s="123">
        <f t="shared" si="7"/>
        <v>0</v>
      </c>
      <c r="E34" s="120">
        <v>20.6</v>
      </c>
      <c r="F34" s="120">
        <v>50.5</v>
      </c>
      <c r="G34" s="147">
        <v>0</v>
      </c>
      <c r="H34" s="181">
        <v>5726.4</v>
      </c>
      <c r="I34" s="42">
        <f t="shared" si="0"/>
        <v>105941162.85207956</v>
      </c>
      <c r="J34" s="25">
        <f t="shared" si="1"/>
        <v>-3296445.3879204243</v>
      </c>
      <c r="K34" s="34">
        <f t="shared" si="2"/>
        <v>-3.0176835991117493E-2</v>
      </c>
      <c r="L34" s="8">
        <f t="shared" si="3"/>
        <v>3.0176835991117493E-2</v>
      </c>
      <c r="M34" s="121">
        <f t="shared" si="4"/>
        <v>10866552195541.838</v>
      </c>
      <c r="N34" s="121">
        <f t="shared" si="5"/>
        <v>-9498977.2051421404</v>
      </c>
      <c r="O34" s="121">
        <f t="shared" si="6"/>
        <v>90230567943809.984</v>
      </c>
      <c r="P34"/>
    </row>
    <row r="35" spans="1:18" x14ac:dyDescent="0.2">
      <c r="A35" s="41">
        <v>43008</v>
      </c>
      <c r="B35" s="42">
        <f>Inputs!D56</f>
        <v>105318945.7</v>
      </c>
      <c r="C35" s="123">
        <v>30</v>
      </c>
      <c r="D35" s="123">
        <f t="shared" si="7"/>
        <v>0</v>
      </c>
      <c r="E35" s="120">
        <v>65.900000000000006</v>
      </c>
      <c r="F35" s="120">
        <v>54.199999999999996</v>
      </c>
      <c r="G35" s="147">
        <v>0</v>
      </c>
      <c r="H35" s="181">
        <v>5598.9</v>
      </c>
      <c r="I35" s="42">
        <f t="shared" ref="I35:I66" si="8">$R$18+$R$19*C35+$R$20*D35+$R$21*E35+$R$22*F35+$R$23*G35+$R$24*H35</f>
        <v>104002086.56302969</v>
      </c>
      <c r="J35" s="25">
        <f t="shared" ref="J35:J66" si="9">I35-B35</f>
        <v>-1316859.1369703114</v>
      </c>
      <c r="K35" s="34">
        <f t="shared" ref="K35:K66" si="10">J35/B35</f>
        <v>-1.2503535125782325E-2</v>
      </c>
      <c r="L35" s="8">
        <f t="shared" si="3"/>
        <v>1.2503535125782325E-2</v>
      </c>
      <c r="M35" s="121">
        <f t="shared" si="4"/>
        <v>1734117986622.1934</v>
      </c>
      <c r="N35" s="121">
        <f t="shared" si="5"/>
        <v>1979586.2509501129</v>
      </c>
      <c r="O35" s="121">
        <f t="shared" si="6"/>
        <v>3918761724950.7236</v>
      </c>
      <c r="P35"/>
    </row>
    <row r="36" spans="1:18" x14ac:dyDescent="0.2">
      <c r="A36" s="41">
        <v>43039</v>
      </c>
      <c r="B36" s="42">
        <f>Inputs!D57</f>
        <v>99050383.330000013</v>
      </c>
      <c r="C36" s="123">
        <v>31</v>
      </c>
      <c r="D36" s="123">
        <f t="shared" si="7"/>
        <v>1</v>
      </c>
      <c r="E36" s="120">
        <v>159.30000000000001</v>
      </c>
      <c r="F36" s="120">
        <v>11.100000000000001</v>
      </c>
      <c r="G36" s="147">
        <v>0</v>
      </c>
      <c r="H36" s="181">
        <v>5590.1</v>
      </c>
      <c r="I36" s="42">
        <f t="shared" si="8"/>
        <v>93610081.248483226</v>
      </c>
      <c r="J36" s="25">
        <f t="shared" si="9"/>
        <v>-5440302.0815167874</v>
      </c>
      <c r="K36" s="34">
        <f t="shared" si="10"/>
        <v>-5.4924593914913694E-2</v>
      </c>
      <c r="L36" s="8">
        <f t="shared" si="3"/>
        <v>5.4924593914913694E-2</v>
      </c>
      <c r="M36" s="121">
        <f t="shared" si="4"/>
        <v>29596886738155.891</v>
      </c>
      <c r="N36" s="121">
        <f t="shared" si="5"/>
        <v>-4123442.944546476</v>
      </c>
      <c r="O36" s="121">
        <f t="shared" si="6"/>
        <v>17002781716930.113</v>
      </c>
      <c r="P36"/>
    </row>
    <row r="37" spans="1:18" x14ac:dyDescent="0.2">
      <c r="A37" s="41">
        <v>43069</v>
      </c>
      <c r="B37" s="42">
        <f>Inputs!D58</f>
        <v>99942861.300000012</v>
      </c>
      <c r="C37" s="123">
        <v>30</v>
      </c>
      <c r="D37" s="123">
        <f t="shared" si="7"/>
        <v>1</v>
      </c>
      <c r="E37" s="120">
        <v>425.8</v>
      </c>
      <c r="F37" s="120">
        <v>0</v>
      </c>
      <c r="G37" s="147">
        <v>0</v>
      </c>
      <c r="H37" s="181">
        <v>5592.7</v>
      </c>
      <c r="I37" s="42">
        <f t="shared" si="8"/>
        <v>93951083.176843569</v>
      </c>
      <c r="J37" s="25">
        <f t="shared" si="9"/>
        <v>-5991778.1231564432</v>
      </c>
      <c r="K37" s="34">
        <f t="shared" si="10"/>
        <v>-5.995203704615612E-2</v>
      </c>
      <c r="L37" s="8">
        <f t="shared" si="3"/>
        <v>5.995203704615612E-2</v>
      </c>
      <c r="M37" s="121">
        <f t="shared" si="4"/>
        <v>35901405077136.148</v>
      </c>
      <c r="N37" s="121">
        <f t="shared" si="5"/>
        <v>-551476.04163965583</v>
      </c>
      <c r="O37" s="121">
        <f t="shared" si="6"/>
        <v>304125824502.5434</v>
      </c>
      <c r="P37"/>
    </row>
    <row r="38" spans="1:18" x14ac:dyDescent="0.2">
      <c r="A38" s="41">
        <v>43100</v>
      </c>
      <c r="B38" s="42">
        <f>Inputs!D59</f>
        <v>103823629.38</v>
      </c>
      <c r="C38" s="123">
        <v>31</v>
      </c>
      <c r="D38" s="123">
        <f t="shared" si="7"/>
        <v>0</v>
      </c>
      <c r="E38" s="120">
        <v>711.9</v>
      </c>
      <c r="F38" s="120">
        <v>0</v>
      </c>
      <c r="G38" s="147">
        <v>0</v>
      </c>
      <c r="H38" s="181">
        <v>5558.3</v>
      </c>
      <c r="I38" s="42">
        <f t="shared" si="8"/>
        <v>106959441.163789</v>
      </c>
      <c r="J38" s="25">
        <f t="shared" si="9"/>
        <v>3135811.7837890089</v>
      </c>
      <c r="K38" s="34">
        <f t="shared" si="10"/>
        <v>3.0203257221068348E-2</v>
      </c>
      <c r="L38" s="8">
        <f t="shared" si="3"/>
        <v>3.0203257221068348E-2</v>
      </c>
      <c r="M38" s="121">
        <f t="shared" si="4"/>
        <v>9833315543350.0059</v>
      </c>
      <c r="N38" s="121">
        <f t="shared" si="5"/>
        <v>9127589.9069454521</v>
      </c>
      <c r="O38" s="121">
        <f t="shared" si="6"/>
        <v>83312897509372.484</v>
      </c>
      <c r="P38"/>
    </row>
    <row r="39" spans="1:18" x14ac:dyDescent="0.2">
      <c r="A39" s="41">
        <v>43131</v>
      </c>
      <c r="B39" s="42">
        <f>Inputs!D60</f>
        <v>106825889.7814208</v>
      </c>
      <c r="C39" s="123">
        <v>31</v>
      </c>
      <c r="D39" s="123">
        <f t="shared" si="7"/>
        <v>0</v>
      </c>
      <c r="E39" s="120">
        <v>732.30000000000007</v>
      </c>
      <c r="F39" s="120">
        <v>0</v>
      </c>
      <c r="G39" s="147">
        <v>0</v>
      </c>
      <c r="H39" s="181">
        <v>5482.6</v>
      </c>
      <c r="I39" s="42">
        <f t="shared" si="8"/>
        <v>106738554.07255647</v>
      </c>
      <c r="J39" s="25">
        <f t="shared" si="9"/>
        <v>-87335.708864331245</v>
      </c>
      <c r="K39" s="34">
        <f t="shared" si="10"/>
        <v>-8.1755189723231971E-4</v>
      </c>
      <c r="L39" s="8">
        <f t="shared" si="3"/>
        <v>8.1755189723231971E-4</v>
      </c>
      <c r="M39" s="121">
        <f t="shared" si="4"/>
        <v>7627526042.835227</v>
      </c>
      <c r="N39" s="121">
        <f t="shared" si="5"/>
        <v>-3223147.4926533401</v>
      </c>
      <c r="O39" s="121">
        <f t="shared" si="6"/>
        <v>10388679759397.514</v>
      </c>
      <c r="P39"/>
    </row>
    <row r="40" spans="1:18" x14ac:dyDescent="0.2">
      <c r="A40" s="41">
        <v>43159</v>
      </c>
      <c r="B40" s="42">
        <f>Inputs!D61</f>
        <v>92714687.858999997</v>
      </c>
      <c r="C40" s="123">
        <v>28</v>
      </c>
      <c r="D40" s="123">
        <f t="shared" si="7"/>
        <v>0</v>
      </c>
      <c r="E40" s="120">
        <v>552.4</v>
      </c>
      <c r="F40" s="120">
        <v>0</v>
      </c>
      <c r="G40" s="147">
        <v>0</v>
      </c>
      <c r="H40" s="181">
        <v>5470.7</v>
      </c>
      <c r="I40" s="42">
        <f t="shared" si="8"/>
        <v>94536774.242951035</v>
      </c>
      <c r="J40" s="25">
        <f t="shared" si="9"/>
        <v>1822086.3839510381</v>
      </c>
      <c r="K40" s="34">
        <f t="shared" si="10"/>
        <v>1.9652618436488266E-2</v>
      </c>
      <c r="L40" s="8">
        <f t="shared" si="3"/>
        <v>1.9652618436488266E-2</v>
      </c>
      <c r="M40" s="121">
        <f t="shared" si="4"/>
        <v>3319998790579.77</v>
      </c>
      <c r="N40" s="121">
        <f t="shared" si="5"/>
        <v>1909422.0928153694</v>
      </c>
      <c r="O40" s="121">
        <f t="shared" si="6"/>
        <v>3645892728531.4248</v>
      </c>
      <c r="P40"/>
    </row>
    <row r="41" spans="1:18" x14ac:dyDescent="0.2">
      <c r="A41" s="41">
        <v>43190</v>
      </c>
      <c r="B41" s="42">
        <f>Inputs!D62</f>
        <v>100762780.59100001</v>
      </c>
      <c r="C41" s="123">
        <v>31</v>
      </c>
      <c r="D41" s="123">
        <f t="shared" si="7"/>
        <v>1</v>
      </c>
      <c r="E41" s="120">
        <v>570.69999999999993</v>
      </c>
      <c r="F41" s="120">
        <v>0</v>
      </c>
      <c r="G41" s="147">
        <v>0</v>
      </c>
      <c r="H41" s="181">
        <v>5512.9</v>
      </c>
      <c r="I41" s="42">
        <f t="shared" si="8"/>
        <v>99132464.98475875</v>
      </c>
      <c r="J41" s="25">
        <f t="shared" si="9"/>
        <v>-1630315.606241256</v>
      </c>
      <c r="K41" s="34">
        <f t="shared" si="10"/>
        <v>-1.6179740144912927E-2</v>
      </c>
      <c r="L41" s="8">
        <f t="shared" si="3"/>
        <v>1.6179740144912927E-2</v>
      </c>
      <c r="M41" s="121">
        <f t="shared" si="4"/>
        <v>2657928975953.7939</v>
      </c>
      <c r="N41" s="121">
        <f t="shared" si="5"/>
        <v>-3452401.9901922941</v>
      </c>
      <c r="O41" s="121">
        <f t="shared" si="6"/>
        <v>11919079501883.713</v>
      </c>
      <c r="P41"/>
    </row>
    <row r="42" spans="1:18" x14ac:dyDescent="0.2">
      <c r="A42" s="41">
        <v>43220</v>
      </c>
      <c r="B42" s="42">
        <f>Inputs!D63</f>
        <v>93453119.36999999</v>
      </c>
      <c r="C42" s="123">
        <v>30</v>
      </c>
      <c r="D42" s="123">
        <f t="shared" si="7"/>
        <v>1</v>
      </c>
      <c r="E42" s="120">
        <v>426.7</v>
      </c>
      <c r="F42" s="120">
        <v>0</v>
      </c>
      <c r="G42" s="147">
        <v>0</v>
      </c>
      <c r="H42" s="181">
        <v>5609.4</v>
      </c>
      <c r="I42" s="42">
        <f t="shared" si="8"/>
        <v>94117464.129254654</v>
      </c>
      <c r="J42" s="25">
        <f t="shared" si="9"/>
        <v>664344.75925466418</v>
      </c>
      <c r="K42" s="34">
        <f t="shared" si="10"/>
        <v>7.1088559026519765E-3</v>
      </c>
      <c r="L42" s="8">
        <f t="shared" si="3"/>
        <v>7.1088559026519765E-3</v>
      </c>
      <c r="M42" s="121">
        <f t="shared" si="4"/>
        <v>441353959149.1377</v>
      </c>
      <c r="N42" s="121">
        <f t="shared" si="5"/>
        <v>2294660.3654959202</v>
      </c>
      <c r="O42" s="121">
        <f t="shared" si="6"/>
        <v>5265466192977.8701</v>
      </c>
      <c r="P42"/>
    </row>
    <row r="43" spans="1:18" x14ac:dyDescent="0.2">
      <c r="A43" s="41">
        <v>43251</v>
      </c>
      <c r="B43" s="42">
        <f>Inputs!D64</f>
        <v>97499887.127999991</v>
      </c>
      <c r="C43" s="123">
        <v>31</v>
      </c>
      <c r="D43" s="123">
        <f t="shared" si="7"/>
        <v>1</v>
      </c>
      <c r="E43" s="120">
        <v>78.099999999999994</v>
      </c>
      <c r="F43" s="120">
        <v>39.6</v>
      </c>
      <c r="G43" s="147">
        <v>0</v>
      </c>
      <c r="H43" s="181">
        <v>5792.8</v>
      </c>
      <c r="I43" s="42">
        <f t="shared" si="8"/>
        <v>100713600.16909631</v>
      </c>
      <c r="J43" s="25">
        <f t="shared" si="9"/>
        <v>3213713.0410963148</v>
      </c>
      <c r="K43" s="34">
        <f t="shared" si="10"/>
        <v>3.2961197553770312E-2</v>
      </c>
      <c r="L43" s="8">
        <f t="shared" si="3"/>
        <v>3.2961197553770312E-2</v>
      </c>
      <c r="M43" s="121">
        <f t="shared" si="4"/>
        <v>10327951510512.523</v>
      </c>
      <c r="N43" s="121">
        <f t="shared" si="5"/>
        <v>2549368.2818416506</v>
      </c>
      <c r="O43" s="121">
        <f t="shared" si="6"/>
        <v>6499278636460.25</v>
      </c>
      <c r="P43"/>
    </row>
    <row r="44" spans="1:18" x14ac:dyDescent="0.2">
      <c r="A44" s="41">
        <v>43281</v>
      </c>
      <c r="B44" s="42">
        <f>Inputs!D65</f>
        <v>104943076.84800002</v>
      </c>
      <c r="C44" s="123">
        <v>30</v>
      </c>
      <c r="D44" s="123">
        <f t="shared" si="7"/>
        <v>0</v>
      </c>
      <c r="E44" s="120">
        <v>15.399999999999997</v>
      </c>
      <c r="F44" s="120">
        <v>64.399999999999991</v>
      </c>
      <c r="G44" s="147">
        <v>0</v>
      </c>
      <c r="H44" s="181">
        <v>5873.1</v>
      </c>
      <c r="I44" s="42">
        <f t="shared" si="8"/>
        <v>107849648.76577893</v>
      </c>
      <c r="J44" s="25">
        <f t="shared" si="9"/>
        <v>2906571.9177789092</v>
      </c>
      <c r="K44" s="34">
        <f t="shared" si="10"/>
        <v>2.7696652366966522E-2</v>
      </c>
      <c r="L44" s="8">
        <f t="shared" si="3"/>
        <v>2.7696652366966522E-2</v>
      </c>
      <c r="M44" s="121">
        <f t="shared" si="4"/>
        <v>8448160313220.9658</v>
      </c>
      <c r="N44" s="121">
        <f t="shared" si="5"/>
        <v>-307141.12331740558</v>
      </c>
      <c r="O44" s="121">
        <f t="shared" si="6"/>
        <v>94335669632.67775</v>
      </c>
      <c r="P44"/>
    </row>
    <row r="45" spans="1:18" x14ac:dyDescent="0.2">
      <c r="A45" s="41">
        <v>43312</v>
      </c>
      <c r="B45" s="42">
        <f>Inputs!D66</f>
        <v>122641656.529</v>
      </c>
      <c r="C45" s="123">
        <v>31</v>
      </c>
      <c r="D45" s="123">
        <f t="shared" si="7"/>
        <v>0</v>
      </c>
      <c r="E45" s="120">
        <v>1.7999999999999998</v>
      </c>
      <c r="F45" s="120">
        <v>119.25000000000001</v>
      </c>
      <c r="G45" s="147">
        <v>0</v>
      </c>
      <c r="H45" s="181">
        <v>5920.5</v>
      </c>
      <c r="I45" s="42">
        <f t="shared" si="8"/>
        <v>124343038.04846027</v>
      </c>
      <c r="J45" s="25">
        <f t="shared" si="9"/>
        <v>1701381.5194602758</v>
      </c>
      <c r="K45" s="34">
        <f t="shared" si="10"/>
        <v>1.3872786519790401E-2</v>
      </c>
      <c r="L45" s="8">
        <f t="shared" si="3"/>
        <v>1.3872786519790401E-2</v>
      </c>
      <c r="M45" s="121">
        <f t="shared" si="4"/>
        <v>2894699074760.9565</v>
      </c>
      <c r="N45" s="121">
        <f t="shared" si="5"/>
        <v>-1205190.3983186334</v>
      </c>
      <c r="O45" s="121">
        <f t="shared" si="6"/>
        <v>1452483896199.4263</v>
      </c>
      <c r="P45"/>
    </row>
    <row r="46" spans="1:18" x14ac:dyDescent="0.2">
      <c r="A46" s="41">
        <v>43343</v>
      </c>
      <c r="B46" s="42">
        <f>Inputs!D67</f>
        <v>125626145.32900003</v>
      </c>
      <c r="C46" s="123">
        <v>31</v>
      </c>
      <c r="D46" s="123">
        <f t="shared" si="7"/>
        <v>0</v>
      </c>
      <c r="E46" s="120">
        <v>2</v>
      </c>
      <c r="F46" s="120">
        <v>120.90000000000002</v>
      </c>
      <c r="G46" s="147">
        <v>0</v>
      </c>
      <c r="H46" s="181">
        <v>5916.3</v>
      </c>
      <c r="I46" s="42">
        <f t="shared" si="8"/>
        <v>124721014.76981461</v>
      </c>
      <c r="J46" s="25">
        <f t="shared" si="9"/>
        <v>-905130.55918541551</v>
      </c>
      <c r="K46" s="34">
        <f t="shared" si="10"/>
        <v>-7.2049536887005931E-3</v>
      </c>
      <c r="L46" s="8">
        <f t="shared" si="3"/>
        <v>7.2049536887005931E-3</v>
      </c>
      <c r="M46" s="121">
        <f t="shared" si="4"/>
        <v>819261329171.30298</v>
      </c>
      <c r="N46" s="121">
        <f t="shared" si="5"/>
        <v>-2606512.0786456913</v>
      </c>
      <c r="O46" s="121">
        <f t="shared" si="6"/>
        <v>6793905216125.8818</v>
      </c>
      <c r="P46"/>
    </row>
    <row r="47" spans="1:18" x14ac:dyDescent="0.2">
      <c r="A47" s="41">
        <v>43373</v>
      </c>
      <c r="B47" s="42">
        <f>Inputs!D68</f>
        <v>108215469.03999999</v>
      </c>
      <c r="C47" s="123">
        <v>30</v>
      </c>
      <c r="D47" s="123">
        <f t="shared" si="7"/>
        <v>0</v>
      </c>
      <c r="E47" s="120">
        <v>52.199999999999996</v>
      </c>
      <c r="F47" s="120">
        <v>66.999999999999986</v>
      </c>
      <c r="G47" s="147">
        <v>0</v>
      </c>
      <c r="H47" s="181">
        <v>5716</v>
      </c>
      <c r="I47" s="42">
        <f t="shared" si="8"/>
        <v>107917535.3084096</v>
      </c>
      <c r="J47" s="25">
        <f t="shared" si="9"/>
        <v>-297933.73159039021</v>
      </c>
      <c r="K47" s="34">
        <f t="shared" si="10"/>
        <v>-2.7531528924045427E-3</v>
      </c>
      <c r="L47" s="8">
        <f t="shared" si="3"/>
        <v>2.7531528924045427E-3</v>
      </c>
      <c r="M47" s="121">
        <f t="shared" si="4"/>
        <v>88764508419.37468</v>
      </c>
      <c r="N47" s="121">
        <f t="shared" si="5"/>
        <v>607196.8275950253</v>
      </c>
      <c r="O47" s="121">
        <f t="shared" si="6"/>
        <v>368687987441.46289</v>
      </c>
      <c r="P47"/>
    </row>
    <row r="48" spans="1:18" x14ac:dyDescent="0.2">
      <c r="A48" s="41">
        <v>43404</v>
      </c>
      <c r="B48" s="42">
        <f>Inputs!D69</f>
        <v>98748100.769000039</v>
      </c>
      <c r="C48" s="123">
        <v>31</v>
      </c>
      <c r="D48" s="123">
        <f t="shared" si="7"/>
        <v>1</v>
      </c>
      <c r="E48" s="120">
        <v>261</v>
      </c>
      <c r="F48" s="120">
        <v>14.3</v>
      </c>
      <c r="G48" s="147">
        <v>0</v>
      </c>
      <c r="H48" s="181">
        <v>5741.5</v>
      </c>
      <c r="I48" s="42">
        <f t="shared" si="8"/>
        <v>97952506.463929772</v>
      </c>
      <c r="J48" s="25">
        <f t="shared" si="9"/>
        <v>-795594.30507026613</v>
      </c>
      <c r="K48" s="34">
        <f t="shared" si="10"/>
        <v>-8.0568061448734896E-3</v>
      </c>
      <c r="L48" s="8">
        <f t="shared" si="3"/>
        <v>8.0568061448734896E-3</v>
      </c>
      <c r="M48" s="121">
        <f t="shared" si="4"/>
        <v>632970298260.23975</v>
      </c>
      <c r="N48" s="121">
        <f t="shared" si="5"/>
        <v>-497660.57347987592</v>
      </c>
      <c r="O48" s="121">
        <f t="shared" si="6"/>
        <v>247666046396.31897</v>
      </c>
      <c r="P48"/>
    </row>
    <row r="49" spans="1:16" x14ac:dyDescent="0.2">
      <c r="A49" s="41">
        <v>43434</v>
      </c>
      <c r="B49" s="42">
        <f>Inputs!D70</f>
        <v>99742440.160000011</v>
      </c>
      <c r="C49" s="123">
        <v>30</v>
      </c>
      <c r="D49" s="123">
        <f t="shared" si="7"/>
        <v>1</v>
      </c>
      <c r="E49" s="120">
        <v>487.2999999999999</v>
      </c>
      <c r="F49" s="120">
        <v>0</v>
      </c>
      <c r="G49" s="147">
        <v>0</v>
      </c>
      <c r="H49" s="181">
        <v>5717.2</v>
      </c>
      <c r="I49" s="42">
        <f t="shared" si="8"/>
        <v>96385117.318506852</v>
      </c>
      <c r="J49" s="25">
        <f t="shared" si="9"/>
        <v>-3357322.8414931595</v>
      </c>
      <c r="K49" s="34">
        <f t="shared" si="10"/>
        <v>-3.3659922858389785E-2</v>
      </c>
      <c r="L49" s="8">
        <f t="shared" si="3"/>
        <v>3.3659922858389785E-2</v>
      </c>
      <c r="M49" s="121">
        <f t="shared" si="4"/>
        <v>11271616662011.703</v>
      </c>
      <c r="N49" s="121">
        <f t="shared" si="5"/>
        <v>-2561728.5364228934</v>
      </c>
      <c r="O49" s="121">
        <f t="shared" si="6"/>
        <v>6562453094323.3799</v>
      </c>
      <c r="P49"/>
    </row>
    <row r="50" spans="1:16" x14ac:dyDescent="0.2">
      <c r="A50" s="41">
        <v>43465</v>
      </c>
      <c r="B50" s="42">
        <f>Inputs!D71</f>
        <v>98928053.012999997</v>
      </c>
      <c r="C50" s="123">
        <v>31</v>
      </c>
      <c r="D50" s="123">
        <f t="shared" si="7"/>
        <v>0</v>
      </c>
      <c r="E50" s="120">
        <v>535</v>
      </c>
      <c r="F50" s="120">
        <v>0</v>
      </c>
      <c r="G50" s="147">
        <v>0</v>
      </c>
      <c r="H50" s="181">
        <v>5676.7</v>
      </c>
      <c r="I50" s="42">
        <f t="shared" si="8"/>
        <v>104146145.64200148</v>
      </c>
      <c r="J50" s="25">
        <f t="shared" si="9"/>
        <v>5218092.6290014833</v>
      </c>
      <c r="K50" s="34">
        <f t="shared" si="10"/>
        <v>5.2746339082563175E-2</v>
      </c>
      <c r="L50" s="8">
        <f t="shared" si="3"/>
        <v>5.2746339082563175E-2</v>
      </c>
      <c r="M50" s="121">
        <f t="shared" si="4"/>
        <v>27228490684839.613</v>
      </c>
      <c r="N50" s="121">
        <f t="shared" si="5"/>
        <v>8575415.4704946429</v>
      </c>
      <c r="O50" s="121">
        <f t="shared" si="6"/>
        <v>73537750491598.859</v>
      </c>
      <c r="P50"/>
    </row>
    <row r="51" spans="1:16" x14ac:dyDescent="0.2">
      <c r="A51" s="41">
        <v>43496</v>
      </c>
      <c r="B51" s="42">
        <f>Inputs!D72</f>
        <v>107530191.59399998</v>
      </c>
      <c r="C51" s="123">
        <v>31</v>
      </c>
      <c r="D51" s="123">
        <f t="shared" si="7"/>
        <v>0</v>
      </c>
      <c r="E51" s="120">
        <v>727</v>
      </c>
      <c r="F51" s="120">
        <v>0</v>
      </c>
      <c r="G51" s="147">
        <v>0</v>
      </c>
      <c r="H51" s="181">
        <v>5602.5</v>
      </c>
      <c r="I51" s="42">
        <f t="shared" si="8"/>
        <v>107676872.83898211</v>
      </c>
      <c r="J51" s="25">
        <f t="shared" si="9"/>
        <v>146681.24498212337</v>
      </c>
      <c r="K51" s="34">
        <f t="shared" si="10"/>
        <v>1.3640935890446974E-3</v>
      </c>
      <c r="L51" s="8">
        <f t="shared" si="3"/>
        <v>1.3640935890446974E-3</v>
      </c>
      <c r="M51" s="121">
        <f t="shared" si="4"/>
        <v>21515387629.505695</v>
      </c>
      <c r="N51" s="121">
        <f t="shared" si="5"/>
        <v>-5071411.3840193599</v>
      </c>
      <c r="O51" s="121">
        <f t="shared" si="6"/>
        <v>25719213425961.16</v>
      </c>
      <c r="P51"/>
    </row>
    <row r="52" spans="1:16" x14ac:dyDescent="0.2">
      <c r="A52" s="41">
        <v>43524</v>
      </c>
      <c r="B52" s="42">
        <f>Inputs!D73</f>
        <v>96871247.836999983</v>
      </c>
      <c r="C52" s="123">
        <v>28</v>
      </c>
      <c r="D52" s="123">
        <f t="shared" si="7"/>
        <v>0</v>
      </c>
      <c r="E52" s="120">
        <v>588.20000000000005</v>
      </c>
      <c r="F52" s="120">
        <v>0</v>
      </c>
      <c r="G52" s="147">
        <v>0</v>
      </c>
      <c r="H52" s="181">
        <v>5633.5</v>
      </c>
      <c r="I52" s="42">
        <f t="shared" si="8"/>
        <v>96747528.12080583</v>
      </c>
      <c r="J52" s="25">
        <f t="shared" si="9"/>
        <v>-123719.71619415283</v>
      </c>
      <c r="K52" s="34">
        <f t="shared" si="10"/>
        <v>-1.2771562146317069E-3</v>
      </c>
      <c r="L52" s="8">
        <f t="shared" si="3"/>
        <v>1.2771562146317069E-3</v>
      </c>
      <c r="M52" s="121">
        <f t="shared" si="4"/>
        <v>15306568175.161722</v>
      </c>
      <c r="N52" s="121">
        <f t="shared" si="5"/>
        <v>-270400.96117627621</v>
      </c>
      <c r="O52" s="121">
        <f t="shared" si="6"/>
        <v>73116679805.054031</v>
      </c>
      <c r="P52"/>
    </row>
    <row r="53" spans="1:16" x14ac:dyDescent="0.2">
      <c r="A53" s="41">
        <v>43555</v>
      </c>
      <c r="B53" s="42">
        <f>Inputs!D74</f>
        <v>101278430.30499999</v>
      </c>
      <c r="C53" s="123">
        <v>31</v>
      </c>
      <c r="D53" s="123">
        <f t="shared" si="7"/>
        <v>1</v>
      </c>
      <c r="E53" s="120">
        <v>570.30000000000007</v>
      </c>
      <c r="F53" s="120">
        <v>0</v>
      </c>
      <c r="G53" s="147">
        <v>0</v>
      </c>
      <c r="H53" s="181">
        <v>5656.3</v>
      </c>
      <c r="I53" s="42">
        <f t="shared" si="8"/>
        <v>100384071.79836458</v>
      </c>
      <c r="J53" s="25">
        <f t="shared" si="9"/>
        <v>-894358.50663541257</v>
      </c>
      <c r="K53" s="34">
        <f t="shared" si="10"/>
        <v>-8.8306908385334566E-3</v>
      </c>
      <c r="L53" s="8">
        <f t="shared" si="3"/>
        <v>8.8306908385334566E-3</v>
      </c>
      <c r="M53" s="121">
        <f t="shared" si="4"/>
        <v>799877138391.12537</v>
      </c>
      <c r="N53" s="121">
        <f t="shared" si="5"/>
        <v>-770638.79044125974</v>
      </c>
      <c r="O53" s="121">
        <f t="shared" si="6"/>
        <v>593884145332.76782</v>
      </c>
      <c r="P53"/>
    </row>
    <row r="54" spans="1:16" x14ac:dyDescent="0.2">
      <c r="A54" s="41">
        <v>43585</v>
      </c>
      <c r="B54" s="42">
        <f>Inputs!D75</f>
        <v>89051057.089999989</v>
      </c>
      <c r="C54" s="123">
        <v>30</v>
      </c>
      <c r="D54" s="123">
        <f t="shared" si="7"/>
        <v>1</v>
      </c>
      <c r="E54" s="120">
        <v>320.60000000000002</v>
      </c>
      <c r="F54" s="120">
        <v>0</v>
      </c>
      <c r="G54" s="147">
        <v>0</v>
      </c>
      <c r="H54" s="181">
        <v>5700.1</v>
      </c>
      <c r="I54" s="42">
        <f t="shared" si="8"/>
        <v>92603147.038380802</v>
      </c>
      <c r="J54" s="25">
        <f t="shared" si="9"/>
        <v>3552089.948380813</v>
      </c>
      <c r="K54" s="34">
        <f t="shared" si="10"/>
        <v>3.9888240122639668E-2</v>
      </c>
      <c r="L54" s="8">
        <f t="shared" si="3"/>
        <v>3.9888240122639668E-2</v>
      </c>
      <c r="M54" s="121">
        <f t="shared" si="4"/>
        <v>12617343001388.006</v>
      </c>
      <c r="N54" s="121">
        <f t="shared" si="5"/>
        <v>4446448.4550162256</v>
      </c>
      <c r="O54" s="121">
        <f t="shared" si="6"/>
        <v>19770903863116.18</v>
      </c>
      <c r="P54"/>
    </row>
    <row r="55" spans="1:16" x14ac:dyDescent="0.2">
      <c r="A55" s="41">
        <v>43616</v>
      </c>
      <c r="B55" s="42">
        <f>Inputs!D76</f>
        <v>91271581.115999982</v>
      </c>
      <c r="C55" s="123">
        <v>31</v>
      </c>
      <c r="D55" s="123">
        <f t="shared" si="7"/>
        <v>1</v>
      </c>
      <c r="E55" s="120">
        <v>166.49999999999997</v>
      </c>
      <c r="F55" s="120">
        <v>7.1</v>
      </c>
      <c r="G55" s="147">
        <v>0</v>
      </c>
      <c r="H55" s="181">
        <v>5916.2</v>
      </c>
      <c r="I55" s="42">
        <f t="shared" si="8"/>
        <v>95637751.613308519</v>
      </c>
      <c r="J55" s="25">
        <f t="shared" si="9"/>
        <v>4366170.4973085374</v>
      </c>
      <c r="K55" s="34">
        <f t="shared" si="10"/>
        <v>4.7837130067456934E-2</v>
      </c>
      <c r="L55" s="8">
        <f t="shared" si="3"/>
        <v>4.7837130067456934E-2</v>
      </c>
      <c r="M55" s="121">
        <f t="shared" si="4"/>
        <v>19063444811567.48</v>
      </c>
      <c r="N55" s="121">
        <f t="shared" si="5"/>
        <v>814080.54892772436</v>
      </c>
      <c r="O55" s="121">
        <f t="shared" si="6"/>
        <v>662727140142.46497</v>
      </c>
      <c r="P55"/>
    </row>
    <row r="56" spans="1:16" x14ac:dyDescent="0.2">
      <c r="A56" s="41">
        <v>43646</v>
      </c>
      <c r="B56" s="42">
        <f>Inputs!D77</f>
        <v>97440947.072999999</v>
      </c>
      <c r="C56" s="123">
        <v>30</v>
      </c>
      <c r="D56" s="123">
        <f t="shared" si="7"/>
        <v>0</v>
      </c>
      <c r="E56" s="120">
        <v>38.699999999999996</v>
      </c>
      <c r="F56" s="120">
        <v>40.100000000000009</v>
      </c>
      <c r="G56" s="147">
        <v>0</v>
      </c>
      <c r="H56" s="181">
        <v>5940.7</v>
      </c>
      <c r="I56" s="42">
        <f t="shared" si="8"/>
        <v>102905354.79207855</v>
      </c>
      <c r="J56" s="25">
        <f t="shared" si="9"/>
        <v>5464407.7190785557</v>
      </c>
      <c r="K56" s="34">
        <f t="shared" si="10"/>
        <v>5.6079172906486389E-2</v>
      </c>
      <c r="L56" s="8">
        <f t="shared" si="3"/>
        <v>5.6079172906486389E-2</v>
      </c>
      <c r="M56" s="121">
        <f t="shared" si="4"/>
        <v>29859751720325.305</v>
      </c>
      <c r="N56" s="121">
        <f t="shared" si="5"/>
        <v>1098237.2217700183</v>
      </c>
      <c r="O56" s="121">
        <f t="shared" si="6"/>
        <v>1206124995281.1284</v>
      </c>
      <c r="P56"/>
    </row>
    <row r="57" spans="1:16" x14ac:dyDescent="0.2">
      <c r="A57" s="41">
        <v>43677</v>
      </c>
      <c r="B57" s="42">
        <f>Inputs!D78</f>
        <v>124803907.67999999</v>
      </c>
      <c r="C57" s="123">
        <v>31</v>
      </c>
      <c r="D57" s="123">
        <f t="shared" si="7"/>
        <v>0</v>
      </c>
      <c r="E57" s="120">
        <v>0.6</v>
      </c>
      <c r="F57" s="120">
        <v>137.1</v>
      </c>
      <c r="G57" s="147">
        <v>0</v>
      </c>
      <c r="H57" s="181">
        <v>6015.2</v>
      </c>
      <c r="I57" s="42">
        <f t="shared" si="8"/>
        <v>129590417.168688</v>
      </c>
      <c r="J57" s="25">
        <f t="shared" si="9"/>
        <v>4786509.488688007</v>
      </c>
      <c r="K57" s="34">
        <f t="shared" si="10"/>
        <v>3.8352240548114279E-2</v>
      </c>
      <c r="L57" s="8">
        <f t="shared" si="3"/>
        <v>3.8352240548114279E-2</v>
      </c>
      <c r="M57" s="121">
        <f t="shared" si="4"/>
        <v>22910673085300.328</v>
      </c>
      <c r="N57" s="121">
        <f t="shared" si="5"/>
        <v>-677898.23039054871</v>
      </c>
      <c r="O57" s="121">
        <f t="shared" si="6"/>
        <v>459546010766.63745</v>
      </c>
      <c r="P57"/>
    </row>
    <row r="58" spans="1:16" x14ac:dyDescent="0.2">
      <c r="A58" s="41">
        <v>43708</v>
      </c>
      <c r="B58" s="42">
        <f>Inputs!D79</f>
        <v>118125634.766</v>
      </c>
      <c r="C58" s="123">
        <v>31</v>
      </c>
      <c r="D58" s="123">
        <f t="shared" si="7"/>
        <v>0</v>
      </c>
      <c r="E58" s="120">
        <v>11</v>
      </c>
      <c r="F58" s="120">
        <v>73.3</v>
      </c>
      <c r="G58" s="147">
        <v>0</v>
      </c>
      <c r="H58" s="181">
        <v>6071.5</v>
      </c>
      <c r="I58" s="42">
        <f t="shared" si="8"/>
        <v>114437868.1572731</v>
      </c>
      <c r="J58" s="25">
        <f t="shared" si="9"/>
        <v>-3687766.6087269038</v>
      </c>
      <c r="K58" s="34">
        <f t="shared" si="10"/>
        <v>-3.1219020460987613E-2</v>
      </c>
      <c r="L58" s="8">
        <f t="shared" si="3"/>
        <v>3.1219020460987613E-2</v>
      </c>
      <c r="M58" s="121">
        <f t="shared" si="4"/>
        <v>13599622560441.129</v>
      </c>
      <c r="N58" s="121">
        <f t="shared" si="5"/>
        <v>-8474276.0974149108</v>
      </c>
      <c r="O58" s="121">
        <f t="shared" si="6"/>
        <v>71813355375217.688</v>
      </c>
      <c r="P58"/>
    </row>
    <row r="59" spans="1:16" x14ac:dyDescent="0.2">
      <c r="A59" s="41">
        <v>43738</v>
      </c>
      <c r="B59" s="42">
        <f>Inputs!D80</f>
        <v>103269140.34899999</v>
      </c>
      <c r="C59" s="123">
        <v>30</v>
      </c>
      <c r="D59" s="123">
        <f t="shared" si="7"/>
        <v>0</v>
      </c>
      <c r="E59" s="120">
        <v>34.499999999999993</v>
      </c>
      <c r="F59" s="120">
        <v>42.599999999999994</v>
      </c>
      <c r="G59" s="147">
        <v>0</v>
      </c>
      <c r="H59" s="181">
        <v>5885.2</v>
      </c>
      <c r="I59" s="42">
        <f t="shared" si="8"/>
        <v>102948092.86376783</v>
      </c>
      <c r="J59" s="25">
        <f t="shared" si="9"/>
        <v>-321047.4852321595</v>
      </c>
      <c r="K59" s="34">
        <f t="shared" si="10"/>
        <v>-3.108842430053872E-3</v>
      </c>
      <c r="L59" s="8">
        <f t="shared" si="3"/>
        <v>3.108842430053872E-3</v>
      </c>
      <c r="M59" s="121">
        <f t="shared" si="4"/>
        <v>103071487773.89368</v>
      </c>
      <c r="N59" s="121">
        <f t="shared" si="5"/>
        <v>3366719.1234947443</v>
      </c>
      <c r="O59" s="121">
        <f t="shared" si="6"/>
        <v>11334797656505.219</v>
      </c>
      <c r="P59"/>
    </row>
    <row r="60" spans="1:16" x14ac:dyDescent="0.2">
      <c r="A60" s="41">
        <v>43769</v>
      </c>
      <c r="B60" s="42">
        <f>Inputs!D81</f>
        <v>95954535.86999999</v>
      </c>
      <c r="C60" s="123">
        <v>31</v>
      </c>
      <c r="D60" s="123">
        <f t="shared" si="7"/>
        <v>1</v>
      </c>
      <c r="E60" s="120">
        <v>219.8</v>
      </c>
      <c r="F60" s="120">
        <v>6.7</v>
      </c>
      <c r="G60" s="147">
        <v>0</v>
      </c>
      <c r="H60" s="181">
        <v>5850</v>
      </c>
      <c r="I60" s="42">
        <f t="shared" si="8"/>
        <v>96117585.976229906</v>
      </c>
      <c r="J60" s="25">
        <f t="shared" si="9"/>
        <v>163050.10622991621</v>
      </c>
      <c r="K60" s="34">
        <f t="shared" si="10"/>
        <v>1.6992433421888244E-3</v>
      </c>
      <c r="L60" s="8">
        <f t="shared" si="3"/>
        <v>1.6992433421888244E-3</v>
      </c>
      <c r="M60" s="121">
        <f t="shared" si="4"/>
        <v>26585337141.586964</v>
      </c>
      <c r="N60" s="121">
        <f t="shared" si="5"/>
        <v>484097.59146207571</v>
      </c>
      <c r="O60" s="121">
        <f t="shared" si="6"/>
        <v>234350478059.38275</v>
      </c>
      <c r="P60"/>
    </row>
    <row r="61" spans="1:16" x14ac:dyDescent="0.2">
      <c r="A61" s="41">
        <v>43799</v>
      </c>
      <c r="B61" s="42">
        <f>Inputs!D82</f>
        <v>99106544.030000001</v>
      </c>
      <c r="C61" s="123">
        <v>30</v>
      </c>
      <c r="D61" s="123">
        <f t="shared" si="7"/>
        <v>1</v>
      </c>
      <c r="E61" s="120">
        <v>499.6</v>
      </c>
      <c r="F61" s="120">
        <v>0</v>
      </c>
      <c r="G61" s="147">
        <v>0</v>
      </c>
      <c r="H61" s="181">
        <v>5854.3</v>
      </c>
      <c r="I61" s="42">
        <f t="shared" si="8"/>
        <v>97858033.128584936</v>
      </c>
      <c r="J61" s="25">
        <f t="shared" si="9"/>
        <v>-1248510.9014150649</v>
      </c>
      <c r="K61" s="34">
        <f t="shared" si="10"/>
        <v>-1.2597663591590228E-2</v>
      </c>
      <c r="L61" s="8">
        <f t="shared" si="3"/>
        <v>1.2597663591590228E-2</v>
      </c>
      <c r="M61" s="121">
        <f t="shared" si="4"/>
        <v>1558779470952.2581</v>
      </c>
      <c r="N61" s="121">
        <f t="shared" si="5"/>
        <v>-1411561.0076449811</v>
      </c>
      <c r="O61" s="121">
        <f t="shared" si="6"/>
        <v>1992504478303.7146</v>
      </c>
      <c r="P61"/>
    </row>
    <row r="62" spans="1:16" x14ac:dyDescent="0.2">
      <c r="A62" s="41">
        <v>43830</v>
      </c>
      <c r="B62" s="42">
        <f>Inputs!D83</f>
        <v>99618091.980000004</v>
      </c>
      <c r="C62" s="123">
        <v>31</v>
      </c>
      <c r="D62" s="123">
        <f t="shared" si="7"/>
        <v>0</v>
      </c>
      <c r="E62" s="120">
        <v>527.30000000000018</v>
      </c>
      <c r="F62" s="120">
        <v>0</v>
      </c>
      <c r="G62" s="147">
        <v>0</v>
      </c>
      <c r="H62" s="181">
        <v>5870.2</v>
      </c>
      <c r="I62" s="42">
        <f t="shared" si="8"/>
        <v>105679038.02769744</v>
      </c>
      <c r="J62" s="25">
        <f t="shared" si="9"/>
        <v>6060946.0476974398</v>
      </c>
      <c r="K62" s="34">
        <f t="shared" si="10"/>
        <v>6.0841820268092227E-2</v>
      </c>
      <c r="L62" s="8">
        <f t="shared" si="3"/>
        <v>6.0841820268092227E-2</v>
      </c>
      <c r="M62" s="121">
        <f t="shared" si="4"/>
        <v>36735066993099.219</v>
      </c>
      <c r="N62" s="121">
        <f t="shared" si="5"/>
        <v>7309456.9491125047</v>
      </c>
      <c r="O62" s="121">
        <f t="shared" si="6"/>
        <v>53428160890929.086</v>
      </c>
      <c r="P62"/>
    </row>
    <row r="63" spans="1:16" x14ac:dyDescent="0.2">
      <c r="A63" s="41">
        <v>43861</v>
      </c>
      <c r="B63" s="42">
        <f>Inputs!D84</f>
        <v>101627798.58</v>
      </c>
      <c r="C63" s="123">
        <v>31</v>
      </c>
      <c r="D63" s="123">
        <f t="shared" si="7"/>
        <v>0</v>
      </c>
      <c r="E63" s="120">
        <v>559.4</v>
      </c>
      <c r="F63" s="120">
        <v>0</v>
      </c>
      <c r="G63" s="147">
        <v>0</v>
      </c>
      <c r="H63" s="181">
        <v>5775.1</v>
      </c>
      <c r="I63" s="42">
        <f t="shared" si="8"/>
        <v>105542540.26805153</v>
      </c>
      <c r="J63" s="25">
        <f t="shared" si="9"/>
        <v>3914741.6880515367</v>
      </c>
      <c r="K63" s="34">
        <f t="shared" si="10"/>
        <v>3.8520382638908647E-2</v>
      </c>
      <c r="L63" s="8">
        <f t="shared" si="3"/>
        <v>3.8520382638908647E-2</v>
      </c>
      <c r="M63" s="121">
        <f t="shared" si="4"/>
        <v>15325202484168.596</v>
      </c>
      <c r="N63" s="121">
        <f t="shared" si="5"/>
        <v>-2146204.3596459031</v>
      </c>
      <c r="O63" s="121">
        <f t="shared" si="6"/>
        <v>4606193153363.0811</v>
      </c>
      <c r="P63"/>
    </row>
    <row r="64" spans="1:16" x14ac:dyDescent="0.2">
      <c r="A64" s="41">
        <v>43890</v>
      </c>
      <c r="B64" s="42">
        <f>Inputs!D85</f>
        <v>96316557.670000002</v>
      </c>
      <c r="C64" s="123">
        <v>29</v>
      </c>
      <c r="D64" s="123">
        <f t="shared" si="7"/>
        <v>0</v>
      </c>
      <c r="E64" s="120">
        <v>582.30000000000007</v>
      </c>
      <c r="F64" s="120">
        <v>0</v>
      </c>
      <c r="G64" s="147">
        <v>0</v>
      </c>
      <c r="H64" s="181">
        <v>5789.5</v>
      </c>
      <c r="I64" s="42">
        <f t="shared" si="8"/>
        <v>100716032.92344686</v>
      </c>
      <c r="J64" s="25">
        <f t="shared" si="9"/>
        <v>4399475.2534468621</v>
      </c>
      <c r="K64" s="34">
        <f t="shared" si="10"/>
        <v>4.5677247608042156E-2</v>
      </c>
      <c r="L64" s="8">
        <f t="shared" si="3"/>
        <v>4.5677247608042156E-2</v>
      </c>
      <c r="M64" s="121">
        <f t="shared" si="4"/>
        <v>19355382505691.332</v>
      </c>
      <c r="N64" s="121">
        <f t="shared" si="5"/>
        <v>484733.56539532542</v>
      </c>
      <c r="O64" s="121">
        <f t="shared" si="6"/>
        <v>234966629420.86423</v>
      </c>
      <c r="P64"/>
    </row>
    <row r="65" spans="1:16" x14ac:dyDescent="0.2">
      <c r="A65" s="41">
        <v>43921</v>
      </c>
      <c r="B65" s="42">
        <f>Inputs!D86</f>
        <v>93201085.260000005</v>
      </c>
      <c r="C65" s="123">
        <v>31</v>
      </c>
      <c r="D65" s="123">
        <f t="shared" si="7"/>
        <v>1</v>
      </c>
      <c r="E65" s="120">
        <v>443.20000000000005</v>
      </c>
      <c r="F65" s="120">
        <v>0</v>
      </c>
      <c r="G65" s="148">
        <v>0.5</v>
      </c>
      <c r="H65" s="181">
        <v>5541.4</v>
      </c>
      <c r="I65" s="42">
        <f t="shared" si="8"/>
        <v>90912141.828864068</v>
      </c>
      <c r="J65" s="25">
        <f t="shared" si="9"/>
        <v>-2288943.4311359376</v>
      </c>
      <c r="K65" s="34">
        <f t="shared" si="10"/>
        <v>-2.4559192897277402E-2</v>
      </c>
      <c r="L65" s="8">
        <f t="shared" si="3"/>
        <v>2.4559192897277402E-2</v>
      </c>
      <c r="M65" s="121">
        <f t="shared" si="4"/>
        <v>5239262030940.3584</v>
      </c>
      <c r="N65" s="121">
        <f t="shared" si="5"/>
        <v>-6688418.6845827997</v>
      </c>
      <c r="O65" s="121">
        <f t="shared" si="6"/>
        <v>44734944500276.305</v>
      </c>
    </row>
    <row r="66" spans="1:16" x14ac:dyDescent="0.2">
      <c r="A66" s="41">
        <v>43951</v>
      </c>
      <c r="B66" s="42">
        <f>Inputs!D87</f>
        <v>75481979.349999994</v>
      </c>
      <c r="C66" s="123">
        <v>30</v>
      </c>
      <c r="D66" s="123">
        <f t="shared" si="7"/>
        <v>1</v>
      </c>
      <c r="E66" s="120">
        <v>382.1</v>
      </c>
      <c r="F66" s="120">
        <v>0</v>
      </c>
      <c r="G66" s="147">
        <v>1</v>
      </c>
      <c r="H66" s="181">
        <v>5136.7</v>
      </c>
      <c r="I66" s="42">
        <f t="shared" si="8"/>
        <v>77605081.196426153</v>
      </c>
      <c r="J66" s="25">
        <f t="shared" si="9"/>
        <v>2123101.8464261591</v>
      </c>
      <c r="K66" s="34">
        <f t="shared" si="10"/>
        <v>2.812726778906546E-2</v>
      </c>
      <c r="L66" s="8">
        <f t="shared" si="3"/>
        <v>2.812726778906546E-2</v>
      </c>
      <c r="M66" s="121">
        <f t="shared" si="4"/>
        <v>4507561450298.166</v>
      </c>
      <c r="N66" s="121">
        <f t="shared" si="5"/>
        <v>4412045.2775620967</v>
      </c>
      <c r="O66" s="121">
        <f t="shared" si="6"/>
        <v>19466143531258</v>
      </c>
    </row>
    <row r="67" spans="1:16" x14ac:dyDescent="0.2">
      <c r="A67" s="41">
        <v>43982</v>
      </c>
      <c r="B67" s="42">
        <f>Inputs!D88</f>
        <v>82850237.760000005</v>
      </c>
      <c r="C67" s="123">
        <v>31</v>
      </c>
      <c r="D67" s="123">
        <f t="shared" si="7"/>
        <v>1</v>
      </c>
      <c r="E67" s="120">
        <v>195.30000000000004</v>
      </c>
      <c r="F67" s="120">
        <v>25.5</v>
      </c>
      <c r="G67" s="147">
        <v>1</v>
      </c>
      <c r="H67" s="181">
        <v>5243.1</v>
      </c>
      <c r="I67" s="42">
        <f t="shared" ref="I67:I98" si="11">$R$18+$R$19*C67+$R$20*D67+$R$21*E67+$R$22*F67+$R$23*G67+$R$24*H67</f>
        <v>83541217.730680585</v>
      </c>
      <c r="J67" s="25">
        <f t="shared" ref="J67:J98" si="12">I67-B67</f>
        <v>690979.97068057954</v>
      </c>
      <c r="K67" s="34">
        <f t="shared" ref="K67:K98" si="13">J67/B67</f>
        <v>8.3401084820324302E-3</v>
      </c>
      <c r="L67" s="8">
        <f t="shared" ref="L67:L121" si="14">ABS(K67)</f>
        <v>8.3401084820324302E-3</v>
      </c>
      <c r="M67" s="121">
        <f t="shared" si="4"/>
        <v>477453319881.73456</v>
      </c>
      <c r="N67" s="121">
        <f t="shared" si="5"/>
        <v>-1432121.8757455796</v>
      </c>
      <c r="O67" s="121">
        <f t="shared" si="6"/>
        <v>2050973066989.0374</v>
      </c>
    </row>
    <row r="68" spans="1:16" x14ac:dyDescent="0.2">
      <c r="A68" s="41">
        <v>44012</v>
      </c>
      <c r="B68" s="42">
        <f>Inputs!D89</f>
        <v>107229138.54000001</v>
      </c>
      <c r="C68" s="123">
        <v>30</v>
      </c>
      <c r="D68" s="123">
        <f t="shared" si="7"/>
        <v>0</v>
      </c>
      <c r="E68" s="120">
        <v>24.099999999999998</v>
      </c>
      <c r="F68" s="120">
        <v>81.399999999999977</v>
      </c>
      <c r="G68" s="148">
        <v>0.5</v>
      </c>
      <c r="H68" s="181">
        <v>5567.5</v>
      </c>
      <c r="I68" s="42">
        <f t="shared" si="11"/>
        <v>103889918.33692232</v>
      </c>
      <c r="J68" s="25">
        <f t="shared" si="12"/>
        <v>-3339220.2030776888</v>
      </c>
      <c r="K68" s="34">
        <f t="shared" si="13"/>
        <v>-3.114097761619198E-2</v>
      </c>
      <c r="L68" s="8">
        <f t="shared" si="14"/>
        <v>3.114097761619198E-2</v>
      </c>
      <c r="M68" s="121">
        <f t="shared" ref="M68:M122" si="15">J68*J68</f>
        <v>11150391564642.201</v>
      </c>
      <c r="N68" s="121">
        <f t="shared" si="5"/>
        <v>-4030200.1737582684</v>
      </c>
      <c r="O68" s="121">
        <f t="shared" si="6"/>
        <v>16242513440561.176</v>
      </c>
    </row>
    <row r="69" spans="1:16" x14ac:dyDescent="0.2">
      <c r="A69" s="41">
        <v>44043</v>
      </c>
      <c r="B69" s="42">
        <f>Inputs!D90</f>
        <v>132467120.21000001</v>
      </c>
      <c r="C69" s="123">
        <v>31</v>
      </c>
      <c r="D69" s="123">
        <f t="shared" si="7"/>
        <v>0</v>
      </c>
      <c r="E69" s="120">
        <v>0</v>
      </c>
      <c r="F69" s="120">
        <v>164.29999999999998</v>
      </c>
      <c r="G69" s="147">
        <v>0</v>
      </c>
      <c r="H69" s="181">
        <v>5606.5</v>
      </c>
      <c r="I69" s="42">
        <f t="shared" si="11"/>
        <v>132752912.81117669</v>
      </c>
      <c r="J69" s="25">
        <f t="shared" si="12"/>
        <v>285792.60117667913</v>
      </c>
      <c r="K69" s="34">
        <f t="shared" si="13"/>
        <v>2.1574606643792993E-3</v>
      </c>
      <c r="L69" s="8">
        <f t="shared" si="14"/>
        <v>2.1574606643792993E-3</v>
      </c>
      <c r="M69" s="121">
        <f t="shared" si="15"/>
        <v>81677410887.332382</v>
      </c>
      <c r="N69" s="121">
        <f t="shared" ref="N69:N122" si="16">J69-J68</f>
        <v>3625012.8042543679</v>
      </c>
      <c r="O69" s="121">
        <f t="shared" ref="O69:O122" si="17">N69*N69</f>
        <v>13140717831008.117</v>
      </c>
    </row>
    <row r="70" spans="1:16" x14ac:dyDescent="0.2">
      <c r="A70" s="41">
        <v>44074</v>
      </c>
      <c r="B70" s="42">
        <f>Inputs!D91</f>
        <v>122122854.4431349</v>
      </c>
      <c r="C70" s="123">
        <v>31</v>
      </c>
      <c r="D70" s="123">
        <f t="shared" si="7"/>
        <v>0</v>
      </c>
      <c r="E70" s="120">
        <v>5</v>
      </c>
      <c r="F70" s="120">
        <v>87.300000000000011</v>
      </c>
      <c r="G70" s="147">
        <v>0</v>
      </c>
      <c r="H70" s="181">
        <v>5723.3</v>
      </c>
      <c r="I70" s="42">
        <f t="shared" si="11"/>
        <v>114730184.32838871</v>
      </c>
      <c r="J70" s="25">
        <f t="shared" si="12"/>
        <v>-7392670.1147461981</v>
      </c>
      <c r="K70" s="34">
        <f t="shared" si="13"/>
        <v>-6.0534698017466582E-2</v>
      </c>
      <c r="L70" s="8">
        <f t="shared" si="14"/>
        <v>6.0534698017466582E-2</v>
      </c>
      <c r="M70" s="121">
        <f t="shared" si="15"/>
        <v>54651571425461.563</v>
      </c>
      <c r="N70" s="121">
        <f t="shared" si="16"/>
        <v>-7678462.7159228772</v>
      </c>
      <c r="O70" s="121">
        <f t="shared" si="17"/>
        <v>58958789679817.727</v>
      </c>
    </row>
    <row r="71" spans="1:16" x14ac:dyDescent="0.2">
      <c r="A71" s="41">
        <v>44104</v>
      </c>
      <c r="B71" s="42">
        <f>Inputs!D92</f>
        <v>100618417.11999999</v>
      </c>
      <c r="C71" s="123">
        <v>30</v>
      </c>
      <c r="D71" s="123">
        <f t="shared" si="7"/>
        <v>0</v>
      </c>
      <c r="E71" s="120">
        <v>78.099999999999994</v>
      </c>
      <c r="F71" s="120">
        <v>20.2</v>
      </c>
      <c r="G71" s="147">
        <v>0</v>
      </c>
      <c r="H71" s="181">
        <v>5742.7</v>
      </c>
      <c r="I71" s="42">
        <f t="shared" si="11"/>
        <v>97072246.449231207</v>
      </c>
      <c r="J71" s="25">
        <f t="shared" si="12"/>
        <v>-3546170.6707687825</v>
      </c>
      <c r="K71" s="34">
        <f t="shared" si="13"/>
        <v>-3.5243753303528247E-2</v>
      </c>
      <c r="L71" s="8">
        <f t="shared" si="14"/>
        <v>3.5243753303528247E-2</v>
      </c>
      <c r="M71" s="121">
        <f t="shared" si="15"/>
        <v>12575326426220.717</v>
      </c>
      <c r="N71" s="121">
        <f t="shared" si="16"/>
        <v>3846499.4439774156</v>
      </c>
      <c r="O71" s="121">
        <f t="shared" si="17"/>
        <v>14795557972518.566</v>
      </c>
    </row>
    <row r="72" spans="1:16" x14ac:dyDescent="0.2">
      <c r="A72" s="41">
        <v>44135</v>
      </c>
      <c r="B72" s="42">
        <f>Inputs!D93</f>
        <v>96511344.889999986</v>
      </c>
      <c r="C72" s="123">
        <v>31</v>
      </c>
      <c r="D72" s="123">
        <f t="shared" si="7"/>
        <v>1</v>
      </c>
      <c r="E72" s="120">
        <v>257.70000000000005</v>
      </c>
      <c r="F72" s="120">
        <v>0</v>
      </c>
      <c r="G72" s="147">
        <v>0</v>
      </c>
      <c r="H72" s="181">
        <v>5732.2</v>
      </c>
      <c r="I72" s="42">
        <f t="shared" si="11"/>
        <v>94240926.787735775</v>
      </c>
      <c r="J72" s="25">
        <f t="shared" si="12"/>
        <v>-2270418.1022642106</v>
      </c>
      <c r="K72" s="34">
        <f t="shared" si="13"/>
        <v>-2.3524883057550881E-2</v>
      </c>
      <c r="L72" s="8">
        <f t="shared" si="14"/>
        <v>2.3524883057550881E-2</v>
      </c>
      <c r="M72" s="121">
        <f t="shared" si="15"/>
        <v>5154798359089.0195</v>
      </c>
      <c r="N72" s="121">
        <f t="shared" si="16"/>
        <v>1275752.5685045719</v>
      </c>
      <c r="O72" s="121">
        <f t="shared" si="17"/>
        <v>1627544616046.0125</v>
      </c>
    </row>
    <row r="73" spans="1:16" x14ac:dyDescent="0.2">
      <c r="A73" s="41">
        <v>44165</v>
      </c>
      <c r="B73" s="42">
        <f>Inputs!D94</f>
        <v>97157709.070000008</v>
      </c>
      <c r="C73" s="123">
        <v>30</v>
      </c>
      <c r="D73" s="123">
        <f t="shared" si="7"/>
        <v>1</v>
      </c>
      <c r="E73" s="120">
        <v>338.69999999999993</v>
      </c>
      <c r="F73" s="120">
        <v>1.3</v>
      </c>
      <c r="G73" s="147">
        <v>0</v>
      </c>
      <c r="H73" s="181">
        <v>5788.3</v>
      </c>
      <c r="I73" s="42">
        <f t="shared" si="11"/>
        <v>94096095.346097738</v>
      </c>
      <c r="J73" s="25">
        <f t="shared" si="12"/>
        <v>-3061613.7239022702</v>
      </c>
      <c r="K73" s="34">
        <f t="shared" si="13"/>
        <v>-3.1511794104742058E-2</v>
      </c>
      <c r="L73" s="8">
        <f t="shared" si="14"/>
        <v>3.1511794104742058E-2</v>
      </c>
      <c r="M73" s="121">
        <f t="shared" si="15"/>
        <v>9373478594386.7266</v>
      </c>
      <c r="N73" s="121">
        <f t="shared" si="16"/>
        <v>-791195.62163805962</v>
      </c>
      <c r="O73" s="121">
        <f t="shared" si="17"/>
        <v>625990511699.2356</v>
      </c>
    </row>
    <row r="74" spans="1:16" x14ac:dyDescent="0.2">
      <c r="A74" s="41">
        <v>44196</v>
      </c>
      <c r="B74" s="42">
        <f>Inputs!D95</f>
        <v>102432434.14000002</v>
      </c>
      <c r="C74" s="123">
        <v>31</v>
      </c>
      <c r="D74" s="123">
        <f t="shared" si="7"/>
        <v>0</v>
      </c>
      <c r="E74" s="120">
        <v>548.29999999999995</v>
      </c>
      <c r="F74" s="120">
        <v>0</v>
      </c>
      <c r="G74" s="147">
        <v>0</v>
      </c>
      <c r="H74" s="181">
        <v>5752.7</v>
      </c>
      <c r="I74" s="42">
        <f t="shared" si="11"/>
        <v>105103848.43919776</v>
      </c>
      <c r="J74" s="25">
        <f t="shared" si="12"/>
        <v>2671414.2991977483</v>
      </c>
      <c r="K74" s="34">
        <f t="shared" si="13"/>
        <v>2.6079769768495204E-2</v>
      </c>
      <c r="L74" s="8">
        <f t="shared" si="14"/>
        <v>2.6079769768495204E-2</v>
      </c>
      <c r="M74" s="121">
        <f t="shared" si="15"/>
        <v>7136454357958.1963</v>
      </c>
      <c r="N74" s="121">
        <f t="shared" si="16"/>
        <v>5733028.0231000185</v>
      </c>
      <c r="O74" s="121">
        <f t="shared" si="17"/>
        <v>32867610313650.105</v>
      </c>
    </row>
    <row r="75" spans="1:16" x14ac:dyDescent="0.2">
      <c r="A75" s="41">
        <v>44227</v>
      </c>
      <c r="B75" s="42">
        <f>Inputs!D96</f>
        <v>104046184.96943997</v>
      </c>
      <c r="C75" s="123">
        <v>31</v>
      </c>
      <c r="D75" s="123">
        <f t="shared" si="7"/>
        <v>0</v>
      </c>
      <c r="E75" s="120">
        <v>619.60000000000014</v>
      </c>
      <c r="F75" s="120">
        <v>0</v>
      </c>
      <c r="G75" s="147">
        <v>0</v>
      </c>
      <c r="H75" s="181">
        <v>5630.1</v>
      </c>
      <c r="I75" s="42">
        <f t="shared" si="11"/>
        <v>105579657.85943416</v>
      </c>
      <c r="J75" s="25">
        <f t="shared" si="12"/>
        <v>1533472.8899941891</v>
      </c>
      <c r="K75" s="34">
        <f t="shared" si="13"/>
        <v>1.4738386519838231E-2</v>
      </c>
      <c r="L75" s="8">
        <f t="shared" si="14"/>
        <v>1.4738386519838231E-2</v>
      </c>
      <c r="M75" s="121">
        <f t="shared" si="15"/>
        <v>2351539104347.1304</v>
      </c>
      <c r="N75" s="121">
        <f t="shared" si="16"/>
        <v>-1137941.4092035592</v>
      </c>
      <c r="O75" s="121">
        <f t="shared" si="17"/>
        <v>1294910650780.1821</v>
      </c>
      <c r="P75" s="35"/>
    </row>
    <row r="76" spans="1:16" x14ac:dyDescent="0.2">
      <c r="A76" s="41">
        <v>44255</v>
      </c>
      <c r="B76" s="42">
        <f>Inputs!D97</f>
        <v>97687812.67583999</v>
      </c>
      <c r="C76" s="123">
        <v>28</v>
      </c>
      <c r="D76" s="123">
        <f t="shared" si="7"/>
        <v>0</v>
      </c>
      <c r="E76" s="120">
        <v>677.30000000000018</v>
      </c>
      <c r="F76" s="120">
        <v>0</v>
      </c>
      <c r="G76" s="147">
        <v>0</v>
      </c>
      <c r="H76" s="181">
        <v>5690.4</v>
      </c>
      <c r="I76" s="42">
        <f t="shared" si="11"/>
        <v>99188722.102387577</v>
      </c>
      <c r="J76" s="25">
        <f t="shared" si="12"/>
        <v>1500909.4265475869</v>
      </c>
      <c r="K76" s="34">
        <f t="shared" si="13"/>
        <v>1.5364346743314786E-2</v>
      </c>
      <c r="L76" s="8">
        <f t="shared" si="14"/>
        <v>1.5364346743314786E-2</v>
      </c>
      <c r="M76" s="121">
        <f t="shared" si="15"/>
        <v>2252729106699.4063</v>
      </c>
      <c r="N76" s="121">
        <f t="shared" si="16"/>
        <v>-32563.463446602225</v>
      </c>
      <c r="O76" s="121">
        <f t="shared" si="17"/>
        <v>1060379151.6381993</v>
      </c>
    </row>
    <row r="77" spans="1:16" x14ac:dyDescent="0.2">
      <c r="A77" s="41">
        <v>44286</v>
      </c>
      <c r="B77" s="42">
        <f>Inputs!D98</f>
        <v>98587575.805620015</v>
      </c>
      <c r="C77" s="123">
        <v>31</v>
      </c>
      <c r="D77" s="123">
        <f t="shared" si="7"/>
        <v>1</v>
      </c>
      <c r="E77" s="120">
        <v>430.3</v>
      </c>
      <c r="F77" s="120">
        <v>0</v>
      </c>
      <c r="G77" s="147">
        <v>0</v>
      </c>
      <c r="H77" s="181">
        <v>5776.3</v>
      </c>
      <c r="I77" s="42">
        <f t="shared" si="11"/>
        <v>98388731.818922698</v>
      </c>
      <c r="J77" s="25">
        <f t="shared" si="12"/>
        <v>-198843.98669731617</v>
      </c>
      <c r="K77" s="34">
        <f t="shared" si="13"/>
        <v>-2.0169274380918596E-3</v>
      </c>
      <c r="L77" s="8">
        <f t="shared" si="14"/>
        <v>2.0169274380918596E-3</v>
      </c>
      <c r="M77" s="121">
        <f t="shared" si="15"/>
        <v>39538931045.682449</v>
      </c>
      <c r="N77" s="121">
        <f t="shared" si="16"/>
        <v>-1699753.4132449031</v>
      </c>
      <c r="O77" s="121">
        <f t="shared" si="17"/>
        <v>2889161665837.6982</v>
      </c>
    </row>
    <row r="78" spans="1:16" x14ac:dyDescent="0.2">
      <c r="A78" s="41">
        <v>44316</v>
      </c>
      <c r="B78" s="42">
        <f>Inputs!D99</f>
        <v>88565909.468879998</v>
      </c>
      <c r="C78" s="123">
        <v>30</v>
      </c>
      <c r="D78" s="123">
        <f t="shared" si="7"/>
        <v>1</v>
      </c>
      <c r="E78" s="120">
        <v>302.2999999999999</v>
      </c>
      <c r="F78" s="120">
        <v>0</v>
      </c>
      <c r="G78" s="147">
        <v>0</v>
      </c>
      <c r="H78" s="181">
        <v>5726.7</v>
      </c>
      <c r="I78" s="42">
        <f t="shared" si="11"/>
        <v>92438251.619353443</v>
      </c>
      <c r="J78" s="25">
        <f t="shared" si="12"/>
        <v>3872342.1504734457</v>
      </c>
      <c r="K78" s="34">
        <f t="shared" si="13"/>
        <v>4.3722716490977795E-2</v>
      </c>
      <c r="L78" s="8">
        <f t="shared" si="14"/>
        <v>4.3722716490977795E-2</v>
      </c>
      <c r="M78" s="121">
        <f t="shared" si="15"/>
        <v>14995033730333.311</v>
      </c>
      <c r="N78" s="121">
        <f t="shared" si="16"/>
        <v>4071186.1371707618</v>
      </c>
      <c r="O78" s="121">
        <f t="shared" si="17"/>
        <v>16574556563491.389</v>
      </c>
    </row>
    <row r="79" spans="1:16" x14ac:dyDescent="0.2">
      <c r="A79" s="41">
        <v>44347</v>
      </c>
      <c r="B79" s="42">
        <f>Inputs!D100</f>
        <v>93367567.454999998</v>
      </c>
      <c r="C79" s="123">
        <v>31</v>
      </c>
      <c r="D79" s="123">
        <f t="shared" si="7"/>
        <v>1</v>
      </c>
      <c r="E79" s="120">
        <v>181.79999999999998</v>
      </c>
      <c r="F79" s="120">
        <v>27.4</v>
      </c>
      <c r="G79" s="147">
        <v>0</v>
      </c>
      <c r="H79" s="181">
        <v>5833.8</v>
      </c>
      <c r="I79" s="42">
        <f t="shared" si="11"/>
        <v>100297668.82649717</v>
      </c>
      <c r="J79" s="25">
        <f t="shared" si="12"/>
        <v>6930101.3714971691</v>
      </c>
      <c r="K79" s="34">
        <f t="shared" si="13"/>
        <v>7.4223861244293879E-2</v>
      </c>
      <c r="L79" s="8">
        <f t="shared" si="14"/>
        <v>7.4223861244293879E-2</v>
      </c>
      <c r="M79" s="121">
        <f t="shared" si="15"/>
        <v>48026305019226.945</v>
      </c>
      <c r="N79" s="121">
        <f t="shared" si="16"/>
        <v>3057759.2210237235</v>
      </c>
      <c r="O79" s="121">
        <f t="shared" si="17"/>
        <v>9349891453755.6074</v>
      </c>
    </row>
    <row r="80" spans="1:16" x14ac:dyDescent="0.2">
      <c r="A80" s="41">
        <v>44377</v>
      </c>
      <c r="B80" s="42">
        <f>Inputs!D101</f>
        <v>113508662.69369999</v>
      </c>
      <c r="C80" s="123">
        <v>30</v>
      </c>
      <c r="D80" s="123">
        <f t="shared" ref="D80:D143" si="18">D68</f>
        <v>0</v>
      </c>
      <c r="E80" s="120">
        <v>23.1</v>
      </c>
      <c r="F80" s="120">
        <v>103.9</v>
      </c>
      <c r="G80" s="147">
        <v>0</v>
      </c>
      <c r="H80" s="181">
        <v>5956.6</v>
      </c>
      <c r="I80" s="42">
        <f t="shared" si="11"/>
        <v>118579172.99277714</v>
      </c>
      <c r="J80" s="25">
        <f t="shared" si="12"/>
        <v>5070510.2990771532</v>
      </c>
      <c r="K80" s="34">
        <f t="shared" si="13"/>
        <v>4.467069013719055E-2</v>
      </c>
      <c r="L80" s="8">
        <f t="shared" si="14"/>
        <v>4.467069013719055E-2</v>
      </c>
      <c r="M80" s="121">
        <f t="shared" si="15"/>
        <v>25710074693047.48</v>
      </c>
      <c r="N80" s="121">
        <f t="shared" si="16"/>
        <v>-1859591.0724200159</v>
      </c>
      <c r="O80" s="121">
        <f t="shared" si="17"/>
        <v>3458078956624.2251</v>
      </c>
    </row>
    <row r="81" spans="1:16" x14ac:dyDescent="0.2">
      <c r="A81" s="41">
        <v>44408</v>
      </c>
      <c r="B81" s="42">
        <f>Inputs!D102</f>
        <v>117927718.07169999</v>
      </c>
      <c r="C81" s="123">
        <v>31</v>
      </c>
      <c r="D81" s="123">
        <f t="shared" si="18"/>
        <v>0</v>
      </c>
      <c r="E81" s="120">
        <v>11.6</v>
      </c>
      <c r="F81" s="120">
        <v>92.500000000000028</v>
      </c>
      <c r="G81" s="147">
        <v>0</v>
      </c>
      <c r="H81" s="181">
        <v>6020.8</v>
      </c>
      <c r="I81" s="42">
        <f t="shared" si="11"/>
        <v>118782453.21222571</v>
      </c>
      <c r="J81" s="25">
        <f t="shared" si="12"/>
        <v>854735.14052571356</v>
      </c>
      <c r="K81" s="34">
        <f t="shared" si="13"/>
        <v>7.2479579398461273E-3</v>
      </c>
      <c r="L81" s="8">
        <f t="shared" si="14"/>
        <v>7.2479579398461273E-3</v>
      </c>
      <c r="M81" s="121">
        <f t="shared" si="15"/>
        <v>730572160449.51135</v>
      </c>
      <c r="N81" s="121">
        <f t="shared" si="16"/>
        <v>-4215775.1585514396</v>
      </c>
      <c r="O81" s="121">
        <f t="shared" si="17"/>
        <v>17772760187459.418</v>
      </c>
      <c r="P81"/>
    </row>
    <row r="82" spans="1:16" x14ac:dyDescent="0.2">
      <c r="A82" s="41">
        <v>44439</v>
      </c>
      <c r="B82" s="42">
        <f>Inputs!D103</f>
        <v>130508463.65386</v>
      </c>
      <c r="C82" s="123">
        <v>31</v>
      </c>
      <c r="D82" s="123">
        <f t="shared" si="18"/>
        <v>0</v>
      </c>
      <c r="E82" s="120">
        <v>4.5999999999999996</v>
      </c>
      <c r="F82" s="120">
        <v>128.99999999999997</v>
      </c>
      <c r="G82" s="147">
        <v>0</v>
      </c>
      <c r="H82" s="181">
        <v>5993.8</v>
      </c>
      <c r="I82" s="42">
        <f t="shared" si="11"/>
        <v>127474136.11878487</v>
      </c>
      <c r="J82" s="25">
        <f t="shared" si="12"/>
        <v>-3034327.5350751281</v>
      </c>
      <c r="K82" s="34">
        <f t="shared" si="13"/>
        <v>-2.325004409769851E-2</v>
      </c>
      <c r="L82" s="8">
        <f t="shared" si="14"/>
        <v>2.325004409769851E-2</v>
      </c>
      <c r="M82" s="121">
        <f t="shared" si="15"/>
        <v>9207143590115.1035</v>
      </c>
      <c r="N82" s="121">
        <f t="shared" si="16"/>
        <v>-3889062.6756008416</v>
      </c>
      <c r="O82" s="121">
        <f t="shared" si="17"/>
        <v>15124808494751.578</v>
      </c>
      <c r="P82"/>
    </row>
    <row r="83" spans="1:16" x14ac:dyDescent="0.2">
      <c r="A83" s="41">
        <v>44469</v>
      </c>
      <c r="B83" s="42">
        <f>Inputs!D104</f>
        <v>102665813.36771999</v>
      </c>
      <c r="C83" s="123">
        <v>30</v>
      </c>
      <c r="D83" s="123">
        <f t="shared" si="18"/>
        <v>0</v>
      </c>
      <c r="E83" s="120">
        <v>47.1</v>
      </c>
      <c r="F83" s="120">
        <v>31.000000000000004</v>
      </c>
      <c r="G83" s="147">
        <v>0</v>
      </c>
      <c r="H83" s="181">
        <v>5953.9</v>
      </c>
      <c r="I83" s="42">
        <f t="shared" si="11"/>
        <v>100940217.43635674</v>
      </c>
      <c r="J83" s="25">
        <f t="shared" si="12"/>
        <v>-1725595.9313632548</v>
      </c>
      <c r="K83" s="34">
        <f t="shared" si="13"/>
        <v>-1.6807892274545731E-2</v>
      </c>
      <c r="L83" s="8">
        <f t="shared" si="14"/>
        <v>1.6807892274545731E-2</v>
      </c>
      <c r="M83" s="121">
        <f t="shared" si="15"/>
        <v>2977681318337.4189</v>
      </c>
      <c r="N83" s="121">
        <f t="shared" si="16"/>
        <v>1308731.6037118733</v>
      </c>
      <c r="O83" s="121">
        <f t="shared" si="17"/>
        <v>1712778410554.2517</v>
      </c>
      <c r="P83"/>
    </row>
    <row r="84" spans="1:16" x14ac:dyDescent="0.2">
      <c r="A84" s="41">
        <v>44500</v>
      </c>
      <c r="B84" s="42">
        <f>Inputs!D105</f>
        <v>97643894.774719983</v>
      </c>
      <c r="C84" s="123">
        <v>31</v>
      </c>
      <c r="D84" s="123">
        <f t="shared" si="18"/>
        <v>1</v>
      </c>
      <c r="E84" s="120">
        <v>134.90000000000003</v>
      </c>
      <c r="F84" s="120">
        <v>19.599999999999998</v>
      </c>
      <c r="G84" s="147">
        <v>0</v>
      </c>
      <c r="H84" s="181">
        <v>5969.3</v>
      </c>
      <c r="I84" s="42">
        <f t="shared" si="11"/>
        <v>98526107.094111413</v>
      </c>
      <c r="J84" s="25">
        <f t="shared" si="12"/>
        <v>882212.31939142942</v>
      </c>
      <c r="K84" s="34">
        <f t="shared" si="13"/>
        <v>9.0349972358930754E-3</v>
      </c>
      <c r="L84" s="8">
        <f t="shared" si="14"/>
        <v>9.0349972358930754E-3</v>
      </c>
      <c r="M84" s="121">
        <f t="shared" si="15"/>
        <v>778298576486.00549</v>
      </c>
      <c r="N84" s="121">
        <f t="shared" si="16"/>
        <v>2607808.2507546842</v>
      </c>
      <c r="O84" s="121">
        <f t="shared" si="17"/>
        <v>6800663872704.2061</v>
      </c>
      <c r="P84"/>
    </row>
    <row r="85" spans="1:16" x14ac:dyDescent="0.2">
      <c r="A85" s="41">
        <v>44530</v>
      </c>
      <c r="B85" s="42">
        <f>Inputs!D106</f>
        <v>98863391.719999999</v>
      </c>
      <c r="C85" s="123">
        <v>30</v>
      </c>
      <c r="D85" s="123">
        <f t="shared" si="18"/>
        <v>1</v>
      </c>
      <c r="E85" s="120">
        <v>424.09999999999997</v>
      </c>
      <c r="F85" s="120">
        <v>0</v>
      </c>
      <c r="G85" s="147">
        <v>0</v>
      </c>
      <c r="H85" s="181">
        <v>6017.6</v>
      </c>
      <c r="I85" s="42">
        <f t="shared" si="11"/>
        <v>97648429.847849041</v>
      </c>
      <c r="J85" s="25">
        <f t="shared" si="12"/>
        <v>-1214961.8721509576</v>
      </c>
      <c r="K85" s="34">
        <f t="shared" si="13"/>
        <v>-1.2289299921976797E-2</v>
      </c>
      <c r="L85" s="8">
        <f t="shared" si="14"/>
        <v>1.2289299921976797E-2</v>
      </c>
      <c r="M85" s="121">
        <f t="shared" si="15"/>
        <v>1476132350780.5598</v>
      </c>
      <c r="N85" s="121">
        <f t="shared" si="16"/>
        <v>-2097174.191542387</v>
      </c>
      <c r="O85" s="121">
        <f t="shared" si="17"/>
        <v>4398139589671.4648</v>
      </c>
      <c r="P85"/>
    </row>
    <row r="86" spans="1:16" x14ac:dyDescent="0.2">
      <c r="A86" s="41">
        <v>44561</v>
      </c>
      <c r="B86" s="42">
        <f>Inputs!D107</f>
        <v>104617631.75</v>
      </c>
      <c r="C86" s="123">
        <v>31</v>
      </c>
      <c r="D86" s="123">
        <f t="shared" si="18"/>
        <v>0</v>
      </c>
      <c r="E86" s="120">
        <v>483.2999999999999</v>
      </c>
      <c r="F86" s="120">
        <v>0</v>
      </c>
      <c r="G86" s="147">
        <v>0</v>
      </c>
      <c r="H86" s="181">
        <v>6038.2</v>
      </c>
      <c r="I86" s="42">
        <f t="shared" si="11"/>
        <v>106196992.79065441</v>
      </c>
      <c r="J86" s="25">
        <f t="shared" si="12"/>
        <v>1579361.040654406</v>
      </c>
      <c r="K86" s="34">
        <f t="shared" si="13"/>
        <v>1.5096509204380895E-2</v>
      </c>
      <c r="L86" s="8">
        <f t="shared" si="14"/>
        <v>1.5096509204380895E-2</v>
      </c>
      <c r="M86" s="121">
        <f t="shared" si="15"/>
        <v>2494381296736.9683</v>
      </c>
      <c r="N86" s="121">
        <f t="shared" si="16"/>
        <v>2794322.9128053635</v>
      </c>
      <c r="O86" s="121">
        <f t="shared" si="17"/>
        <v>7808240541029.0518</v>
      </c>
      <c r="P86"/>
    </row>
    <row r="87" spans="1:16" x14ac:dyDescent="0.2">
      <c r="A87" s="41">
        <v>44592</v>
      </c>
      <c r="B87" s="42">
        <f>Inputs!D108</f>
        <v>115048969.70999999</v>
      </c>
      <c r="C87" s="123">
        <v>31</v>
      </c>
      <c r="D87" s="123">
        <f t="shared" si="18"/>
        <v>0</v>
      </c>
      <c r="E87" s="120">
        <v>778.30000000000007</v>
      </c>
      <c r="F87" s="120">
        <v>0</v>
      </c>
      <c r="G87" s="147">
        <v>0</v>
      </c>
      <c r="H87" s="181">
        <v>5921.5</v>
      </c>
      <c r="I87" s="42">
        <f t="shared" si="11"/>
        <v>111598123.89516023</v>
      </c>
      <c r="J87" s="25">
        <f t="shared" si="12"/>
        <v>-3450845.8148397654</v>
      </c>
      <c r="K87" s="34">
        <f t="shared" si="13"/>
        <v>-2.9994582511587844E-2</v>
      </c>
      <c r="L87" s="8">
        <f t="shared" si="14"/>
        <v>2.9994582511587844E-2</v>
      </c>
      <c r="M87" s="121">
        <f t="shared" si="15"/>
        <v>11908336837797.125</v>
      </c>
      <c r="N87" s="121">
        <f t="shared" si="16"/>
        <v>-5030206.8554941714</v>
      </c>
      <c r="O87" s="121">
        <f t="shared" si="17"/>
        <v>25302981009060.559</v>
      </c>
      <c r="P87"/>
    </row>
    <row r="88" spans="1:16" x14ac:dyDescent="0.2">
      <c r="A88" s="41">
        <v>44620</v>
      </c>
      <c r="B88" s="42">
        <f>Inputs!D109</f>
        <v>103279027.06999999</v>
      </c>
      <c r="C88" s="123">
        <v>28</v>
      </c>
      <c r="D88" s="123">
        <f t="shared" si="18"/>
        <v>0</v>
      </c>
      <c r="E88" s="120">
        <v>595.4000000000002</v>
      </c>
      <c r="F88" s="120">
        <v>0</v>
      </c>
      <c r="G88" s="147">
        <v>0</v>
      </c>
      <c r="H88" s="181">
        <v>6020.7</v>
      </c>
      <c r="I88" s="42">
        <f t="shared" si="11"/>
        <v>100307428.12664214</v>
      </c>
      <c r="J88" s="25">
        <f t="shared" si="12"/>
        <v>-2971598.9433578551</v>
      </c>
      <c r="K88" s="34">
        <f t="shared" si="13"/>
        <v>-2.8772530373894576E-2</v>
      </c>
      <c r="L88" s="8">
        <f t="shared" si="14"/>
        <v>2.8772530373894576E-2</v>
      </c>
      <c r="M88" s="121">
        <f t="shared" si="15"/>
        <v>8830400280165.5215</v>
      </c>
      <c r="N88" s="121">
        <f t="shared" si="16"/>
        <v>479246.87148191035</v>
      </c>
      <c r="O88" s="121">
        <f t="shared" si="17"/>
        <v>229677563825.1987</v>
      </c>
      <c r="P88"/>
    </row>
    <row r="89" spans="1:16" x14ac:dyDescent="0.2">
      <c r="A89" s="41">
        <v>44651</v>
      </c>
      <c r="B89" s="42">
        <f>Inputs!D110</f>
        <v>106094515.68000001</v>
      </c>
      <c r="C89" s="123">
        <v>31</v>
      </c>
      <c r="D89" s="123">
        <f t="shared" si="18"/>
        <v>1</v>
      </c>
      <c r="E89" s="120">
        <v>494.29999999999984</v>
      </c>
      <c r="F89" s="120">
        <v>0</v>
      </c>
      <c r="G89" s="147">
        <v>0</v>
      </c>
      <c r="H89" s="181">
        <v>6032.4</v>
      </c>
      <c r="I89" s="42">
        <f t="shared" si="11"/>
        <v>102033842.95564805</v>
      </c>
      <c r="J89" s="25">
        <f t="shared" si="12"/>
        <v>-4060672.7243519574</v>
      </c>
      <c r="K89" s="34">
        <f t="shared" si="13"/>
        <v>-3.827410586047323E-2</v>
      </c>
      <c r="L89" s="8">
        <f t="shared" si="14"/>
        <v>3.827410586047323E-2</v>
      </c>
      <c r="M89" s="121">
        <f t="shared" si="15"/>
        <v>16489062974295.947</v>
      </c>
      <c r="N89" s="121">
        <f t="shared" si="16"/>
        <v>-1089073.7809941024</v>
      </c>
      <c r="O89" s="121">
        <f t="shared" si="17"/>
        <v>1186081700448.79</v>
      </c>
      <c r="P89"/>
    </row>
    <row r="90" spans="1:16" x14ac:dyDescent="0.2">
      <c r="A90" s="41">
        <v>44681</v>
      </c>
      <c r="B90" s="42">
        <f>Inputs!D111</f>
        <v>93143888.519999996</v>
      </c>
      <c r="C90" s="123">
        <v>30</v>
      </c>
      <c r="D90" s="123">
        <f t="shared" si="18"/>
        <v>1</v>
      </c>
      <c r="E90" s="120">
        <v>361.5</v>
      </c>
      <c r="F90" s="120">
        <v>0</v>
      </c>
      <c r="G90" s="147">
        <v>0</v>
      </c>
      <c r="H90" s="181">
        <v>6064.7</v>
      </c>
      <c r="I90" s="42">
        <f t="shared" si="11"/>
        <v>96698598.08278361</v>
      </c>
      <c r="J90" s="25">
        <f t="shared" si="12"/>
        <v>3554709.5627836138</v>
      </c>
      <c r="K90" s="34">
        <f t="shared" si="13"/>
        <v>3.8163637134607506E-2</v>
      </c>
      <c r="L90" s="8">
        <f t="shared" si="14"/>
        <v>3.8163637134607506E-2</v>
      </c>
      <c r="M90" s="121">
        <f t="shared" si="15"/>
        <v>12635960075745.271</v>
      </c>
      <c r="N90" s="121">
        <f t="shared" si="16"/>
        <v>7615382.2871355712</v>
      </c>
      <c r="O90" s="121">
        <f t="shared" si="17"/>
        <v>57994047379218.203</v>
      </c>
      <c r="P90"/>
    </row>
    <row r="91" spans="1:16" x14ac:dyDescent="0.2">
      <c r="A91" s="41">
        <v>44712</v>
      </c>
      <c r="B91" s="42">
        <f>Inputs!D112</f>
        <v>97889856.38000001</v>
      </c>
      <c r="C91" s="123">
        <v>31</v>
      </c>
      <c r="D91" s="123">
        <f t="shared" si="18"/>
        <v>1</v>
      </c>
      <c r="E91" s="120">
        <v>120.50000000000001</v>
      </c>
      <c r="F91" s="120">
        <v>32.299999999999997</v>
      </c>
      <c r="G91" s="147">
        <v>0</v>
      </c>
      <c r="H91" s="181">
        <v>6279.6</v>
      </c>
      <c r="I91" s="42">
        <f t="shared" si="11"/>
        <v>104099430.8972657</v>
      </c>
      <c r="J91" s="25">
        <f t="shared" si="12"/>
        <v>6209574.5172656924</v>
      </c>
      <c r="K91" s="34">
        <f t="shared" si="13"/>
        <v>6.3434300007149447E-2</v>
      </c>
      <c r="L91" s="8">
        <f t="shared" si="14"/>
        <v>6.3434300007149447E-2</v>
      </c>
      <c r="M91" s="121">
        <f t="shared" si="15"/>
        <v>38558815685475.453</v>
      </c>
      <c r="N91" s="121">
        <f t="shared" si="16"/>
        <v>2654864.9544820786</v>
      </c>
      <c r="O91" s="121">
        <f t="shared" si="17"/>
        <v>7048307926537.1289</v>
      </c>
      <c r="P91"/>
    </row>
    <row r="92" spans="1:16" x14ac:dyDescent="0.2">
      <c r="A92" s="41">
        <v>44742</v>
      </c>
      <c r="B92" s="42">
        <f>Inputs!D113</f>
        <v>109702407.65000001</v>
      </c>
      <c r="C92" s="123">
        <v>30</v>
      </c>
      <c r="D92" s="123">
        <f t="shared" si="18"/>
        <v>0</v>
      </c>
      <c r="E92" s="120">
        <v>29.8</v>
      </c>
      <c r="F92" s="120">
        <v>66.800000000000011</v>
      </c>
      <c r="G92" s="147">
        <v>0</v>
      </c>
      <c r="H92" s="181">
        <v>6357.9</v>
      </c>
      <c r="I92" s="42">
        <f t="shared" si="11"/>
        <v>113021336.32690427</v>
      </c>
      <c r="J92" s="25">
        <f t="shared" si="12"/>
        <v>3318928.6769042611</v>
      </c>
      <c r="K92" s="34">
        <f t="shared" si="13"/>
        <v>3.0253927402333188E-2</v>
      </c>
      <c r="L92" s="8">
        <f t="shared" si="14"/>
        <v>3.0253927402333188E-2</v>
      </c>
      <c r="M92" s="121">
        <f t="shared" si="15"/>
        <v>11015287562377.469</v>
      </c>
      <c r="N92" s="121">
        <f t="shared" si="16"/>
        <v>-2890645.8403614312</v>
      </c>
      <c r="O92" s="121">
        <f t="shared" si="17"/>
        <v>8355833374398.8447</v>
      </c>
      <c r="P92"/>
    </row>
    <row r="93" spans="1:16" x14ac:dyDescent="0.2">
      <c r="A93" s="41">
        <v>44773</v>
      </c>
      <c r="B93" s="42">
        <f>Inputs!D114</f>
        <v>124312236.88</v>
      </c>
      <c r="C93" s="123">
        <v>31</v>
      </c>
      <c r="D93" s="123">
        <f t="shared" si="18"/>
        <v>0</v>
      </c>
      <c r="E93" s="120">
        <v>1.6</v>
      </c>
      <c r="F93" s="120">
        <v>109.80000000000003</v>
      </c>
      <c r="G93" s="147">
        <v>0</v>
      </c>
      <c r="H93" s="181">
        <v>6360.7</v>
      </c>
      <c r="I93" s="42">
        <f t="shared" si="11"/>
        <v>125856299.71849869</v>
      </c>
      <c r="J93" s="25">
        <f t="shared" si="12"/>
        <v>1544062.8384986967</v>
      </c>
      <c r="K93" s="34">
        <f t="shared" si="13"/>
        <v>1.2420843492577468E-2</v>
      </c>
      <c r="L93" s="8">
        <f t="shared" si="14"/>
        <v>1.2420843492577468E-2</v>
      </c>
      <c r="M93" s="121">
        <f t="shared" si="15"/>
        <v>2384130049232.6523</v>
      </c>
      <c r="N93" s="121">
        <f t="shared" si="16"/>
        <v>-1774865.8384055644</v>
      </c>
      <c r="O93" s="121">
        <f t="shared" si="17"/>
        <v>3150148744339.0869</v>
      </c>
      <c r="P93"/>
    </row>
    <row r="94" spans="1:16" x14ac:dyDescent="0.2">
      <c r="A94" s="41">
        <v>44804</v>
      </c>
      <c r="B94" s="42">
        <f>Inputs!D115</f>
        <v>126147600.72</v>
      </c>
      <c r="C94" s="123">
        <v>31</v>
      </c>
      <c r="D94" s="123">
        <f t="shared" si="18"/>
        <v>0</v>
      </c>
      <c r="E94" s="120">
        <v>6.3999999999999995</v>
      </c>
      <c r="F94" s="120">
        <v>97.55</v>
      </c>
      <c r="G94" s="147">
        <v>0</v>
      </c>
      <c r="H94" s="181">
        <v>6340.5</v>
      </c>
      <c r="I94" s="42">
        <f t="shared" si="11"/>
        <v>122735441.81318222</v>
      </c>
      <c r="J94" s="25">
        <f t="shared" si="12"/>
        <v>-3412158.9068177789</v>
      </c>
      <c r="K94" s="34">
        <f t="shared" si="13"/>
        <v>-2.704894018865632E-2</v>
      </c>
      <c r="L94" s="8">
        <f t="shared" si="14"/>
        <v>2.704894018865632E-2</v>
      </c>
      <c r="M94" s="121">
        <f t="shared" si="15"/>
        <v>11642828405375.9</v>
      </c>
      <c r="N94" s="121">
        <f t="shared" si="16"/>
        <v>-4956221.7453164756</v>
      </c>
      <c r="O94" s="121">
        <f t="shared" si="17"/>
        <v>24564133988747.891</v>
      </c>
      <c r="P94"/>
    </row>
    <row r="95" spans="1:16" x14ac:dyDescent="0.2">
      <c r="A95" s="41">
        <v>44834</v>
      </c>
      <c r="B95" s="42">
        <f>Inputs!D116</f>
        <v>108217059.48999999</v>
      </c>
      <c r="C95" s="123">
        <v>30</v>
      </c>
      <c r="D95" s="123">
        <f t="shared" si="18"/>
        <v>0</v>
      </c>
      <c r="E95" s="120">
        <v>59.600000000000009</v>
      </c>
      <c r="F95" s="120">
        <v>45.8</v>
      </c>
      <c r="G95" s="147">
        <v>0</v>
      </c>
      <c r="H95" s="181">
        <v>6190.8</v>
      </c>
      <c r="I95" s="42">
        <f t="shared" si="11"/>
        <v>106976971.96116012</v>
      </c>
      <c r="J95" s="25">
        <f t="shared" si="12"/>
        <v>-1240087.5288398713</v>
      </c>
      <c r="K95" s="34">
        <f t="shared" si="13"/>
        <v>-1.1459260995300504E-2</v>
      </c>
      <c r="L95" s="8">
        <f t="shared" si="14"/>
        <v>1.1459260995300504E-2</v>
      </c>
      <c r="M95" s="121">
        <f t="shared" si="15"/>
        <v>1537817079184.1787</v>
      </c>
      <c r="N95" s="121">
        <f t="shared" si="16"/>
        <v>2172071.3779779077</v>
      </c>
      <c r="O95" s="121">
        <f t="shared" si="17"/>
        <v>4717894071030.8467</v>
      </c>
      <c r="P95"/>
    </row>
    <row r="96" spans="1:16" x14ac:dyDescent="0.2">
      <c r="A96" s="41">
        <v>44865</v>
      </c>
      <c r="B96" s="42">
        <f>Inputs!D117</f>
        <v>98159215.599999994</v>
      </c>
      <c r="C96" s="123">
        <v>31</v>
      </c>
      <c r="D96" s="123">
        <f t="shared" si="18"/>
        <v>1</v>
      </c>
      <c r="E96" s="120">
        <v>215.15000000000006</v>
      </c>
      <c r="F96" s="120">
        <v>0.1</v>
      </c>
      <c r="G96" s="147">
        <v>0</v>
      </c>
      <c r="H96" s="181">
        <v>6157.8</v>
      </c>
      <c r="I96" s="42">
        <f t="shared" si="11"/>
        <v>97079359.416495204</v>
      </c>
      <c r="J96" s="25">
        <f t="shared" si="12"/>
        <v>-1079856.1835047901</v>
      </c>
      <c r="K96" s="34">
        <f t="shared" si="13"/>
        <v>-1.1001067774473842E-2</v>
      </c>
      <c r="L96" s="8">
        <f t="shared" si="14"/>
        <v>1.1001067774473842E-2</v>
      </c>
      <c r="M96" s="121">
        <f t="shared" si="15"/>
        <v>1166089377053.5308</v>
      </c>
      <c r="N96" s="121">
        <f t="shared" si="16"/>
        <v>160231.34533508122</v>
      </c>
      <c r="O96" s="121">
        <f t="shared" si="17"/>
        <v>25674084027.890053</v>
      </c>
      <c r="P96"/>
    </row>
    <row r="97" spans="1:16" x14ac:dyDescent="0.2">
      <c r="A97" s="41">
        <v>44895</v>
      </c>
      <c r="B97" s="42">
        <f>Inputs!D118</f>
        <v>101487092.63</v>
      </c>
      <c r="C97" s="123">
        <v>30</v>
      </c>
      <c r="D97" s="123">
        <f t="shared" si="18"/>
        <v>1</v>
      </c>
      <c r="E97" s="120">
        <v>381.79999999999995</v>
      </c>
      <c r="F97" s="120">
        <v>0.9</v>
      </c>
      <c r="G97" s="147">
        <v>0</v>
      </c>
      <c r="H97" s="181">
        <v>6209.9</v>
      </c>
      <c r="I97" s="42">
        <f t="shared" si="11"/>
        <v>98640916.359237492</v>
      </c>
      <c r="J97" s="25">
        <f t="shared" si="12"/>
        <v>-2846176.2707625031</v>
      </c>
      <c r="K97" s="34">
        <f t="shared" si="13"/>
        <v>-2.8044711864385029E-2</v>
      </c>
      <c r="L97" s="8">
        <f t="shared" si="14"/>
        <v>2.8044711864385029E-2</v>
      </c>
      <c r="M97" s="121">
        <f t="shared" si="15"/>
        <v>8100719364251.5498</v>
      </c>
      <c r="N97" s="121">
        <f t="shared" si="16"/>
        <v>-1766320.0872577131</v>
      </c>
      <c r="O97" s="121">
        <f t="shared" si="17"/>
        <v>3119886650650.0952</v>
      </c>
      <c r="P97"/>
    </row>
    <row r="98" spans="1:16" x14ac:dyDescent="0.2">
      <c r="A98" s="41">
        <v>44926</v>
      </c>
      <c r="B98" s="42">
        <f>Inputs!D119</f>
        <v>107898869.66999999</v>
      </c>
      <c r="C98" s="123">
        <v>31</v>
      </c>
      <c r="D98" s="123">
        <f t="shared" si="18"/>
        <v>0</v>
      </c>
      <c r="E98" s="120">
        <v>561.20000000000005</v>
      </c>
      <c r="F98" s="120">
        <v>0</v>
      </c>
      <c r="G98" s="147">
        <v>0</v>
      </c>
      <c r="H98" s="181">
        <v>6217.2</v>
      </c>
      <c r="I98" s="42">
        <f t="shared" si="11"/>
        <v>109467305.21065766</v>
      </c>
      <c r="J98" s="25">
        <f t="shared" si="12"/>
        <v>1568435.5406576693</v>
      </c>
      <c r="K98" s="34">
        <f t="shared" si="13"/>
        <v>1.4536162848179997E-2</v>
      </c>
      <c r="L98" s="8">
        <f t="shared" si="14"/>
        <v>1.4536162848179997E-2</v>
      </c>
      <c r="M98" s="121">
        <f t="shared" si="15"/>
        <v>2459990045198.1152</v>
      </c>
      <c r="N98" s="121">
        <f t="shared" si="16"/>
        <v>4414611.8114201725</v>
      </c>
      <c r="O98" s="121">
        <f t="shared" si="17"/>
        <v>19488797445530.496</v>
      </c>
      <c r="P98"/>
    </row>
    <row r="99" spans="1:16" x14ac:dyDescent="0.2">
      <c r="A99" s="41">
        <v>44957</v>
      </c>
      <c r="B99" s="42">
        <f>Inputs!D120</f>
        <v>109159973.71000001</v>
      </c>
      <c r="C99" s="123">
        <v>31</v>
      </c>
      <c r="D99" s="123">
        <f t="shared" si="18"/>
        <v>0</v>
      </c>
      <c r="E99" s="120">
        <v>551.29999999999984</v>
      </c>
      <c r="F99" s="120">
        <v>0</v>
      </c>
      <c r="G99" s="147">
        <v>0</v>
      </c>
      <c r="H99" s="181">
        <v>6192</v>
      </c>
      <c r="I99" s="42">
        <f t="shared" ref="I99:I130" si="19">$R$18+$R$19*C99+$R$20*D99+$R$21*E99+$R$22*F99+$R$23*G99+$R$24*H99</f>
        <v>109030147.47572793</v>
      </c>
      <c r="J99" s="25">
        <f t="shared" ref="J99:J122" si="20">I99-B99</f>
        <v>-129826.23427207768</v>
      </c>
      <c r="K99" s="34">
        <f t="shared" ref="K99:K122" si="21">J99/B99</f>
        <v>-1.1893208642297837E-3</v>
      </c>
      <c r="L99" s="8">
        <f t="shared" si="14"/>
        <v>1.1893208642297837E-3</v>
      </c>
      <c r="M99" s="121">
        <f t="shared" si="15"/>
        <v>16854851105.268396</v>
      </c>
      <c r="N99" s="121">
        <f t="shared" si="16"/>
        <v>-1698261.774929747</v>
      </c>
      <c r="O99" s="121">
        <f t="shared" si="17"/>
        <v>2884093056187.5347</v>
      </c>
      <c r="P99"/>
    </row>
    <row r="100" spans="1:16" x14ac:dyDescent="0.2">
      <c r="A100" s="41">
        <v>44985</v>
      </c>
      <c r="B100" s="42">
        <f>Inputs!D121</f>
        <v>98764635.64000003</v>
      </c>
      <c r="C100" s="123">
        <v>28</v>
      </c>
      <c r="D100" s="123">
        <f t="shared" si="18"/>
        <v>0</v>
      </c>
      <c r="E100" s="120">
        <v>508.99999999999994</v>
      </c>
      <c r="F100" s="120">
        <v>0</v>
      </c>
      <c r="G100" s="147">
        <v>0</v>
      </c>
      <c r="H100" s="181">
        <v>6251.1</v>
      </c>
      <c r="I100" s="42">
        <f t="shared" si="19"/>
        <v>100450092.24712446</v>
      </c>
      <c r="J100" s="25">
        <f t="shared" si="20"/>
        <v>1685456.6071244329</v>
      </c>
      <c r="K100" s="34">
        <f t="shared" si="21"/>
        <v>1.7065385764880169E-2</v>
      </c>
      <c r="L100" s="8">
        <f t="shared" si="14"/>
        <v>1.7065385764880169E-2</v>
      </c>
      <c r="M100" s="121">
        <f t="shared" si="15"/>
        <v>2840763974499.4048</v>
      </c>
      <c r="N100" s="121">
        <f t="shared" si="16"/>
        <v>1815282.8413965106</v>
      </c>
      <c r="O100" s="121">
        <f t="shared" si="17"/>
        <v>3295251794268.5889</v>
      </c>
      <c r="P100"/>
    </row>
    <row r="101" spans="1:16" x14ac:dyDescent="0.2">
      <c r="A101" s="41">
        <v>45016</v>
      </c>
      <c r="B101" s="42">
        <f>Inputs!D122</f>
        <v>105254657.88</v>
      </c>
      <c r="C101" s="123">
        <v>31</v>
      </c>
      <c r="D101" s="123">
        <f t="shared" si="18"/>
        <v>1</v>
      </c>
      <c r="E101" s="120">
        <v>503.7999999999999</v>
      </c>
      <c r="F101" s="120">
        <v>0</v>
      </c>
      <c r="G101" s="147">
        <v>0</v>
      </c>
      <c r="H101" s="181">
        <v>6235.6</v>
      </c>
      <c r="I101" s="42">
        <f t="shared" si="19"/>
        <v>104026701.71780562</v>
      </c>
      <c r="J101" s="25">
        <f t="shared" si="20"/>
        <v>-1227956.1621943712</v>
      </c>
      <c r="K101" s="34">
        <f t="shared" si="21"/>
        <v>-1.1666525614423206E-2</v>
      </c>
      <c r="L101" s="8">
        <f t="shared" si="14"/>
        <v>1.1666525614423206E-2</v>
      </c>
      <c r="M101" s="121">
        <f t="shared" si="15"/>
        <v>1507876336271.1289</v>
      </c>
      <c r="N101" s="121">
        <f t="shared" si="16"/>
        <v>-2913412.7693188041</v>
      </c>
      <c r="O101" s="121">
        <f t="shared" si="17"/>
        <v>8487973964429.8633</v>
      </c>
      <c r="P101"/>
    </row>
    <row r="102" spans="1:16" x14ac:dyDescent="0.2">
      <c r="A102" s="41">
        <v>45046</v>
      </c>
      <c r="B102" s="42">
        <f>Inputs!D123</f>
        <v>93768436.560000002</v>
      </c>
      <c r="C102" s="123">
        <v>30</v>
      </c>
      <c r="D102" s="123">
        <f t="shared" si="18"/>
        <v>1</v>
      </c>
      <c r="E102" s="120">
        <v>283.40000000000003</v>
      </c>
      <c r="F102" s="120">
        <v>1.7</v>
      </c>
      <c r="G102" s="147">
        <v>0</v>
      </c>
      <c r="H102" s="181">
        <v>6276.4</v>
      </c>
      <c r="I102" s="42">
        <f t="shared" si="19"/>
        <v>97280705.385313481</v>
      </c>
      <c r="J102" s="25">
        <f t="shared" si="20"/>
        <v>3512268.8253134787</v>
      </c>
      <c r="K102" s="34">
        <f t="shared" si="21"/>
        <v>3.7456834668092909E-2</v>
      </c>
      <c r="L102" s="8">
        <f t="shared" si="14"/>
        <v>3.7456834668092909E-2</v>
      </c>
      <c r="M102" s="121">
        <f t="shared" si="15"/>
        <v>12336032301268.924</v>
      </c>
      <c r="N102" s="121">
        <f t="shared" si="16"/>
        <v>4740224.9875078499</v>
      </c>
      <c r="O102" s="121">
        <f t="shared" si="17"/>
        <v>22469732932193.797</v>
      </c>
      <c r="P102"/>
    </row>
    <row r="103" spans="1:16" x14ac:dyDescent="0.2">
      <c r="A103" s="41">
        <v>45077</v>
      </c>
      <c r="B103" s="42">
        <f>Inputs!D124</f>
        <v>99703860.189999998</v>
      </c>
      <c r="C103" s="123">
        <v>31</v>
      </c>
      <c r="D103" s="123">
        <f t="shared" si="18"/>
        <v>1</v>
      </c>
      <c r="E103" s="120">
        <v>159.10000000000005</v>
      </c>
      <c r="F103" s="120">
        <v>8.7999999999999989</v>
      </c>
      <c r="G103" s="147">
        <v>0</v>
      </c>
      <c r="H103" s="181">
        <v>6413.1</v>
      </c>
      <c r="I103" s="42">
        <f t="shared" si="19"/>
        <v>100266689.97165591</v>
      </c>
      <c r="J103" s="25">
        <f t="shared" si="20"/>
        <v>562829.78165590763</v>
      </c>
      <c r="K103" s="34">
        <f t="shared" si="21"/>
        <v>5.6450149531157047E-3</v>
      </c>
      <c r="L103" s="8">
        <f t="shared" si="14"/>
        <v>5.6450149531157047E-3</v>
      </c>
      <c r="M103" s="121">
        <f t="shared" si="15"/>
        <v>316777363118.83667</v>
      </c>
      <c r="N103" s="121">
        <f t="shared" si="16"/>
        <v>-2949439.0436575711</v>
      </c>
      <c r="O103" s="121">
        <f t="shared" si="17"/>
        <v>8699190672251.6875</v>
      </c>
      <c r="P103"/>
    </row>
    <row r="104" spans="1:16" x14ac:dyDescent="0.2">
      <c r="A104" s="41">
        <v>45107</v>
      </c>
      <c r="B104" s="42">
        <f>Inputs!D125</f>
        <v>106677864.72</v>
      </c>
      <c r="C104" s="123">
        <v>30</v>
      </c>
      <c r="D104" s="123">
        <f t="shared" si="18"/>
        <v>0</v>
      </c>
      <c r="E104" s="120">
        <v>41.199999999999996</v>
      </c>
      <c r="F104" s="120">
        <v>40</v>
      </c>
      <c r="G104" s="147">
        <v>0</v>
      </c>
      <c r="H104" s="181">
        <v>6559.9</v>
      </c>
      <c r="I104" s="42">
        <f t="shared" si="19"/>
        <v>108376994.32569367</v>
      </c>
      <c r="J104" s="25">
        <f t="shared" si="20"/>
        <v>1699129.6056936681</v>
      </c>
      <c r="K104" s="34">
        <f t="shared" si="21"/>
        <v>1.5927667938924493E-2</v>
      </c>
      <c r="L104" s="8">
        <f t="shared" si="14"/>
        <v>1.5927667938924493E-2</v>
      </c>
      <c r="M104" s="121">
        <f t="shared" si="15"/>
        <v>2887041416944.7202</v>
      </c>
      <c r="N104" s="121">
        <f t="shared" si="16"/>
        <v>1136299.8240377605</v>
      </c>
      <c r="O104" s="121">
        <f t="shared" si="17"/>
        <v>1291177290108.2454</v>
      </c>
      <c r="P104"/>
    </row>
    <row r="105" spans="1:16" x14ac:dyDescent="0.2">
      <c r="A105" s="41">
        <v>45138</v>
      </c>
      <c r="B105" s="42">
        <f>Inputs!D126</f>
        <v>123730259.39</v>
      </c>
      <c r="C105" s="123">
        <v>31</v>
      </c>
      <c r="D105" s="123">
        <f t="shared" si="18"/>
        <v>0</v>
      </c>
      <c r="E105" s="120">
        <v>0.1</v>
      </c>
      <c r="F105" s="120">
        <v>95.8</v>
      </c>
      <c r="G105" s="147">
        <v>0</v>
      </c>
      <c r="H105" s="181">
        <v>6562.7</v>
      </c>
      <c r="I105" s="42">
        <f t="shared" si="19"/>
        <v>124115660.69822109</v>
      </c>
      <c r="J105" s="25">
        <f t="shared" si="20"/>
        <v>385401.30822108686</v>
      </c>
      <c r="K105" s="34">
        <f t="shared" si="21"/>
        <v>3.1148508870921785E-3</v>
      </c>
      <c r="L105" s="8">
        <f t="shared" si="14"/>
        <v>3.1148508870921785E-3</v>
      </c>
      <c r="M105" s="121">
        <f t="shared" si="15"/>
        <v>148534168378.52521</v>
      </c>
      <c r="N105" s="121">
        <f t="shared" si="16"/>
        <v>-1313728.2974725813</v>
      </c>
      <c r="O105" s="121">
        <f t="shared" si="17"/>
        <v>1725882039580.207</v>
      </c>
      <c r="P105"/>
    </row>
    <row r="106" spans="1:16" x14ac:dyDescent="0.2">
      <c r="A106" s="41">
        <v>45169</v>
      </c>
      <c r="B106" s="42">
        <f>Inputs!D127</f>
        <v>118372301.53000002</v>
      </c>
      <c r="C106" s="123">
        <v>31</v>
      </c>
      <c r="D106" s="123">
        <f t="shared" si="18"/>
        <v>0</v>
      </c>
      <c r="E106" s="120">
        <v>21.2</v>
      </c>
      <c r="F106" s="120">
        <v>50.899999999999991</v>
      </c>
      <c r="G106" s="147">
        <v>0</v>
      </c>
      <c r="H106" s="181">
        <v>6545.1</v>
      </c>
      <c r="I106" s="42">
        <f t="shared" si="19"/>
        <v>113249188.95985359</v>
      </c>
      <c r="J106" s="25">
        <f t="shared" si="20"/>
        <v>-5123112.5701464266</v>
      </c>
      <c r="K106" s="34">
        <f t="shared" si="21"/>
        <v>-4.3279656675831689E-2</v>
      </c>
      <c r="L106" s="8">
        <f t="shared" si="14"/>
        <v>4.3279656675831689E-2</v>
      </c>
      <c r="M106" s="121">
        <f t="shared" si="15"/>
        <v>26246282406392.324</v>
      </c>
      <c r="N106" s="121">
        <f t="shared" si="16"/>
        <v>-5508513.8783675134</v>
      </c>
      <c r="O106" s="121">
        <f t="shared" si="17"/>
        <v>30343725148167.504</v>
      </c>
      <c r="P106"/>
    </row>
    <row r="107" spans="1:16" x14ac:dyDescent="0.2">
      <c r="A107" s="41">
        <v>45199</v>
      </c>
      <c r="B107" s="42">
        <f>Inputs!D128</f>
        <v>107470986.69999999</v>
      </c>
      <c r="C107" s="123">
        <v>30</v>
      </c>
      <c r="D107" s="123">
        <f t="shared" si="18"/>
        <v>0</v>
      </c>
      <c r="E107" s="120">
        <v>47.499999999999986</v>
      </c>
      <c r="F107" s="120">
        <v>34.1</v>
      </c>
      <c r="G107" s="147">
        <v>0</v>
      </c>
      <c r="H107" s="181">
        <v>6402.9</v>
      </c>
      <c r="I107" s="42">
        <f t="shared" si="19"/>
        <v>105666429.37196666</v>
      </c>
      <c r="J107" s="25">
        <f t="shared" si="20"/>
        <v>-1804557.3280333281</v>
      </c>
      <c r="K107" s="34">
        <f t="shared" si="21"/>
        <v>-1.679111156828458E-2</v>
      </c>
      <c r="L107" s="8">
        <f t="shared" si="14"/>
        <v>1.679111156828458E-2</v>
      </c>
      <c r="M107" s="121">
        <f t="shared" si="15"/>
        <v>3256427150158.7842</v>
      </c>
      <c r="N107" s="121">
        <f t="shared" si="16"/>
        <v>3318555.2421130985</v>
      </c>
      <c r="O107" s="121">
        <f t="shared" si="17"/>
        <v>11012808894956.326</v>
      </c>
      <c r="P107"/>
    </row>
    <row r="108" spans="1:16" x14ac:dyDescent="0.2">
      <c r="A108" s="41">
        <v>45230</v>
      </c>
      <c r="B108" s="42">
        <f>Inputs!D129</f>
        <v>101567452.83999999</v>
      </c>
      <c r="C108" s="123">
        <v>31</v>
      </c>
      <c r="D108" s="123">
        <f t="shared" si="18"/>
        <v>1</v>
      </c>
      <c r="E108" s="120">
        <v>205.40000000000003</v>
      </c>
      <c r="F108" s="120">
        <v>12.000000000000002</v>
      </c>
      <c r="G108" s="147">
        <v>0</v>
      </c>
      <c r="H108" s="181">
        <v>6371.6</v>
      </c>
      <c r="I108" s="42">
        <f t="shared" si="19"/>
        <v>101706816.64221618</v>
      </c>
      <c r="J108" s="25">
        <f t="shared" si="20"/>
        <v>139363.80221618712</v>
      </c>
      <c r="K108" s="34">
        <f t="shared" si="21"/>
        <v>1.3721305233058076E-3</v>
      </c>
      <c r="L108" s="8">
        <f t="shared" si="14"/>
        <v>1.3721305233058076E-3</v>
      </c>
      <c r="M108" s="121">
        <f t="shared" si="15"/>
        <v>19422269368.152523</v>
      </c>
      <c r="N108" s="121">
        <f t="shared" si="16"/>
        <v>1943921.1302495152</v>
      </c>
      <c r="O108" s="121">
        <f t="shared" si="17"/>
        <v>3778829360630.5527</v>
      </c>
      <c r="P108"/>
    </row>
    <row r="109" spans="1:16" x14ac:dyDescent="0.2">
      <c r="A109" s="41">
        <v>45260</v>
      </c>
      <c r="B109" s="42">
        <f>Inputs!D130</f>
        <v>103573335.30000001</v>
      </c>
      <c r="C109" s="123">
        <v>30</v>
      </c>
      <c r="D109" s="123">
        <f t="shared" si="18"/>
        <v>1</v>
      </c>
      <c r="E109" s="120">
        <v>409.29999999999995</v>
      </c>
      <c r="F109" s="120">
        <v>0</v>
      </c>
      <c r="G109" s="147">
        <v>0</v>
      </c>
      <c r="H109" s="181">
        <v>6384.5</v>
      </c>
      <c r="I109" s="42">
        <f t="shared" si="19"/>
        <v>100550630.16924539</v>
      </c>
      <c r="J109" s="25">
        <f t="shared" si="20"/>
        <v>-3022705.1307546198</v>
      </c>
      <c r="K109" s="34">
        <f t="shared" si="21"/>
        <v>-2.9184201918373672E-2</v>
      </c>
      <c r="L109" s="8">
        <f t="shared" si="14"/>
        <v>2.9184201918373672E-2</v>
      </c>
      <c r="M109" s="121">
        <f t="shared" si="15"/>
        <v>9136746307490.3027</v>
      </c>
      <c r="N109" s="121">
        <f t="shared" si="16"/>
        <v>-3162068.932970807</v>
      </c>
      <c r="O109" s="121">
        <f t="shared" si="17"/>
        <v>9998679936859.1367</v>
      </c>
      <c r="P109"/>
    </row>
    <row r="110" spans="1:16" x14ac:dyDescent="0.2">
      <c r="A110" s="41">
        <v>45291</v>
      </c>
      <c r="B110" s="42">
        <f>Inputs!D131</f>
        <v>103900094.45</v>
      </c>
      <c r="C110" s="123">
        <v>31</v>
      </c>
      <c r="D110" s="123">
        <f t="shared" si="18"/>
        <v>0</v>
      </c>
      <c r="E110" s="120">
        <v>436.99999999999994</v>
      </c>
      <c r="F110" s="120">
        <v>0</v>
      </c>
      <c r="G110" s="147">
        <v>0</v>
      </c>
      <c r="H110" s="181">
        <v>6372.5</v>
      </c>
      <c r="I110" s="42">
        <f t="shared" si="19"/>
        <v>108126426.15043724</v>
      </c>
      <c r="J110" s="25">
        <f t="shared" si="20"/>
        <v>4226331.7004372329</v>
      </c>
      <c r="K110" s="34">
        <f t="shared" si="21"/>
        <v>4.0676880255109647E-2</v>
      </c>
      <c r="L110" s="8">
        <f t="shared" si="14"/>
        <v>4.0676880255109647E-2</v>
      </c>
      <c r="M110" s="121">
        <f t="shared" si="15"/>
        <v>17861879642120.672</v>
      </c>
      <c r="N110" s="121">
        <f t="shared" si="16"/>
        <v>7249036.8311918527</v>
      </c>
      <c r="O110" s="121">
        <f t="shared" si="17"/>
        <v>52548534979976.016</v>
      </c>
      <c r="P110"/>
    </row>
    <row r="111" spans="1:16" x14ac:dyDescent="0.2">
      <c r="A111" s="41">
        <v>45322</v>
      </c>
      <c r="B111" s="42">
        <f>Inputs!D132</f>
        <v>114889567.74999997</v>
      </c>
      <c r="C111" s="123">
        <v>31</v>
      </c>
      <c r="D111" s="123">
        <f t="shared" si="18"/>
        <v>0</v>
      </c>
      <c r="E111" s="120">
        <v>632.79999999999995</v>
      </c>
      <c r="F111" s="120">
        <v>0</v>
      </c>
      <c r="G111" s="147">
        <v>0</v>
      </c>
      <c r="H111" s="181">
        <v>6262.3</v>
      </c>
      <c r="I111" s="42">
        <f t="shared" si="19"/>
        <v>111423540.51200366</v>
      </c>
      <c r="J111" s="25">
        <f t="shared" si="20"/>
        <v>-3466027.23799631</v>
      </c>
      <c r="K111" s="34">
        <f t="shared" si="21"/>
        <v>-3.0168337351032561E-2</v>
      </c>
      <c r="L111" s="8">
        <f t="shared" si="14"/>
        <v>3.0168337351032561E-2</v>
      </c>
      <c r="M111" s="121">
        <f t="shared" si="15"/>
        <v>12013344814532.33</v>
      </c>
      <c r="N111" s="121">
        <f t="shared" si="16"/>
        <v>-7692358.9384335428</v>
      </c>
      <c r="O111" s="121">
        <f t="shared" si="17"/>
        <v>59172386037698.422</v>
      </c>
      <c r="P111"/>
    </row>
    <row r="112" spans="1:16" x14ac:dyDescent="0.2">
      <c r="A112" s="41">
        <v>45351</v>
      </c>
      <c r="B112" s="42">
        <f>Inputs!D133</f>
        <v>103465923.86999999</v>
      </c>
      <c r="C112" s="123">
        <v>29</v>
      </c>
      <c r="D112" s="123">
        <f t="shared" si="18"/>
        <v>0</v>
      </c>
      <c r="E112" s="120">
        <v>486.59999999999997</v>
      </c>
      <c r="F112" s="120">
        <v>0</v>
      </c>
      <c r="G112" s="147">
        <v>0</v>
      </c>
      <c r="H112" s="181">
        <v>6330.9</v>
      </c>
      <c r="I112" s="42">
        <f t="shared" si="19"/>
        <v>103389422.15130247</v>
      </c>
      <c r="J112" s="25">
        <f t="shared" si="20"/>
        <v>-76501.71869751811</v>
      </c>
      <c r="K112" s="34">
        <f t="shared" si="21"/>
        <v>-7.3939047597582834E-4</v>
      </c>
      <c r="L112" s="8">
        <f t="shared" si="14"/>
        <v>7.3939047597582834E-4</v>
      </c>
      <c r="M112" s="121">
        <f t="shared" si="15"/>
        <v>5852512963.6741924</v>
      </c>
      <c r="N112" s="121">
        <f t="shared" si="16"/>
        <v>3389525.5192987919</v>
      </c>
      <c r="O112" s="121">
        <f t="shared" si="17"/>
        <v>11488883245977.744</v>
      </c>
      <c r="P112"/>
    </row>
    <row r="113" spans="1:16" x14ac:dyDescent="0.2">
      <c r="A113" s="41">
        <v>45382</v>
      </c>
      <c r="B113" s="42">
        <f>Inputs!D134</f>
        <v>104383760.00000003</v>
      </c>
      <c r="C113" s="123">
        <v>31</v>
      </c>
      <c r="D113" s="123">
        <f t="shared" si="18"/>
        <v>1</v>
      </c>
      <c r="E113" s="120">
        <v>421.9</v>
      </c>
      <c r="F113" s="120">
        <v>0</v>
      </c>
      <c r="G113" s="147">
        <v>0</v>
      </c>
      <c r="H113" s="181">
        <v>6320.1</v>
      </c>
      <c r="I113" s="42">
        <f t="shared" si="19"/>
        <v>102985108.3863291</v>
      </c>
      <c r="J113" s="25">
        <f t="shared" si="20"/>
        <v>-1398651.6136709303</v>
      </c>
      <c r="K113" s="34">
        <f t="shared" si="21"/>
        <v>-1.3399130417135098E-2</v>
      </c>
      <c r="L113" s="8">
        <f t="shared" si="14"/>
        <v>1.3399130417135098E-2</v>
      </c>
      <c r="M113" s="121">
        <f t="shared" si="15"/>
        <v>1956226336424.2971</v>
      </c>
      <c r="N113" s="121">
        <f t="shared" si="16"/>
        <v>-1322149.8949734122</v>
      </c>
      <c r="O113" s="121">
        <f t="shared" si="17"/>
        <v>1748080344778.2048</v>
      </c>
      <c r="P113"/>
    </row>
    <row r="114" spans="1:16" x14ac:dyDescent="0.2">
      <c r="A114" s="41">
        <v>45412</v>
      </c>
      <c r="B114" s="42">
        <f>Inputs!D135</f>
        <v>96290702.249999985</v>
      </c>
      <c r="C114" s="123">
        <v>30</v>
      </c>
      <c r="D114" s="123">
        <f t="shared" si="18"/>
        <v>1</v>
      </c>
      <c r="E114" s="120">
        <v>246.99999999999994</v>
      </c>
      <c r="F114" s="120">
        <v>2.5</v>
      </c>
      <c r="G114" s="147">
        <v>0</v>
      </c>
      <c r="H114" s="181">
        <v>6415.6</v>
      </c>
      <c r="I114" s="42">
        <f t="shared" si="19"/>
        <v>97910158.981887341</v>
      </c>
      <c r="J114" s="25">
        <f t="shared" si="20"/>
        <v>1619456.7318873554</v>
      </c>
      <c r="K114" s="34">
        <f t="shared" si="21"/>
        <v>1.6818412308207624E-2</v>
      </c>
      <c r="L114" s="8">
        <f t="shared" si="14"/>
        <v>1.6818412308207624E-2</v>
      </c>
      <c r="M114" s="121">
        <f t="shared" si="15"/>
        <v>2622640106455.2739</v>
      </c>
      <c r="N114" s="121">
        <f t="shared" si="16"/>
        <v>3018108.3455582857</v>
      </c>
      <c r="O114" s="121">
        <f t="shared" si="17"/>
        <v>9108977985528.5723</v>
      </c>
      <c r="P114"/>
    </row>
    <row r="115" spans="1:16" x14ac:dyDescent="0.2">
      <c r="A115" s="41">
        <v>45443</v>
      </c>
      <c r="B115" s="42">
        <f>Inputs!D136</f>
        <v>103034309.11999999</v>
      </c>
      <c r="C115" s="123">
        <v>31</v>
      </c>
      <c r="D115" s="123">
        <f t="shared" si="18"/>
        <v>1</v>
      </c>
      <c r="E115" s="120">
        <v>81.599999999999994</v>
      </c>
      <c r="F115" s="120">
        <v>21</v>
      </c>
      <c r="G115" s="147">
        <v>0</v>
      </c>
      <c r="H115" s="181">
        <v>6537.8</v>
      </c>
      <c r="I115" s="42">
        <f t="shared" si="19"/>
        <v>102709719.86367601</v>
      </c>
      <c r="J115" s="25">
        <f t="shared" si="20"/>
        <v>-324589.2563239783</v>
      </c>
      <c r="K115" s="34">
        <f t="shared" si="21"/>
        <v>-3.1503026428404738E-3</v>
      </c>
      <c r="L115" s="8">
        <f t="shared" si="14"/>
        <v>3.1503026428404738E-3</v>
      </c>
      <c r="M115" s="121">
        <f t="shared" si="15"/>
        <v>105358185320.95329</v>
      </c>
      <c r="N115" s="121">
        <f t="shared" si="16"/>
        <v>-1944045.9882113338</v>
      </c>
      <c r="O115" s="121">
        <f t="shared" si="17"/>
        <v>3779314804280.5811</v>
      </c>
      <c r="P115"/>
    </row>
    <row r="116" spans="1:16" x14ac:dyDescent="0.2">
      <c r="A116" s="41">
        <v>45473</v>
      </c>
      <c r="B116" s="42">
        <f>Inputs!D137</f>
        <v>115554806.21000001</v>
      </c>
      <c r="C116" s="123">
        <v>30</v>
      </c>
      <c r="D116" s="123">
        <f t="shared" si="18"/>
        <v>0</v>
      </c>
      <c r="E116" s="120">
        <v>24.5</v>
      </c>
      <c r="F116" s="120">
        <v>90</v>
      </c>
      <c r="G116" s="147">
        <v>0</v>
      </c>
      <c r="H116" s="181">
        <v>6582.1</v>
      </c>
      <c r="I116" s="42">
        <f t="shared" si="19"/>
        <v>120648671.37701467</v>
      </c>
      <c r="J116" s="25">
        <f t="shared" si="20"/>
        <v>5093865.1670146585</v>
      </c>
      <c r="K116" s="34">
        <f t="shared" si="21"/>
        <v>4.4081811342035204E-2</v>
      </c>
      <c r="L116" s="8">
        <f t="shared" si="14"/>
        <v>4.4081811342035204E-2</v>
      </c>
      <c r="M116" s="121">
        <f t="shared" si="15"/>
        <v>25947462339725.273</v>
      </c>
      <c r="N116" s="121">
        <f t="shared" si="16"/>
        <v>5418454.4233386368</v>
      </c>
      <c r="O116" s="121">
        <f t="shared" si="17"/>
        <v>29359648337798.039</v>
      </c>
      <c r="P116"/>
    </row>
    <row r="117" spans="1:16" x14ac:dyDescent="0.2">
      <c r="A117" s="41">
        <v>45504</v>
      </c>
      <c r="B117" s="42">
        <f>Inputs!D138</f>
        <v>127431775.88</v>
      </c>
      <c r="C117" s="123">
        <v>31</v>
      </c>
      <c r="D117" s="123">
        <f t="shared" si="18"/>
        <v>0</v>
      </c>
      <c r="E117" s="120">
        <v>5.9999999999999991</v>
      </c>
      <c r="F117" s="120">
        <v>105</v>
      </c>
      <c r="G117" s="147">
        <v>0</v>
      </c>
      <c r="H117" s="181">
        <v>6666.8</v>
      </c>
      <c r="I117" s="42">
        <f t="shared" si="19"/>
        <v>127448146.86146727</v>
      </c>
      <c r="J117" s="25">
        <f t="shared" si="20"/>
        <v>16370.981467276812</v>
      </c>
      <c r="K117" s="34">
        <f t="shared" si="21"/>
        <v>1.2846859705300696E-4</v>
      </c>
      <c r="L117" s="8">
        <f t="shared" si="14"/>
        <v>1.2846859705300696E-4</v>
      </c>
      <c r="M117" s="121">
        <f t="shared" si="15"/>
        <v>268009034.20192084</v>
      </c>
      <c r="N117" s="121">
        <f t="shared" si="16"/>
        <v>-5077494.1855473816</v>
      </c>
      <c r="O117" s="121">
        <f t="shared" si="17"/>
        <v>25780947204267.469</v>
      </c>
      <c r="P117"/>
    </row>
    <row r="118" spans="1:16" x14ac:dyDescent="0.2">
      <c r="A118" s="41">
        <v>45535</v>
      </c>
      <c r="B118" s="42">
        <f>Inputs!D139</f>
        <v>124968723.37</v>
      </c>
      <c r="C118" s="123">
        <v>31</v>
      </c>
      <c r="D118" s="123">
        <f t="shared" si="18"/>
        <v>0</v>
      </c>
      <c r="E118" s="120">
        <v>16.2</v>
      </c>
      <c r="F118" s="120">
        <v>83.299999999999983</v>
      </c>
      <c r="G118" s="147">
        <v>0</v>
      </c>
      <c r="H118" s="181">
        <v>6597.6</v>
      </c>
      <c r="I118" s="42">
        <f t="shared" si="19"/>
        <v>121663045.23465845</v>
      </c>
      <c r="J118" s="25">
        <f t="shared" si="20"/>
        <v>-3305678.1353415549</v>
      </c>
      <c r="K118" s="34">
        <f t="shared" si="21"/>
        <v>-2.6452043729008085E-2</v>
      </c>
      <c r="L118" s="8">
        <f t="shared" si="14"/>
        <v>2.6452043729008085E-2</v>
      </c>
      <c r="M118" s="121">
        <f t="shared" si="15"/>
        <v>10927507934475.219</v>
      </c>
      <c r="N118" s="121">
        <f t="shared" si="16"/>
        <v>-3322049.1168088317</v>
      </c>
      <c r="O118" s="121">
        <f t="shared" si="17"/>
        <v>11036010334490.338</v>
      </c>
      <c r="P118"/>
    </row>
    <row r="119" spans="1:16" x14ac:dyDescent="0.2">
      <c r="A119" s="41">
        <v>45565</v>
      </c>
      <c r="B119" s="42">
        <f>Inputs!D140</f>
        <v>110181971.18999998</v>
      </c>
      <c r="C119" s="123">
        <v>30</v>
      </c>
      <c r="D119" s="123">
        <f t="shared" si="18"/>
        <v>0</v>
      </c>
      <c r="E119" s="120">
        <v>26.299999999999997</v>
      </c>
      <c r="F119" s="120">
        <v>25.399999999999995</v>
      </c>
      <c r="G119" s="147">
        <v>0</v>
      </c>
      <c r="H119" s="181">
        <v>6504.3</v>
      </c>
      <c r="I119" s="42">
        <f t="shared" si="19"/>
        <v>103931134.1214157</v>
      </c>
      <c r="J119" s="25">
        <f t="shared" si="20"/>
        <v>-6250837.0685842782</v>
      </c>
      <c r="K119" s="34">
        <f t="shared" si="21"/>
        <v>-5.6731940816390103E-2</v>
      </c>
      <c r="L119" s="8">
        <f t="shared" si="14"/>
        <v>5.6731940816390103E-2</v>
      </c>
      <c r="M119" s="121">
        <f t="shared" si="15"/>
        <v>39072964057987.289</v>
      </c>
      <c r="N119" s="121">
        <f t="shared" si="16"/>
        <v>-2945158.9332427233</v>
      </c>
      <c r="O119" s="121">
        <f t="shared" si="17"/>
        <v>8673961142059.416</v>
      </c>
      <c r="P119"/>
    </row>
    <row r="120" spans="1:16" x14ac:dyDescent="0.2">
      <c r="A120" s="41">
        <v>45596</v>
      </c>
      <c r="B120" s="42">
        <f>Inputs!D141</f>
        <v>99255142.859999985</v>
      </c>
      <c r="C120" s="123">
        <v>31</v>
      </c>
      <c r="D120" s="123">
        <f t="shared" si="18"/>
        <v>1</v>
      </c>
      <c r="E120" s="120">
        <v>153.89999999999998</v>
      </c>
      <c r="F120" s="120">
        <v>1.7</v>
      </c>
      <c r="G120" s="147">
        <v>0</v>
      </c>
      <c r="H120" s="181">
        <v>6457.2</v>
      </c>
      <c r="I120" s="42">
        <f t="shared" si="19"/>
        <v>98774457.626181573</v>
      </c>
      <c r="J120" s="25">
        <f t="shared" si="20"/>
        <v>-480685.23381841183</v>
      </c>
      <c r="K120" s="34">
        <f t="shared" si="21"/>
        <v>-4.8429252124136419E-3</v>
      </c>
      <c r="L120" s="8">
        <f t="shared" si="14"/>
        <v>4.8429252124136419E-3</v>
      </c>
      <c r="M120" s="121">
        <f t="shared" si="15"/>
        <v>231058294011.06125</v>
      </c>
      <c r="N120" s="121">
        <f t="shared" si="16"/>
        <v>5770151.8347658664</v>
      </c>
      <c r="O120" s="121">
        <f t="shared" si="17"/>
        <v>33294652196251.895</v>
      </c>
      <c r="P120"/>
    </row>
    <row r="121" spans="1:16" x14ac:dyDescent="0.2">
      <c r="A121" s="41">
        <v>45626</v>
      </c>
      <c r="B121" s="42">
        <f>Inputs!D142</f>
        <v>100050319.93000001</v>
      </c>
      <c r="C121" s="123">
        <v>30</v>
      </c>
      <c r="D121" s="123">
        <f t="shared" si="18"/>
        <v>1</v>
      </c>
      <c r="E121" s="120">
        <v>323</v>
      </c>
      <c r="F121" s="120">
        <v>2.1</v>
      </c>
      <c r="G121" s="147">
        <v>0</v>
      </c>
      <c r="H121" s="181">
        <v>6436</v>
      </c>
      <c r="I121" s="42">
        <f t="shared" si="19"/>
        <v>99645643.801149189</v>
      </c>
      <c r="J121" s="25">
        <f t="shared" si="20"/>
        <v>-404676.12885081768</v>
      </c>
      <c r="K121" s="34">
        <f t="shared" si="21"/>
        <v>-4.0447259852237202E-3</v>
      </c>
      <c r="L121" s="8">
        <f t="shared" si="14"/>
        <v>4.0447259852237202E-3</v>
      </c>
      <c r="M121" s="121">
        <f t="shared" si="15"/>
        <v>163762769261.68359</v>
      </c>
      <c r="N121" s="121">
        <f t="shared" si="16"/>
        <v>76009.104967594147</v>
      </c>
      <c r="O121" s="121">
        <f t="shared" si="17"/>
        <v>5777384037.9747448</v>
      </c>
      <c r="P121"/>
    </row>
    <row r="122" spans="1:16" x14ac:dyDescent="0.2">
      <c r="A122" s="41">
        <v>45657</v>
      </c>
      <c r="B122" s="42">
        <f>Inputs!D143</f>
        <v>109118061.53199999</v>
      </c>
      <c r="C122" s="123">
        <v>31</v>
      </c>
      <c r="D122" s="123">
        <f t="shared" si="18"/>
        <v>0</v>
      </c>
      <c r="E122" s="120">
        <v>542.79999999999995</v>
      </c>
      <c r="F122" s="120">
        <v>0</v>
      </c>
      <c r="G122" s="147">
        <v>0</v>
      </c>
      <c r="H122" s="181">
        <v>6412.9</v>
      </c>
      <c r="I122" s="42">
        <f t="shared" si="19"/>
        <v>110786425.77148074</v>
      </c>
      <c r="J122" s="25">
        <f t="shared" si="20"/>
        <v>1668364.2394807488</v>
      </c>
      <c r="K122" s="34">
        <f t="shared" si="21"/>
        <v>1.5289533337168787E-2</v>
      </c>
      <c r="L122" s="8">
        <f>ABS(K122)</f>
        <v>1.5289533337168787E-2</v>
      </c>
      <c r="M122" s="121">
        <f t="shared" si="15"/>
        <v>2783439235578.1772</v>
      </c>
      <c r="N122" s="121">
        <f t="shared" si="16"/>
        <v>2073040.3683315665</v>
      </c>
      <c r="O122" s="121">
        <f t="shared" si="17"/>
        <v>4297496368732.2769</v>
      </c>
      <c r="P122"/>
    </row>
    <row r="123" spans="1:16" x14ac:dyDescent="0.2">
      <c r="A123" s="41">
        <v>45688</v>
      </c>
      <c r="B123" s="42">
        <f>Inputs!D144</f>
        <v>118581601.45</v>
      </c>
      <c r="C123" s="123">
        <v>31</v>
      </c>
      <c r="D123" s="123">
        <f t="shared" si="18"/>
        <v>0</v>
      </c>
      <c r="E123" s="165">
        <v>761.2</v>
      </c>
      <c r="F123" s="165">
        <v>0</v>
      </c>
      <c r="G123" s="147">
        <v>0</v>
      </c>
      <c r="H123" s="181">
        <v>6395.6</v>
      </c>
      <c r="I123" s="42">
        <f t="shared" si="19"/>
        <v>115392381.7721957</v>
      </c>
      <c r="J123" s="25"/>
      <c r="K123" t="s">
        <v>47</v>
      </c>
      <c r="L123" s="3">
        <f>AVERAGE(L3:L122)</f>
        <v>2.7205648236615185E-2</v>
      </c>
      <c r="M123" s="4">
        <f>SUM(M3:M122)</f>
        <v>1431162614283793</v>
      </c>
      <c r="N123" s="3"/>
      <c r="O123" s="4">
        <f>SUM(O3:O122)</f>
        <v>1773999321364443</v>
      </c>
      <c r="P123" s="20"/>
    </row>
    <row r="124" spans="1:16" x14ac:dyDescent="0.2">
      <c r="A124" s="41">
        <v>45716</v>
      </c>
      <c r="B124" s="42">
        <f>Inputs!D145</f>
        <v>105233374.78999999</v>
      </c>
      <c r="C124" s="123">
        <v>28</v>
      </c>
      <c r="D124" s="123">
        <f t="shared" si="18"/>
        <v>0</v>
      </c>
      <c r="E124" s="165">
        <v>619.30000000000007</v>
      </c>
      <c r="F124" s="165">
        <v>0</v>
      </c>
      <c r="G124" s="147">
        <v>0</v>
      </c>
      <c r="H124" s="181">
        <v>6362.3</v>
      </c>
      <c r="I124" s="42">
        <f t="shared" si="19"/>
        <v>103830378.23389393</v>
      </c>
      <c r="J124" s="25"/>
      <c r="P124"/>
    </row>
    <row r="125" spans="1:16" x14ac:dyDescent="0.2">
      <c r="A125" s="41">
        <v>45747</v>
      </c>
      <c r="B125" s="42">
        <f>Inputs!D146</f>
        <v>106623428.59</v>
      </c>
      <c r="C125" s="123">
        <v>31</v>
      </c>
      <c r="D125" s="123">
        <f t="shared" si="18"/>
        <v>1</v>
      </c>
      <c r="E125" s="165">
        <v>414.10000000000008</v>
      </c>
      <c r="F125" s="165">
        <v>0</v>
      </c>
      <c r="G125" s="147">
        <v>0</v>
      </c>
      <c r="H125" s="181">
        <v>6320.1</v>
      </c>
      <c r="I125" s="42">
        <f t="shared" si="19"/>
        <v>102815179.70391746</v>
      </c>
      <c r="J125" s="25"/>
      <c r="P125"/>
    </row>
    <row r="126" spans="1:16" x14ac:dyDescent="0.2">
      <c r="A126" s="41">
        <v>45777</v>
      </c>
      <c r="B126" s="42">
        <f>Inputs!D147</f>
        <v>96067244.75</v>
      </c>
      <c r="C126" s="123">
        <v>30</v>
      </c>
      <c r="D126" s="123">
        <f t="shared" si="18"/>
        <v>1</v>
      </c>
      <c r="E126" s="165">
        <v>271.89999999999998</v>
      </c>
      <c r="F126" s="165">
        <v>0</v>
      </c>
      <c r="G126" s="147">
        <v>0</v>
      </c>
      <c r="H126" s="181">
        <v>6344.5</v>
      </c>
      <c r="I126" s="42">
        <f t="shared" si="19"/>
        <v>97205717.067191482</v>
      </c>
      <c r="J126" s="25"/>
      <c r="P126"/>
    </row>
    <row r="127" spans="1:16" x14ac:dyDescent="0.2">
      <c r="A127" s="41">
        <v>45808</v>
      </c>
      <c r="B127" s="42">
        <f>Inputs!D148</f>
        <v>96698395.920000002</v>
      </c>
      <c r="C127" s="123">
        <v>31</v>
      </c>
      <c r="D127" s="123">
        <f t="shared" si="18"/>
        <v>1</v>
      </c>
      <c r="E127" s="165">
        <v>142.6</v>
      </c>
      <c r="F127" s="165">
        <v>2.6</v>
      </c>
      <c r="G127" s="147">
        <v>0</v>
      </c>
      <c r="H127" s="181">
        <v>6505</v>
      </c>
      <c r="I127" s="42">
        <f t="shared" si="19"/>
        <v>99172312.88138704</v>
      </c>
      <c r="J127" s="25"/>
      <c r="P127"/>
    </row>
    <row r="128" spans="1:16" x14ac:dyDescent="0.2">
      <c r="A128" s="41">
        <v>45838</v>
      </c>
      <c r="B128" s="42">
        <f>Inputs!D149</f>
        <v>116051472.24000001</v>
      </c>
      <c r="C128" s="123">
        <v>30</v>
      </c>
      <c r="D128" s="123">
        <f t="shared" si="18"/>
        <v>0</v>
      </c>
      <c r="E128" s="165">
        <v>13.8</v>
      </c>
      <c r="F128" s="165">
        <v>69.900000000000006</v>
      </c>
      <c r="G128" s="147">
        <v>0</v>
      </c>
      <c r="H128" s="181">
        <v>6590.7</v>
      </c>
      <c r="I128" s="42">
        <f t="shared" si="19"/>
        <v>115490112.92224699</v>
      </c>
      <c r="J128" s="25"/>
      <c r="K128" s="183"/>
      <c r="M128" s="183"/>
      <c r="P128"/>
    </row>
    <row r="129" spans="1:16" x14ac:dyDescent="0.2">
      <c r="A129" s="41">
        <v>45869</v>
      </c>
      <c r="B129" s="42">
        <f>Inputs!D150</f>
        <v>136150521.76000002</v>
      </c>
      <c r="C129" s="123">
        <v>31</v>
      </c>
      <c r="D129" s="123">
        <f t="shared" si="18"/>
        <v>0</v>
      </c>
      <c r="E129" s="165">
        <v>1.5</v>
      </c>
      <c r="F129" s="165">
        <v>141.5</v>
      </c>
      <c r="G129" s="147">
        <v>0</v>
      </c>
      <c r="H129" s="181">
        <v>6604.3</v>
      </c>
      <c r="I129" s="42">
        <f t="shared" si="19"/>
        <v>135882289.91059601</v>
      </c>
      <c r="J129" s="25"/>
      <c r="K129" s="39"/>
      <c r="L129" s="184"/>
      <c r="M129" s="39"/>
      <c r="N129" s="184"/>
      <c r="O129"/>
      <c r="P129"/>
    </row>
    <row r="130" spans="1:16" x14ac:dyDescent="0.2">
      <c r="A130" s="41">
        <v>45900</v>
      </c>
      <c r="B130" s="42">
        <f>Inputs!D151</f>
        <v>125410722.38000001</v>
      </c>
      <c r="C130" s="123">
        <v>31</v>
      </c>
      <c r="D130" s="123">
        <f t="shared" si="18"/>
        <v>0</v>
      </c>
      <c r="E130" s="165">
        <v>25.3</v>
      </c>
      <c r="F130" s="165">
        <v>72.899999999999991</v>
      </c>
      <c r="G130" s="147">
        <v>0</v>
      </c>
      <c r="H130" s="181">
        <v>6606.6</v>
      </c>
      <c r="I130" s="42">
        <f t="shared" si="19"/>
        <v>119352794.67608216</v>
      </c>
      <c r="J130" s="25"/>
      <c r="K130" s="39"/>
      <c r="L130" s="184"/>
      <c r="M130" s="39"/>
      <c r="N130" s="184"/>
      <c r="O130"/>
      <c r="P130"/>
    </row>
    <row r="131" spans="1:16" x14ac:dyDescent="0.2">
      <c r="A131" s="41">
        <v>45930</v>
      </c>
      <c r="B131" s="42"/>
      <c r="C131" s="123">
        <v>30</v>
      </c>
      <c r="D131" s="123">
        <f t="shared" si="18"/>
        <v>0</v>
      </c>
      <c r="E131" s="165">
        <v>20.999999999999996</v>
      </c>
      <c r="F131" s="165">
        <v>10.699999999999998</v>
      </c>
      <c r="G131" s="147">
        <v>0</v>
      </c>
      <c r="H131" s="182">
        <v>6513.9</v>
      </c>
      <c r="I131" s="42">
        <f t="shared" ref="I131:I146" si="22">$R$18+$R$19*C131+$R$20*D131+$R$21*E131+$R$22*F131+$R$23*G131+$R$24*H131</f>
        <v>100242569.1652101</v>
      </c>
      <c r="J131" s="25"/>
      <c r="K131" s="39"/>
      <c r="L131" s="184"/>
      <c r="M131" s="39"/>
      <c r="N131" s="184"/>
      <c r="O131"/>
      <c r="P131"/>
    </row>
    <row r="132" spans="1:16" x14ac:dyDescent="0.2">
      <c r="A132" s="41">
        <v>45961</v>
      </c>
      <c r="B132" s="42"/>
      <c r="C132" s="123">
        <v>31</v>
      </c>
      <c r="D132" s="123">
        <f t="shared" si="18"/>
        <v>1</v>
      </c>
      <c r="E132" s="124">
        <f t="shared" ref="E132:F134" si="23">AVERAGE(E12,E24,E36,E48,E60,E72,E84,E96,E108,E120)</f>
        <v>202.59500000000003</v>
      </c>
      <c r="F132" s="124">
        <f t="shared" si="23"/>
        <v>7.6800000000000015</v>
      </c>
      <c r="G132" s="147">
        <v>0</v>
      </c>
      <c r="H132" s="182">
        <v>6497.1</v>
      </c>
      <c r="I132" s="42">
        <f t="shared" si="22"/>
        <v>101673858.99028715</v>
      </c>
      <c r="J132" s="25"/>
      <c r="K132" s="143"/>
      <c r="L132"/>
      <c r="M132"/>
      <c r="N132"/>
      <c r="O132"/>
      <c r="P132"/>
    </row>
    <row r="133" spans="1:16" x14ac:dyDescent="0.2">
      <c r="A133" s="41">
        <v>45991</v>
      </c>
      <c r="B133" s="42"/>
      <c r="C133" s="123">
        <v>30</v>
      </c>
      <c r="D133" s="123">
        <f t="shared" si="18"/>
        <v>1</v>
      </c>
      <c r="E133" s="124">
        <f t="shared" si="23"/>
        <v>394.15</v>
      </c>
      <c r="F133" s="124">
        <f t="shared" si="23"/>
        <v>0.43000000000000005</v>
      </c>
      <c r="G133" s="147">
        <v>0</v>
      </c>
      <c r="H133" s="166">
        <f t="shared" ref="H133:H134" si="24">H121*(1+H$148)</f>
        <v>6268.6639999999998</v>
      </c>
      <c r="I133" s="42">
        <f t="shared" si="22"/>
        <v>99309498.463236094</v>
      </c>
      <c r="J133" s="25"/>
      <c r="K133"/>
      <c r="L133"/>
      <c r="M133"/>
      <c r="N133"/>
      <c r="O133"/>
      <c r="P133"/>
    </row>
    <row r="134" spans="1:16" x14ac:dyDescent="0.2">
      <c r="A134" s="41">
        <v>46022</v>
      </c>
      <c r="B134" s="42"/>
      <c r="C134" s="123">
        <v>31</v>
      </c>
      <c r="D134" s="123">
        <f t="shared" si="18"/>
        <v>0</v>
      </c>
      <c r="E134" s="124">
        <f t="shared" si="23"/>
        <v>538.66000000000008</v>
      </c>
      <c r="F134" s="124">
        <f t="shared" si="23"/>
        <v>0</v>
      </c>
      <c r="G134" s="147">
        <v>0</v>
      </c>
      <c r="H134" s="166">
        <f t="shared" si="24"/>
        <v>6246.1645999999992</v>
      </c>
      <c r="I134" s="42">
        <f t="shared" si="22"/>
        <v>109230820.41768713</v>
      </c>
      <c r="J134" s="25"/>
      <c r="K134"/>
      <c r="L134"/>
      <c r="M134"/>
      <c r="N134"/>
      <c r="O134"/>
      <c r="P134"/>
    </row>
    <row r="135" spans="1:16" x14ac:dyDescent="0.2">
      <c r="A135" s="41">
        <v>46053</v>
      </c>
      <c r="B135" s="42"/>
      <c r="C135" s="123">
        <v>31</v>
      </c>
      <c r="D135" s="123">
        <f t="shared" si="18"/>
        <v>0</v>
      </c>
      <c r="E135" s="124">
        <f>AVERAGE(E3,E15,E27,E39,E51,E63,E75,E87,E99,E111,E123)</f>
        <v>672.9727272727273</v>
      </c>
      <c r="F135" s="124">
        <f>AVERAGE(F3,F15,F27,F39,F51,F63,F75,F87,F99,F111,F123)</f>
        <v>0</v>
      </c>
      <c r="G135" s="147">
        <v>0</v>
      </c>
      <c r="H135" s="166">
        <f>H123*(1+H$149)</f>
        <v>6229.3144000000002</v>
      </c>
      <c r="I135" s="42">
        <f t="shared" si="22"/>
        <v>112008827.1480338</v>
      </c>
      <c r="J135" s="25"/>
      <c r="K135"/>
      <c r="L135"/>
      <c r="M135"/>
      <c r="N135"/>
      <c r="O135"/>
      <c r="P135"/>
    </row>
    <row r="136" spans="1:16" x14ac:dyDescent="0.2">
      <c r="A136" s="41">
        <v>46081</v>
      </c>
      <c r="B136" s="42"/>
      <c r="C136" s="123">
        <v>28</v>
      </c>
      <c r="D136" s="123">
        <f t="shared" si="18"/>
        <v>0</v>
      </c>
      <c r="E136" s="124">
        <f t="shared" ref="E136:F143" si="25">AVERAGE(E4,E16,E28,E40,E52,E64,E76,E88,E100,E112,E124)</f>
        <v>593.89090909090919</v>
      </c>
      <c r="F136" s="124">
        <f t="shared" si="25"/>
        <v>0</v>
      </c>
      <c r="G136" s="147">
        <v>0</v>
      </c>
      <c r="H136" s="166">
        <f t="shared" ref="H136:H146" si="26">H124*(1+H$149)</f>
        <v>6196.8801999999996</v>
      </c>
      <c r="I136" s="42">
        <f t="shared" si="22"/>
        <v>101822972.85100633</v>
      </c>
      <c r="J136" s="25"/>
      <c r="K136"/>
      <c r="L136"/>
      <c r="M136"/>
      <c r="N136"/>
      <c r="O136"/>
      <c r="P136"/>
    </row>
    <row r="137" spans="1:16" x14ac:dyDescent="0.2">
      <c r="A137" s="41">
        <v>46112</v>
      </c>
      <c r="B137" s="42"/>
      <c r="C137" s="123">
        <v>31</v>
      </c>
      <c r="D137" s="123">
        <f t="shared" si="18"/>
        <v>1</v>
      </c>
      <c r="E137" s="124">
        <f t="shared" si="25"/>
        <v>493.74999999999994</v>
      </c>
      <c r="F137" s="124">
        <f t="shared" si="25"/>
        <v>0</v>
      </c>
      <c r="G137" s="147">
        <v>0</v>
      </c>
      <c r="H137" s="166">
        <f t="shared" si="26"/>
        <v>6155.7773999999999</v>
      </c>
      <c r="I137" s="42">
        <f t="shared" si="22"/>
        <v>103106206.27987069</v>
      </c>
      <c r="J137" s="25"/>
      <c r="K137"/>
      <c r="L137"/>
      <c r="M137"/>
      <c r="N137"/>
      <c r="O137"/>
      <c r="P137"/>
    </row>
    <row r="138" spans="1:16" x14ac:dyDescent="0.2">
      <c r="A138" s="41">
        <v>46142</v>
      </c>
      <c r="B138" s="42"/>
      <c r="C138" s="123">
        <v>30</v>
      </c>
      <c r="D138" s="123">
        <f t="shared" si="18"/>
        <v>1</v>
      </c>
      <c r="E138" s="124">
        <f t="shared" si="25"/>
        <v>320.75454545454545</v>
      </c>
      <c r="F138" s="124">
        <f t="shared" si="25"/>
        <v>0.4</v>
      </c>
      <c r="G138" s="147">
        <v>0</v>
      </c>
      <c r="H138" s="166">
        <f t="shared" si="26"/>
        <v>6179.5429999999997</v>
      </c>
      <c r="I138" s="42">
        <f t="shared" si="22"/>
        <v>96919789.674397677</v>
      </c>
      <c r="J138" s="25"/>
      <c r="K138"/>
      <c r="L138"/>
      <c r="M138"/>
      <c r="N138"/>
      <c r="O138"/>
      <c r="P138"/>
    </row>
    <row r="139" spans="1:16" x14ac:dyDescent="0.2">
      <c r="A139" s="41">
        <v>46173</v>
      </c>
      <c r="B139" s="42"/>
      <c r="C139" s="123">
        <v>31</v>
      </c>
      <c r="D139" s="123">
        <f t="shared" si="18"/>
        <v>1</v>
      </c>
      <c r="E139" s="124">
        <f t="shared" si="25"/>
        <v>142.09090909090909</v>
      </c>
      <c r="F139" s="124">
        <f t="shared" si="25"/>
        <v>22.209090909090907</v>
      </c>
      <c r="G139" s="147">
        <v>0</v>
      </c>
      <c r="H139" s="166">
        <f t="shared" si="26"/>
        <v>6335.87</v>
      </c>
      <c r="I139" s="42">
        <f t="shared" si="22"/>
        <v>102553657.04336859</v>
      </c>
      <c r="J139" s="25"/>
      <c r="K139"/>
      <c r="L139"/>
      <c r="M139"/>
      <c r="N139"/>
      <c r="O139"/>
      <c r="P139"/>
    </row>
    <row r="140" spans="1:16" x14ac:dyDescent="0.2">
      <c r="A140" s="41">
        <v>46203</v>
      </c>
      <c r="B140" s="42"/>
      <c r="C140" s="123">
        <v>30</v>
      </c>
      <c r="D140" s="123">
        <f t="shared" si="18"/>
        <v>0</v>
      </c>
      <c r="E140" s="124">
        <f t="shared" si="25"/>
        <v>26.663636363636364</v>
      </c>
      <c r="F140" s="124">
        <f t="shared" si="25"/>
        <v>65.77272727272728</v>
      </c>
      <c r="G140" s="147">
        <v>0</v>
      </c>
      <c r="H140" s="166">
        <f t="shared" si="26"/>
        <v>6419.3417999999992</v>
      </c>
      <c r="I140" s="42">
        <f t="shared" si="22"/>
        <v>113237417.74043384</v>
      </c>
      <c r="J140" s="25"/>
      <c r="K140"/>
      <c r="L140"/>
      <c r="M140"/>
      <c r="N140"/>
      <c r="O140"/>
      <c r="P140"/>
    </row>
    <row r="141" spans="1:16" x14ac:dyDescent="0.2">
      <c r="A141" s="41">
        <v>46234</v>
      </c>
      <c r="B141" s="42"/>
      <c r="C141" s="123">
        <v>31</v>
      </c>
      <c r="D141" s="123">
        <f t="shared" si="18"/>
        <v>0</v>
      </c>
      <c r="E141" s="124">
        <f t="shared" si="25"/>
        <v>3.9272727272727277</v>
      </c>
      <c r="F141" s="124">
        <f t="shared" si="25"/>
        <v>114.20454545454545</v>
      </c>
      <c r="G141" s="147">
        <v>0</v>
      </c>
      <c r="H141" s="166">
        <f t="shared" si="26"/>
        <v>6432.5882000000001</v>
      </c>
      <c r="I141" s="42">
        <f t="shared" si="22"/>
        <v>127634700.59818979</v>
      </c>
      <c r="J141" s="25"/>
      <c r="K141"/>
      <c r="L141"/>
      <c r="M141"/>
      <c r="N141"/>
      <c r="O141"/>
      <c r="P141"/>
    </row>
    <row r="142" spans="1:16" x14ac:dyDescent="0.2">
      <c r="A142" s="41">
        <v>46265</v>
      </c>
      <c r="B142" s="42"/>
      <c r="C142" s="123">
        <v>31</v>
      </c>
      <c r="D142" s="123">
        <f t="shared" si="18"/>
        <v>0</v>
      </c>
      <c r="E142" s="124">
        <f t="shared" si="25"/>
        <v>11.709090909090911</v>
      </c>
      <c r="F142" s="124">
        <f t="shared" si="25"/>
        <v>87.795454545454533</v>
      </c>
      <c r="G142" s="147">
        <v>0</v>
      </c>
      <c r="H142" s="166">
        <f t="shared" si="26"/>
        <v>6434.8284000000003</v>
      </c>
      <c r="I142" s="42">
        <f t="shared" si="22"/>
        <v>121253136.13258466</v>
      </c>
      <c r="J142" s="25"/>
      <c r="K142"/>
      <c r="L142"/>
      <c r="M142"/>
      <c r="N142"/>
      <c r="O142"/>
      <c r="P142"/>
    </row>
    <row r="143" spans="1:16" x14ac:dyDescent="0.2">
      <c r="A143" s="41">
        <v>46295</v>
      </c>
      <c r="B143" s="42"/>
      <c r="C143" s="123">
        <v>30</v>
      </c>
      <c r="D143" s="123">
        <f t="shared" si="18"/>
        <v>0</v>
      </c>
      <c r="E143" s="124">
        <f t="shared" si="25"/>
        <v>45.56363636363637</v>
      </c>
      <c r="F143" s="124">
        <f t="shared" si="25"/>
        <v>41.22727272727272</v>
      </c>
      <c r="G143" s="147">
        <v>0</v>
      </c>
      <c r="H143" s="166">
        <f t="shared" si="26"/>
        <v>6344.5385999999999</v>
      </c>
      <c r="I143" s="42">
        <f t="shared" si="22"/>
        <v>106884635.19502147</v>
      </c>
      <c r="J143" s="25"/>
      <c r="K143"/>
      <c r="L143"/>
      <c r="M143"/>
      <c r="N143"/>
      <c r="O143"/>
      <c r="P143"/>
    </row>
    <row r="144" spans="1:16" x14ac:dyDescent="0.2">
      <c r="A144" s="41">
        <v>46326</v>
      </c>
      <c r="B144" s="42"/>
      <c r="C144" s="123">
        <v>31</v>
      </c>
      <c r="D144" s="123">
        <f t="shared" ref="D144:D146" si="27">D132</f>
        <v>1</v>
      </c>
      <c r="E144" s="124">
        <f>AVERAGE(E12,E24,E36,E48,E60,E72,E84,E96,E108,E120)</f>
        <v>202.59500000000003</v>
      </c>
      <c r="F144" s="124">
        <f>AVERAGE(F12,F24,F36,F48,F60,F72,F84,F96,F108,F120)</f>
        <v>7.6800000000000015</v>
      </c>
      <c r="G144" s="147">
        <v>0</v>
      </c>
      <c r="H144" s="166">
        <f t="shared" si="26"/>
        <v>6328.1754000000001</v>
      </c>
      <c r="I144" s="42">
        <f t="shared" si="22"/>
        <v>100189206.00189361</v>
      </c>
      <c r="J144" s="25"/>
      <c r="K144"/>
      <c r="L144"/>
      <c r="M144"/>
      <c r="N144"/>
      <c r="O144"/>
      <c r="P144"/>
    </row>
    <row r="145" spans="1:16" x14ac:dyDescent="0.2">
      <c r="A145" s="41">
        <v>46356</v>
      </c>
      <c r="B145" s="42"/>
      <c r="C145" s="123">
        <v>30</v>
      </c>
      <c r="D145" s="123">
        <f t="shared" si="27"/>
        <v>1</v>
      </c>
      <c r="E145" s="124">
        <f t="shared" ref="E145:F146" si="28">AVERAGE(E13,E25,E37,E49,E61,E73,E85,E97,E109,E121)</f>
        <v>394.15</v>
      </c>
      <c r="F145" s="124">
        <f t="shared" si="28"/>
        <v>0.43000000000000005</v>
      </c>
      <c r="G145" s="147">
        <v>0</v>
      </c>
      <c r="H145" s="166">
        <f t="shared" si="26"/>
        <v>6105.6787359999998</v>
      </c>
      <c r="I145" s="42">
        <f t="shared" si="22"/>
        <v>97877045.408667922</v>
      </c>
      <c r="J145" s="25"/>
      <c r="P145"/>
    </row>
    <row r="146" spans="1:16" x14ac:dyDescent="0.2">
      <c r="A146" s="41">
        <v>46387</v>
      </c>
      <c r="B146" s="42"/>
      <c r="C146" s="123">
        <v>31</v>
      </c>
      <c r="D146" s="123">
        <f t="shared" si="27"/>
        <v>0</v>
      </c>
      <c r="E146" s="124">
        <f t="shared" si="28"/>
        <v>538.66000000000008</v>
      </c>
      <c r="F146" s="124">
        <f t="shared" si="28"/>
        <v>0</v>
      </c>
      <c r="G146" s="147">
        <v>0</v>
      </c>
      <c r="H146" s="166">
        <f t="shared" si="26"/>
        <v>6083.7643203999987</v>
      </c>
      <c r="I146" s="42">
        <f t="shared" si="22"/>
        <v>107803508.70332411</v>
      </c>
      <c r="J146" s="25"/>
      <c r="P146"/>
    </row>
    <row r="147" spans="1:16" x14ac:dyDescent="0.2">
      <c r="A147" s="26"/>
      <c r="P147"/>
    </row>
    <row r="148" spans="1:16" x14ac:dyDescent="0.2">
      <c r="A148" s="26"/>
      <c r="G148" s="161" t="s">
        <v>121</v>
      </c>
      <c r="H148" s="159">
        <v>-2.5999999999999999E-2</v>
      </c>
      <c r="P148"/>
    </row>
    <row r="149" spans="1:16" x14ac:dyDescent="0.2">
      <c r="A149" s="26"/>
      <c r="C149" s="92" t="s">
        <v>78</v>
      </c>
      <c r="D149" s="92"/>
      <c r="G149" s="161" t="s">
        <v>122</v>
      </c>
      <c r="H149" s="159">
        <v>-2.5999999999999999E-2</v>
      </c>
      <c r="P149"/>
    </row>
    <row r="150" spans="1:16" x14ac:dyDescent="0.2">
      <c r="A150" s="26"/>
      <c r="C150"/>
      <c r="D150"/>
      <c r="I150" s="25">
        <f>SUM(I2:I146)</f>
        <v>15035039662.455862</v>
      </c>
      <c r="P150"/>
    </row>
    <row r="151" spans="1:16" x14ac:dyDescent="0.2">
      <c r="A151" s="26"/>
      <c r="J151" s="139"/>
      <c r="K151" s="139"/>
      <c r="P151"/>
    </row>
    <row r="152" spans="1:16" x14ac:dyDescent="0.2">
      <c r="A152" s="20">
        <v>2015</v>
      </c>
      <c r="B152" s="4">
        <f>SUM(B3:B14)</f>
        <v>1231015857.4130769</v>
      </c>
      <c r="I152" s="4">
        <f>SUM(I3:I14)</f>
        <v>1190903112.5063496</v>
      </c>
      <c r="J152" s="4"/>
      <c r="K152" s="29"/>
      <c r="L152" s="3"/>
      <c r="M152" s="27"/>
      <c r="N152" s="3"/>
      <c r="O152" s="3"/>
      <c r="P152"/>
    </row>
    <row r="153" spans="1:16" x14ac:dyDescent="0.2">
      <c r="A153" s="20">
        <v>2016</v>
      </c>
      <c r="B153" s="4">
        <f>SUM(B15:B26)</f>
        <v>1210096646.9295385</v>
      </c>
      <c r="C153" s="127">
        <f>(B153-B152)/B152</f>
        <v>-1.6993453299211876E-2</v>
      </c>
      <c r="D153" s="127"/>
      <c r="F153" s="34"/>
      <c r="G153" s="34"/>
      <c r="H153" s="34"/>
      <c r="I153" s="4">
        <f>SUM(I15:I26)</f>
        <v>1219045349.6955669</v>
      </c>
      <c r="J153" s="4"/>
      <c r="K153" s="29"/>
      <c r="L153" s="3"/>
      <c r="M153" s="27"/>
      <c r="N153" s="3"/>
      <c r="O153" s="158"/>
      <c r="P153"/>
    </row>
    <row r="154" spans="1:16" x14ac:dyDescent="0.2">
      <c r="A154" s="20">
        <v>2017</v>
      </c>
      <c r="B154" s="4">
        <f>SUM(B27:B38)</f>
        <v>1188982964.0009999</v>
      </c>
      <c r="C154" s="127">
        <f t="shared" ref="C154:C161" si="29">(B154-B153)/B153</f>
        <v>-1.744793110708286E-2</v>
      </c>
      <c r="D154" s="127"/>
      <c r="F154" s="34"/>
      <c r="G154" s="34"/>
      <c r="H154" s="34"/>
      <c r="I154" s="4">
        <f>SUM(I27:I38)</f>
        <v>1206141857.1005039</v>
      </c>
      <c r="J154" s="4"/>
      <c r="K154" s="29"/>
      <c r="L154" s="3"/>
      <c r="M154" s="27"/>
      <c r="N154" s="3"/>
      <c r="O154" s="3"/>
      <c r="P154"/>
    </row>
    <row r="155" spans="1:16" x14ac:dyDescent="0.2">
      <c r="A155" s="20">
        <v>2018</v>
      </c>
      <c r="B155" s="4">
        <f>SUM(B39:B50)</f>
        <v>1250101306.4174209</v>
      </c>
      <c r="C155" s="127">
        <f t="shared" si="29"/>
        <v>5.1403884047887448E-2</v>
      </c>
      <c r="D155" s="127"/>
      <c r="F155" s="34"/>
      <c r="G155" s="34"/>
      <c r="H155" s="34"/>
      <c r="I155" s="4">
        <f>SUM(I39:I50)</f>
        <v>1258553863.9155185</v>
      </c>
      <c r="J155" s="4"/>
      <c r="K155" s="29"/>
      <c r="L155" s="3"/>
      <c r="M155" s="27"/>
      <c r="N155" s="3"/>
      <c r="O155" s="3"/>
      <c r="P155"/>
    </row>
    <row r="156" spans="1:16" x14ac:dyDescent="0.2">
      <c r="A156" s="20">
        <v>2019</v>
      </c>
      <c r="B156" s="4">
        <f>SUM(B51:B62)</f>
        <v>1224321309.6899998</v>
      </c>
      <c r="C156" s="127">
        <f t="shared" si="29"/>
        <v>-2.0622326042760614E-2</v>
      </c>
      <c r="D156" s="127"/>
      <c r="F156" s="34"/>
      <c r="G156" s="34"/>
      <c r="H156" s="34"/>
      <c r="I156" s="4">
        <f>SUM(I51:I62)</f>
        <v>1242585761.5241613</v>
      </c>
      <c r="J156" s="4"/>
      <c r="K156" s="29"/>
      <c r="L156" s="3"/>
      <c r="M156" s="27"/>
      <c r="N156" s="3"/>
      <c r="O156" s="3"/>
      <c r="P156"/>
    </row>
    <row r="157" spans="1:16" x14ac:dyDescent="0.2">
      <c r="A157" s="20">
        <v>2020</v>
      </c>
      <c r="B157" s="4">
        <f>SUM(B63:B74)</f>
        <v>1208016677.0331349</v>
      </c>
      <c r="C157" s="127">
        <f t="shared" si="29"/>
        <v>-1.3317282422367738E-2</v>
      </c>
      <c r="D157" s="127"/>
      <c r="F157" s="34"/>
      <c r="G157" s="34"/>
      <c r="H157" s="34"/>
      <c r="I157" s="4">
        <f>SUM(I63:I74)</f>
        <v>1200203146.4462194</v>
      </c>
      <c r="J157" s="4"/>
      <c r="K157" s="29"/>
      <c r="L157" s="3"/>
      <c r="M157" s="27"/>
      <c r="N157" s="3"/>
      <c r="O157" s="3"/>
      <c r="P157"/>
    </row>
    <row r="158" spans="1:16" x14ac:dyDescent="0.2">
      <c r="A158" s="20">
        <v>2021</v>
      </c>
      <c r="B158" s="4">
        <f>SUM(B75:B86)</f>
        <v>1247990626.4064798</v>
      </c>
      <c r="C158" s="127">
        <f t="shared" si="29"/>
        <v>3.3090560861725953E-2</v>
      </c>
      <c r="D158" s="127"/>
      <c r="F158" s="34"/>
      <c r="G158" s="34"/>
      <c r="H158" s="34"/>
      <c r="I158" s="4">
        <f>SUM(I75:I86)</f>
        <v>1264040541.7193544</v>
      </c>
      <c r="J158" s="4"/>
      <c r="K158" s="29"/>
      <c r="L158" s="3"/>
      <c r="M158" s="27"/>
      <c r="N158" s="3"/>
      <c r="O158" s="3"/>
      <c r="P158"/>
    </row>
    <row r="159" spans="1:16" x14ac:dyDescent="0.2">
      <c r="A159" s="20">
        <v>2022</v>
      </c>
      <c r="B159" s="4">
        <f>SUM(B87:B98)</f>
        <v>1291380740</v>
      </c>
      <c r="C159" s="127">
        <f t="shared" si="29"/>
        <v>3.4767980364131104E-2</v>
      </c>
      <c r="D159" s="127"/>
      <c r="F159" s="34"/>
      <c r="G159" s="34"/>
      <c r="H159" s="34"/>
      <c r="I159" s="4">
        <f>SUM(I87:I98)</f>
        <v>1288515054.7636354</v>
      </c>
      <c r="J159" s="4"/>
      <c r="K159" s="29"/>
      <c r="L159" s="3"/>
      <c r="M159" s="27"/>
      <c r="N159" s="3"/>
      <c r="O159" s="3"/>
      <c r="P159"/>
    </row>
    <row r="160" spans="1:16" x14ac:dyDescent="0.2">
      <c r="A160" s="20">
        <v>2023</v>
      </c>
      <c r="B160" s="4">
        <f>SUM(B99:B110)</f>
        <v>1271943858.9100001</v>
      </c>
      <c r="C160" s="127">
        <f t="shared" si="29"/>
        <v>-1.5051239721911846E-2</v>
      </c>
      <c r="D160" s="127"/>
      <c r="F160" s="34"/>
      <c r="G160" s="34"/>
      <c r="H160" s="34"/>
      <c r="I160" s="4">
        <f>SUM(I99:I110)</f>
        <v>1272846483.1152611</v>
      </c>
      <c r="J160" s="4"/>
      <c r="K160" s="29"/>
      <c r="L160" s="3"/>
      <c r="M160" s="27"/>
      <c r="N160" s="3"/>
      <c r="O160" s="3"/>
      <c r="P160"/>
    </row>
    <row r="161" spans="1:18" x14ac:dyDescent="0.2">
      <c r="A161" s="20">
        <v>2024</v>
      </c>
      <c r="B161" s="4">
        <f>SUM(B111:B122)</f>
        <v>1308625063.9620001</v>
      </c>
      <c r="C161" s="127">
        <f t="shared" si="29"/>
        <v>2.8838698182350773E-2</v>
      </c>
      <c r="D161" s="127"/>
      <c r="F161" s="34"/>
      <c r="G161" s="34"/>
      <c r="H161" s="34"/>
      <c r="I161" s="4">
        <f>SUM(I111:I122)</f>
        <v>1301315474.6885662</v>
      </c>
      <c r="J161" s="4"/>
      <c r="K161" s="29"/>
      <c r="L161" s="3"/>
      <c r="M161" s="27"/>
      <c r="N161" s="3"/>
      <c r="O161" s="3"/>
      <c r="P161"/>
    </row>
    <row r="162" spans="1:18" x14ac:dyDescent="0.2">
      <c r="A162" s="20">
        <v>2025</v>
      </c>
      <c r="B162" s="4">
        <f>SUM(B123:B130)</f>
        <v>900816761.88</v>
      </c>
      <c r="F162" s="34"/>
      <c r="G162" s="34"/>
      <c r="H162" s="34"/>
      <c r="I162" s="11">
        <f>SUM(I123:I134)</f>
        <v>1299597914.2039313</v>
      </c>
      <c r="J162" s="4"/>
      <c r="K162" s="127"/>
      <c r="L162" s="3"/>
      <c r="M162" s="27"/>
      <c r="N162" s="3"/>
      <c r="O162" s="3"/>
      <c r="P162"/>
    </row>
    <row r="163" spans="1:18" x14ac:dyDescent="0.2">
      <c r="A163" s="20">
        <v>2026</v>
      </c>
      <c r="F163" s="34"/>
      <c r="G163" s="34"/>
      <c r="H163" s="34"/>
      <c r="I163" s="11">
        <f>SUM(I135:I146)</f>
        <v>1291291102.7767923</v>
      </c>
      <c r="J163" s="4"/>
      <c r="K163" s="4"/>
      <c r="L163" s="3"/>
      <c r="M163" s="27"/>
      <c r="N163" s="3"/>
      <c r="O163" s="3"/>
      <c r="P163"/>
      <c r="Q163" s="4"/>
      <c r="R163" s="29"/>
    </row>
    <row r="164" spans="1:18" x14ac:dyDescent="0.2">
      <c r="I164" s="4"/>
      <c r="P164"/>
      <c r="Q164" s="4"/>
      <c r="R164" s="29"/>
    </row>
    <row r="165" spans="1:18" x14ac:dyDescent="0.2">
      <c r="A165" s="35" t="s">
        <v>5</v>
      </c>
      <c r="B165" s="4">
        <f>SUM(B152:B162)</f>
        <v>13333291812.642651</v>
      </c>
      <c r="I165" s="4">
        <f>SUM(I152:I161)+SUM(I123:I130)</f>
        <v>13333291812.642649</v>
      </c>
      <c r="J165" s="25">
        <f>I165-B165</f>
        <v>0</v>
      </c>
      <c r="K165" s="1" t="s">
        <v>53</v>
      </c>
      <c r="P165" s="3"/>
      <c r="Q165" s="4"/>
      <c r="R165" s="29"/>
    </row>
    <row r="166" spans="1:18" x14ac:dyDescent="0.2">
      <c r="P166" s="3"/>
      <c r="Q166" s="4"/>
      <c r="R166" s="29"/>
    </row>
    <row r="167" spans="1:18" x14ac:dyDescent="0.2">
      <c r="I167" s="4">
        <f>SUM(I152:I163)</f>
        <v>15035039662.455862</v>
      </c>
      <c r="J167" s="25">
        <f>I150-I167</f>
        <v>0</v>
      </c>
      <c r="P167" s="3"/>
      <c r="Q167" s="4"/>
      <c r="R167" s="29"/>
    </row>
    <row r="168" spans="1:18" x14ac:dyDescent="0.2">
      <c r="I168" s="195"/>
      <c r="J168" s="195"/>
      <c r="K168"/>
      <c r="L168"/>
      <c r="M168"/>
      <c r="N168"/>
      <c r="O168"/>
      <c r="P168" s="3"/>
      <c r="Q168" s="4"/>
      <c r="R168" s="29"/>
    </row>
    <row r="169" spans="1:18" x14ac:dyDescent="0.2">
      <c r="P169" s="4"/>
      <c r="Q169" s="4"/>
      <c r="R169" s="29"/>
    </row>
    <row r="170" spans="1:18" x14ac:dyDescent="0.2">
      <c r="J170" s="25"/>
      <c r="P170" s="4"/>
      <c r="Q170" s="4"/>
      <c r="R170" s="29"/>
    </row>
    <row r="171" spans="1:18" x14ac:dyDescent="0.2">
      <c r="A171"/>
      <c r="B171"/>
      <c r="C171"/>
      <c r="D171"/>
      <c r="E171"/>
      <c r="F171"/>
      <c r="G171"/>
      <c r="H171"/>
      <c r="I171"/>
      <c r="J171"/>
    </row>
    <row r="172" spans="1:18" x14ac:dyDescent="0.2">
      <c r="A172"/>
      <c r="B172"/>
      <c r="C172"/>
      <c r="D172"/>
      <c r="E172"/>
      <c r="F172"/>
      <c r="G172"/>
      <c r="H172"/>
      <c r="I172"/>
      <c r="J172"/>
    </row>
    <row r="173" spans="1:18" x14ac:dyDescent="0.2">
      <c r="A173"/>
      <c r="B173"/>
      <c r="C173"/>
      <c r="D173"/>
      <c r="E173"/>
      <c r="F173"/>
      <c r="G173"/>
      <c r="H173"/>
      <c r="I173"/>
      <c r="J173"/>
    </row>
    <row r="174" spans="1:18" x14ac:dyDescent="0.2">
      <c r="A174"/>
      <c r="B174"/>
      <c r="C174"/>
      <c r="D174"/>
      <c r="E174"/>
      <c r="F174"/>
      <c r="G174"/>
      <c r="H174"/>
      <c r="I174"/>
      <c r="J174"/>
    </row>
    <row r="175" spans="1:18" x14ac:dyDescent="0.2">
      <c r="A175"/>
      <c r="B175"/>
      <c r="C175"/>
      <c r="D175"/>
      <c r="E175"/>
      <c r="F175"/>
      <c r="G175"/>
      <c r="H175"/>
      <c r="I175"/>
      <c r="J175"/>
    </row>
    <row r="176" spans="1:18" x14ac:dyDescent="0.2">
      <c r="A176"/>
      <c r="B176"/>
      <c r="C176"/>
      <c r="D176"/>
      <c r="E176"/>
      <c r="F176"/>
      <c r="G176"/>
      <c r="H176"/>
      <c r="I176"/>
      <c r="J176"/>
    </row>
    <row r="177" spans="1:16" x14ac:dyDescent="0.2">
      <c r="A177"/>
      <c r="B177"/>
      <c r="C177"/>
      <c r="D177"/>
      <c r="E177"/>
      <c r="F177"/>
      <c r="G177"/>
      <c r="H177"/>
      <c r="I177"/>
      <c r="J177"/>
    </row>
    <row r="178" spans="1:16" x14ac:dyDescent="0.2">
      <c r="A178"/>
      <c r="B178"/>
      <c r="C178"/>
      <c r="D178"/>
      <c r="E178"/>
      <c r="F178"/>
      <c r="G178"/>
      <c r="H178"/>
      <c r="I178"/>
      <c r="J178"/>
    </row>
    <row r="179" spans="1:1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/>
    <row r="196" spans="1:16" customFormat="1" x14ac:dyDescent="0.2"/>
  </sheetData>
  <mergeCells count="1">
    <mergeCell ref="I168:J168"/>
  </mergeCells>
  <printOptions gridLines="1"/>
  <pageMargins left="0.38" right="0.75" top="0.73" bottom="0.74" header="0.5" footer="0.5"/>
  <pageSetup scale="23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92E9-289E-4F15-B7B0-0951AF0B088A}">
  <sheetPr>
    <tabColor rgb="FF00B0F0"/>
    <pageSetUpPr fitToPage="1"/>
  </sheetPr>
  <dimension ref="A1:AD196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E3" sqref="E3:F14"/>
    </sheetView>
  </sheetViews>
  <sheetFormatPr defaultRowHeight="12.75" x14ac:dyDescent="0.2"/>
  <cols>
    <col min="1" max="1" width="11.85546875" style="20" customWidth="1"/>
    <col min="2" max="2" width="16.85546875" style="4" customWidth="1"/>
    <col min="3" max="4" width="11.5703125" style="1" customWidth="1"/>
    <col min="5" max="8" width="13" style="1" customWidth="1"/>
    <col min="9" max="9" width="15.5703125" style="1" bestFit="1" customWidth="1"/>
    <col min="10" max="10" width="18.42578125" style="1" customWidth="1"/>
    <col min="11" max="11" width="19" style="1" customWidth="1"/>
    <col min="12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2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98"/>
      <c r="AA1" s="98"/>
      <c r="AB1" s="98"/>
      <c r="AC1" s="98"/>
      <c r="AD1" s="98"/>
    </row>
    <row r="2" spans="1:30" ht="38.25" x14ac:dyDescent="0.2">
      <c r="A2" s="93" t="s">
        <v>57</v>
      </c>
      <c r="B2" s="94" t="s">
        <v>46</v>
      </c>
      <c r="C2" s="95" t="s">
        <v>113</v>
      </c>
      <c r="D2" s="95" t="s">
        <v>114</v>
      </c>
      <c r="E2" s="96" t="s">
        <v>111</v>
      </c>
      <c r="F2" s="119" t="s">
        <v>112</v>
      </c>
      <c r="G2" s="146" t="s">
        <v>110</v>
      </c>
      <c r="H2" s="146" t="s">
        <v>120</v>
      </c>
      <c r="I2" s="95" t="s">
        <v>6</v>
      </c>
      <c r="J2" s="97" t="s">
        <v>94</v>
      </c>
      <c r="K2" s="95" t="s">
        <v>95</v>
      </c>
      <c r="L2" s="95" t="s">
        <v>96</v>
      </c>
      <c r="M2" s="115" t="s">
        <v>97</v>
      </c>
      <c r="N2" s="115" t="s">
        <v>98</v>
      </c>
      <c r="O2" s="115" t="s">
        <v>99</v>
      </c>
      <c r="P2"/>
      <c r="Q2" t="s">
        <v>11</v>
      </c>
      <c r="Z2" s="98"/>
      <c r="AA2" s="98"/>
      <c r="AB2" s="98"/>
      <c r="AC2" s="98"/>
      <c r="AD2" s="98"/>
    </row>
    <row r="3" spans="1:30" ht="13.5" thickBot="1" x14ac:dyDescent="0.25">
      <c r="A3" s="41">
        <v>42035</v>
      </c>
      <c r="B3" s="42">
        <f>Inputs!D24</f>
        <v>110640792.16784623</v>
      </c>
      <c r="C3" s="123">
        <v>31</v>
      </c>
      <c r="D3" s="123">
        <v>0</v>
      </c>
      <c r="E3" s="120">
        <v>672.9727272727273</v>
      </c>
      <c r="F3" s="120">
        <v>0</v>
      </c>
      <c r="G3" s="147">
        <v>0</v>
      </c>
      <c r="H3" s="157">
        <v>21598611</v>
      </c>
      <c r="I3" s="42">
        <f t="shared" ref="I3:I66" si="0">$R$18+$R$19*C3+$R$20*D3+$R$21*E3+$R$22*F3+$R$23*G3+$R$24*H3</f>
        <v>103641033.18597677</v>
      </c>
      <c r="J3" s="25">
        <f t="shared" ref="J3:J66" si="1">I3-B3</f>
        <v>-6999758.9818694592</v>
      </c>
      <c r="K3" s="34">
        <f t="shared" ref="K3:K66" si="2">J3/B3</f>
        <v>-6.3265626038274944E-2</v>
      </c>
      <c r="L3" s="8">
        <f>ABS(K3)</f>
        <v>6.3265626038274944E-2</v>
      </c>
      <c r="M3" s="121">
        <f>J3*J3</f>
        <v>48996625804262.164</v>
      </c>
      <c r="N3" s="8"/>
      <c r="O3" s="8"/>
      <c r="P3" s="8"/>
      <c r="Z3" s="98"/>
      <c r="AA3" s="98"/>
      <c r="AB3" s="98"/>
      <c r="AC3" s="98"/>
      <c r="AD3" s="98"/>
    </row>
    <row r="4" spans="1:30" x14ac:dyDescent="0.2">
      <c r="A4" s="41">
        <v>42063</v>
      </c>
      <c r="B4" s="42">
        <f>Inputs!D25</f>
        <v>103566414.00452422</v>
      </c>
      <c r="C4" s="123">
        <v>28</v>
      </c>
      <c r="D4" s="123">
        <v>0</v>
      </c>
      <c r="E4" s="120">
        <v>593.89090909090919</v>
      </c>
      <c r="F4" s="120">
        <v>0</v>
      </c>
      <c r="G4" s="147">
        <v>0</v>
      </c>
      <c r="H4" s="157">
        <v>20903293</v>
      </c>
      <c r="I4" s="42">
        <f t="shared" si="0"/>
        <v>92779086.464340955</v>
      </c>
      <c r="J4" s="25">
        <f t="shared" si="1"/>
        <v>-10787327.540183261</v>
      </c>
      <c r="K4" s="34">
        <f t="shared" si="2"/>
        <v>-0.10415855027781522</v>
      </c>
      <c r="L4" s="8">
        <f t="shared" ref="L4:L67" si="3">ABS(K4)</f>
        <v>0.10415855027781522</v>
      </c>
      <c r="M4" s="121">
        <f t="shared" ref="M4:M67" si="4">J4*J4</f>
        <v>116366435459196.25</v>
      </c>
      <c r="N4" s="121">
        <f>J4-J3</f>
        <v>-3787568.5583138019</v>
      </c>
      <c r="O4" s="121">
        <f>N4*N4</f>
        <v>14345675583927.291</v>
      </c>
      <c r="P4" s="8"/>
      <c r="Q4" s="169" t="s">
        <v>12</v>
      </c>
      <c r="R4" s="169"/>
      <c r="Z4" s="98"/>
      <c r="AA4" s="98"/>
      <c r="AB4" s="98"/>
      <c r="AC4" s="98"/>
      <c r="AD4" s="98"/>
    </row>
    <row r="5" spans="1:30" x14ac:dyDescent="0.2">
      <c r="A5" s="41">
        <v>42094</v>
      </c>
      <c r="B5" s="42">
        <f>Inputs!D26</f>
        <v>102786797.33119218</v>
      </c>
      <c r="C5" s="123">
        <v>31</v>
      </c>
      <c r="D5" s="123">
        <v>1</v>
      </c>
      <c r="E5" s="120">
        <v>493.74999999999994</v>
      </c>
      <c r="F5" s="120">
        <v>0</v>
      </c>
      <c r="G5" s="147">
        <v>0</v>
      </c>
      <c r="H5" s="157">
        <v>25026276</v>
      </c>
      <c r="I5" s="42">
        <f t="shared" si="0"/>
        <v>97111720.926930904</v>
      </c>
      <c r="J5" s="25">
        <f t="shared" si="1"/>
        <v>-5675076.4042612761</v>
      </c>
      <c r="K5" s="34">
        <f t="shared" si="2"/>
        <v>-5.5212114314404169E-2</v>
      </c>
      <c r="L5" s="8">
        <f t="shared" si="3"/>
        <v>5.5212114314404169E-2</v>
      </c>
      <c r="M5" s="121">
        <f t="shared" si="4"/>
        <v>32206492194203.094</v>
      </c>
      <c r="N5" s="121">
        <f t="shared" ref="N5:N68" si="5">J5-J4</f>
        <v>5112251.1359219849</v>
      </c>
      <c r="O5" s="121">
        <f t="shared" ref="O5:O68" si="6">N5*N5</f>
        <v>26135111676735.625</v>
      </c>
      <c r="P5" s="8"/>
      <c r="Q5" t="s">
        <v>13</v>
      </c>
      <c r="R5">
        <v>0.94886172667470059</v>
      </c>
      <c r="Z5" s="98"/>
      <c r="AA5" s="98"/>
      <c r="AB5" s="98"/>
      <c r="AC5" s="98"/>
      <c r="AD5" s="98"/>
    </row>
    <row r="6" spans="1:30" x14ac:dyDescent="0.2">
      <c r="A6" s="41">
        <v>42124</v>
      </c>
      <c r="B6" s="42">
        <f>Inputs!D27</f>
        <v>90141833.681816638</v>
      </c>
      <c r="C6" s="123">
        <v>30</v>
      </c>
      <c r="D6" s="123">
        <v>1</v>
      </c>
      <c r="E6" s="120">
        <v>320.75454545454545</v>
      </c>
      <c r="F6" s="120">
        <v>0.4</v>
      </c>
      <c r="G6" s="147">
        <v>0</v>
      </c>
      <c r="H6" s="157">
        <v>23422446</v>
      </c>
      <c r="I6" s="42">
        <f t="shared" si="0"/>
        <v>88840525.829906821</v>
      </c>
      <c r="J6" s="25">
        <f t="shared" si="1"/>
        <v>-1301307.8519098163</v>
      </c>
      <c r="K6" s="34">
        <f t="shared" si="2"/>
        <v>-1.44362256541528E-2</v>
      </c>
      <c r="L6" s="8">
        <f t="shared" si="3"/>
        <v>1.44362256541528E-2</v>
      </c>
      <c r="M6" s="121">
        <f t="shared" si="4"/>
        <v>1693402125442.1404</v>
      </c>
      <c r="N6" s="121">
        <f t="shared" si="5"/>
        <v>4373768.5523514599</v>
      </c>
      <c r="O6" s="121">
        <f t="shared" si="6"/>
        <v>19129851349538.586</v>
      </c>
      <c r="P6" s="8"/>
      <c r="Q6" t="s">
        <v>14</v>
      </c>
      <c r="R6">
        <v>0.90033857634809422</v>
      </c>
      <c r="Z6" s="98"/>
      <c r="AA6" s="98"/>
      <c r="AB6" s="98"/>
      <c r="AC6" s="98"/>
      <c r="AD6" s="98"/>
    </row>
    <row r="7" spans="1:30" x14ac:dyDescent="0.2">
      <c r="A7" s="41">
        <v>42155</v>
      </c>
      <c r="B7" s="42">
        <f>Inputs!D28</f>
        <v>94347448.581504494</v>
      </c>
      <c r="C7" s="123">
        <v>31</v>
      </c>
      <c r="D7" s="123">
        <v>1</v>
      </c>
      <c r="E7" s="120">
        <v>142.09090909090909</v>
      </c>
      <c r="F7" s="120">
        <v>22.209090909090907</v>
      </c>
      <c r="G7" s="147">
        <v>0</v>
      </c>
      <c r="H7" s="157">
        <v>23563031</v>
      </c>
      <c r="I7" s="42">
        <f t="shared" si="0"/>
        <v>93397173.955749243</v>
      </c>
      <c r="J7" s="25">
        <f t="shared" si="1"/>
        <v>-950274.62575525045</v>
      </c>
      <c r="K7" s="34">
        <f t="shared" si="2"/>
        <v>-1.0072075504345314E-2</v>
      </c>
      <c r="L7" s="8">
        <f t="shared" si="3"/>
        <v>1.0072075504345314E-2</v>
      </c>
      <c r="M7" s="121">
        <f t="shared" si="4"/>
        <v>903021864354.28125</v>
      </c>
      <c r="N7" s="121">
        <f t="shared" si="5"/>
        <v>351033.22615456581</v>
      </c>
      <c r="O7" s="121">
        <f t="shared" si="6"/>
        <v>123224325864.48254</v>
      </c>
      <c r="P7" s="8"/>
      <c r="Q7" t="s">
        <v>15</v>
      </c>
      <c r="R7">
        <v>0.89539668757196667</v>
      </c>
      <c r="Z7" s="98"/>
      <c r="AA7" s="98"/>
      <c r="AB7" s="98"/>
      <c r="AC7" s="98"/>
      <c r="AD7" s="98"/>
    </row>
    <row r="8" spans="1:30" x14ac:dyDescent="0.2">
      <c r="A8" s="41">
        <v>42185</v>
      </c>
      <c r="B8" s="42">
        <f>Inputs!D29</f>
        <v>100728895.94686395</v>
      </c>
      <c r="C8" s="123">
        <v>30</v>
      </c>
      <c r="D8" s="123">
        <v>0</v>
      </c>
      <c r="E8" s="120">
        <v>26.663636363636364</v>
      </c>
      <c r="F8" s="120">
        <v>65.77272727272728</v>
      </c>
      <c r="G8" s="147">
        <v>0</v>
      </c>
      <c r="H8" s="157">
        <v>25312842</v>
      </c>
      <c r="I8" s="42">
        <f t="shared" si="0"/>
        <v>107175779.23860374</v>
      </c>
      <c r="J8" s="25">
        <f t="shared" si="1"/>
        <v>6446883.2917397916</v>
      </c>
      <c r="K8" s="34">
        <f t="shared" si="2"/>
        <v>6.4002322582197485E-2</v>
      </c>
      <c r="L8" s="8">
        <f t="shared" si="3"/>
        <v>6.4002322582197485E-2</v>
      </c>
      <c r="M8" s="121">
        <f t="shared" si="4"/>
        <v>41562304177313.688</v>
      </c>
      <c r="N8" s="121">
        <f t="shared" si="5"/>
        <v>7397157.9174950421</v>
      </c>
      <c r="O8" s="121">
        <f t="shared" si="6"/>
        <v>54717945256359.586</v>
      </c>
      <c r="P8" s="8"/>
      <c r="Q8" t="s">
        <v>16</v>
      </c>
      <c r="R8">
        <v>3590217.9413452856</v>
      </c>
      <c r="Z8" s="98"/>
      <c r="AA8" s="98"/>
      <c r="AB8" s="98"/>
      <c r="AC8" s="98"/>
      <c r="AD8" s="98"/>
    </row>
    <row r="9" spans="1:30" ht="13.5" thickBot="1" x14ac:dyDescent="0.25">
      <c r="A9" s="41">
        <v>42216</v>
      </c>
      <c r="B9" s="42">
        <f>Inputs!D30</f>
        <v>115474381.0595226</v>
      </c>
      <c r="C9" s="123">
        <v>31</v>
      </c>
      <c r="D9" s="123">
        <v>0</v>
      </c>
      <c r="E9" s="120">
        <v>3.9272727272727277</v>
      </c>
      <c r="F9" s="120">
        <v>114.20454545454545</v>
      </c>
      <c r="G9" s="147">
        <v>0</v>
      </c>
      <c r="H9" s="157">
        <v>23005006</v>
      </c>
      <c r="I9" s="42">
        <f t="shared" si="0"/>
        <v>119693064.49238914</v>
      </c>
      <c r="J9" s="25">
        <f t="shared" si="1"/>
        <v>4218683.4328665435</v>
      </c>
      <c r="K9" s="34">
        <f t="shared" si="2"/>
        <v>3.6533501146821253E-2</v>
      </c>
      <c r="L9" s="8">
        <f t="shared" si="3"/>
        <v>3.6533501146821253E-2</v>
      </c>
      <c r="M9" s="121">
        <f t="shared" si="4"/>
        <v>17797289906742.645</v>
      </c>
      <c r="N9" s="121">
        <f t="shared" si="5"/>
        <v>-2228199.8588732481</v>
      </c>
      <c r="O9" s="121">
        <f t="shared" si="6"/>
        <v>4964874611082.7627</v>
      </c>
      <c r="P9" s="8"/>
      <c r="Q9" s="167" t="s">
        <v>17</v>
      </c>
      <c r="R9" s="167">
        <v>128</v>
      </c>
      <c r="Z9" s="98"/>
      <c r="AA9" s="98"/>
      <c r="AB9" s="98"/>
      <c r="AC9" s="98"/>
      <c r="AD9" s="98"/>
    </row>
    <row r="10" spans="1:30" x14ac:dyDescent="0.2">
      <c r="A10" s="41">
        <v>42247</v>
      </c>
      <c r="B10" s="42">
        <f>Inputs!D31</f>
        <v>113703937.40356903</v>
      </c>
      <c r="C10" s="123">
        <v>31</v>
      </c>
      <c r="D10" s="123">
        <v>0</v>
      </c>
      <c r="E10" s="120">
        <v>11.709090909090911</v>
      </c>
      <c r="F10" s="120">
        <v>87.795454545454533</v>
      </c>
      <c r="G10" s="147">
        <v>0</v>
      </c>
      <c r="H10" s="157">
        <v>24834009</v>
      </c>
      <c r="I10" s="42">
        <f t="shared" si="0"/>
        <v>114869855.37864709</v>
      </c>
      <c r="J10" s="25">
        <f t="shared" si="1"/>
        <v>1165917.9750780612</v>
      </c>
      <c r="K10" s="34">
        <f t="shared" si="2"/>
        <v>1.0253980659789047E-2</v>
      </c>
      <c r="L10" s="8">
        <f t="shared" si="3"/>
        <v>1.0253980659789047E-2</v>
      </c>
      <c r="M10" s="121">
        <f t="shared" si="4"/>
        <v>1359364724610.1267</v>
      </c>
      <c r="N10" s="121">
        <f t="shared" si="5"/>
        <v>-3052765.4577884823</v>
      </c>
      <c r="O10" s="121">
        <f t="shared" si="6"/>
        <v>9319376940266.5215</v>
      </c>
      <c r="P10" s="8"/>
      <c r="Z10" s="98"/>
      <c r="AA10" s="98"/>
      <c r="AB10" s="98"/>
      <c r="AC10" s="98"/>
      <c r="AD10" s="98"/>
    </row>
    <row r="11" spans="1:30" ht="13.5" thickBot="1" x14ac:dyDescent="0.25">
      <c r="A11" s="41">
        <v>42277</v>
      </c>
      <c r="B11" s="42">
        <f>Inputs!D32</f>
        <v>110599264.66068232</v>
      </c>
      <c r="C11" s="123">
        <v>30</v>
      </c>
      <c r="D11" s="123">
        <v>0</v>
      </c>
      <c r="E11" s="120">
        <v>45.56363636363637</v>
      </c>
      <c r="F11" s="120">
        <v>41.22727272727272</v>
      </c>
      <c r="G11" s="147">
        <v>0</v>
      </c>
      <c r="H11" s="157">
        <v>25273591</v>
      </c>
      <c r="I11" s="42">
        <f t="shared" si="0"/>
        <v>101157852.26988117</v>
      </c>
      <c r="J11" s="25">
        <f t="shared" si="1"/>
        <v>-9441412.3908011466</v>
      </c>
      <c r="K11" s="34">
        <f t="shared" si="2"/>
        <v>-8.5365959889221021E-2</v>
      </c>
      <c r="L11" s="8">
        <f t="shared" si="3"/>
        <v>8.5365959889221021E-2</v>
      </c>
      <c r="M11" s="121">
        <f t="shared" si="4"/>
        <v>89140267933173.422</v>
      </c>
      <c r="N11" s="121">
        <f t="shared" si="5"/>
        <v>-10607330.365879208</v>
      </c>
      <c r="O11" s="121">
        <f t="shared" si="6"/>
        <v>112515457490903.13</v>
      </c>
      <c r="P11" s="8"/>
      <c r="Q11" t="s">
        <v>18</v>
      </c>
    </row>
    <row r="12" spans="1:30" x14ac:dyDescent="0.2">
      <c r="A12" s="41">
        <v>42308</v>
      </c>
      <c r="B12" s="42">
        <f>Inputs!D33</f>
        <v>97507362.396773115</v>
      </c>
      <c r="C12" s="123">
        <v>31</v>
      </c>
      <c r="D12" s="123">
        <v>1</v>
      </c>
      <c r="E12" s="120">
        <v>202.59500000000003</v>
      </c>
      <c r="F12" s="120">
        <v>7.6800000000000015</v>
      </c>
      <c r="G12" s="147">
        <v>0</v>
      </c>
      <c r="H12" s="157">
        <v>25167538</v>
      </c>
      <c r="I12" s="42">
        <f t="shared" si="0"/>
        <v>92641550.587653622</v>
      </c>
      <c r="J12" s="25">
        <f t="shared" si="1"/>
        <v>-4865811.8091194928</v>
      </c>
      <c r="K12" s="34">
        <f t="shared" si="2"/>
        <v>-4.990199395733548E-2</v>
      </c>
      <c r="L12" s="8">
        <f t="shared" si="3"/>
        <v>4.990199395733548E-2</v>
      </c>
      <c r="M12" s="121">
        <f t="shared" si="4"/>
        <v>23676124561766.711</v>
      </c>
      <c r="N12" s="121">
        <f t="shared" si="5"/>
        <v>4575600.5816816539</v>
      </c>
      <c r="O12" s="121">
        <f t="shared" si="6"/>
        <v>20936120683085.488</v>
      </c>
      <c r="P12" s="8"/>
      <c r="Q12" s="168"/>
      <c r="R12" s="168" t="s">
        <v>22</v>
      </c>
      <c r="S12" s="168" t="s">
        <v>23</v>
      </c>
      <c r="T12" s="168" t="s">
        <v>24</v>
      </c>
      <c r="U12" s="168" t="s">
        <v>25</v>
      </c>
      <c r="V12" s="168" t="s">
        <v>26</v>
      </c>
    </row>
    <row r="13" spans="1:30" x14ac:dyDescent="0.2">
      <c r="A13" s="41">
        <v>42338</v>
      </c>
      <c r="B13" s="42">
        <f>Inputs!D34</f>
        <v>95837426.027168244</v>
      </c>
      <c r="C13" s="123">
        <v>30</v>
      </c>
      <c r="D13" s="123">
        <v>1</v>
      </c>
      <c r="E13" s="120">
        <v>394.15</v>
      </c>
      <c r="F13" s="120">
        <v>0.43000000000000005</v>
      </c>
      <c r="G13" s="147">
        <v>0</v>
      </c>
      <c r="H13" s="157">
        <v>25246254</v>
      </c>
      <c r="I13" s="42">
        <f t="shared" si="0"/>
        <v>92405441.279899299</v>
      </c>
      <c r="J13" s="25">
        <f t="shared" si="1"/>
        <v>-3431984.747268945</v>
      </c>
      <c r="K13" s="34">
        <f t="shared" si="2"/>
        <v>-3.581048541825442E-2</v>
      </c>
      <c r="L13" s="8">
        <f t="shared" si="3"/>
        <v>3.581048541825442E-2</v>
      </c>
      <c r="M13" s="121">
        <f t="shared" si="4"/>
        <v>11778519305486.684</v>
      </c>
      <c r="N13" s="121">
        <f t="shared" si="5"/>
        <v>1433827.0618505478</v>
      </c>
      <c r="O13" s="121">
        <f t="shared" si="6"/>
        <v>2055860043294.9746</v>
      </c>
      <c r="P13" s="8"/>
      <c r="Q13" t="s">
        <v>19</v>
      </c>
      <c r="R13">
        <v>6</v>
      </c>
      <c r="S13">
        <v>1.4089830477092336E+16</v>
      </c>
      <c r="T13">
        <v>2348305079515389.5</v>
      </c>
      <c r="U13">
        <v>182.18511527359701</v>
      </c>
      <c r="V13">
        <v>4.0270675853778508E-58</v>
      </c>
    </row>
    <row r="14" spans="1:30" x14ac:dyDescent="0.2">
      <c r="A14" s="41">
        <v>42369</v>
      </c>
      <c r="B14" s="42">
        <f>Inputs!D35</f>
        <v>95681304.151613995</v>
      </c>
      <c r="C14" s="123">
        <v>31</v>
      </c>
      <c r="D14" s="123">
        <v>0</v>
      </c>
      <c r="E14" s="120">
        <v>538.66000000000008</v>
      </c>
      <c r="F14" s="120">
        <v>0</v>
      </c>
      <c r="G14" s="147">
        <v>0</v>
      </c>
      <c r="H14" s="157">
        <v>23893646</v>
      </c>
      <c r="I14" s="42">
        <f t="shared" si="0"/>
        <v>102962470.58707239</v>
      </c>
      <c r="J14" s="25">
        <f t="shared" si="1"/>
        <v>7281166.4354583919</v>
      </c>
      <c r="K14" s="34">
        <f t="shared" si="2"/>
        <v>7.6098110284124609E-2</v>
      </c>
      <c r="L14" s="8">
        <f t="shared" si="3"/>
        <v>7.6098110284124609E-2</v>
      </c>
      <c r="M14" s="121">
        <f t="shared" si="4"/>
        <v>53015384660845.867</v>
      </c>
      <c r="N14" s="121">
        <f t="shared" si="5"/>
        <v>10713151.182727337</v>
      </c>
      <c r="O14" s="121">
        <f t="shared" si="6"/>
        <v>114771608263972.14</v>
      </c>
      <c r="P14" s="8"/>
      <c r="Q14" t="s">
        <v>20</v>
      </c>
      <c r="R14">
        <v>121</v>
      </c>
      <c r="S14">
        <v>1559649448829267.5</v>
      </c>
      <c r="T14">
        <v>12889664866357.582</v>
      </c>
    </row>
    <row r="15" spans="1:30" ht="13.5" thickBot="1" x14ac:dyDescent="0.25">
      <c r="A15" s="41">
        <v>42400</v>
      </c>
      <c r="B15" s="42">
        <f>Inputs!D36</f>
        <v>104360489.6203077</v>
      </c>
      <c r="C15" s="123">
        <v>31</v>
      </c>
      <c r="D15" s="123">
        <f>D3</f>
        <v>0</v>
      </c>
      <c r="E15" s="120">
        <f>E3</f>
        <v>672.9727272727273</v>
      </c>
      <c r="F15" s="120">
        <f>F3</f>
        <v>0</v>
      </c>
      <c r="G15" s="147">
        <v>0</v>
      </c>
      <c r="H15" s="157">
        <v>23524632</v>
      </c>
      <c r="I15" s="42">
        <f t="shared" si="0"/>
        <v>105634853.25057828</v>
      </c>
      <c r="J15" s="25">
        <f t="shared" si="1"/>
        <v>1274363.6302705854</v>
      </c>
      <c r="K15" s="34">
        <f t="shared" si="2"/>
        <v>1.2211169523131527E-2</v>
      </c>
      <c r="L15" s="8">
        <f t="shared" si="3"/>
        <v>1.2211169523131527E-2</v>
      </c>
      <c r="M15" s="121">
        <f t="shared" si="4"/>
        <v>1624002662156.4253</v>
      </c>
      <c r="N15" s="121">
        <f t="shared" si="5"/>
        <v>-6006802.8051878065</v>
      </c>
      <c r="O15" s="121">
        <f t="shared" si="6"/>
        <v>36081679940412.102</v>
      </c>
      <c r="P15" s="8"/>
      <c r="Q15" s="167" t="s">
        <v>5</v>
      </c>
      <c r="R15" s="167">
        <v>127</v>
      </c>
      <c r="S15" s="167">
        <v>1.5649479925921604E+16</v>
      </c>
      <c r="T15" s="167"/>
      <c r="U15" s="167"/>
      <c r="V15" s="167"/>
    </row>
    <row r="16" spans="1:30" ht="13.5" thickBot="1" x14ac:dyDescent="0.25">
      <c r="A16" s="41">
        <v>42429</v>
      </c>
      <c r="B16" s="42">
        <f>Inputs!D37</f>
        <v>95757610.426384613</v>
      </c>
      <c r="C16" s="123">
        <v>28</v>
      </c>
      <c r="D16" s="123">
        <f t="shared" ref="D16:F79" si="7">D4</f>
        <v>0</v>
      </c>
      <c r="E16" s="120">
        <f t="shared" si="7"/>
        <v>593.89090909090919</v>
      </c>
      <c r="F16" s="120">
        <f t="shared" si="7"/>
        <v>0</v>
      </c>
      <c r="G16" s="147">
        <v>0</v>
      </c>
      <c r="H16" s="157">
        <v>24243959</v>
      </c>
      <c r="I16" s="42">
        <f t="shared" si="0"/>
        <v>96237349.328521594</v>
      </c>
      <c r="J16" s="25">
        <f t="shared" si="1"/>
        <v>479738.90213698149</v>
      </c>
      <c r="K16" s="34">
        <f t="shared" si="2"/>
        <v>5.0099297591160068E-3</v>
      </c>
      <c r="L16" s="8">
        <f t="shared" si="3"/>
        <v>5.0099297591160068E-3</v>
      </c>
      <c r="M16" s="121">
        <f t="shared" si="4"/>
        <v>230149414223.59631</v>
      </c>
      <c r="N16" s="121">
        <f t="shared" si="5"/>
        <v>-794624.72813360393</v>
      </c>
      <c r="O16" s="121">
        <f t="shared" si="6"/>
        <v>631428458561.40393</v>
      </c>
      <c r="P16" s="8"/>
    </row>
    <row r="17" spans="1:25" x14ac:dyDescent="0.2">
      <c r="A17" s="41">
        <v>42460</v>
      </c>
      <c r="B17" s="42">
        <f>Inputs!D38</f>
        <v>95197213.103923097</v>
      </c>
      <c r="C17" s="123">
        <v>31</v>
      </c>
      <c r="D17" s="123">
        <f t="shared" si="7"/>
        <v>1</v>
      </c>
      <c r="E17" s="120">
        <f t="shared" si="7"/>
        <v>493.74999999999994</v>
      </c>
      <c r="F17" s="120">
        <f t="shared" si="7"/>
        <v>0</v>
      </c>
      <c r="G17" s="147">
        <v>0</v>
      </c>
      <c r="H17" s="157">
        <v>26157972</v>
      </c>
      <c r="I17" s="42">
        <f t="shared" si="0"/>
        <v>98283254.462561756</v>
      </c>
      <c r="J17" s="25">
        <f t="shared" si="1"/>
        <v>3086041.3586386591</v>
      </c>
      <c r="K17" s="34">
        <f t="shared" si="2"/>
        <v>3.2417349815374821E-2</v>
      </c>
      <c r="L17" s="8">
        <f t="shared" si="3"/>
        <v>3.2417349815374821E-2</v>
      </c>
      <c r="M17" s="121">
        <f t="shared" si="4"/>
        <v>9523651267228.3418</v>
      </c>
      <c r="N17" s="121">
        <f t="shared" si="5"/>
        <v>2606302.4565016776</v>
      </c>
      <c r="O17" s="121">
        <f t="shared" si="6"/>
        <v>6792812494766.6797</v>
      </c>
      <c r="P17" s="8"/>
      <c r="Q17" s="168"/>
      <c r="R17" s="168" t="s">
        <v>85</v>
      </c>
      <c r="S17" s="168" t="s">
        <v>16</v>
      </c>
      <c r="T17" s="168" t="s">
        <v>86</v>
      </c>
      <c r="U17" s="168" t="s">
        <v>87</v>
      </c>
      <c r="V17" s="168" t="s">
        <v>88</v>
      </c>
      <c r="W17" s="168" t="s">
        <v>89</v>
      </c>
      <c r="X17" s="168" t="s">
        <v>90</v>
      </c>
      <c r="Y17" s="168" t="s">
        <v>91</v>
      </c>
    </row>
    <row r="18" spans="1:25" x14ac:dyDescent="0.2">
      <c r="A18" s="41">
        <v>42490</v>
      </c>
      <c r="B18" s="42">
        <f>Inputs!D39</f>
        <v>89223506.73323077</v>
      </c>
      <c r="C18" s="123">
        <v>30</v>
      </c>
      <c r="D18" s="123">
        <f t="shared" si="7"/>
        <v>1</v>
      </c>
      <c r="E18" s="120">
        <f t="shared" si="7"/>
        <v>320.75454545454545</v>
      </c>
      <c r="F18" s="120">
        <f t="shared" si="7"/>
        <v>0.4</v>
      </c>
      <c r="G18" s="147">
        <v>0</v>
      </c>
      <c r="H18" s="157">
        <v>24474973</v>
      </c>
      <c r="I18" s="42">
        <f t="shared" si="0"/>
        <v>89930103.488268197</v>
      </c>
      <c r="J18" s="25">
        <f t="shared" si="1"/>
        <v>706596.75503742695</v>
      </c>
      <c r="K18" s="34">
        <f t="shared" si="2"/>
        <v>7.9194012980242923E-3</v>
      </c>
      <c r="L18" s="8">
        <f t="shared" si="3"/>
        <v>7.9194012980242923E-3</v>
      </c>
      <c r="M18" s="121">
        <f t="shared" si="4"/>
        <v>499278974229.42157</v>
      </c>
      <c r="N18" s="121">
        <f t="shared" si="5"/>
        <v>-2379444.6036012322</v>
      </c>
      <c r="O18" s="121">
        <f t="shared" si="6"/>
        <v>5661756621607.0244</v>
      </c>
      <c r="P18" s="8"/>
      <c r="Q18" t="s">
        <v>21</v>
      </c>
      <c r="R18">
        <v>-20240755.997678388</v>
      </c>
      <c r="S18">
        <v>12521629.124280125</v>
      </c>
      <c r="T18" s="170">
        <v>-1.6164634646805225</v>
      </c>
      <c r="U18">
        <v>0.10859843295751115</v>
      </c>
      <c r="V18">
        <v>-45030623.585460216</v>
      </c>
      <c r="W18">
        <v>4549111.5901034437</v>
      </c>
      <c r="X18">
        <v>-45030623.585460216</v>
      </c>
      <c r="Y18">
        <v>4549111.5901034437</v>
      </c>
    </row>
    <row r="19" spans="1:25" x14ac:dyDescent="0.2">
      <c r="A19" s="41">
        <v>42521</v>
      </c>
      <c r="B19" s="42">
        <f>Inputs!D40</f>
        <v>92885022.863923073</v>
      </c>
      <c r="C19" s="123">
        <v>31</v>
      </c>
      <c r="D19" s="123">
        <f t="shared" si="7"/>
        <v>1</v>
      </c>
      <c r="E19" s="120">
        <f t="shared" si="7"/>
        <v>142.09090909090909</v>
      </c>
      <c r="F19" s="120">
        <f t="shared" si="7"/>
        <v>22.209090909090907</v>
      </c>
      <c r="G19" s="147">
        <v>0</v>
      </c>
      <c r="H19" s="157">
        <v>24878252</v>
      </c>
      <c r="I19" s="42">
        <f t="shared" si="0"/>
        <v>94758692.869190618</v>
      </c>
      <c r="J19" s="25">
        <f t="shared" si="1"/>
        <v>1873670.0052675456</v>
      </c>
      <c r="K19" s="34">
        <f t="shared" si="2"/>
        <v>2.0171928126803386E-2</v>
      </c>
      <c r="L19" s="8">
        <f t="shared" si="3"/>
        <v>2.0171928126803386E-2</v>
      </c>
      <c r="M19" s="121">
        <f t="shared" si="4"/>
        <v>3510639288639.2842</v>
      </c>
      <c r="N19" s="121">
        <f t="shared" si="5"/>
        <v>1167073.2502301186</v>
      </c>
      <c r="O19" s="121">
        <f t="shared" si="6"/>
        <v>1362059971402.6931</v>
      </c>
      <c r="P19" s="8"/>
      <c r="Q19" t="s">
        <v>113</v>
      </c>
      <c r="R19">
        <v>2781254.6876484342</v>
      </c>
      <c r="S19">
        <v>411499.17937354883</v>
      </c>
      <c r="T19" s="170">
        <v>6.7588341048031095</v>
      </c>
      <c r="U19">
        <v>5.2010784124233188E-10</v>
      </c>
      <c r="V19">
        <v>1966583.5240239787</v>
      </c>
      <c r="W19">
        <v>3595925.8512728894</v>
      </c>
      <c r="X19">
        <v>1966583.5240239787</v>
      </c>
      <c r="Y19">
        <v>3595925.8512728894</v>
      </c>
    </row>
    <row r="20" spans="1:25" x14ac:dyDescent="0.2">
      <c r="A20" s="41">
        <v>42551</v>
      </c>
      <c r="B20" s="42">
        <f>Inputs!D41</f>
        <v>103774662.28269231</v>
      </c>
      <c r="C20" s="123">
        <v>30</v>
      </c>
      <c r="D20" s="123">
        <f t="shared" si="7"/>
        <v>0</v>
      </c>
      <c r="E20" s="120">
        <f t="shared" si="7"/>
        <v>26.663636363636364</v>
      </c>
      <c r="F20" s="120">
        <f t="shared" si="7"/>
        <v>65.77272727272728</v>
      </c>
      <c r="G20" s="147">
        <v>0</v>
      </c>
      <c r="H20" s="157">
        <v>26506086</v>
      </c>
      <c r="I20" s="42">
        <f t="shared" si="0"/>
        <v>108411027.36371005</v>
      </c>
      <c r="J20" s="25">
        <f t="shared" si="1"/>
        <v>4636365.0810177326</v>
      </c>
      <c r="K20" s="34">
        <f t="shared" si="2"/>
        <v>4.4677236032701524E-2</v>
      </c>
      <c r="L20" s="8">
        <f t="shared" si="3"/>
        <v>4.4677236032701524E-2</v>
      </c>
      <c r="M20" s="121">
        <f t="shared" si="4"/>
        <v>21495881164480.566</v>
      </c>
      <c r="N20" s="121">
        <f t="shared" si="5"/>
        <v>2762695.075750187</v>
      </c>
      <c r="O20" s="121">
        <f t="shared" si="6"/>
        <v>7632484081574.332</v>
      </c>
      <c r="P20" s="8"/>
      <c r="Q20" t="s">
        <v>114</v>
      </c>
      <c r="R20">
        <v>-6001958.1758776456</v>
      </c>
      <c r="S20">
        <v>867250.60503416881</v>
      </c>
      <c r="T20" s="170">
        <v>-6.9206733798025706</v>
      </c>
      <c r="U20">
        <v>2.303501217740015E-10</v>
      </c>
      <c r="V20">
        <v>-7718909.496735163</v>
      </c>
      <c r="W20">
        <v>-4285006.8550201282</v>
      </c>
      <c r="X20">
        <v>-7718909.496735163</v>
      </c>
      <c r="Y20">
        <v>-4285006.8550201282</v>
      </c>
    </row>
    <row r="21" spans="1:25" x14ac:dyDescent="0.2">
      <c r="A21" s="41">
        <v>42582</v>
      </c>
      <c r="B21" s="42">
        <f>Inputs!D42</f>
        <v>118822675.50546154</v>
      </c>
      <c r="C21" s="123">
        <v>31</v>
      </c>
      <c r="D21" s="123">
        <f t="shared" si="7"/>
        <v>0</v>
      </c>
      <c r="E21" s="120">
        <f t="shared" si="7"/>
        <v>3.9272727272727277</v>
      </c>
      <c r="F21" s="120">
        <f t="shared" si="7"/>
        <v>114.20454545454545</v>
      </c>
      <c r="G21" s="147">
        <v>0</v>
      </c>
      <c r="H21" s="157">
        <v>21781623</v>
      </c>
      <c r="I21" s="42">
        <f t="shared" si="0"/>
        <v>118426616.42557554</v>
      </c>
      <c r="J21" s="25">
        <f t="shared" si="1"/>
        <v>-396059.07988600433</v>
      </c>
      <c r="K21" s="34">
        <f t="shared" si="2"/>
        <v>-3.3331944277571828E-3</v>
      </c>
      <c r="L21" s="8">
        <f t="shared" si="3"/>
        <v>3.3331944277571828E-3</v>
      </c>
      <c r="M21" s="121">
        <f t="shared" si="4"/>
        <v>156862794760.14835</v>
      </c>
      <c r="N21" s="121">
        <f t="shared" si="5"/>
        <v>-5032424.1609037369</v>
      </c>
      <c r="O21" s="121">
        <f t="shared" si="6"/>
        <v>25325292935247.68</v>
      </c>
      <c r="P21" s="8"/>
      <c r="Q21" t="s">
        <v>111</v>
      </c>
      <c r="R21">
        <v>22740.857230245339</v>
      </c>
      <c r="S21">
        <v>2278.4341233469136</v>
      </c>
      <c r="T21" s="170">
        <v>9.9809149613858832</v>
      </c>
      <c r="U21">
        <v>1.7630728563664223E-17</v>
      </c>
      <c r="V21">
        <v>18230.095917587394</v>
      </c>
      <c r="W21">
        <v>27251.618542903285</v>
      </c>
      <c r="X21">
        <v>18230.095917587394</v>
      </c>
      <c r="Y21">
        <v>27251.618542903285</v>
      </c>
    </row>
    <row r="22" spans="1:25" x14ac:dyDescent="0.2">
      <c r="A22" s="41">
        <v>42613</v>
      </c>
      <c r="B22" s="42">
        <f>Inputs!D43</f>
        <v>127445902.89861538</v>
      </c>
      <c r="C22" s="123">
        <v>31</v>
      </c>
      <c r="D22" s="123">
        <f t="shared" si="7"/>
        <v>0</v>
      </c>
      <c r="E22" s="120">
        <f t="shared" si="7"/>
        <v>11.709090909090911</v>
      </c>
      <c r="F22" s="120">
        <f t="shared" si="7"/>
        <v>87.795454545454533</v>
      </c>
      <c r="G22" s="147">
        <v>0</v>
      </c>
      <c r="H22" s="157">
        <v>26118386</v>
      </c>
      <c r="I22" s="42">
        <f t="shared" si="0"/>
        <v>116199444.53323714</v>
      </c>
      <c r="J22" s="25">
        <f t="shared" si="1"/>
        <v>-11246458.365378231</v>
      </c>
      <c r="K22" s="34">
        <f t="shared" si="2"/>
        <v>-8.8244958131960607E-2</v>
      </c>
      <c r="L22" s="8">
        <f t="shared" si="3"/>
        <v>8.8244958131960607E-2</v>
      </c>
      <c r="M22" s="121">
        <f t="shared" si="4"/>
        <v>126482825764185.98</v>
      </c>
      <c r="N22" s="121">
        <f t="shared" si="5"/>
        <v>-10850399.285492226</v>
      </c>
      <c r="O22" s="121">
        <f t="shared" si="6"/>
        <v>117731164654610.22</v>
      </c>
      <c r="P22" s="8"/>
      <c r="Q22" t="s">
        <v>112</v>
      </c>
      <c r="R22">
        <v>261029.85624550711</v>
      </c>
      <c r="S22">
        <v>15245.321705544071</v>
      </c>
      <c r="T22" s="170">
        <v>17.121964448318707</v>
      </c>
      <c r="U22">
        <v>4.0084078014149865E-34</v>
      </c>
      <c r="V22">
        <v>230847.72078513415</v>
      </c>
      <c r="W22">
        <v>291211.99170588003</v>
      </c>
      <c r="X22">
        <v>230847.72078513415</v>
      </c>
      <c r="Y22">
        <v>291211.99170588003</v>
      </c>
    </row>
    <row r="23" spans="1:25" x14ac:dyDescent="0.2">
      <c r="A23" s="41">
        <v>42643</v>
      </c>
      <c r="B23" s="42">
        <f>Inputs!D44</f>
        <v>105464824.35599998</v>
      </c>
      <c r="C23" s="123">
        <v>30</v>
      </c>
      <c r="D23" s="123">
        <f t="shared" si="7"/>
        <v>0</v>
      </c>
      <c r="E23" s="120">
        <f t="shared" si="7"/>
        <v>45.56363636363637</v>
      </c>
      <c r="F23" s="120">
        <f t="shared" si="7"/>
        <v>41.22727272727272</v>
      </c>
      <c r="G23" s="147">
        <v>0</v>
      </c>
      <c r="H23" s="157">
        <v>26028405</v>
      </c>
      <c r="I23" s="42">
        <f t="shared" si="0"/>
        <v>101939236.94753636</v>
      </c>
      <c r="J23" s="25">
        <f t="shared" si="1"/>
        <v>-3525587.4084636122</v>
      </c>
      <c r="K23" s="34">
        <f t="shared" si="2"/>
        <v>-3.3429035984195797E-2</v>
      </c>
      <c r="L23" s="8">
        <f t="shared" si="3"/>
        <v>3.3429035984195797E-2</v>
      </c>
      <c r="M23" s="121">
        <f t="shared" si="4"/>
        <v>12429766574717.17</v>
      </c>
      <c r="N23" s="121">
        <f t="shared" si="5"/>
        <v>7720870.9569146186</v>
      </c>
      <c r="O23" s="121">
        <f t="shared" si="6"/>
        <v>59611848333327.656</v>
      </c>
      <c r="P23" s="8"/>
      <c r="Q23" t="s">
        <v>110</v>
      </c>
      <c r="R23">
        <v>-5179732.5664354442</v>
      </c>
      <c r="S23">
        <v>2623933.0245912424</v>
      </c>
      <c r="T23" s="170">
        <v>-1.9740338331396037</v>
      </c>
      <c r="U23">
        <v>5.0656248673670662E-2</v>
      </c>
      <c r="V23">
        <v>-10374500.083762337</v>
      </c>
      <c r="W23">
        <v>15034.950891449116</v>
      </c>
      <c r="X23">
        <v>-10374500.083762337</v>
      </c>
      <c r="Y23">
        <v>15034.950891449116</v>
      </c>
    </row>
    <row r="24" spans="1:25" ht="13.5" thickBot="1" x14ac:dyDescent="0.25">
      <c r="A24" s="41">
        <v>42674</v>
      </c>
      <c r="B24" s="42">
        <f>Inputs!D45</f>
        <v>93365521.291000009</v>
      </c>
      <c r="C24" s="123">
        <v>31</v>
      </c>
      <c r="D24" s="123">
        <f t="shared" si="7"/>
        <v>1</v>
      </c>
      <c r="E24" s="120">
        <f t="shared" si="7"/>
        <v>202.59500000000003</v>
      </c>
      <c r="F24" s="120">
        <f t="shared" si="7"/>
        <v>7.6800000000000015</v>
      </c>
      <c r="G24" s="147">
        <v>0</v>
      </c>
      <c r="H24" s="157">
        <v>25248672</v>
      </c>
      <c r="I24" s="42">
        <f t="shared" si="0"/>
        <v>92725540.636111766</v>
      </c>
      <c r="J24" s="25">
        <f t="shared" si="1"/>
        <v>-639980.65488824248</v>
      </c>
      <c r="K24" s="34">
        <f t="shared" si="2"/>
        <v>-6.8545716452817962E-3</v>
      </c>
      <c r="L24" s="8">
        <f t="shared" si="3"/>
        <v>6.8545716452817962E-3</v>
      </c>
      <c r="M24" s="121">
        <f t="shared" si="4"/>
        <v>409575238631.18372</v>
      </c>
      <c r="N24" s="121">
        <f t="shared" si="5"/>
        <v>2885606.7535753697</v>
      </c>
      <c r="O24" s="121">
        <f t="shared" si="6"/>
        <v>8326726336279.7842</v>
      </c>
      <c r="P24" s="8"/>
      <c r="Q24" s="167" t="s">
        <v>120</v>
      </c>
      <c r="R24" s="167">
        <v>1.0352016227245249</v>
      </c>
      <c r="S24" s="167">
        <v>0.10203888154299173</v>
      </c>
      <c r="T24" s="171">
        <v>10.145168264004996</v>
      </c>
      <c r="U24" s="167">
        <v>7.1081766787876069E-18</v>
      </c>
      <c r="V24" s="167">
        <v>0.83318874267913023</v>
      </c>
      <c r="W24" s="167">
        <v>1.2372145027699195</v>
      </c>
      <c r="X24" s="167">
        <v>0.83318874267913023</v>
      </c>
      <c r="Y24" s="167">
        <v>1.2372145027699195</v>
      </c>
    </row>
    <row r="25" spans="1:25" x14ac:dyDescent="0.2">
      <c r="A25" s="41">
        <v>42704</v>
      </c>
      <c r="B25" s="42">
        <f>Inputs!D46</f>
        <v>88461743.387999997</v>
      </c>
      <c r="C25" s="123">
        <v>30</v>
      </c>
      <c r="D25" s="123">
        <f t="shared" si="7"/>
        <v>1</v>
      </c>
      <c r="E25" s="120">
        <f t="shared" si="7"/>
        <v>394.15</v>
      </c>
      <c r="F25" s="120">
        <f t="shared" si="7"/>
        <v>0.43000000000000005</v>
      </c>
      <c r="G25" s="147">
        <v>0</v>
      </c>
      <c r="H25" s="157">
        <v>26188746</v>
      </c>
      <c r="I25" s="42">
        <f t="shared" si="0"/>
        <v>93381110.527704179</v>
      </c>
      <c r="J25" s="25">
        <f t="shared" si="1"/>
        <v>4919367.1397041827</v>
      </c>
      <c r="K25" s="34">
        <f t="shared" si="2"/>
        <v>5.5610108407285856E-2</v>
      </c>
      <c r="L25" s="8">
        <f t="shared" si="3"/>
        <v>5.5610108407285856E-2</v>
      </c>
      <c r="M25" s="121">
        <f t="shared" si="4"/>
        <v>24200173055201.313</v>
      </c>
      <c r="N25" s="121">
        <f t="shared" si="5"/>
        <v>5559347.7945924252</v>
      </c>
      <c r="O25" s="121">
        <f t="shared" si="6"/>
        <v>30906347901239.664</v>
      </c>
      <c r="P25" s="8"/>
    </row>
    <row r="26" spans="1:25" x14ac:dyDescent="0.2">
      <c r="A26" s="41">
        <v>42735</v>
      </c>
      <c r="B26" s="42">
        <f>Inputs!D47</f>
        <v>95337474.459999993</v>
      </c>
      <c r="C26" s="123">
        <v>31</v>
      </c>
      <c r="D26" s="123">
        <f t="shared" si="7"/>
        <v>0</v>
      </c>
      <c r="E26" s="120">
        <f t="shared" si="7"/>
        <v>538.66000000000008</v>
      </c>
      <c r="F26" s="120">
        <f t="shared" si="7"/>
        <v>0</v>
      </c>
      <c r="G26" s="147">
        <v>0</v>
      </c>
      <c r="H26" s="157">
        <v>24077403</v>
      </c>
      <c r="I26" s="42">
        <f t="shared" si="0"/>
        <v>103152696.13165937</v>
      </c>
      <c r="J26" s="25">
        <f t="shared" si="1"/>
        <v>7815221.6716593802</v>
      </c>
      <c r="K26" s="34">
        <f t="shared" si="2"/>
        <v>8.1974288871458953E-2</v>
      </c>
      <c r="L26" s="8">
        <f t="shared" si="3"/>
        <v>8.1974288871458953E-2</v>
      </c>
      <c r="M26" s="121">
        <f t="shared" si="4"/>
        <v>61077689777174.438</v>
      </c>
      <c r="N26" s="121">
        <f t="shared" si="5"/>
        <v>2895854.5319551975</v>
      </c>
      <c r="O26" s="121">
        <f t="shared" si="6"/>
        <v>8385973470245.4561</v>
      </c>
      <c r="P26" s="8"/>
    </row>
    <row r="27" spans="1:25" x14ac:dyDescent="0.2">
      <c r="A27" s="41">
        <v>42766</v>
      </c>
      <c r="B27" s="42">
        <f>Inputs!D48</f>
        <v>101083036.44000001</v>
      </c>
      <c r="C27" s="123">
        <v>31</v>
      </c>
      <c r="D27" s="123">
        <f t="shared" si="7"/>
        <v>0</v>
      </c>
      <c r="E27" s="120">
        <f t="shared" si="7"/>
        <v>672.9727272727273</v>
      </c>
      <c r="F27" s="120">
        <f t="shared" si="7"/>
        <v>0</v>
      </c>
      <c r="G27" s="147">
        <v>0</v>
      </c>
      <c r="H27" s="157">
        <v>24123511</v>
      </c>
      <c r="I27" s="42">
        <f t="shared" si="0"/>
        <v>106254813.76319394</v>
      </c>
      <c r="J27" s="25">
        <f t="shared" si="1"/>
        <v>5171777.3231939226</v>
      </c>
      <c r="K27" s="34">
        <f t="shared" si="2"/>
        <v>5.1163652234207872E-2</v>
      </c>
      <c r="L27" s="8">
        <f t="shared" si="3"/>
        <v>5.1163652234207872E-2</v>
      </c>
      <c r="M27" s="121">
        <f t="shared" si="4"/>
        <v>26747280680702.895</v>
      </c>
      <c r="N27" s="121">
        <f t="shared" si="5"/>
        <v>-2643444.3484654576</v>
      </c>
      <c r="O27" s="121">
        <f t="shared" si="6"/>
        <v>6987798023433.9678</v>
      </c>
    </row>
    <row r="28" spans="1:25" x14ac:dyDescent="0.2">
      <c r="A28" s="41">
        <v>42794</v>
      </c>
      <c r="B28" s="42">
        <f>Inputs!D49</f>
        <v>87791253.170000002</v>
      </c>
      <c r="C28" s="123">
        <v>28</v>
      </c>
      <c r="D28" s="123">
        <f t="shared" si="7"/>
        <v>0</v>
      </c>
      <c r="E28" s="120">
        <f t="shared" si="7"/>
        <v>593.89090909090919</v>
      </c>
      <c r="F28" s="120">
        <f t="shared" si="7"/>
        <v>0</v>
      </c>
      <c r="G28" s="147">
        <v>0</v>
      </c>
      <c r="H28" s="157">
        <v>23547398</v>
      </c>
      <c r="I28" s="42">
        <f t="shared" si="0"/>
        <v>95516268.25099498</v>
      </c>
      <c r="J28" s="25">
        <f t="shared" si="1"/>
        <v>7725015.0809949785</v>
      </c>
      <c r="K28" s="34">
        <f t="shared" si="2"/>
        <v>8.7992992491360958E-2</v>
      </c>
      <c r="L28" s="8">
        <f t="shared" si="3"/>
        <v>8.7992992491360958E-2</v>
      </c>
      <c r="M28" s="121">
        <f t="shared" si="4"/>
        <v>59675858001599.852</v>
      </c>
      <c r="N28" s="121">
        <f t="shared" si="5"/>
        <v>2553237.7578010559</v>
      </c>
      <c r="O28" s="121">
        <f t="shared" si="6"/>
        <v>6519023047860.9639</v>
      </c>
      <c r="Q28" t="s">
        <v>123</v>
      </c>
      <c r="R28" s="29">
        <f>M123</f>
        <v>2632156855811705.5</v>
      </c>
    </row>
    <row r="29" spans="1:25" x14ac:dyDescent="0.2">
      <c r="A29" s="41">
        <v>42825</v>
      </c>
      <c r="B29" s="42">
        <f>Inputs!D50</f>
        <v>96483175.329999983</v>
      </c>
      <c r="C29" s="123">
        <v>31</v>
      </c>
      <c r="D29" s="123">
        <f t="shared" si="7"/>
        <v>1</v>
      </c>
      <c r="E29" s="120">
        <f t="shared" si="7"/>
        <v>493.74999999999994</v>
      </c>
      <c r="F29" s="120">
        <f t="shared" si="7"/>
        <v>0</v>
      </c>
      <c r="G29" s="147">
        <v>0</v>
      </c>
      <c r="H29" s="157">
        <v>27873176</v>
      </c>
      <c r="I29" s="42">
        <f t="shared" si="0"/>
        <v>100058836.42666535</v>
      </c>
      <c r="J29" s="25">
        <f t="shared" si="1"/>
        <v>3575661.0966653675</v>
      </c>
      <c r="K29" s="34">
        <f t="shared" si="2"/>
        <v>3.7059944227950482E-2</v>
      </c>
      <c r="L29" s="8">
        <f t="shared" si="3"/>
        <v>3.7059944227950482E-2</v>
      </c>
      <c r="M29" s="121">
        <f t="shared" si="4"/>
        <v>12785352278206.178</v>
      </c>
      <c r="N29" s="121">
        <f t="shared" si="5"/>
        <v>-4149353.9843296111</v>
      </c>
      <c r="O29" s="121">
        <f t="shared" si="6"/>
        <v>17217138487272.018</v>
      </c>
    </row>
    <row r="30" spans="1:25" x14ac:dyDescent="0.2">
      <c r="A30" s="41">
        <v>42855</v>
      </c>
      <c r="B30" s="42">
        <f>Inputs!D51</f>
        <v>84555157.050000012</v>
      </c>
      <c r="C30" s="123">
        <v>30</v>
      </c>
      <c r="D30" s="123">
        <f t="shared" si="7"/>
        <v>1</v>
      </c>
      <c r="E30" s="120">
        <f t="shared" si="7"/>
        <v>320.75454545454545</v>
      </c>
      <c r="F30" s="120">
        <f t="shared" si="7"/>
        <v>0.4</v>
      </c>
      <c r="G30" s="147">
        <v>0</v>
      </c>
      <c r="H30" s="157">
        <v>24299797</v>
      </c>
      <c r="I30" s="42">
        <f t="shared" si="0"/>
        <v>89748761.008805811</v>
      </c>
      <c r="J30" s="25">
        <f t="shared" si="1"/>
        <v>5193603.9588057995</v>
      </c>
      <c r="K30" s="34">
        <f t="shared" si="2"/>
        <v>6.1422675328184476E-2</v>
      </c>
      <c r="L30" s="8">
        <f t="shared" si="3"/>
        <v>6.1422675328184476E-2</v>
      </c>
      <c r="M30" s="121">
        <f t="shared" si="4"/>
        <v>26973522080923.273</v>
      </c>
      <c r="N30" s="121">
        <f t="shared" si="5"/>
        <v>1617942.862140432</v>
      </c>
      <c r="O30" s="121">
        <f t="shared" si="6"/>
        <v>2617739105151.1729</v>
      </c>
      <c r="Q30" t="s">
        <v>124</v>
      </c>
      <c r="R30">
        <f>R27/R28</f>
        <v>0</v>
      </c>
    </row>
    <row r="31" spans="1:25" x14ac:dyDescent="0.2">
      <c r="A31" s="41">
        <v>42886</v>
      </c>
      <c r="B31" s="42">
        <f>Inputs!D52</f>
        <v>88800673.140000001</v>
      </c>
      <c r="C31" s="123">
        <v>31</v>
      </c>
      <c r="D31" s="123">
        <f t="shared" si="7"/>
        <v>1</v>
      </c>
      <c r="E31" s="120">
        <f t="shared" si="7"/>
        <v>142.09090909090909</v>
      </c>
      <c r="F31" s="120">
        <f t="shared" si="7"/>
        <v>22.209090909090907</v>
      </c>
      <c r="G31" s="147">
        <v>0</v>
      </c>
      <c r="H31" s="157">
        <v>27889652</v>
      </c>
      <c r="I31" s="42">
        <f t="shared" si="0"/>
        <v>97876099.03586325</v>
      </c>
      <c r="J31" s="25">
        <f t="shared" si="1"/>
        <v>9075425.8958632499</v>
      </c>
      <c r="K31" s="34">
        <f t="shared" si="2"/>
        <v>0.10219996735334713</v>
      </c>
      <c r="L31" s="8">
        <f t="shared" si="3"/>
        <v>0.10219996735334713</v>
      </c>
      <c r="M31" s="121">
        <f t="shared" si="4"/>
        <v>82363355191305.266</v>
      </c>
      <c r="N31" s="121">
        <f t="shared" si="5"/>
        <v>3881821.9370574504</v>
      </c>
      <c r="O31" s="121">
        <f t="shared" si="6"/>
        <v>15068541551020.457</v>
      </c>
    </row>
    <row r="32" spans="1:25" x14ac:dyDescent="0.2">
      <c r="A32" s="41">
        <v>42916</v>
      </c>
      <c r="B32" s="42">
        <f>Inputs!D53</f>
        <v>101082278.53099999</v>
      </c>
      <c r="C32" s="123">
        <v>30</v>
      </c>
      <c r="D32" s="123">
        <f t="shared" si="7"/>
        <v>0</v>
      </c>
      <c r="E32" s="120">
        <f t="shared" si="7"/>
        <v>26.663636363636364</v>
      </c>
      <c r="F32" s="120">
        <f t="shared" si="7"/>
        <v>65.77272727272728</v>
      </c>
      <c r="G32" s="147">
        <v>0</v>
      </c>
      <c r="H32" s="157">
        <v>27692687</v>
      </c>
      <c r="I32" s="42">
        <f t="shared" si="0"/>
        <v>109639398.64443658</v>
      </c>
      <c r="J32" s="25">
        <f t="shared" si="1"/>
        <v>8557120.1134365946</v>
      </c>
      <c r="K32" s="34">
        <f t="shared" si="2"/>
        <v>8.4654998262749789E-2</v>
      </c>
      <c r="L32" s="8">
        <f t="shared" si="3"/>
        <v>8.4654998262749789E-2</v>
      </c>
      <c r="M32" s="121">
        <f t="shared" si="4"/>
        <v>73224304635781.125</v>
      </c>
      <c r="N32" s="121">
        <f t="shared" si="5"/>
        <v>-518305.78242665529</v>
      </c>
      <c r="O32" s="121">
        <f t="shared" si="6"/>
        <v>268640884096.90735</v>
      </c>
    </row>
    <row r="33" spans="1:18" x14ac:dyDescent="0.2">
      <c r="A33" s="41">
        <v>42947</v>
      </c>
      <c r="B33" s="42">
        <f>Inputs!D54</f>
        <v>111813962.39</v>
      </c>
      <c r="C33" s="123">
        <v>31</v>
      </c>
      <c r="D33" s="123">
        <f t="shared" si="7"/>
        <v>0</v>
      </c>
      <c r="E33" s="120">
        <f t="shared" si="7"/>
        <v>3.9272727272727277</v>
      </c>
      <c r="F33" s="120">
        <f t="shared" si="7"/>
        <v>114.20454545454545</v>
      </c>
      <c r="G33" s="147">
        <v>0</v>
      </c>
      <c r="H33" s="157">
        <v>21678298</v>
      </c>
      <c r="I33" s="42">
        <f t="shared" si="0"/>
        <v>118319654.21790753</v>
      </c>
      <c r="J33" s="25">
        <f t="shared" si="1"/>
        <v>6505691.8279075325</v>
      </c>
      <c r="K33" s="34">
        <f t="shared" si="2"/>
        <v>5.8183179353005064E-2</v>
      </c>
      <c r="L33" s="8">
        <f t="shared" si="3"/>
        <v>5.8183179353005064E-2</v>
      </c>
      <c r="M33" s="121">
        <f t="shared" si="4"/>
        <v>42324026159702.852</v>
      </c>
      <c r="N33" s="121">
        <f t="shared" si="5"/>
        <v>-2051428.2855290622</v>
      </c>
      <c r="O33" s="121">
        <f t="shared" si="6"/>
        <v>4208358010668.7075</v>
      </c>
      <c r="P33"/>
      <c r="R33" s="38"/>
    </row>
    <row r="34" spans="1:18" x14ac:dyDescent="0.2">
      <c r="A34" s="41">
        <v>42978</v>
      </c>
      <c r="B34" s="42">
        <f>Inputs!D55</f>
        <v>109237608.23999998</v>
      </c>
      <c r="C34" s="123">
        <v>31</v>
      </c>
      <c r="D34" s="123">
        <f t="shared" si="7"/>
        <v>0</v>
      </c>
      <c r="E34" s="120">
        <f t="shared" si="7"/>
        <v>11.709090909090911</v>
      </c>
      <c r="F34" s="120">
        <f t="shared" si="7"/>
        <v>87.795454545454533</v>
      </c>
      <c r="G34" s="147">
        <v>0</v>
      </c>
      <c r="H34" s="157">
        <v>26185973</v>
      </c>
      <c r="I34" s="42">
        <f t="shared" si="0"/>
        <v>116269410.70531222</v>
      </c>
      <c r="J34" s="25">
        <f t="shared" si="1"/>
        <v>7031802.4653122425</v>
      </c>
      <c r="K34" s="34">
        <f t="shared" si="2"/>
        <v>6.4371626023365991E-2</v>
      </c>
      <c r="L34" s="8">
        <f t="shared" si="3"/>
        <v>6.4371626023365991E-2</v>
      </c>
      <c r="M34" s="121">
        <f t="shared" si="4"/>
        <v>49446245911171.328</v>
      </c>
      <c r="N34" s="121">
        <f t="shared" si="5"/>
        <v>526110.63740471005</v>
      </c>
      <c r="O34" s="121">
        <f t="shared" si="6"/>
        <v>276792402790.39032</v>
      </c>
      <c r="P34"/>
    </row>
    <row r="35" spans="1:18" x14ac:dyDescent="0.2">
      <c r="A35" s="41">
        <v>43008</v>
      </c>
      <c r="B35" s="42">
        <f>Inputs!D56</f>
        <v>105318945.7</v>
      </c>
      <c r="C35" s="123">
        <v>30</v>
      </c>
      <c r="D35" s="123">
        <f t="shared" si="7"/>
        <v>0</v>
      </c>
      <c r="E35" s="120">
        <f t="shared" si="7"/>
        <v>45.56363636363637</v>
      </c>
      <c r="F35" s="120">
        <f t="shared" si="7"/>
        <v>41.22727272727272</v>
      </c>
      <c r="G35" s="147">
        <v>0</v>
      </c>
      <c r="H35" s="157">
        <v>24928173</v>
      </c>
      <c r="I35" s="42">
        <f t="shared" si="0"/>
        <v>100800274.99576291</v>
      </c>
      <c r="J35" s="25">
        <f t="shared" si="1"/>
        <v>-4518670.7042370886</v>
      </c>
      <c r="K35" s="34">
        <f t="shared" si="2"/>
        <v>-4.2904632914845905E-2</v>
      </c>
      <c r="L35" s="8">
        <f t="shared" si="3"/>
        <v>4.2904632914845905E-2</v>
      </c>
      <c r="M35" s="121">
        <f t="shared" si="4"/>
        <v>20418384933330.508</v>
      </c>
      <c r="N35" s="121">
        <f t="shared" si="5"/>
        <v>-11550473.169549331</v>
      </c>
      <c r="O35" s="121">
        <f t="shared" si="6"/>
        <v>133413430440478.97</v>
      </c>
      <c r="P35"/>
    </row>
    <row r="36" spans="1:18" x14ac:dyDescent="0.2">
      <c r="A36" s="41">
        <v>43039</v>
      </c>
      <c r="B36" s="42">
        <f>Inputs!D57</f>
        <v>99050383.330000013</v>
      </c>
      <c r="C36" s="123">
        <v>31</v>
      </c>
      <c r="D36" s="123">
        <f t="shared" si="7"/>
        <v>1</v>
      </c>
      <c r="E36" s="120">
        <f t="shared" si="7"/>
        <v>202.59500000000003</v>
      </c>
      <c r="F36" s="120">
        <f t="shared" si="7"/>
        <v>7.6800000000000015</v>
      </c>
      <c r="G36" s="147">
        <v>0</v>
      </c>
      <c r="H36" s="157">
        <v>24596657</v>
      </c>
      <c r="I36" s="42">
        <f t="shared" si="0"/>
        <v>92050573.650071025</v>
      </c>
      <c r="J36" s="25">
        <f t="shared" si="1"/>
        <v>-6999809.6799289882</v>
      </c>
      <c r="K36" s="34">
        <f t="shared" si="2"/>
        <v>-7.0669183142968328E-2</v>
      </c>
      <c r="L36" s="8">
        <f t="shared" si="3"/>
        <v>7.0669183142968328E-2</v>
      </c>
      <c r="M36" s="121">
        <f t="shared" si="4"/>
        <v>48997335555227.563</v>
      </c>
      <c r="N36" s="121">
        <f t="shared" si="5"/>
        <v>-2481138.9756918997</v>
      </c>
      <c r="O36" s="121">
        <f t="shared" si="6"/>
        <v>6156050616697.4492</v>
      </c>
      <c r="P36"/>
    </row>
    <row r="37" spans="1:18" x14ac:dyDescent="0.2">
      <c r="A37" s="41">
        <v>43069</v>
      </c>
      <c r="B37" s="42">
        <f>Inputs!D58</f>
        <v>99942861.300000012</v>
      </c>
      <c r="C37" s="123">
        <v>30</v>
      </c>
      <c r="D37" s="123">
        <f t="shared" si="7"/>
        <v>1</v>
      </c>
      <c r="E37" s="120">
        <f t="shared" si="7"/>
        <v>394.15</v>
      </c>
      <c r="F37" s="120">
        <f t="shared" si="7"/>
        <v>0.43000000000000005</v>
      </c>
      <c r="G37" s="147">
        <v>0</v>
      </c>
      <c r="H37" s="157">
        <v>26874868</v>
      </c>
      <c r="I37" s="42">
        <f t="shared" si="0"/>
        <v>94091385.135491177</v>
      </c>
      <c r="J37" s="25">
        <f t="shared" si="1"/>
        <v>-5851476.1645088345</v>
      </c>
      <c r="K37" s="34">
        <f t="shared" si="2"/>
        <v>-5.8548215334203506E-2</v>
      </c>
      <c r="L37" s="8">
        <f t="shared" si="3"/>
        <v>5.8548215334203506E-2</v>
      </c>
      <c r="M37" s="121">
        <f t="shared" si="4"/>
        <v>34239773303815.02</v>
      </c>
      <c r="N37" s="121">
        <f t="shared" si="5"/>
        <v>1148333.5154201537</v>
      </c>
      <c r="O37" s="121">
        <f t="shared" si="6"/>
        <v>1318669862637.2085</v>
      </c>
      <c r="P37"/>
    </row>
    <row r="38" spans="1:18" x14ac:dyDescent="0.2">
      <c r="A38" s="41">
        <v>43100</v>
      </c>
      <c r="B38" s="42">
        <f>Inputs!D59</f>
        <v>103823629.38</v>
      </c>
      <c r="C38" s="123">
        <v>31</v>
      </c>
      <c r="D38" s="123">
        <f t="shared" si="7"/>
        <v>0</v>
      </c>
      <c r="E38" s="120">
        <f t="shared" si="7"/>
        <v>538.66000000000008</v>
      </c>
      <c r="F38" s="120">
        <f t="shared" si="7"/>
        <v>0</v>
      </c>
      <c r="G38" s="147">
        <v>0</v>
      </c>
      <c r="H38" s="157">
        <v>23624013</v>
      </c>
      <c r="I38" s="42">
        <f t="shared" si="0"/>
        <v>102683346.06793231</v>
      </c>
      <c r="J38" s="25">
        <f t="shared" si="1"/>
        <v>-1140283.3120676875</v>
      </c>
      <c r="K38" s="34">
        <f t="shared" si="2"/>
        <v>-1.0982888181400306E-2</v>
      </c>
      <c r="L38" s="8">
        <f t="shared" si="3"/>
        <v>1.0982888181400306E-2</v>
      </c>
      <c r="M38" s="121">
        <f t="shared" si="4"/>
        <v>1300246031780.0552</v>
      </c>
      <c r="N38" s="121">
        <f t="shared" si="5"/>
        <v>4711192.852441147</v>
      </c>
      <c r="O38" s="121">
        <f t="shared" si="6"/>
        <v>22195338092892.551</v>
      </c>
      <c r="P38"/>
    </row>
    <row r="39" spans="1:18" x14ac:dyDescent="0.2">
      <c r="A39" s="41">
        <v>43131</v>
      </c>
      <c r="B39" s="42">
        <f>Inputs!D60</f>
        <v>106825889.7814208</v>
      </c>
      <c r="C39" s="123">
        <v>31</v>
      </c>
      <c r="D39" s="123">
        <f t="shared" si="7"/>
        <v>0</v>
      </c>
      <c r="E39" s="120">
        <f t="shared" si="7"/>
        <v>672.9727272727273</v>
      </c>
      <c r="F39" s="120">
        <f t="shared" si="7"/>
        <v>0</v>
      </c>
      <c r="G39" s="147">
        <v>0</v>
      </c>
      <c r="H39" s="157">
        <v>24254768</v>
      </c>
      <c r="I39" s="42">
        <f t="shared" si="0"/>
        <v>106390691.22258788</v>
      </c>
      <c r="J39" s="25">
        <f t="shared" si="1"/>
        <v>-435198.55883291364</v>
      </c>
      <c r="K39" s="34">
        <f t="shared" si="2"/>
        <v>-4.0739053025758516E-3</v>
      </c>
      <c r="L39" s="8">
        <f t="shared" si="3"/>
        <v>4.0739053025758516E-3</v>
      </c>
      <c r="M39" s="121">
        <f t="shared" si="4"/>
        <v>189397785610.245</v>
      </c>
      <c r="N39" s="121">
        <f t="shared" si="5"/>
        <v>705084.75323477387</v>
      </c>
      <c r="O39" s="121">
        <f t="shared" si="6"/>
        <v>497144509244.14197</v>
      </c>
      <c r="P39"/>
    </row>
    <row r="40" spans="1:18" x14ac:dyDescent="0.2">
      <c r="A40" s="41">
        <v>43159</v>
      </c>
      <c r="B40" s="42">
        <f>Inputs!D61</f>
        <v>92714687.858999997</v>
      </c>
      <c r="C40" s="123">
        <v>28</v>
      </c>
      <c r="D40" s="123">
        <f t="shared" si="7"/>
        <v>0</v>
      </c>
      <c r="E40" s="120">
        <f t="shared" si="7"/>
        <v>593.89090909090919</v>
      </c>
      <c r="F40" s="120">
        <f t="shared" si="7"/>
        <v>0</v>
      </c>
      <c r="G40" s="147">
        <v>0</v>
      </c>
      <c r="H40" s="157">
        <v>24396362</v>
      </c>
      <c r="I40" s="42">
        <f t="shared" si="0"/>
        <v>96395117.161429688</v>
      </c>
      <c r="J40" s="25">
        <f t="shared" si="1"/>
        <v>3680429.302429691</v>
      </c>
      <c r="K40" s="34">
        <f t="shared" si="2"/>
        <v>3.9696291789569182E-2</v>
      </c>
      <c r="L40" s="8">
        <f t="shared" si="3"/>
        <v>3.9696291789569182E-2</v>
      </c>
      <c r="M40" s="121">
        <f t="shared" si="4"/>
        <v>13545559850183.102</v>
      </c>
      <c r="N40" s="121">
        <f t="shared" si="5"/>
        <v>4115627.8612626046</v>
      </c>
      <c r="O40" s="121">
        <f t="shared" si="6"/>
        <v>16938392692401</v>
      </c>
      <c r="P40"/>
    </row>
    <row r="41" spans="1:18" x14ac:dyDescent="0.2">
      <c r="A41" s="41">
        <v>43190</v>
      </c>
      <c r="B41" s="42">
        <f>Inputs!D62</f>
        <v>100762780.59100001</v>
      </c>
      <c r="C41" s="123">
        <v>31</v>
      </c>
      <c r="D41" s="123">
        <f t="shared" si="7"/>
        <v>1</v>
      </c>
      <c r="E41" s="120">
        <f t="shared" si="7"/>
        <v>493.74999999999994</v>
      </c>
      <c r="F41" s="120">
        <f t="shared" si="7"/>
        <v>0</v>
      </c>
      <c r="G41" s="147">
        <v>0</v>
      </c>
      <c r="H41" s="157">
        <v>27480792</v>
      </c>
      <c r="I41" s="42">
        <f t="shared" si="0"/>
        <v>99652639.873134211</v>
      </c>
      <c r="J41" s="25">
        <f t="shared" si="1"/>
        <v>-1110140.7178657949</v>
      </c>
      <c r="K41" s="34">
        <f t="shared" si="2"/>
        <v>-1.1017368827602115E-2</v>
      </c>
      <c r="L41" s="8">
        <f t="shared" si="3"/>
        <v>1.1017368827602115E-2</v>
      </c>
      <c r="M41" s="121">
        <f t="shared" si="4"/>
        <v>1232412413463.5825</v>
      </c>
      <c r="N41" s="121">
        <f t="shared" si="5"/>
        <v>-4790570.0202954859</v>
      </c>
      <c r="O41" s="121">
        <f t="shared" si="6"/>
        <v>22949561119353.891</v>
      </c>
      <c r="P41"/>
    </row>
    <row r="42" spans="1:18" x14ac:dyDescent="0.2">
      <c r="A42" s="41">
        <v>43220</v>
      </c>
      <c r="B42" s="42">
        <f>Inputs!D63</f>
        <v>93453119.36999999</v>
      </c>
      <c r="C42" s="123">
        <v>30</v>
      </c>
      <c r="D42" s="123">
        <f t="shared" si="7"/>
        <v>1</v>
      </c>
      <c r="E42" s="120">
        <f t="shared" si="7"/>
        <v>320.75454545454545</v>
      </c>
      <c r="F42" s="120">
        <f t="shared" si="7"/>
        <v>0.4</v>
      </c>
      <c r="G42" s="147">
        <v>0</v>
      </c>
      <c r="H42" s="157">
        <v>26263629</v>
      </c>
      <c r="I42" s="42">
        <f t="shared" si="0"/>
        <v>91781723.08196415</v>
      </c>
      <c r="J42" s="25">
        <f t="shared" si="1"/>
        <v>-1671396.2880358398</v>
      </c>
      <c r="K42" s="34">
        <f t="shared" si="2"/>
        <v>-1.7884863547662229E-2</v>
      </c>
      <c r="L42" s="8">
        <f t="shared" si="3"/>
        <v>1.7884863547662229E-2</v>
      </c>
      <c r="M42" s="121">
        <f t="shared" si="4"/>
        <v>2793565551659.9839</v>
      </c>
      <c r="N42" s="121">
        <f t="shared" si="5"/>
        <v>-561255.5701700449</v>
      </c>
      <c r="O42" s="121">
        <f t="shared" si="6"/>
        <v>315007815046.90222</v>
      </c>
      <c r="P42"/>
    </row>
    <row r="43" spans="1:18" x14ac:dyDescent="0.2">
      <c r="A43" s="41">
        <v>43251</v>
      </c>
      <c r="B43" s="42">
        <f>Inputs!D64</f>
        <v>97499887.127999991</v>
      </c>
      <c r="C43" s="123">
        <v>31</v>
      </c>
      <c r="D43" s="123">
        <f t="shared" si="7"/>
        <v>1</v>
      </c>
      <c r="E43" s="120">
        <f t="shared" si="7"/>
        <v>142.09090909090909</v>
      </c>
      <c r="F43" s="120">
        <f t="shared" si="7"/>
        <v>22.209090909090907</v>
      </c>
      <c r="G43" s="147">
        <v>0</v>
      </c>
      <c r="H43" s="157">
        <v>28175765</v>
      </c>
      <c r="I43" s="42">
        <f t="shared" si="0"/>
        <v>98172283.677745834</v>
      </c>
      <c r="J43" s="25">
        <f t="shared" si="1"/>
        <v>672396.54974584281</v>
      </c>
      <c r="K43" s="34">
        <f t="shared" si="2"/>
        <v>6.8963828528653152E-3</v>
      </c>
      <c r="L43" s="8">
        <f t="shared" si="3"/>
        <v>6.8963828528653152E-3</v>
      </c>
      <c r="M43" s="121">
        <f t="shared" si="4"/>
        <v>452117120110.11365</v>
      </c>
      <c r="N43" s="121">
        <f t="shared" si="5"/>
        <v>2343792.8377816826</v>
      </c>
      <c r="O43" s="121">
        <f t="shared" si="6"/>
        <v>5493364866436.7129</v>
      </c>
      <c r="P43"/>
    </row>
    <row r="44" spans="1:18" x14ac:dyDescent="0.2">
      <c r="A44" s="41">
        <v>43281</v>
      </c>
      <c r="B44" s="42">
        <f>Inputs!D65</f>
        <v>104943076.84800002</v>
      </c>
      <c r="C44" s="123">
        <v>30</v>
      </c>
      <c r="D44" s="123">
        <f t="shared" si="7"/>
        <v>0</v>
      </c>
      <c r="E44" s="120">
        <f t="shared" si="7"/>
        <v>26.663636363636364</v>
      </c>
      <c r="F44" s="120">
        <f t="shared" si="7"/>
        <v>65.77272727272728</v>
      </c>
      <c r="G44" s="147">
        <v>0</v>
      </c>
      <c r="H44" s="157">
        <v>28179726</v>
      </c>
      <c r="I44" s="42">
        <f t="shared" si="0"/>
        <v>110143582.20756671</v>
      </c>
      <c r="J44" s="25">
        <f t="shared" si="1"/>
        <v>5200505.3595666885</v>
      </c>
      <c r="K44" s="34">
        <f t="shared" si="2"/>
        <v>4.9555487753604952E-2</v>
      </c>
      <c r="L44" s="8">
        <f t="shared" si="3"/>
        <v>4.9555487753604952E-2</v>
      </c>
      <c r="M44" s="121">
        <f t="shared" si="4"/>
        <v>27045255994881.852</v>
      </c>
      <c r="N44" s="121">
        <f t="shared" si="5"/>
        <v>4528108.8098208457</v>
      </c>
      <c r="O44" s="121">
        <f t="shared" si="6"/>
        <v>20503769393577.156</v>
      </c>
      <c r="P44"/>
    </row>
    <row r="45" spans="1:18" x14ac:dyDescent="0.2">
      <c r="A45" s="41">
        <v>43312</v>
      </c>
      <c r="B45" s="42">
        <f>Inputs!D66</f>
        <v>122641656.529</v>
      </c>
      <c r="C45" s="123">
        <v>31</v>
      </c>
      <c r="D45" s="123">
        <f t="shared" si="7"/>
        <v>0</v>
      </c>
      <c r="E45" s="120">
        <f t="shared" si="7"/>
        <v>3.9272727272727277</v>
      </c>
      <c r="F45" s="120">
        <f t="shared" si="7"/>
        <v>114.20454545454545</v>
      </c>
      <c r="G45" s="147">
        <v>0</v>
      </c>
      <c r="H45" s="157">
        <v>24785543</v>
      </c>
      <c r="I45" s="42">
        <f t="shared" si="0"/>
        <v>121536279.28411019</v>
      </c>
      <c r="J45" s="25">
        <f t="shared" si="1"/>
        <v>-1105377.2448898107</v>
      </c>
      <c r="K45" s="34">
        <f t="shared" si="2"/>
        <v>-9.0130651866108143E-3</v>
      </c>
      <c r="L45" s="8">
        <f t="shared" si="3"/>
        <v>9.0130651866108143E-3</v>
      </c>
      <c r="M45" s="121">
        <f t="shared" si="4"/>
        <v>1221858853520.1885</v>
      </c>
      <c r="N45" s="121">
        <f t="shared" si="5"/>
        <v>-6305882.6044564992</v>
      </c>
      <c r="O45" s="121">
        <f t="shared" si="6"/>
        <v>39764155421187.078</v>
      </c>
      <c r="P45"/>
    </row>
    <row r="46" spans="1:18" x14ac:dyDescent="0.2">
      <c r="A46" s="41">
        <v>43343</v>
      </c>
      <c r="B46" s="42">
        <f>Inputs!D67</f>
        <v>125626145.32900003</v>
      </c>
      <c r="C46" s="123">
        <v>31</v>
      </c>
      <c r="D46" s="123">
        <f t="shared" si="7"/>
        <v>0</v>
      </c>
      <c r="E46" s="120">
        <f t="shared" si="7"/>
        <v>11.709090909090911</v>
      </c>
      <c r="F46" s="120">
        <f t="shared" si="7"/>
        <v>87.795454545454533</v>
      </c>
      <c r="G46" s="147">
        <v>0</v>
      </c>
      <c r="H46" s="157">
        <v>28118914</v>
      </c>
      <c r="I46" s="42">
        <f t="shared" si="0"/>
        <v>118270394.36514299</v>
      </c>
      <c r="J46" s="25">
        <f t="shared" si="1"/>
        <v>-7355750.9638570398</v>
      </c>
      <c r="K46" s="34">
        <f t="shared" si="2"/>
        <v>-5.8552707675565446E-2</v>
      </c>
      <c r="L46" s="8">
        <f t="shared" si="3"/>
        <v>5.8552707675565446E-2</v>
      </c>
      <c r="M46" s="121">
        <f t="shared" si="4"/>
        <v>54107072242283.773</v>
      </c>
      <c r="N46" s="121">
        <f t="shared" si="5"/>
        <v>-6250373.7189672291</v>
      </c>
      <c r="O46" s="121">
        <f t="shared" si="6"/>
        <v>39067171626756.234</v>
      </c>
      <c r="P46"/>
    </row>
    <row r="47" spans="1:18" x14ac:dyDescent="0.2">
      <c r="A47" s="41">
        <v>43373</v>
      </c>
      <c r="B47" s="42">
        <f>Inputs!D68</f>
        <v>108215469.03999999</v>
      </c>
      <c r="C47" s="123">
        <v>30</v>
      </c>
      <c r="D47" s="123">
        <f t="shared" si="7"/>
        <v>0</v>
      </c>
      <c r="E47" s="120">
        <f t="shared" si="7"/>
        <v>45.56363636363637</v>
      </c>
      <c r="F47" s="120">
        <f t="shared" si="7"/>
        <v>41.22727272727272</v>
      </c>
      <c r="G47" s="147">
        <v>0</v>
      </c>
      <c r="H47" s="157">
        <v>26444395</v>
      </c>
      <c r="I47" s="42">
        <f t="shared" si="0"/>
        <v>102369870.47057354</v>
      </c>
      <c r="J47" s="25">
        <f t="shared" si="1"/>
        <v>-5845598.5694264472</v>
      </c>
      <c r="K47" s="34">
        <f t="shared" si="2"/>
        <v>-5.4018141965135519E-2</v>
      </c>
      <c r="L47" s="8">
        <f t="shared" si="3"/>
        <v>5.4018141965135519E-2</v>
      </c>
      <c r="M47" s="121">
        <f t="shared" si="4"/>
        <v>34171022634880.527</v>
      </c>
      <c r="N47" s="121">
        <f t="shared" si="5"/>
        <v>1510152.3944305927</v>
      </c>
      <c r="O47" s="121">
        <f t="shared" si="6"/>
        <v>2280560254404.4521</v>
      </c>
      <c r="P47"/>
    </row>
    <row r="48" spans="1:18" x14ac:dyDescent="0.2">
      <c r="A48" s="41">
        <v>43404</v>
      </c>
      <c r="B48" s="42">
        <f>Inputs!D69</f>
        <v>98748100.769000039</v>
      </c>
      <c r="C48" s="123">
        <v>31</v>
      </c>
      <c r="D48" s="123">
        <f t="shared" si="7"/>
        <v>1</v>
      </c>
      <c r="E48" s="120">
        <f t="shared" si="7"/>
        <v>202.59500000000003</v>
      </c>
      <c r="F48" s="120">
        <f t="shared" si="7"/>
        <v>7.6800000000000015</v>
      </c>
      <c r="G48" s="147">
        <v>0</v>
      </c>
      <c r="H48" s="157">
        <v>28462067</v>
      </c>
      <c r="I48" s="42">
        <f t="shared" si="0"/>
        <v>96052052.354566634</v>
      </c>
      <c r="J48" s="25">
        <f t="shared" si="1"/>
        <v>-2696048.4144334048</v>
      </c>
      <c r="K48" s="34">
        <f t="shared" si="2"/>
        <v>-2.7302281192630031E-2</v>
      </c>
      <c r="L48" s="8">
        <f t="shared" si="3"/>
        <v>2.7302281192630031E-2</v>
      </c>
      <c r="M48" s="121">
        <f t="shared" si="4"/>
        <v>7268677052968.876</v>
      </c>
      <c r="N48" s="121">
        <f t="shared" si="5"/>
        <v>3149550.1549930423</v>
      </c>
      <c r="O48" s="121">
        <f t="shared" si="6"/>
        <v>9919666178816.6973</v>
      </c>
      <c r="P48"/>
    </row>
    <row r="49" spans="1:16" x14ac:dyDescent="0.2">
      <c r="A49" s="41">
        <v>43434</v>
      </c>
      <c r="B49" s="42">
        <f>Inputs!D70</f>
        <v>99742440.160000011</v>
      </c>
      <c r="C49" s="123">
        <v>30</v>
      </c>
      <c r="D49" s="123">
        <f t="shared" si="7"/>
        <v>1</v>
      </c>
      <c r="E49" s="120">
        <f t="shared" si="7"/>
        <v>394.15</v>
      </c>
      <c r="F49" s="120">
        <f t="shared" si="7"/>
        <v>0.43000000000000005</v>
      </c>
      <c r="G49" s="147">
        <v>0</v>
      </c>
      <c r="H49" s="157">
        <v>27990486</v>
      </c>
      <c r="I49" s="42">
        <f t="shared" si="0"/>
        <v>95246274.699431866</v>
      </c>
      <c r="J49" s="25">
        <f t="shared" si="1"/>
        <v>-4496165.4605681449</v>
      </c>
      <c r="K49" s="34">
        <f t="shared" si="2"/>
        <v>-4.5077756803981364E-2</v>
      </c>
      <c r="L49" s="8">
        <f t="shared" si="3"/>
        <v>4.5077756803981364E-2</v>
      </c>
      <c r="M49" s="121">
        <f t="shared" si="4"/>
        <v>20215503848805.957</v>
      </c>
      <c r="N49" s="121">
        <f t="shared" si="5"/>
        <v>-1800117.0461347401</v>
      </c>
      <c r="O49" s="121">
        <f t="shared" si="6"/>
        <v>3240421379784.8623</v>
      </c>
      <c r="P49"/>
    </row>
    <row r="50" spans="1:16" x14ac:dyDescent="0.2">
      <c r="A50" s="41">
        <v>43465</v>
      </c>
      <c r="B50" s="42">
        <f>Inputs!D71</f>
        <v>98928053.012999997</v>
      </c>
      <c r="C50" s="123">
        <v>31</v>
      </c>
      <c r="D50" s="123">
        <f t="shared" si="7"/>
        <v>0</v>
      </c>
      <c r="E50" s="120">
        <f t="shared" si="7"/>
        <v>538.66000000000008</v>
      </c>
      <c r="F50" s="120">
        <f t="shared" si="7"/>
        <v>0</v>
      </c>
      <c r="G50" s="147">
        <v>0</v>
      </c>
      <c r="H50" s="157">
        <v>24418226</v>
      </c>
      <c r="I50" s="42">
        <f t="shared" si="0"/>
        <v>103505516.65432122</v>
      </c>
      <c r="J50" s="25">
        <f t="shared" si="1"/>
        <v>4577463.641321227</v>
      </c>
      <c r="K50" s="34">
        <f t="shared" si="2"/>
        <v>4.6270633070274909E-2</v>
      </c>
      <c r="L50" s="8">
        <f t="shared" si="3"/>
        <v>4.6270633070274909E-2</v>
      </c>
      <c r="M50" s="121">
        <f t="shared" si="4"/>
        <v>20953173387617.785</v>
      </c>
      <c r="N50" s="121">
        <f t="shared" si="5"/>
        <v>9073629.1018893719</v>
      </c>
      <c r="O50" s="121">
        <f t="shared" si="6"/>
        <v>82330745078653.734</v>
      </c>
      <c r="P50"/>
    </row>
    <row r="51" spans="1:16" x14ac:dyDescent="0.2">
      <c r="A51" s="41">
        <v>43496</v>
      </c>
      <c r="B51" s="42">
        <f>Inputs!D72</f>
        <v>107530191.59399998</v>
      </c>
      <c r="C51" s="123">
        <v>31</v>
      </c>
      <c r="D51" s="123">
        <f t="shared" si="7"/>
        <v>0</v>
      </c>
      <c r="E51" s="120">
        <f t="shared" si="7"/>
        <v>672.9727272727273</v>
      </c>
      <c r="F51" s="120">
        <f t="shared" si="7"/>
        <v>0</v>
      </c>
      <c r="G51" s="147">
        <v>0</v>
      </c>
      <c r="H51" s="157">
        <v>25785115</v>
      </c>
      <c r="I51" s="42">
        <f t="shared" si="0"/>
        <v>107974908.9203195</v>
      </c>
      <c r="J51" s="25">
        <f t="shared" si="1"/>
        <v>444717.32631951571</v>
      </c>
      <c r="K51" s="34">
        <f t="shared" si="2"/>
        <v>4.1357438290320157E-3</v>
      </c>
      <c r="L51" s="8">
        <f t="shared" si="3"/>
        <v>4.1357438290320157E-3</v>
      </c>
      <c r="M51" s="121">
        <f t="shared" si="4"/>
        <v>197773500328.77863</v>
      </c>
      <c r="N51" s="121">
        <f t="shared" si="5"/>
        <v>-4132746.3150017112</v>
      </c>
      <c r="O51" s="121">
        <f t="shared" si="6"/>
        <v>17079592104160.223</v>
      </c>
      <c r="P51"/>
    </row>
    <row r="52" spans="1:16" x14ac:dyDescent="0.2">
      <c r="A52" s="41">
        <v>43524</v>
      </c>
      <c r="B52" s="42">
        <f>Inputs!D73</f>
        <v>96871247.836999983</v>
      </c>
      <c r="C52" s="123">
        <v>28</v>
      </c>
      <c r="D52" s="123">
        <f t="shared" si="7"/>
        <v>0</v>
      </c>
      <c r="E52" s="120">
        <f t="shared" si="7"/>
        <v>593.89090909090919</v>
      </c>
      <c r="F52" s="120">
        <f t="shared" si="7"/>
        <v>0</v>
      </c>
      <c r="G52" s="147">
        <v>0</v>
      </c>
      <c r="H52" s="157">
        <v>24283797</v>
      </c>
      <c r="I52" s="42">
        <f t="shared" si="0"/>
        <v>96278589.690767705</v>
      </c>
      <c r="J52" s="25">
        <f t="shared" si="1"/>
        <v>-592658.14623227715</v>
      </c>
      <c r="K52" s="34">
        <f t="shared" si="2"/>
        <v>-6.1179984718428629E-3</v>
      </c>
      <c r="L52" s="8">
        <f t="shared" si="3"/>
        <v>6.1179984718428629E-3</v>
      </c>
      <c r="M52" s="121">
        <f t="shared" si="4"/>
        <v>351243678295.47919</v>
      </c>
      <c r="N52" s="121">
        <f t="shared" si="5"/>
        <v>-1037375.4725517929</v>
      </c>
      <c r="O52" s="121">
        <f t="shared" si="6"/>
        <v>1076147871052.0555</v>
      </c>
      <c r="P52"/>
    </row>
    <row r="53" spans="1:16" x14ac:dyDescent="0.2">
      <c r="A53" s="41">
        <v>43555</v>
      </c>
      <c r="B53" s="42">
        <f>Inputs!D74</f>
        <v>101278430.30499999</v>
      </c>
      <c r="C53" s="123">
        <v>31</v>
      </c>
      <c r="D53" s="123">
        <f t="shared" si="7"/>
        <v>1</v>
      </c>
      <c r="E53" s="120">
        <f t="shared" si="7"/>
        <v>493.74999999999994</v>
      </c>
      <c r="F53" s="120">
        <f t="shared" si="7"/>
        <v>0</v>
      </c>
      <c r="G53" s="147">
        <v>0</v>
      </c>
      <c r="H53" s="157">
        <v>27688795</v>
      </c>
      <c r="I53" s="42">
        <f t="shared" si="0"/>
        <v>99867964.916265786</v>
      </c>
      <c r="J53" s="25">
        <f t="shared" si="1"/>
        <v>-1410465.3887342066</v>
      </c>
      <c r="K53" s="34">
        <f t="shared" si="2"/>
        <v>-1.3926611860853194E-2</v>
      </c>
      <c r="L53" s="8">
        <f t="shared" si="3"/>
        <v>1.3926611860853194E-2</v>
      </c>
      <c r="M53" s="121">
        <f t="shared" si="4"/>
        <v>1989412612817.1365</v>
      </c>
      <c r="N53" s="121">
        <f t="shared" si="5"/>
        <v>-817807.2425019294</v>
      </c>
      <c r="O53" s="121">
        <f t="shared" si="6"/>
        <v>668808685888.60962</v>
      </c>
      <c r="P53"/>
    </row>
    <row r="54" spans="1:16" x14ac:dyDescent="0.2">
      <c r="A54" s="41">
        <v>43585</v>
      </c>
      <c r="B54" s="42">
        <f>Inputs!D75</f>
        <v>89051057.089999989</v>
      </c>
      <c r="C54" s="123">
        <v>30</v>
      </c>
      <c r="D54" s="123">
        <f t="shared" si="7"/>
        <v>1</v>
      </c>
      <c r="E54" s="120">
        <f t="shared" si="7"/>
        <v>320.75454545454545</v>
      </c>
      <c r="F54" s="120">
        <f t="shared" si="7"/>
        <v>0.4</v>
      </c>
      <c r="G54" s="147">
        <v>0</v>
      </c>
      <c r="H54" s="157">
        <v>26428544</v>
      </c>
      <c r="I54" s="42">
        <f t="shared" si="0"/>
        <v>91952443.357575774</v>
      </c>
      <c r="J54" s="25">
        <f t="shared" si="1"/>
        <v>2901386.2675757855</v>
      </c>
      <c r="K54" s="34">
        <f t="shared" si="2"/>
        <v>3.2581154703682877E-2</v>
      </c>
      <c r="L54" s="8">
        <f t="shared" si="3"/>
        <v>3.2581154703682877E-2</v>
      </c>
      <c r="M54" s="121">
        <f t="shared" si="4"/>
        <v>8418042273677.3477</v>
      </c>
      <c r="N54" s="121">
        <f t="shared" si="5"/>
        <v>4311851.6563099921</v>
      </c>
      <c r="O54" s="121">
        <f t="shared" si="6"/>
        <v>18592064706023.223</v>
      </c>
      <c r="P54"/>
    </row>
    <row r="55" spans="1:16" x14ac:dyDescent="0.2">
      <c r="A55" s="41">
        <v>43616</v>
      </c>
      <c r="B55" s="42">
        <f>Inputs!D76</f>
        <v>91271581.115999982</v>
      </c>
      <c r="C55" s="123">
        <v>31</v>
      </c>
      <c r="D55" s="123">
        <f t="shared" si="7"/>
        <v>1</v>
      </c>
      <c r="E55" s="120">
        <f t="shared" si="7"/>
        <v>142.09090909090909</v>
      </c>
      <c r="F55" s="120">
        <f t="shared" si="7"/>
        <v>22.209090909090907</v>
      </c>
      <c r="G55" s="147">
        <v>0</v>
      </c>
      <c r="H55" s="157">
        <v>29199081</v>
      </c>
      <c r="I55" s="42">
        <f t="shared" si="0"/>
        <v>99231622.061505809</v>
      </c>
      <c r="J55" s="25">
        <f t="shared" si="1"/>
        <v>7960040.9455058277</v>
      </c>
      <c r="K55" s="34">
        <f t="shared" si="2"/>
        <v>8.7212699157574097E-2</v>
      </c>
      <c r="L55" s="8">
        <f t="shared" si="3"/>
        <v>8.7212699157574097E-2</v>
      </c>
      <c r="M55" s="121">
        <f t="shared" si="4"/>
        <v>63362251854129.313</v>
      </c>
      <c r="N55" s="121">
        <f t="shared" si="5"/>
        <v>5058654.6779300421</v>
      </c>
      <c r="O55" s="121">
        <f t="shared" si="6"/>
        <v>25589987150543.5</v>
      </c>
      <c r="P55"/>
    </row>
    <row r="56" spans="1:16" x14ac:dyDescent="0.2">
      <c r="A56" s="41">
        <v>43646</v>
      </c>
      <c r="B56" s="42">
        <f>Inputs!D77</f>
        <v>97440947.072999999</v>
      </c>
      <c r="C56" s="123">
        <v>30</v>
      </c>
      <c r="D56" s="123">
        <f t="shared" si="7"/>
        <v>0</v>
      </c>
      <c r="E56" s="120">
        <f t="shared" si="7"/>
        <v>26.663636363636364</v>
      </c>
      <c r="F56" s="120">
        <f t="shared" si="7"/>
        <v>65.77272727272728</v>
      </c>
      <c r="G56" s="147">
        <v>0</v>
      </c>
      <c r="H56" s="157">
        <v>27741318</v>
      </c>
      <c r="I56" s="42">
        <f t="shared" si="0"/>
        <v>109689741.53455131</v>
      </c>
      <c r="J56" s="25">
        <f t="shared" si="1"/>
        <v>12248794.461551309</v>
      </c>
      <c r="K56" s="34">
        <f t="shared" si="2"/>
        <v>0.12570479689996095</v>
      </c>
      <c r="L56" s="8">
        <f t="shared" si="3"/>
        <v>0.12570479689996095</v>
      </c>
      <c r="M56" s="121">
        <f t="shared" si="4"/>
        <v>150032965761330</v>
      </c>
      <c r="N56" s="121">
        <f t="shared" si="5"/>
        <v>4288753.516045481</v>
      </c>
      <c r="O56" s="121">
        <f t="shared" si="6"/>
        <v>18393406721392.477</v>
      </c>
      <c r="P56"/>
    </row>
    <row r="57" spans="1:16" x14ac:dyDescent="0.2">
      <c r="A57" s="41">
        <v>43677</v>
      </c>
      <c r="B57" s="42">
        <f>Inputs!D78</f>
        <v>124803907.67999999</v>
      </c>
      <c r="C57" s="123">
        <v>31</v>
      </c>
      <c r="D57" s="123">
        <f t="shared" si="7"/>
        <v>0</v>
      </c>
      <c r="E57" s="120">
        <f t="shared" si="7"/>
        <v>3.9272727272727277</v>
      </c>
      <c r="F57" s="120">
        <f t="shared" si="7"/>
        <v>114.20454545454545</v>
      </c>
      <c r="G57" s="147">
        <v>0</v>
      </c>
      <c r="H57" s="157">
        <v>24905053</v>
      </c>
      <c r="I57" s="42">
        <f t="shared" si="0"/>
        <v>121659996.23004201</v>
      </c>
      <c r="J57" s="25">
        <f t="shared" si="1"/>
        <v>-3143911.4499579817</v>
      </c>
      <c r="K57" s="34">
        <f t="shared" si="2"/>
        <v>-2.519080939371739E-2</v>
      </c>
      <c r="L57" s="8">
        <f t="shared" si="3"/>
        <v>2.519080939371739E-2</v>
      </c>
      <c r="M57" s="121">
        <f t="shared" si="4"/>
        <v>9884179205176.8984</v>
      </c>
      <c r="N57" s="121">
        <f t="shared" si="5"/>
        <v>-15392705.91150929</v>
      </c>
      <c r="O57" s="121">
        <f t="shared" si="6"/>
        <v>236935395278213.06</v>
      </c>
      <c r="P57"/>
    </row>
    <row r="58" spans="1:16" x14ac:dyDescent="0.2">
      <c r="A58" s="41">
        <v>43708</v>
      </c>
      <c r="B58" s="42">
        <f>Inputs!D79</f>
        <v>118125634.766</v>
      </c>
      <c r="C58" s="123">
        <v>31</v>
      </c>
      <c r="D58" s="123">
        <f t="shared" si="7"/>
        <v>0</v>
      </c>
      <c r="E58" s="120">
        <f t="shared" si="7"/>
        <v>11.709090909090911</v>
      </c>
      <c r="F58" s="120">
        <f t="shared" si="7"/>
        <v>87.795454545454533</v>
      </c>
      <c r="G58" s="147">
        <v>0</v>
      </c>
      <c r="H58" s="157">
        <v>27300101</v>
      </c>
      <c r="I58" s="42">
        <f t="shared" si="0"/>
        <v>117422757.81883505</v>
      </c>
      <c r="J58" s="25">
        <f t="shared" si="1"/>
        <v>-702876.94716495275</v>
      </c>
      <c r="K58" s="34">
        <f t="shared" si="2"/>
        <v>-5.9502490594637737E-3</v>
      </c>
      <c r="L58" s="8">
        <f t="shared" si="3"/>
        <v>5.9502490594637737E-3</v>
      </c>
      <c r="M58" s="121">
        <f t="shared" si="4"/>
        <v>494036002855.92377</v>
      </c>
      <c r="N58" s="121">
        <f t="shared" si="5"/>
        <v>2441034.502793029</v>
      </c>
      <c r="O58" s="121">
        <f t="shared" si="6"/>
        <v>5958649443826.0098</v>
      </c>
      <c r="P58"/>
    </row>
    <row r="59" spans="1:16" x14ac:dyDescent="0.2">
      <c r="A59" s="41">
        <v>43738</v>
      </c>
      <c r="B59" s="42">
        <f>Inputs!D80</f>
        <v>103269140.34899999</v>
      </c>
      <c r="C59" s="123">
        <v>30</v>
      </c>
      <c r="D59" s="123">
        <f t="shared" si="7"/>
        <v>0</v>
      </c>
      <c r="E59" s="120">
        <f t="shared" si="7"/>
        <v>45.56363636363637</v>
      </c>
      <c r="F59" s="120">
        <f t="shared" si="7"/>
        <v>41.22727272727272</v>
      </c>
      <c r="G59" s="147">
        <v>0</v>
      </c>
      <c r="H59" s="157">
        <v>26985608</v>
      </c>
      <c r="I59" s="42">
        <f t="shared" si="0"/>
        <v>102930135.04641315</v>
      </c>
      <c r="J59" s="25">
        <f t="shared" si="1"/>
        <v>-339005.3025868386</v>
      </c>
      <c r="K59" s="34">
        <f t="shared" si="2"/>
        <v>-3.2827357857455174E-3</v>
      </c>
      <c r="L59" s="8">
        <f t="shared" si="3"/>
        <v>3.2827357857455174E-3</v>
      </c>
      <c r="M59" s="121">
        <f t="shared" si="4"/>
        <v>114924595181.994</v>
      </c>
      <c r="N59" s="121">
        <f t="shared" si="5"/>
        <v>363871.64457811415</v>
      </c>
      <c r="O59" s="121">
        <f t="shared" si="6"/>
        <v>132402573727.98143</v>
      </c>
      <c r="P59"/>
    </row>
    <row r="60" spans="1:16" x14ac:dyDescent="0.2">
      <c r="A60" s="41">
        <v>43769</v>
      </c>
      <c r="B60" s="42">
        <f>Inputs!D81</f>
        <v>95954535.86999999</v>
      </c>
      <c r="C60" s="123">
        <v>31</v>
      </c>
      <c r="D60" s="123">
        <f t="shared" si="7"/>
        <v>1</v>
      </c>
      <c r="E60" s="120">
        <f t="shared" si="7"/>
        <v>202.59500000000003</v>
      </c>
      <c r="F60" s="120">
        <f t="shared" si="7"/>
        <v>7.6800000000000015</v>
      </c>
      <c r="G60" s="147">
        <v>0</v>
      </c>
      <c r="H60" s="157">
        <v>27257415</v>
      </c>
      <c r="I60" s="42">
        <f t="shared" si="0"/>
        <v>94804994.649348289</v>
      </c>
      <c r="J60" s="25">
        <f t="shared" si="1"/>
        <v>-1149541.2206517011</v>
      </c>
      <c r="K60" s="34">
        <f t="shared" si="2"/>
        <v>-1.198006128870353E-2</v>
      </c>
      <c r="L60" s="8">
        <f t="shared" si="3"/>
        <v>1.198006128870353E-2</v>
      </c>
      <c r="M60" s="121">
        <f t="shared" si="4"/>
        <v>1321445017977.4028</v>
      </c>
      <c r="N60" s="121">
        <f t="shared" si="5"/>
        <v>-810535.91806486249</v>
      </c>
      <c r="O60" s="121">
        <f t="shared" si="6"/>
        <v>656968474473.24951</v>
      </c>
      <c r="P60"/>
    </row>
    <row r="61" spans="1:16" x14ac:dyDescent="0.2">
      <c r="A61" s="41">
        <v>43799</v>
      </c>
      <c r="B61" s="42">
        <f>Inputs!D82</f>
        <v>99106544.030000001</v>
      </c>
      <c r="C61" s="123">
        <v>30</v>
      </c>
      <c r="D61" s="123">
        <f t="shared" si="7"/>
        <v>1</v>
      </c>
      <c r="E61" s="120">
        <f t="shared" si="7"/>
        <v>394.15</v>
      </c>
      <c r="F61" s="120">
        <f t="shared" si="7"/>
        <v>0.43000000000000005</v>
      </c>
      <c r="G61" s="147">
        <v>0</v>
      </c>
      <c r="H61" s="157">
        <v>26937494</v>
      </c>
      <c r="I61" s="42">
        <f t="shared" si="0"/>
        <v>94156215.672315925</v>
      </c>
      <c r="J61" s="25">
        <f t="shared" si="1"/>
        <v>-4950328.3576840758</v>
      </c>
      <c r="K61" s="34">
        <f t="shared" si="2"/>
        <v>-4.9949560910786971E-2</v>
      </c>
      <c r="L61" s="8">
        <f t="shared" si="3"/>
        <v>4.9949560910786971E-2</v>
      </c>
      <c r="M61" s="121">
        <f t="shared" si="4"/>
        <v>24505750848891.121</v>
      </c>
      <c r="N61" s="121">
        <f t="shared" si="5"/>
        <v>-3800787.1370323747</v>
      </c>
      <c r="O61" s="121">
        <f t="shared" si="6"/>
        <v>14445982861030.756</v>
      </c>
      <c r="P61"/>
    </row>
    <row r="62" spans="1:16" x14ac:dyDescent="0.2">
      <c r="A62" s="41">
        <v>43830</v>
      </c>
      <c r="B62" s="42">
        <f>Inputs!D83</f>
        <v>99618091.980000004</v>
      </c>
      <c r="C62" s="123">
        <v>31</v>
      </c>
      <c r="D62" s="123">
        <f t="shared" si="7"/>
        <v>0</v>
      </c>
      <c r="E62" s="120">
        <f t="shared" si="7"/>
        <v>538.66000000000008</v>
      </c>
      <c r="F62" s="120">
        <f t="shared" si="7"/>
        <v>0</v>
      </c>
      <c r="G62" s="147">
        <v>0</v>
      </c>
      <c r="H62" s="157">
        <v>24304667</v>
      </c>
      <c r="I62" s="42">
        <f t="shared" si="0"/>
        <v>103387960.19324625</v>
      </c>
      <c r="J62" s="25">
        <f t="shared" si="1"/>
        <v>3769868.2132462412</v>
      </c>
      <c r="K62" s="34">
        <f t="shared" si="2"/>
        <v>3.7843208380292058E-2</v>
      </c>
      <c r="L62" s="8">
        <f t="shared" si="3"/>
        <v>3.7843208380292058E-2</v>
      </c>
      <c r="M62" s="121">
        <f t="shared" si="4"/>
        <v>14211906345244.406</v>
      </c>
      <c r="N62" s="121">
        <f t="shared" si="5"/>
        <v>8720196.570930317</v>
      </c>
      <c r="O62" s="121">
        <f t="shared" si="6"/>
        <v>76041828235664.859</v>
      </c>
      <c r="P62"/>
    </row>
    <row r="63" spans="1:16" x14ac:dyDescent="0.2">
      <c r="A63" s="41">
        <v>43861</v>
      </c>
      <c r="B63" s="42">
        <f>Inputs!D84</f>
        <v>101627798.58</v>
      </c>
      <c r="C63" s="123">
        <v>31</v>
      </c>
      <c r="D63" s="123">
        <f t="shared" si="7"/>
        <v>0</v>
      </c>
      <c r="E63" s="120">
        <f t="shared" si="7"/>
        <v>672.9727272727273</v>
      </c>
      <c r="F63" s="120">
        <f t="shared" si="7"/>
        <v>0</v>
      </c>
      <c r="G63" s="147">
        <v>0</v>
      </c>
      <c r="H63" s="157">
        <v>24323231</v>
      </c>
      <c r="I63" s="42">
        <f t="shared" si="0"/>
        <v>106461564.23128447</v>
      </c>
      <c r="J63" s="25">
        <f t="shared" si="1"/>
        <v>4833765.6512844712</v>
      </c>
      <c r="K63" s="34">
        <f t="shared" si="2"/>
        <v>4.7563419840088314E-2</v>
      </c>
      <c r="L63" s="8">
        <f t="shared" si="3"/>
        <v>4.7563419840088314E-2</v>
      </c>
      <c r="M63" s="121">
        <f t="shared" si="4"/>
        <v>23365290371537.586</v>
      </c>
      <c r="N63" s="121">
        <f t="shared" si="5"/>
        <v>1063897.4380382299</v>
      </c>
      <c r="O63" s="121">
        <f t="shared" si="6"/>
        <v>1131877758664.3093</v>
      </c>
      <c r="P63"/>
    </row>
    <row r="64" spans="1:16" x14ac:dyDescent="0.2">
      <c r="A64" s="41">
        <v>43890</v>
      </c>
      <c r="B64" s="42">
        <f>Inputs!D85</f>
        <v>96316557.670000002</v>
      </c>
      <c r="C64" s="123">
        <v>29</v>
      </c>
      <c r="D64" s="123">
        <f t="shared" si="7"/>
        <v>0</v>
      </c>
      <c r="E64" s="120">
        <f t="shared" si="7"/>
        <v>593.89090909090919</v>
      </c>
      <c r="F64" s="120">
        <f t="shared" si="7"/>
        <v>0</v>
      </c>
      <c r="G64" s="147">
        <v>0</v>
      </c>
      <c r="H64" s="157">
        <v>24448125</v>
      </c>
      <c r="I64" s="42">
        <f t="shared" si="0"/>
        <v>99229956.990675211</v>
      </c>
      <c r="J64" s="25">
        <f t="shared" si="1"/>
        <v>2913399.3206752092</v>
      </c>
      <c r="K64" s="34">
        <f t="shared" si="2"/>
        <v>3.0248166993852754E-2</v>
      </c>
      <c r="L64" s="8">
        <f t="shared" si="3"/>
        <v>3.0248166993852754E-2</v>
      </c>
      <c r="M64" s="121">
        <f t="shared" si="4"/>
        <v>8487895601710.7705</v>
      </c>
      <c r="N64" s="121">
        <f t="shared" si="5"/>
        <v>-1920366.330609262</v>
      </c>
      <c r="O64" s="121">
        <f t="shared" si="6"/>
        <v>3687806843737.6812</v>
      </c>
      <c r="P64"/>
    </row>
    <row r="65" spans="1:16" x14ac:dyDescent="0.2">
      <c r="A65" s="41">
        <v>43921</v>
      </c>
      <c r="B65" s="42">
        <f>Inputs!D86</f>
        <v>93201085.260000005</v>
      </c>
      <c r="C65" s="123">
        <v>31</v>
      </c>
      <c r="D65" s="123">
        <f t="shared" si="7"/>
        <v>1</v>
      </c>
      <c r="E65" s="120">
        <f t="shared" si="7"/>
        <v>493.74999999999994</v>
      </c>
      <c r="F65" s="120">
        <f t="shared" si="7"/>
        <v>0</v>
      </c>
      <c r="G65" s="148">
        <v>0.5</v>
      </c>
      <c r="H65" s="157">
        <v>23426971</v>
      </c>
      <c r="I65" s="42">
        <f t="shared" si="0"/>
        <v>92866251.512481734</v>
      </c>
      <c r="J65" s="25">
        <f t="shared" si="1"/>
        <v>-334833.74751827121</v>
      </c>
      <c r="K65" s="34">
        <f t="shared" si="2"/>
        <v>-3.5925949422605597E-3</v>
      </c>
      <c r="L65" s="8">
        <f t="shared" si="3"/>
        <v>3.5925949422605597E-3</v>
      </c>
      <c r="M65" s="121">
        <f t="shared" si="4"/>
        <v>112113638477.12939</v>
      </c>
      <c r="N65" s="121">
        <f t="shared" si="5"/>
        <v>-3248233.0681934804</v>
      </c>
      <c r="O65" s="121">
        <f t="shared" si="6"/>
        <v>10551018065305.631</v>
      </c>
    </row>
    <row r="66" spans="1:16" x14ac:dyDescent="0.2">
      <c r="A66" s="41">
        <v>43951</v>
      </c>
      <c r="B66" s="42">
        <f>Inputs!D87</f>
        <v>75481979.349999994</v>
      </c>
      <c r="C66" s="123">
        <v>30</v>
      </c>
      <c r="D66" s="123">
        <f t="shared" si="7"/>
        <v>1</v>
      </c>
      <c r="E66" s="120">
        <f t="shared" si="7"/>
        <v>320.75454545454545</v>
      </c>
      <c r="F66" s="120">
        <f t="shared" si="7"/>
        <v>0.4</v>
      </c>
      <c r="G66" s="147">
        <v>1</v>
      </c>
      <c r="H66" s="157">
        <v>13875633</v>
      </c>
      <c r="I66" s="42">
        <f t="shared" si="0"/>
        <v>73777916.954023793</v>
      </c>
      <c r="J66" s="25">
        <f t="shared" si="1"/>
        <v>-1704062.3959762007</v>
      </c>
      <c r="K66" s="34">
        <f t="shared" si="2"/>
        <v>-2.2575751333635381E-2</v>
      </c>
      <c r="L66" s="8">
        <f t="shared" si="3"/>
        <v>2.2575751333635381E-2</v>
      </c>
      <c r="M66" s="121">
        <f t="shared" si="4"/>
        <v>2903828649380.1499</v>
      </c>
      <c r="N66" s="121">
        <f t="shared" si="5"/>
        <v>-1369228.6484579295</v>
      </c>
      <c r="O66" s="121">
        <f t="shared" si="6"/>
        <v>1874787091757.9282</v>
      </c>
    </row>
    <row r="67" spans="1:16" x14ac:dyDescent="0.2">
      <c r="A67" s="41">
        <v>43982</v>
      </c>
      <c r="B67" s="42">
        <f>Inputs!D88</f>
        <v>82850237.760000005</v>
      </c>
      <c r="C67" s="123">
        <v>31</v>
      </c>
      <c r="D67" s="123">
        <f t="shared" si="7"/>
        <v>1</v>
      </c>
      <c r="E67" s="120">
        <f t="shared" si="7"/>
        <v>142.09090909090909</v>
      </c>
      <c r="F67" s="120">
        <f t="shared" si="7"/>
        <v>22.209090909090907</v>
      </c>
      <c r="G67" s="147">
        <v>1</v>
      </c>
      <c r="H67" s="157">
        <v>17021201</v>
      </c>
      <c r="I67" s="42">
        <f t="shared" ref="I67:I130" si="8">$R$18+$R$19*C67+$R$20*D67+$R$21*E67+$R$22*F67+$R$23*G67+$R$24*H67</f>
        <v>81445328.357725829</v>
      </c>
      <c r="J67" s="25">
        <f t="shared" ref="J67:J122" si="9">I67-B67</f>
        <v>-1404909.4022741765</v>
      </c>
      <c r="K67" s="34">
        <f t="shared" ref="K67:K122" si="10">J67/B67</f>
        <v>-1.6957216300862145E-2</v>
      </c>
      <c r="L67" s="8">
        <f t="shared" si="3"/>
        <v>1.6957216300862145E-2</v>
      </c>
      <c r="M67" s="121">
        <f t="shared" si="4"/>
        <v>1973770428598.3838</v>
      </c>
      <c r="N67" s="121">
        <f t="shared" si="5"/>
        <v>299152.99370202422</v>
      </c>
      <c r="O67" s="121">
        <f t="shared" si="6"/>
        <v>89492513640.883347</v>
      </c>
    </row>
    <row r="68" spans="1:16" x14ac:dyDescent="0.2">
      <c r="A68" s="41">
        <v>44012</v>
      </c>
      <c r="B68" s="42">
        <f>Inputs!D89</f>
        <v>107229138.54000001</v>
      </c>
      <c r="C68" s="123">
        <v>30</v>
      </c>
      <c r="D68" s="123">
        <f t="shared" si="7"/>
        <v>0</v>
      </c>
      <c r="E68" s="120">
        <f t="shared" si="7"/>
        <v>26.663636363636364</v>
      </c>
      <c r="F68" s="120">
        <f t="shared" si="7"/>
        <v>65.77272727272728</v>
      </c>
      <c r="G68" s="148">
        <v>0.5</v>
      </c>
      <c r="H68" s="157">
        <v>24931567</v>
      </c>
      <c r="I68" s="42">
        <f t="shared" si="8"/>
        <v>104191216.45668171</v>
      </c>
      <c r="J68" s="25">
        <f t="shared" si="9"/>
        <v>-3037922.0833182931</v>
      </c>
      <c r="K68" s="34">
        <f t="shared" si="10"/>
        <v>-2.8331124586858897E-2</v>
      </c>
      <c r="L68" s="8">
        <f t="shared" ref="L68:L121" si="11">ABS(K68)</f>
        <v>2.8331124586858897E-2</v>
      </c>
      <c r="M68" s="121">
        <f t="shared" ref="M68:M122" si="12">J68*J68</f>
        <v>9228970584312.959</v>
      </c>
      <c r="N68" s="121">
        <f t="shared" si="5"/>
        <v>-1633012.6810441166</v>
      </c>
      <c r="O68" s="121">
        <f t="shared" si="6"/>
        <v>2666730416450.8936</v>
      </c>
    </row>
    <row r="69" spans="1:16" x14ac:dyDescent="0.2">
      <c r="A69" s="41">
        <v>44043</v>
      </c>
      <c r="B69" s="42">
        <f>Inputs!D90</f>
        <v>132467120.21000001</v>
      </c>
      <c r="C69" s="123">
        <v>31</v>
      </c>
      <c r="D69" s="123">
        <f t="shared" si="7"/>
        <v>0</v>
      </c>
      <c r="E69" s="120">
        <f t="shared" si="7"/>
        <v>3.9272727272727277</v>
      </c>
      <c r="F69" s="120">
        <f t="shared" si="7"/>
        <v>114.20454545454545</v>
      </c>
      <c r="G69" s="147">
        <v>0</v>
      </c>
      <c r="H69" s="157">
        <v>24260284</v>
      </c>
      <c r="I69" s="42">
        <f t="shared" si="8"/>
        <v>120992530.31495954</v>
      </c>
      <c r="J69" s="25">
        <f t="shared" si="9"/>
        <v>-11474589.895040467</v>
      </c>
      <c r="K69" s="34">
        <f t="shared" si="10"/>
        <v>-8.6622173689967816E-2</v>
      </c>
      <c r="L69" s="8">
        <f t="shared" si="11"/>
        <v>8.6622173689967816E-2</v>
      </c>
      <c r="M69" s="121">
        <f t="shared" si="12"/>
        <v>131666213259364.8</v>
      </c>
      <c r="N69" s="121">
        <f t="shared" ref="N69:N122" si="13">J69-J68</f>
        <v>-8436667.8117221743</v>
      </c>
      <c r="O69" s="121">
        <f t="shared" ref="O69:O122" si="14">N69*N69</f>
        <v>71177363765349.016</v>
      </c>
    </row>
    <row r="70" spans="1:16" x14ac:dyDescent="0.2">
      <c r="A70" s="41">
        <v>44074</v>
      </c>
      <c r="B70" s="42">
        <f>Inputs!D91</f>
        <v>122122854.4431349</v>
      </c>
      <c r="C70" s="123">
        <v>31</v>
      </c>
      <c r="D70" s="123">
        <f t="shared" si="7"/>
        <v>0</v>
      </c>
      <c r="E70" s="120">
        <f t="shared" si="7"/>
        <v>11.709090909090911</v>
      </c>
      <c r="F70" s="120">
        <f t="shared" si="7"/>
        <v>87.795454545454533</v>
      </c>
      <c r="G70" s="147">
        <v>0</v>
      </c>
      <c r="H70" s="157">
        <v>24766026</v>
      </c>
      <c r="I70" s="42">
        <f t="shared" si="8"/>
        <v>114799479.2667294</v>
      </c>
      <c r="J70" s="25">
        <f t="shared" si="9"/>
        <v>-7323375.1764055043</v>
      </c>
      <c r="K70" s="34">
        <f t="shared" si="10"/>
        <v>-5.996727811349635E-2</v>
      </c>
      <c r="L70" s="8">
        <f t="shared" si="11"/>
        <v>5.996727811349635E-2</v>
      </c>
      <c r="M70" s="121">
        <f t="shared" si="12"/>
        <v>53631823974392.352</v>
      </c>
      <c r="N70" s="121">
        <f t="shared" si="13"/>
        <v>4151214.718634963</v>
      </c>
      <c r="O70" s="121">
        <f t="shared" si="14"/>
        <v>17232583640211.555</v>
      </c>
    </row>
    <row r="71" spans="1:16" x14ac:dyDescent="0.2">
      <c r="A71" s="41">
        <v>44104</v>
      </c>
      <c r="B71" s="42">
        <f>Inputs!D92</f>
        <v>100618417.11999999</v>
      </c>
      <c r="C71" s="123">
        <v>30</v>
      </c>
      <c r="D71" s="123">
        <f t="shared" si="7"/>
        <v>0</v>
      </c>
      <c r="E71" s="120">
        <f t="shared" si="7"/>
        <v>45.56363636363637</v>
      </c>
      <c r="F71" s="120">
        <f t="shared" si="7"/>
        <v>41.22727272727272</v>
      </c>
      <c r="G71" s="147">
        <v>0</v>
      </c>
      <c r="H71" s="157">
        <v>26177718</v>
      </c>
      <c r="I71" s="42">
        <f t="shared" si="8"/>
        <v>102093806.00743023</v>
      </c>
      <c r="J71" s="25">
        <f t="shared" si="9"/>
        <v>1475388.8874302357</v>
      </c>
      <c r="K71" s="34">
        <f t="shared" si="10"/>
        <v>1.4663209079016328E-2</v>
      </c>
      <c r="L71" s="8">
        <f t="shared" si="11"/>
        <v>1.4663209079016328E-2</v>
      </c>
      <c r="M71" s="121">
        <f t="shared" si="12"/>
        <v>2176772369152.6289</v>
      </c>
      <c r="N71" s="121">
        <f t="shared" si="13"/>
        <v>8798764.0638357401</v>
      </c>
      <c r="O71" s="121">
        <f t="shared" si="14"/>
        <v>77418249051047.234</v>
      </c>
    </row>
    <row r="72" spans="1:16" x14ac:dyDescent="0.2">
      <c r="A72" s="41">
        <v>44135</v>
      </c>
      <c r="B72" s="42">
        <f>Inputs!D93</f>
        <v>96511344.889999986</v>
      </c>
      <c r="C72" s="123">
        <v>31</v>
      </c>
      <c r="D72" s="123">
        <f t="shared" si="7"/>
        <v>1</v>
      </c>
      <c r="E72" s="120">
        <f t="shared" si="7"/>
        <v>202.59500000000003</v>
      </c>
      <c r="F72" s="120">
        <f t="shared" si="7"/>
        <v>7.6800000000000015</v>
      </c>
      <c r="G72" s="147">
        <v>0</v>
      </c>
      <c r="H72" s="157">
        <v>26073606</v>
      </c>
      <c r="I72" s="42">
        <f t="shared" si="8"/>
        <v>93579513.651552394</v>
      </c>
      <c r="J72" s="25">
        <f t="shared" si="9"/>
        <v>-2931831.2384475917</v>
      </c>
      <c r="K72" s="34">
        <f t="shared" si="10"/>
        <v>-3.0378099505184421E-2</v>
      </c>
      <c r="L72" s="8">
        <f t="shared" si="11"/>
        <v>3.0378099505184421E-2</v>
      </c>
      <c r="M72" s="121">
        <f t="shared" si="12"/>
        <v>8595634410737.1387</v>
      </c>
      <c r="N72" s="121">
        <f t="shared" si="13"/>
        <v>-4407220.1258778274</v>
      </c>
      <c r="O72" s="121">
        <f t="shared" si="14"/>
        <v>19423589237942.574</v>
      </c>
    </row>
    <row r="73" spans="1:16" x14ac:dyDescent="0.2">
      <c r="A73" s="41">
        <v>44165</v>
      </c>
      <c r="B73" s="42">
        <f>Inputs!D94</f>
        <v>97157709.070000008</v>
      </c>
      <c r="C73" s="123">
        <v>30</v>
      </c>
      <c r="D73" s="123">
        <f t="shared" si="7"/>
        <v>1</v>
      </c>
      <c r="E73" s="120">
        <f t="shared" si="7"/>
        <v>394.15</v>
      </c>
      <c r="F73" s="120">
        <f t="shared" si="7"/>
        <v>0.43000000000000005</v>
      </c>
      <c r="G73" s="147">
        <v>0</v>
      </c>
      <c r="H73" s="157">
        <v>25421619</v>
      </c>
      <c r="I73" s="42">
        <f t="shared" si="8"/>
        <v>92586979.412468389</v>
      </c>
      <c r="J73" s="25">
        <f t="shared" si="9"/>
        <v>-4570729.6575316191</v>
      </c>
      <c r="K73" s="34">
        <f t="shared" si="10"/>
        <v>-4.7044436321965026E-2</v>
      </c>
      <c r="L73" s="8">
        <f t="shared" si="11"/>
        <v>4.7044436321965026E-2</v>
      </c>
      <c r="M73" s="121">
        <f t="shared" si="12"/>
        <v>20891569602239.113</v>
      </c>
      <c r="N73" s="121">
        <f t="shared" si="13"/>
        <v>-1638898.4190840274</v>
      </c>
      <c r="O73" s="121">
        <f t="shared" si="14"/>
        <v>2685988028076.1245</v>
      </c>
    </row>
    <row r="74" spans="1:16" x14ac:dyDescent="0.2">
      <c r="A74" s="41">
        <v>44196</v>
      </c>
      <c r="B74" s="42">
        <f>Inputs!D95</f>
        <v>102432434.14000002</v>
      </c>
      <c r="C74" s="123">
        <v>31</v>
      </c>
      <c r="D74" s="123">
        <f t="shared" si="7"/>
        <v>0</v>
      </c>
      <c r="E74" s="120">
        <f t="shared" si="7"/>
        <v>538.66000000000008</v>
      </c>
      <c r="F74" s="120">
        <f t="shared" si="7"/>
        <v>0</v>
      </c>
      <c r="G74" s="147">
        <v>0</v>
      </c>
      <c r="H74" s="157">
        <v>23882588</v>
      </c>
      <c r="I74" s="42">
        <f t="shared" si="8"/>
        <v>102951023.3275283</v>
      </c>
      <c r="J74" s="25">
        <f t="shared" si="9"/>
        <v>518589.1875282824</v>
      </c>
      <c r="K74" s="34">
        <f t="shared" si="10"/>
        <v>5.0627439627130037E-3</v>
      </c>
      <c r="L74" s="8">
        <f t="shared" si="11"/>
        <v>5.0627439627130037E-3</v>
      </c>
      <c r="M74" s="121">
        <f t="shared" si="12"/>
        <v>268934745421.24405</v>
      </c>
      <c r="N74" s="121">
        <f t="shared" si="13"/>
        <v>5089318.8450599015</v>
      </c>
      <c r="O74" s="121">
        <f t="shared" si="14"/>
        <v>25901166306681.848</v>
      </c>
    </row>
    <row r="75" spans="1:16" x14ac:dyDescent="0.2">
      <c r="A75" s="41">
        <v>44227</v>
      </c>
      <c r="B75" s="42">
        <f>Inputs!D96</f>
        <v>104046184.96943997</v>
      </c>
      <c r="C75" s="123">
        <v>31</v>
      </c>
      <c r="D75" s="123">
        <f t="shared" si="7"/>
        <v>0</v>
      </c>
      <c r="E75" s="120">
        <f t="shared" si="7"/>
        <v>672.9727272727273</v>
      </c>
      <c r="F75" s="120">
        <f t="shared" si="7"/>
        <v>0</v>
      </c>
      <c r="G75" s="147">
        <v>0</v>
      </c>
      <c r="H75" s="157">
        <v>23201982</v>
      </c>
      <c r="I75" s="42">
        <f t="shared" si="8"/>
        <v>105300845.44700623</v>
      </c>
      <c r="J75" s="25">
        <f t="shared" si="9"/>
        <v>1254660.4775662571</v>
      </c>
      <c r="K75" s="34">
        <f t="shared" si="10"/>
        <v>1.2058687956072307E-2</v>
      </c>
      <c r="L75" s="8">
        <f t="shared" si="11"/>
        <v>1.2058687956072307E-2</v>
      </c>
      <c r="M75" s="121">
        <f t="shared" si="12"/>
        <v>1574172913966.7883</v>
      </c>
      <c r="N75" s="121">
        <f t="shared" si="13"/>
        <v>736071.29003797472</v>
      </c>
      <c r="O75" s="121">
        <f t="shared" si="14"/>
        <v>541800944018.16827</v>
      </c>
      <c r="P75" s="35"/>
    </row>
    <row r="76" spans="1:16" x14ac:dyDescent="0.2">
      <c r="A76" s="41">
        <v>44255</v>
      </c>
      <c r="B76" s="42">
        <f>Inputs!D97</f>
        <v>97687812.67583999</v>
      </c>
      <c r="C76" s="123">
        <v>28</v>
      </c>
      <c r="D76" s="123">
        <f t="shared" si="7"/>
        <v>0</v>
      </c>
      <c r="E76" s="120">
        <f t="shared" si="7"/>
        <v>593.89090909090919</v>
      </c>
      <c r="F76" s="120">
        <f t="shared" si="7"/>
        <v>0</v>
      </c>
      <c r="G76" s="147">
        <v>0</v>
      </c>
      <c r="H76" s="157">
        <v>22541306</v>
      </c>
      <c r="I76" s="42">
        <f t="shared" si="8"/>
        <v>94474760.179984823</v>
      </c>
      <c r="J76" s="25">
        <f t="shared" si="9"/>
        <v>-3213052.4958551675</v>
      </c>
      <c r="K76" s="34">
        <f t="shared" si="10"/>
        <v>-3.2891027118368624E-2</v>
      </c>
      <c r="L76" s="8">
        <f t="shared" si="11"/>
        <v>3.2891027118368624E-2</v>
      </c>
      <c r="M76" s="121">
        <f t="shared" si="12"/>
        <v>10323706341121.121</v>
      </c>
      <c r="N76" s="121">
        <f t="shared" si="13"/>
        <v>-4467712.9734214246</v>
      </c>
      <c r="O76" s="121">
        <f t="shared" si="14"/>
        <v>19960459212878.105</v>
      </c>
    </row>
    <row r="77" spans="1:16" x14ac:dyDescent="0.2">
      <c r="A77" s="41">
        <v>44286</v>
      </c>
      <c r="B77" s="42">
        <f>Inputs!D98</f>
        <v>98587575.805620015</v>
      </c>
      <c r="C77" s="123">
        <v>31</v>
      </c>
      <c r="D77" s="123">
        <f t="shared" si="7"/>
        <v>1</v>
      </c>
      <c r="E77" s="120">
        <f t="shared" si="7"/>
        <v>493.74999999999994</v>
      </c>
      <c r="F77" s="120">
        <f t="shared" si="7"/>
        <v>0</v>
      </c>
      <c r="G77" s="147">
        <v>0</v>
      </c>
      <c r="H77" s="157">
        <v>28036090</v>
      </c>
      <c r="I77" s="42">
        <f t="shared" si="8"/>
        <v>100227485.2638299</v>
      </c>
      <c r="J77" s="25">
        <f t="shared" si="9"/>
        <v>1639909.4582098871</v>
      </c>
      <c r="K77" s="34">
        <f t="shared" si="10"/>
        <v>1.663403775586501E-2</v>
      </c>
      <c r="L77" s="8">
        <f t="shared" si="11"/>
        <v>1.663403775586501E-2</v>
      </c>
      <c r="M77" s="121">
        <f t="shared" si="12"/>
        <v>2689303031126.2456</v>
      </c>
      <c r="N77" s="121">
        <f t="shared" si="13"/>
        <v>4852961.9540650547</v>
      </c>
      <c r="O77" s="121">
        <f t="shared" si="14"/>
        <v>23551239727602.914</v>
      </c>
    </row>
    <row r="78" spans="1:16" x14ac:dyDescent="0.2">
      <c r="A78" s="41">
        <v>44316</v>
      </c>
      <c r="B78" s="42">
        <f>Inputs!D99</f>
        <v>88565909.468879998</v>
      </c>
      <c r="C78" s="123">
        <v>30</v>
      </c>
      <c r="D78" s="123">
        <f t="shared" si="7"/>
        <v>1</v>
      </c>
      <c r="E78" s="120">
        <f t="shared" si="7"/>
        <v>320.75454545454545</v>
      </c>
      <c r="F78" s="120">
        <f t="shared" si="7"/>
        <v>0.4</v>
      </c>
      <c r="G78" s="147">
        <v>0</v>
      </c>
      <c r="H78" s="157">
        <v>24252177</v>
      </c>
      <c r="I78" s="42">
        <f t="shared" si="8"/>
        <v>89699464.707531661</v>
      </c>
      <c r="J78" s="25">
        <f t="shared" si="9"/>
        <v>1133555.2386516631</v>
      </c>
      <c r="K78" s="34">
        <f t="shared" si="10"/>
        <v>1.2799001844496024E-2</v>
      </c>
      <c r="L78" s="8">
        <f t="shared" si="11"/>
        <v>1.2799001844496024E-2</v>
      </c>
      <c r="M78" s="121">
        <f t="shared" si="12"/>
        <v>1284947479074.6289</v>
      </c>
      <c r="N78" s="121">
        <f t="shared" si="13"/>
        <v>-506354.21955822408</v>
      </c>
      <c r="O78" s="121">
        <f t="shared" si="14"/>
        <v>256394595664.41821</v>
      </c>
    </row>
    <row r="79" spans="1:16" x14ac:dyDescent="0.2">
      <c r="A79" s="41">
        <v>44347</v>
      </c>
      <c r="B79" s="42">
        <f>Inputs!D100</f>
        <v>93367567.454999998</v>
      </c>
      <c r="C79" s="123">
        <v>31</v>
      </c>
      <c r="D79" s="123">
        <f t="shared" si="7"/>
        <v>1</v>
      </c>
      <c r="E79" s="120">
        <f t="shared" si="7"/>
        <v>142.09090909090909</v>
      </c>
      <c r="F79" s="120">
        <f t="shared" si="7"/>
        <v>22.209090909090907</v>
      </c>
      <c r="G79" s="147">
        <v>0</v>
      </c>
      <c r="H79" s="157">
        <v>24670787</v>
      </c>
      <c r="I79" s="42">
        <f t="shared" si="8"/>
        <v>94543924.764532074</v>
      </c>
      <c r="J79" s="25">
        <f t="shared" si="9"/>
        <v>1176357.3095320761</v>
      </c>
      <c r="K79" s="34">
        <f t="shared" si="10"/>
        <v>1.2599207000857557E-2</v>
      </c>
      <c r="L79" s="8">
        <f t="shared" si="11"/>
        <v>1.2599207000857557E-2</v>
      </c>
      <c r="M79" s="121">
        <f t="shared" si="12"/>
        <v>1383816519689.5447</v>
      </c>
      <c r="N79" s="121">
        <f t="shared" si="13"/>
        <v>42802.070880413055</v>
      </c>
      <c r="O79" s="121">
        <f t="shared" si="14"/>
        <v>1832017271.6519032</v>
      </c>
    </row>
    <row r="80" spans="1:16" x14ac:dyDescent="0.2">
      <c r="A80" s="41">
        <v>44377</v>
      </c>
      <c r="B80" s="42">
        <f>Inputs!D101</f>
        <v>113508662.69369999</v>
      </c>
      <c r="C80" s="123">
        <v>30</v>
      </c>
      <c r="D80" s="123">
        <f t="shared" ref="D80:F143" si="15">D68</f>
        <v>0</v>
      </c>
      <c r="E80" s="120">
        <f t="shared" si="15"/>
        <v>26.663636363636364</v>
      </c>
      <c r="F80" s="120">
        <f t="shared" si="15"/>
        <v>65.77272727272728</v>
      </c>
      <c r="G80" s="147">
        <v>0</v>
      </c>
      <c r="H80" s="157">
        <v>27031100</v>
      </c>
      <c r="I80" s="42">
        <f t="shared" si="8"/>
        <v>108954522.70846313</v>
      </c>
      <c r="J80" s="25">
        <f t="shared" si="9"/>
        <v>-4554139.9852368534</v>
      </c>
      <c r="K80" s="34">
        <f t="shared" si="10"/>
        <v>-4.0121519161282655E-2</v>
      </c>
      <c r="L80" s="8">
        <f t="shared" si="11"/>
        <v>4.0121519161282655E-2</v>
      </c>
      <c r="M80" s="121">
        <f t="shared" si="12"/>
        <v>20740191005133.125</v>
      </c>
      <c r="N80" s="121">
        <f t="shared" si="13"/>
        <v>-5730497.2947689295</v>
      </c>
      <c r="O80" s="121">
        <f t="shared" si="14"/>
        <v>32838599245354.02</v>
      </c>
    </row>
    <row r="81" spans="1:16" x14ac:dyDescent="0.2">
      <c r="A81" s="41">
        <v>44408</v>
      </c>
      <c r="B81" s="42">
        <f>Inputs!D102</f>
        <v>117927718.07169999</v>
      </c>
      <c r="C81" s="123">
        <v>31</v>
      </c>
      <c r="D81" s="123">
        <f t="shared" si="15"/>
        <v>0</v>
      </c>
      <c r="E81" s="120">
        <f t="shared" si="15"/>
        <v>3.9272727272727277</v>
      </c>
      <c r="F81" s="120">
        <f t="shared" si="15"/>
        <v>114.20454545454545</v>
      </c>
      <c r="G81" s="147">
        <v>0</v>
      </c>
      <c r="H81" s="157">
        <v>24544535</v>
      </c>
      <c r="I81" s="42">
        <f t="shared" si="8"/>
        <v>121286787.41142061</v>
      </c>
      <c r="J81" s="25">
        <f t="shared" si="9"/>
        <v>3359069.3397206217</v>
      </c>
      <c r="K81" s="34">
        <f t="shared" si="10"/>
        <v>2.8484137526330403E-2</v>
      </c>
      <c r="L81" s="8">
        <f t="shared" si="11"/>
        <v>2.8484137526330403E-2</v>
      </c>
      <c r="M81" s="121">
        <f t="shared" si="12"/>
        <v>11283346829051.133</v>
      </c>
      <c r="N81" s="121">
        <f t="shared" si="13"/>
        <v>7913209.3249574751</v>
      </c>
      <c r="O81" s="121">
        <f t="shared" si="14"/>
        <v>62618881820593.938</v>
      </c>
      <c r="P81"/>
    </row>
    <row r="82" spans="1:16" x14ac:dyDescent="0.2">
      <c r="A82" s="41">
        <v>44439</v>
      </c>
      <c r="B82" s="42">
        <f>Inputs!D103</f>
        <v>130508463.65386</v>
      </c>
      <c r="C82" s="123">
        <v>31</v>
      </c>
      <c r="D82" s="123">
        <f t="shared" si="15"/>
        <v>0</v>
      </c>
      <c r="E82" s="120">
        <f t="shared" si="15"/>
        <v>11.709090909090911</v>
      </c>
      <c r="F82" s="120">
        <f t="shared" si="15"/>
        <v>87.795454545454533</v>
      </c>
      <c r="G82" s="147">
        <v>0</v>
      </c>
      <c r="H82" s="157">
        <v>26790218</v>
      </c>
      <c r="I82" s="42">
        <f t="shared" si="8"/>
        <v>116894926.1098354</v>
      </c>
      <c r="J82" s="25">
        <f t="shared" si="9"/>
        <v>-13613537.544024602</v>
      </c>
      <c r="K82" s="34">
        <f t="shared" si="10"/>
        <v>-0.10431153017118487</v>
      </c>
      <c r="L82" s="8">
        <f t="shared" si="11"/>
        <v>0.10431153017118487</v>
      </c>
      <c r="M82" s="121">
        <f t="shared" si="12"/>
        <v>185328404462567.38</v>
      </c>
      <c r="N82" s="121">
        <f t="shared" si="13"/>
        <v>-16972606.883745223</v>
      </c>
      <c r="O82" s="121">
        <f t="shared" si="14"/>
        <v>288069384430155.75</v>
      </c>
      <c r="P82"/>
    </row>
    <row r="83" spans="1:16" x14ac:dyDescent="0.2">
      <c r="A83" s="41">
        <v>44469</v>
      </c>
      <c r="B83" s="42">
        <f>Inputs!D104</f>
        <v>102665813.36771999</v>
      </c>
      <c r="C83" s="123">
        <v>30</v>
      </c>
      <c r="D83" s="123">
        <f t="shared" si="15"/>
        <v>0</v>
      </c>
      <c r="E83" s="120">
        <f t="shared" si="15"/>
        <v>45.56363636363637</v>
      </c>
      <c r="F83" s="120">
        <f t="shared" si="15"/>
        <v>41.22727272727272</v>
      </c>
      <c r="G83" s="147">
        <v>0</v>
      </c>
      <c r="H83" s="157">
        <v>26666952</v>
      </c>
      <c r="I83" s="42">
        <f t="shared" si="8"/>
        <v>102600261.83812225</v>
      </c>
      <c r="J83" s="25">
        <f t="shared" si="9"/>
        <v>-65551.529597744346</v>
      </c>
      <c r="K83" s="34">
        <f t="shared" si="10"/>
        <v>-6.3849423140454015E-4</v>
      </c>
      <c r="L83" s="8">
        <f t="shared" si="11"/>
        <v>6.3849423140454015E-4</v>
      </c>
      <c r="M83" s="121">
        <f t="shared" si="12"/>
        <v>4297003032.6039534</v>
      </c>
      <c r="N83" s="121">
        <f t="shared" si="13"/>
        <v>13547986.014426857</v>
      </c>
      <c r="O83" s="121">
        <f t="shared" si="14"/>
        <v>183547925047105.72</v>
      </c>
      <c r="P83"/>
    </row>
    <row r="84" spans="1:16" x14ac:dyDescent="0.2">
      <c r="A84" s="41">
        <v>44500</v>
      </c>
      <c r="B84" s="42">
        <f>Inputs!D105</f>
        <v>97643894.774719983</v>
      </c>
      <c r="C84" s="123">
        <v>31</v>
      </c>
      <c r="D84" s="123">
        <f t="shared" si="15"/>
        <v>1</v>
      </c>
      <c r="E84" s="120">
        <f t="shared" si="15"/>
        <v>202.59500000000003</v>
      </c>
      <c r="F84" s="120">
        <f t="shared" si="15"/>
        <v>7.6800000000000015</v>
      </c>
      <c r="G84" s="147">
        <v>0</v>
      </c>
      <c r="H84" s="157">
        <v>27970892</v>
      </c>
      <c r="I84" s="42">
        <f t="shared" si="8"/>
        <v>95543587.197524905</v>
      </c>
      <c r="J84" s="25">
        <f t="shared" si="9"/>
        <v>-2100307.5771950781</v>
      </c>
      <c r="K84" s="34">
        <f t="shared" si="10"/>
        <v>-2.1509870965725222E-2</v>
      </c>
      <c r="L84" s="8">
        <f t="shared" si="11"/>
        <v>2.1509870965725222E-2</v>
      </c>
      <c r="M84" s="121">
        <f t="shared" si="12"/>
        <v>4411291918823.0596</v>
      </c>
      <c r="N84" s="121">
        <f t="shared" si="13"/>
        <v>-2034756.0475973338</v>
      </c>
      <c r="O84" s="121">
        <f t="shared" si="14"/>
        <v>4140232173233.9233</v>
      </c>
      <c r="P84"/>
    </row>
    <row r="85" spans="1:16" x14ac:dyDescent="0.2">
      <c r="A85" s="41">
        <v>44530</v>
      </c>
      <c r="B85" s="42">
        <f>Inputs!D106</f>
        <v>98863391.719999999</v>
      </c>
      <c r="C85" s="123">
        <v>30</v>
      </c>
      <c r="D85" s="123">
        <f t="shared" si="15"/>
        <v>1</v>
      </c>
      <c r="E85" s="120">
        <f t="shared" si="15"/>
        <v>394.15</v>
      </c>
      <c r="F85" s="120">
        <f t="shared" si="15"/>
        <v>0.43000000000000005</v>
      </c>
      <c r="G85" s="147">
        <v>0</v>
      </c>
      <c r="H85" s="157">
        <v>28892274</v>
      </c>
      <c r="I85" s="42">
        <f t="shared" si="8"/>
        <v>96179807.100385368</v>
      </c>
      <c r="J85" s="25">
        <f t="shared" si="9"/>
        <v>-2683584.6196146309</v>
      </c>
      <c r="K85" s="34">
        <f t="shared" si="10"/>
        <v>-2.7144371368676638E-2</v>
      </c>
      <c r="L85" s="8">
        <f t="shared" si="11"/>
        <v>2.7144371368676638E-2</v>
      </c>
      <c r="M85" s="121">
        <f t="shared" si="12"/>
        <v>7201626410632.2031</v>
      </c>
      <c r="N85" s="121">
        <f t="shared" si="13"/>
        <v>-583277.0424195528</v>
      </c>
      <c r="O85" s="121">
        <f t="shared" si="14"/>
        <v>340212108213.70081</v>
      </c>
      <c r="P85"/>
    </row>
    <row r="86" spans="1:16" x14ac:dyDescent="0.2">
      <c r="A86" s="41">
        <v>44561</v>
      </c>
      <c r="B86" s="42">
        <f>Inputs!D107</f>
        <v>104617631.75</v>
      </c>
      <c r="C86" s="123">
        <v>31</v>
      </c>
      <c r="D86" s="123">
        <f t="shared" si="15"/>
        <v>0</v>
      </c>
      <c r="E86" s="120">
        <f t="shared" si="15"/>
        <v>538.66000000000008</v>
      </c>
      <c r="F86" s="120">
        <f t="shared" si="15"/>
        <v>0</v>
      </c>
      <c r="G86" s="147">
        <v>0</v>
      </c>
      <c r="H86" s="157">
        <v>27630968</v>
      </c>
      <c r="I86" s="42">
        <f t="shared" si="8"/>
        <v>106831352.38611645</v>
      </c>
      <c r="J86" s="25">
        <f t="shared" si="9"/>
        <v>2213720.6361164451</v>
      </c>
      <c r="K86" s="34">
        <f t="shared" si="10"/>
        <v>2.1160110385661117E-2</v>
      </c>
      <c r="L86" s="8">
        <f t="shared" si="11"/>
        <v>2.1160110385661117E-2</v>
      </c>
      <c r="M86" s="121">
        <f t="shared" si="12"/>
        <v>4900559054767.7979</v>
      </c>
      <c r="N86" s="121">
        <f t="shared" si="13"/>
        <v>4897305.255731076</v>
      </c>
      <c r="O86" s="121">
        <f t="shared" si="14"/>
        <v>23983598767811.219</v>
      </c>
      <c r="P86"/>
    </row>
    <row r="87" spans="1:16" x14ac:dyDescent="0.2">
      <c r="A87" s="41">
        <v>44592</v>
      </c>
      <c r="B87" s="42">
        <f>Inputs!D108</f>
        <v>115048969.70999999</v>
      </c>
      <c r="C87" s="123">
        <v>31</v>
      </c>
      <c r="D87" s="123">
        <f t="shared" si="15"/>
        <v>0</v>
      </c>
      <c r="E87" s="120">
        <f t="shared" si="15"/>
        <v>672.9727272727273</v>
      </c>
      <c r="F87" s="120">
        <f t="shared" si="15"/>
        <v>0</v>
      </c>
      <c r="G87" s="147">
        <v>0</v>
      </c>
      <c r="H87" s="157">
        <v>25270848</v>
      </c>
      <c r="I87" s="42">
        <f t="shared" si="8"/>
        <v>107442538.88740581</v>
      </c>
      <c r="J87" s="25">
        <f t="shared" si="9"/>
        <v>-7606430.8225941807</v>
      </c>
      <c r="K87" s="34">
        <f t="shared" si="10"/>
        <v>-6.6114723510931478E-2</v>
      </c>
      <c r="L87" s="8">
        <f t="shared" si="11"/>
        <v>6.6114723510931478E-2</v>
      </c>
      <c r="M87" s="121">
        <f t="shared" si="12"/>
        <v>57857789858910.781</v>
      </c>
      <c r="N87" s="121">
        <f t="shared" si="13"/>
        <v>-9820151.4587106258</v>
      </c>
      <c r="O87" s="121">
        <f t="shared" si="14"/>
        <v>96435374672016.438</v>
      </c>
      <c r="P87"/>
    </row>
    <row r="88" spans="1:16" x14ac:dyDescent="0.2">
      <c r="A88" s="41">
        <v>44620</v>
      </c>
      <c r="B88" s="42">
        <f>Inputs!D109</f>
        <v>103279027.06999999</v>
      </c>
      <c r="C88" s="123">
        <v>28</v>
      </c>
      <c r="D88" s="123">
        <f t="shared" si="15"/>
        <v>0</v>
      </c>
      <c r="E88" s="120">
        <f t="shared" si="15"/>
        <v>593.89090909090919</v>
      </c>
      <c r="F88" s="120">
        <f t="shared" si="15"/>
        <v>0</v>
      </c>
      <c r="G88" s="147">
        <v>0</v>
      </c>
      <c r="H88" s="157">
        <v>27257211</v>
      </c>
      <c r="I88" s="42">
        <f t="shared" si="8"/>
        <v>99356672.688599527</v>
      </c>
      <c r="J88" s="25">
        <f t="shared" si="9"/>
        <v>-3922354.381400466</v>
      </c>
      <c r="K88" s="34">
        <f t="shared" si="10"/>
        <v>-3.7978227455047482E-2</v>
      </c>
      <c r="L88" s="8">
        <f t="shared" si="11"/>
        <v>3.7978227455047482E-2</v>
      </c>
      <c r="M88" s="121">
        <f t="shared" si="12"/>
        <v>15384863893291.432</v>
      </c>
      <c r="N88" s="121">
        <f t="shared" si="13"/>
        <v>3684076.4411937147</v>
      </c>
      <c r="O88" s="121">
        <f t="shared" si="14"/>
        <v>13572419224558.547</v>
      </c>
      <c r="P88"/>
    </row>
    <row r="89" spans="1:16" x14ac:dyDescent="0.2">
      <c r="A89" s="41">
        <v>44651</v>
      </c>
      <c r="B89" s="42">
        <f>Inputs!D110</f>
        <v>106094515.68000001</v>
      </c>
      <c r="C89" s="123">
        <v>31</v>
      </c>
      <c r="D89" s="123">
        <f t="shared" si="15"/>
        <v>1</v>
      </c>
      <c r="E89" s="120">
        <f t="shared" si="15"/>
        <v>493.74999999999994</v>
      </c>
      <c r="F89" s="120">
        <f t="shared" si="15"/>
        <v>0</v>
      </c>
      <c r="G89" s="147">
        <v>0</v>
      </c>
      <c r="H89" s="157">
        <v>34138042</v>
      </c>
      <c r="I89" s="42">
        <f t="shared" si="8"/>
        <v>106544235.87601706</v>
      </c>
      <c r="J89" s="25">
        <f t="shared" si="9"/>
        <v>449720.1960170567</v>
      </c>
      <c r="K89" s="34">
        <f t="shared" si="10"/>
        <v>4.238863744601965E-3</v>
      </c>
      <c r="L89" s="8">
        <f t="shared" si="11"/>
        <v>4.238863744601965E-3</v>
      </c>
      <c r="M89" s="121">
        <f t="shared" si="12"/>
        <v>202248254705.6199</v>
      </c>
      <c r="N89" s="121">
        <f t="shared" si="13"/>
        <v>4372074.5774175227</v>
      </c>
      <c r="O89" s="121">
        <f t="shared" si="14"/>
        <v>19115036110500.609</v>
      </c>
      <c r="P89"/>
    </row>
    <row r="90" spans="1:16" x14ac:dyDescent="0.2">
      <c r="A90" s="41">
        <v>44681</v>
      </c>
      <c r="B90" s="42">
        <f>Inputs!D111</f>
        <v>93143888.519999996</v>
      </c>
      <c r="C90" s="123">
        <v>30</v>
      </c>
      <c r="D90" s="123">
        <f t="shared" si="15"/>
        <v>1</v>
      </c>
      <c r="E90" s="120">
        <f t="shared" si="15"/>
        <v>320.75454545454545</v>
      </c>
      <c r="F90" s="120">
        <f t="shared" si="15"/>
        <v>0.4</v>
      </c>
      <c r="G90" s="147">
        <v>0</v>
      </c>
      <c r="H90" s="157">
        <v>30789756</v>
      </c>
      <c r="I90" s="42">
        <f t="shared" si="8"/>
        <v>96467177.097021431</v>
      </c>
      <c r="J90" s="25">
        <f t="shared" si="9"/>
        <v>3323288.5770214349</v>
      </c>
      <c r="K90" s="34">
        <f t="shared" si="10"/>
        <v>3.5679083510753939E-2</v>
      </c>
      <c r="L90" s="8">
        <f t="shared" si="11"/>
        <v>3.5679083510753939E-2</v>
      </c>
      <c r="M90" s="121">
        <f t="shared" si="12"/>
        <v>11044246966161.154</v>
      </c>
      <c r="N90" s="121">
        <f t="shared" si="13"/>
        <v>2873568.3810043782</v>
      </c>
      <c r="O90" s="121">
        <f t="shared" si="14"/>
        <v>8257395240308.123</v>
      </c>
      <c r="P90"/>
    </row>
    <row r="91" spans="1:16" x14ac:dyDescent="0.2">
      <c r="A91" s="41">
        <v>44712</v>
      </c>
      <c r="B91" s="42">
        <f>Inputs!D112</f>
        <v>97889856.38000001</v>
      </c>
      <c r="C91" s="123">
        <v>31</v>
      </c>
      <c r="D91" s="123">
        <f t="shared" si="15"/>
        <v>1</v>
      </c>
      <c r="E91" s="120">
        <f t="shared" si="15"/>
        <v>142.09090909090909</v>
      </c>
      <c r="F91" s="120">
        <f t="shared" si="15"/>
        <v>22.209090909090907</v>
      </c>
      <c r="G91" s="147">
        <v>0</v>
      </c>
      <c r="H91" s="157">
        <v>31642434</v>
      </c>
      <c r="I91" s="42">
        <f t="shared" si="8"/>
        <v>101760985.05199465</v>
      </c>
      <c r="J91" s="25">
        <f t="shared" si="9"/>
        <v>3871128.6719946414</v>
      </c>
      <c r="K91" s="34">
        <f t="shared" si="10"/>
        <v>3.9545759031122209E-2</v>
      </c>
      <c r="L91" s="8">
        <f t="shared" si="11"/>
        <v>3.9545759031122209E-2</v>
      </c>
      <c r="M91" s="121">
        <f t="shared" si="12"/>
        <v>14985637195138.996</v>
      </c>
      <c r="N91" s="121">
        <f t="shared" si="13"/>
        <v>547840.09497320652</v>
      </c>
      <c r="O91" s="121">
        <f t="shared" si="14"/>
        <v>300128769660.25195</v>
      </c>
      <c r="P91"/>
    </row>
    <row r="92" spans="1:16" x14ac:dyDescent="0.2">
      <c r="A92" s="41">
        <v>44742</v>
      </c>
      <c r="B92" s="42">
        <f>Inputs!D113</f>
        <v>109702407.65000001</v>
      </c>
      <c r="C92" s="123">
        <v>30</v>
      </c>
      <c r="D92" s="123">
        <f t="shared" si="15"/>
        <v>0</v>
      </c>
      <c r="E92" s="120">
        <f t="shared" si="15"/>
        <v>26.663636363636364</v>
      </c>
      <c r="F92" s="120">
        <f t="shared" si="15"/>
        <v>65.77272727272728</v>
      </c>
      <c r="G92" s="147">
        <v>0</v>
      </c>
      <c r="H92" s="157">
        <v>33600843</v>
      </c>
      <c r="I92" s="42">
        <f t="shared" si="8"/>
        <v>115755531.32294622</v>
      </c>
      <c r="J92" s="25">
        <f t="shared" si="9"/>
        <v>6053123.6729462147</v>
      </c>
      <c r="K92" s="34">
        <f t="shared" si="10"/>
        <v>5.5177673878028279E-2</v>
      </c>
      <c r="L92" s="8">
        <f t="shared" si="11"/>
        <v>5.5177673878028279E-2</v>
      </c>
      <c r="M92" s="121">
        <f t="shared" si="12"/>
        <v>36640306199981.875</v>
      </c>
      <c r="N92" s="121">
        <f t="shared" si="13"/>
        <v>2181995.0009515733</v>
      </c>
      <c r="O92" s="121">
        <f t="shared" si="14"/>
        <v>4761102184177.6563</v>
      </c>
      <c r="P92"/>
    </row>
    <row r="93" spans="1:16" x14ac:dyDescent="0.2">
      <c r="A93" s="41">
        <v>44773</v>
      </c>
      <c r="B93" s="42">
        <f>Inputs!D114</f>
        <v>124312236.88</v>
      </c>
      <c r="C93" s="123">
        <v>31</v>
      </c>
      <c r="D93" s="123">
        <f t="shared" si="15"/>
        <v>0</v>
      </c>
      <c r="E93" s="120">
        <f t="shared" si="15"/>
        <v>3.9272727272727277</v>
      </c>
      <c r="F93" s="120">
        <f t="shared" si="15"/>
        <v>114.20454545454545</v>
      </c>
      <c r="G93" s="147">
        <v>0</v>
      </c>
      <c r="H93" s="157">
        <v>29061042</v>
      </c>
      <c r="I93" s="42">
        <f t="shared" si="8"/>
        <v>125962282.78686728</v>
      </c>
      <c r="J93" s="25">
        <f t="shared" si="9"/>
        <v>1650045.9068672806</v>
      </c>
      <c r="K93" s="34">
        <f t="shared" si="10"/>
        <v>1.3273398888800372E-2</v>
      </c>
      <c r="L93" s="8">
        <f t="shared" si="11"/>
        <v>1.3273398888800372E-2</v>
      </c>
      <c r="M93" s="121">
        <f t="shared" si="12"/>
        <v>2722651494769.4663</v>
      </c>
      <c r="N93" s="121">
        <f t="shared" si="13"/>
        <v>-4403077.7660789341</v>
      </c>
      <c r="O93" s="121">
        <f t="shared" si="14"/>
        <v>19387093814138.656</v>
      </c>
      <c r="P93"/>
    </row>
    <row r="94" spans="1:16" x14ac:dyDescent="0.2">
      <c r="A94" s="41">
        <v>44804</v>
      </c>
      <c r="B94" s="42">
        <f>Inputs!D115</f>
        <v>126147600.72</v>
      </c>
      <c r="C94" s="123">
        <v>31</v>
      </c>
      <c r="D94" s="123">
        <f t="shared" si="15"/>
        <v>0</v>
      </c>
      <c r="E94" s="120">
        <f t="shared" si="15"/>
        <v>11.709090909090911</v>
      </c>
      <c r="F94" s="120">
        <f t="shared" si="15"/>
        <v>87.795454545454533</v>
      </c>
      <c r="G94" s="147">
        <v>0</v>
      </c>
      <c r="H94" s="157">
        <v>32383717</v>
      </c>
      <c r="I94" s="42">
        <f t="shared" si="8"/>
        <v>122685325.35134341</v>
      </c>
      <c r="J94" s="25">
        <f t="shared" si="9"/>
        <v>-3462275.3686565906</v>
      </c>
      <c r="K94" s="34">
        <f t="shared" si="10"/>
        <v>-2.744622449333407E-2</v>
      </c>
      <c r="L94" s="8">
        <f t="shared" si="11"/>
        <v>2.744622449333407E-2</v>
      </c>
      <c r="M94" s="121">
        <f t="shared" si="12"/>
        <v>11987350728406.131</v>
      </c>
      <c r="N94" s="121">
        <f t="shared" si="13"/>
        <v>-5112321.2755238712</v>
      </c>
      <c r="O94" s="121">
        <f t="shared" si="14"/>
        <v>26135828824174.02</v>
      </c>
      <c r="P94"/>
    </row>
    <row r="95" spans="1:16" x14ac:dyDescent="0.2">
      <c r="A95" s="41">
        <v>44834</v>
      </c>
      <c r="B95" s="42">
        <f>Inputs!D116</f>
        <v>108217059.48999999</v>
      </c>
      <c r="C95" s="123">
        <v>30</v>
      </c>
      <c r="D95" s="123">
        <f t="shared" si="15"/>
        <v>0</v>
      </c>
      <c r="E95" s="120">
        <f t="shared" si="15"/>
        <v>45.56363636363637</v>
      </c>
      <c r="F95" s="120">
        <f t="shared" si="15"/>
        <v>41.22727272727272</v>
      </c>
      <c r="G95" s="147">
        <v>0</v>
      </c>
      <c r="H95" s="157">
        <v>32071846</v>
      </c>
      <c r="I95" s="42">
        <f t="shared" si="8"/>
        <v>108195416.87757629</v>
      </c>
      <c r="J95" s="25">
        <f t="shared" si="9"/>
        <v>-21642.612423703074</v>
      </c>
      <c r="K95" s="34">
        <f t="shared" si="10"/>
        <v>-1.9999261230807145E-4</v>
      </c>
      <c r="L95" s="8">
        <f t="shared" si="11"/>
        <v>1.9999261230807145E-4</v>
      </c>
      <c r="M95" s="121">
        <f t="shared" si="12"/>
        <v>468402672.52262664</v>
      </c>
      <c r="N95" s="121">
        <f t="shared" si="13"/>
        <v>3440632.7562328875</v>
      </c>
      <c r="O95" s="121">
        <f t="shared" si="14"/>
        <v>11837953763262.717</v>
      </c>
      <c r="P95"/>
    </row>
    <row r="96" spans="1:16" x14ac:dyDescent="0.2">
      <c r="A96" s="41">
        <v>44865</v>
      </c>
      <c r="B96" s="42">
        <f>Inputs!D117</f>
        <v>98159215.599999994</v>
      </c>
      <c r="C96" s="123">
        <v>31</v>
      </c>
      <c r="D96" s="123">
        <f t="shared" si="15"/>
        <v>1</v>
      </c>
      <c r="E96" s="120">
        <f t="shared" si="15"/>
        <v>202.59500000000003</v>
      </c>
      <c r="F96" s="120">
        <f t="shared" si="15"/>
        <v>7.6800000000000015</v>
      </c>
      <c r="G96" s="147">
        <v>0</v>
      </c>
      <c r="H96" s="157">
        <v>31414203</v>
      </c>
      <c r="I96" s="42">
        <f t="shared" si="8"/>
        <v>99108108.332270116</v>
      </c>
      <c r="J96" s="25">
        <f t="shared" si="9"/>
        <v>948892.73227012157</v>
      </c>
      <c r="K96" s="34">
        <f t="shared" si="10"/>
        <v>9.6668736243458904E-3</v>
      </c>
      <c r="L96" s="8">
        <f t="shared" si="11"/>
        <v>9.6668736243458904E-3</v>
      </c>
      <c r="M96" s="121">
        <f t="shared" si="12"/>
        <v>900397417355.05664</v>
      </c>
      <c r="N96" s="121">
        <f t="shared" si="13"/>
        <v>970535.34469382465</v>
      </c>
      <c r="O96" s="121">
        <f t="shared" si="14"/>
        <v>941938855299.96106</v>
      </c>
      <c r="P96"/>
    </row>
    <row r="97" spans="1:16" x14ac:dyDescent="0.2">
      <c r="A97" s="41">
        <v>44895</v>
      </c>
      <c r="B97" s="42">
        <f>Inputs!D118</f>
        <v>101487092.63</v>
      </c>
      <c r="C97" s="123">
        <v>30</v>
      </c>
      <c r="D97" s="123">
        <f t="shared" si="15"/>
        <v>1</v>
      </c>
      <c r="E97" s="120">
        <f t="shared" si="15"/>
        <v>394.15</v>
      </c>
      <c r="F97" s="120">
        <f t="shared" si="15"/>
        <v>0.43000000000000005</v>
      </c>
      <c r="G97" s="147">
        <v>0</v>
      </c>
      <c r="H97" s="157">
        <v>32695844</v>
      </c>
      <c r="I97" s="42">
        <f t="shared" si="8"/>
        <v>100117268.93653169</v>
      </c>
      <c r="J97" s="25">
        <f t="shared" si="9"/>
        <v>-1369823.6934683025</v>
      </c>
      <c r="K97" s="34">
        <f t="shared" si="10"/>
        <v>-1.3497516363606785E-2</v>
      </c>
      <c r="L97" s="8">
        <f t="shared" si="11"/>
        <v>1.3497516363606785E-2</v>
      </c>
      <c r="M97" s="121">
        <f t="shared" si="12"/>
        <v>1876416951187.1418</v>
      </c>
      <c r="N97" s="121">
        <f t="shared" si="13"/>
        <v>-2318716.4257384241</v>
      </c>
      <c r="O97" s="121">
        <f t="shared" si="14"/>
        <v>5376445862989.1729</v>
      </c>
      <c r="P97"/>
    </row>
    <row r="98" spans="1:16" x14ac:dyDescent="0.2">
      <c r="A98" s="41">
        <v>44926</v>
      </c>
      <c r="B98" s="42">
        <f>Inputs!D119</f>
        <v>107898869.66999999</v>
      </c>
      <c r="C98" s="123">
        <v>31</v>
      </c>
      <c r="D98" s="123">
        <f t="shared" si="15"/>
        <v>0</v>
      </c>
      <c r="E98" s="120">
        <f t="shared" si="15"/>
        <v>538.66000000000008</v>
      </c>
      <c r="F98" s="120">
        <f t="shared" si="15"/>
        <v>0</v>
      </c>
      <c r="G98" s="147">
        <v>0</v>
      </c>
      <c r="H98" s="157">
        <v>29643493</v>
      </c>
      <c r="I98" s="42">
        <f t="shared" si="8"/>
        <v>108914721.53189012</v>
      </c>
      <c r="J98" s="25">
        <f t="shared" si="9"/>
        <v>1015851.8618901372</v>
      </c>
      <c r="K98" s="34">
        <f t="shared" si="10"/>
        <v>9.4148517495784567E-3</v>
      </c>
      <c r="L98" s="8">
        <f t="shared" si="11"/>
        <v>9.4148517495784567E-3</v>
      </c>
      <c r="M98" s="121">
        <f t="shared" si="12"/>
        <v>1031955005305.6583</v>
      </c>
      <c r="N98" s="121">
        <f t="shared" si="13"/>
        <v>2385675.5553584397</v>
      </c>
      <c r="O98" s="121">
        <f t="shared" si="14"/>
        <v>5691447855434.7998</v>
      </c>
      <c r="P98"/>
    </row>
    <row r="99" spans="1:16" x14ac:dyDescent="0.2">
      <c r="A99" s="41">
        <v>44957</v>
      </c>
      <c r="B99" s="42">
        <f>Inputs!D120</f>
        <v>109159973.71000001</v>
      </c>
      <c r="C99" s="123">
        <v>31</v>
      </c>
      <c r="D99" s="123">
        <f t="shared" si="15"/>
        <v>0</v>
      </c>
      <c r="E99" s="120">
        <f t="shared" si="15"/>
        <v>672.9727272727273</v>
      </c>
      <c r="F99" s="120">
        <f t="shared" si="15"/>
        <v>0</v>
      </c>
      <c r="G99" s="147">
        <v>0</v>
      </c>
      <c r="H99" s="157">
        <v>30319221</v>
      </c>
      <c r="I99" s="42">
        <f t="shared" si="8"/>
        <v>112668622.8091245</v>
      </c>
      <c r="J99" s="25">
        <f t="shared" si="9"/>
        <v>3508649.0991244912</v>
      </c>
      <c r="K99" s="34">
        <f t="shared" si="10"/>
        <v>3.2142267718438158E-2</v>
      </c>
      <c r="L99" s="8">
        <f t="shared" si="11"/>
        <v>3.2142267718438158E-2</v>
      </c>
      <c r="M99" s="121">
        <f t="shared" si="12"/>
        <v>12310618500787.104</v>
      </c>
      <c r="N99" s="121">
        <f t="shared" si="13"/>
        <v>2492797.237234354</v>
      </c>
      <c r="O99" s="121">
        <f t="shared" si="14"/>
        <v>6214038065963.2285</v>
      </c>
      <c r="P99"/>
    </row>
    <row r="100" spans="1:16" x14ac:dyDescent="0.2">
      <c r="A100" s="41">
        <v>44985</v>
      </c>
      <c r="B100" s="42">
        <f>Inputs!D121</f>
        <v>98764635.64000003</v>
      </c>
      <c r="C100" s="123">
        <v>28</v>
      </c>
      <c r="D100" s="123">
        <f t="shared" si="15"/>
        <v>0</v>
      </c>
      <c r="E100" s="120">
        <f t="shared" si="15"/>
        <v>593.89090909090919</v>
      </c>
      <c r="F100" s="120">
        <f t="shared" si="15"/>
        <v>0</v>
      </c>
      <c r="G100" s="147">
        <v>0</v>
      </c>
      <c r="H100" s="157">
        <v>28706074</v>
      </c>
      <c r="I100" s="42">
        <f t="shared" si="8"/>
        <v>100856538.01730505</v>
      </c>
      <c r="J100" s="25">
        <f t="shared" si="9"/>
        <v>2091902.3773050159</v>
      </c>
      <c r="K100" s="34">
        <f t="shared" si="10"/>
        <v>2.1180682374307144E-2</v>
      </c>
      <c r="L100" s="8">
        <f t="shared" si="11"/>
        <v>2.1180682374307144E-2</v>
      </c>
      <c r="M100" s="121">
        <f t="shared" si="12"/>
        <v>4376055556174.377</v>
      </c>
      <c r="N100" s="121">
        <f t="shared" si="13"/>
        <v>-1416746.7218194753</v>
      </c>
      <c r="O100" s="121">
        <f t="shared" si="14"/>
        <v>2007171273786.2297</v>
      </c>
      <c r="P100"/>
    </row>
    <row r="101" spans="1:16" x14ac:dyDescent="0.2">
      <c r="A101" s="41">
        <v>45016</v>
      </c>
      <c r="B101" s="42">
        <f>Inputs!D122</f>
        <v>105254657.88</v>
      </c>
      <c r="C101" s="123">
        <v>31</v>
      </c>
      <c r="D101" s="123">
        <f t="shared" si="15"/>
        <v>1</v>
      </c>
      <c r="E101" s="120">
        <f t="shared" si="15"/>
        <v>493.74999999999994</v>
      </c>
      <c r="F101" s="120">
        <f t="shared" si="15"/>
        <v>0</v>
      </c>
      <c r="G101" s="147">
        <v>0</v>
      </c>
      <c r="H101" s="157">
        <v>35137172</v>
      </c>
      <c r="I101" s="42">
        <f t="shared" si="8"/>
        <v>107578536.87332982</v>
      </c>
      <c r="J101" s="25">
        <f t="shared" si="9"/>
        <v>2323878.993329823</v>
      </c>
      <c r="K101" s="34">
        <f t="shared" si="10"/>
        <v>2.2078633289362444E-2</v>
      </c>
      <c r="L101" s="8">
        <f t="shared" si="11"/>
        <v>2.2078633289362444E-2</v>
      </c>
      <c r="M101" s="121">
        <f t="shared" si="12"/>
        <v>5400413575639.6318</v>
      </c>
      <c r="N101" s="121">
        <f t="shared" si="13"/>
        <v>231976.6160248071</v>
      </c>
      <c r="O101" s="121">
        <f t="shared" si="14"/>
        <v>53813150382.320786</v>
      </c>
      <c r="P101"/>
    </row>
    <row r="102" spans="1:16" x14ac:dyDescent="0.2">
      <c r="A102" s="41">
        <v>45046</v>
      </c>
      <c r="B102" s="42">
        <f>Inputs!D123</f>
        <v>93768436.560000002</v>
      </c>
      <c r="C102" s="123">
        <v>30</v>
      </c>
      <c r="D102" s="123">
        <f t="shared" si="15"/>
        <v>1</v>
      </c>
      <c r="E102" s="120">
        <f t="shared" si="15"/>
        <v>320.75454545454545</v>
      </c>
      <c r="F102" s="120">
        <f t="shared" si="15"/>
        <v>0.4</v>
      </c>
      <c r="G102" s="147">
        <v>0</v>
      </c>
      <c r="H102" s="157">
        <v>30806218</v>
      </c>
      <c r="I102" s="42">
        <f t="shared" si="8"/>
        <v>96484218.586134732</v>
      </c>
      <c r="J102" s="25">
        <f t="shared" si="9"/>
        <v>2715782.0261347294</v>
      </c>
      <c r="K102" s="34">
        <f t="shared" si="10"/>
        <v>2.8962645915472533E-2</v>
      </c>
      <c r="L102" s="8">
        <f t="shared" si="11"/>
        <v>2.8962645915472533E-2</v>
      </c>
      <c r="M102" s="121">
        <f t="shared" si="12"/>
        <v>7375472013476.4561</v>
      </c>
      <c r="N102" s="121">
        <f t="shared" si="13"/>
        <v>391903.03280490637</v>
      </c>
      <c r="O102" s="121">
        <f t="shared" si="14"/>
        <v>153587987121.6835</v>
      </c>
      <c r="P102"/>
    </row>
    <row r="103" spans="1:16" x14ac:dyDescent="0.2">
      <c r="A103" s="41">
        <v>45077</v>
      </c>
      <c r="B103" s="42">
        <f>Inputs!D124</f>
        <v>99703860.189999998</v>
      </c>
      <c r="C103" s="123">
        <v>31</v>
      </c>
      <c r="D103" s="123">
        <f t="shared" si="15"/>
        <v>1</v>
      </c>
      <c r="E103" s="120">
        <f t="shared" si="15"/>
        <v>142.09090909090909</v>
      </c>
      <c r="F103" s="120">
        <f t="shared" si="15"/>
        <v>22.209090909090907</v>
      </c>
      <c r="G103" s="147">
        <v>0</v>
      </c>
      <c r="H103" s="157">
        <v>35610160</v>
      </c>
      <c r="I103" s="42">
        <f t="shared" si="8"/>
        <v>105868381.44572094</v>
      </c>
      <c r="J103" s="25">
        <f t="shared" si="9"/>
        <v>6164521.2557209432</v>
      </c>
      <c r="K103" s="34">
        <f t="shared" si="10"/>
        <v>6.1828310799336803E-2</v>
      </c>
      <c r="L103" s="8">
        <f t="shared" si="11"/>
        <v>6.1828310799336803E-2</v>
      </c>
      <c r="M103" s="121">
        <f t="shared" si="12"/>
        <v>38001322312235.313</v>
      </c>
      <c r="N103" s="121">
        <f t="shared" si="13"/>
        <v>3448739.2295862138</v>
      </c>
      <c r="O103" s="121">
        <f t="shared" si="14"/>
        <v>11893802273686.912</v>
      </c>
      <c r="P103"/>
    </row>
    <row r="104" spans="1:16" x14ac:dyDescent="0.2">
      <c r="A104" s="41">
        <v>45107</v>
      </c>
      <c r="B104" s="42">
        <f>Inputs!D125</f>
        <v>106677864.72</v>
      </c>
      <c r="C104" s="123">
        <v>30</v>
      </c>
      <c r="D104" s="123">
        <f t="shared" si="15"/>
        <v>0</v>
      </c>
      <c r="E104" s="120">
        <f t="shared" si="15"/>
        <v>26.663636363636364</v>
      </c>
      <c r="F104" s="120">
        <f t="shared" si="15"/>
        <v>65.77272727272728</v>
      </c>
      <c r="G104" s="147">
        <v>0</v>
      </c>
      <c r="H104" s="157">
        <v>35430157</v>
      </c>
      <c r="I104" s="42">
        <f t="shared" si="8"/>
        <v>117649240.14421892</v>
      </c>
      <c r="J104" s="25">
        <f t="shared" si="9"/>
        <v>10971375.424218923</v>
      </c>
      <c r="K104" s="34">
        <f t="shared" si="10"/>
        <v>0.10284584766498429</v>
      </c>
      <c r="L104" s="8">
        <f t="shared" si="11"/>
        <v>0.10284584766498429</v>
      </c>
      <c r="M104" s="121">
        <f t="shared" si="12"/>
        <v>120371078699154.95</v>
      </c>
      <c r="N104" s="121">
        <f t="shared" si="13"/>
        <v>4806854.1684979796</v>
      </c>
      <c r="O104" s="121">
        <f t="shared" si="14"/>
        <v>23105846997206.402</v>
      </c>
      <c r="P104"/>
    </row>
    <row r="105" spans="1:16" x14ac:dyDescent="0.2">
      <c r="A105" s="41">
        <v>45138</v>
      </c>
      <c r="B105" s="42">
        <f>Inputs!D126</f>
        <v>123730259.39</v>
      </c>
      <c r="C105" s="123">
        <v>31</v>
      </c>
      <c r="D105" s="123">
        <f t="shared" si="15"/>
        <v>0</v>
      </c>
      <c r="E105" s="120">
        <f t="shared" si="15"/>
        <v>3.9272727272727277</v>
      </c>
      <c r="F105" s="120">
        <f t="shared" si="15"/>
        <v>114.20454545454545</v>
      </c>
      <c r="G105" s="147">
        <v>0</v>
      </c>
      <c r="H105" s="157">
        <v>30739689</v>
      </c>
      <c r="I105" s="42">
        <f t="shared" si="8"/>
        <v>127700020.88524893</v>
      </c>
      <c r="J105" s="25">
        <f t="shared" si="9"/>
        <v>3969761.4952489287</v>
      </c>
      <c r="K105" s="34">
        <f t="shared" si="10"/>
        <v>3.2083998811771409E-2</v>
      </c>
      <c r="L105" s="8">
        <f t="shared" si="11"/>
        <v>3.2083998811771409E-2</v>
      </c>
      <c r="M105" s="121">
        <f t="shared" si="12"/>
        <v>15759006329161.01</v>
      </c>
      <c r="N105" s="121">
        <f t="shared" si="13"/>
        <v>-7001613.9289699942</v>
      </c>
      <c r="O105" s="121">
        <f t="shared" si="14"/>
        <v>49022597610346.641</v>
      </c>
      <c r="P105"/>
    </row>
    <row r="106" spans="1:16" x14ac:dyDescent="0.2">
      <c r="A106" s="41">
        <v>45169</v>
      </c>
      <c r="B106" s="42">
        <f>Inputs!D127</f>
        <v>118372301.53000002</v>
      </c>
      <c r="C106" s="123">
        <v>31</v>
      </c>
      <c r="D106" s="123">
        <f t="shared" si="15"/>
        <v>0</v>
      </c>
      <c r="E106" s="120">
        <f t="shared" si="15"/>
        <v>11.709090909090911</v>
      </c>
      <c r="F106" s="120">
        <f t="shared" si="15"/>
        <v>87.795454545454533</v>
      </c>
      <c r="G106" s="147">
        <v>0</v>
      </c>
      <c r="H106" s="157">
        <v>34951158</v>
      </c>
      <c r="I106" s="42">
        <f t="shared" si="8"/>
        <v>125343144.44079289</v>
      </c>
      <c r="J106" s="25">
        <f t="shared" si="9"/>
        <v>6970842.9107928723</v>
      </c>
      <c r="K106" s="34">
        <f t="shared" si="10"/>
        <v>5.8889138934467684E-2</v>
      </c>
      <c r="L106" s="8">
        <f t="shared" si="11"/>
        <v>5.8889138934467684E-2</v>
      </c>
      <c r="M106" s="121">
        <f t="shared" si="12"/>
        <v>48592650886951.242</v>
      </c>
      <c r="N106" s="121">
        <f t="shared" si="13"/>
        <v>3001081.4155439436</v>
      </c>
      <c r="O106" s="121">
        <f t="shared" si="14"/>
        <v>9006489662723.2402</v>
      </c>
      <c r="P106"/>
    </row>
    <row r="107" spans="1:16" x14ac:dyDescent="0.2">
      <c r="A107" s="41">
        <v>45199</v>
      </c>
      <c r="B107" s="42">
        <f>Inputs!D128</f>
        <v>107470986.69999999</v>
      </c>
      <c r="C107" s="123">
        <v>30</v>
      </c>
      <c r="D107" s="123">
        <f t="shared" si="15"/>
        <v>0</v>
      </c>
      <c r="E107" s="120">
        <f t="shared" si="15"/>
        <v>45.56363636363637</v>
      </c>
      <c r="F107" s="120">
        <f t="shared" si="15"/>
        <v>41.22727272727272</v>
      </c>
      <c r="G107" s="147">
        <v>0</v>
      </c>
      <c r="H107" s="157">
        <v>33705088</v>
      </c>
      <c r="I107" s="42">
        <f t="shared" si="8"/>
        <v>109886151.64627814</v>
      </c>
      <c r="J107" s="25">
        <f t="shared" si="9"/>
        <v>2415164.9462781549</v>
      </c>
      <c r="K107" s="34">
        <f t="shared" si="10"/>
        <v>2.2472715850464554E-2</v>
      </c>
      <c r="L107" s="8">
        <f t="shared" si="11"/>
        <v>2.2472715850464554E-2</v>
      </c>
      <c r="M107" s="121">
        <f t="shared" si="12"/>
        <v>5833021717730.7627</v>
      </c>
      <c r="N107" s="121">
        <f t="shared" si="13"/>
        <v>-4555677.9645147175</v>
      </c>
      <c r="O107" s="121">
        <f t="shared" si="14"/>
        <v>20754201716364.961</v>
      </c>
      <c r="P107"/>
    </row>
    <row r="108" spans="1:16" x14ac:dyDescent="0.2">
      <c r="A108" s="41">
        <v>45230</v>
      </c>
      <c r="B108" s="42">
        <f>Inputs!D129</f>
        <v>101567452.83999999</v>
      </c>
      <c r="C108" s="123">
        <v>31</v>
      </c>
      <c r="D108" s="123">
        <f t="shared" si="15"/>
        <v>1</v>
      </c>
      <c r="E108" s="120">
        <f t="shared" si="15"/>
        <v>202.59500000000003</v>
      </c>
      <c r="F108" s="120">
        <f t="shared" si="15"/>
        <v>7.6800000000000015</v>
      </c>
      <c r="G108" s="147">
        <v>0</v>
      </c>
      <c r="H108" s="157">
        <v>32086092</v>
      </c>
      <c r="I108" s="42">
        <f t="shared" si="8"/>
        <v>99803648.915360883</v>
      </c>
      <c r="J108" s="25">
        <f t="shared" si="9"/>
        <v>-1763803.9246391058</v>
      </c>
      <c r="K108" s="34">
        <f t="shared" si="10"/>
        <v>-1.7365837926620449E-2</v>
      </c>
      <c r="L108" s="8">
        <f t="shared" si="11"/>
        <v>1.7365837926620449E-2</v>
      </c>
      <c r="M108" s="121">
        <f t="shared" si="12"/>
        <v>3111004284572.3125</v>
      </c>
      <c r="N108" s="121">
        <f t="shared" si="13"/>
        <v>-4178968.8709172606</v>
      </c>
      <c r="O108" s="121">
        <f t="shared" si="14"/>
        <v>17463780824095.484</v>
      </c>
      <c r="P108"/>
    </row>
    <row r="109" spans="1:16" x14ac:dyDescent="0.2">
      <c r="A109" s="41">
        <v>45260</v>
      </c>
      <c r="B109" s="42">
        <f>Inputs!D130</f>
        <v>103573335.30000001</v>
      </c>
      <c r="C109" s="123">
        <v>30</v>
      </c>
      <c r="D109" s="123">
        <f t="shared" si="15"/>
        <v>1</v>
      </c>
      <c r="E109" s="120">
        <f t="shared" si="15"/>
        <v>394.15</v>
      </c>
      <c r="F109" s="120">
        <f t="shared" si="15"/>
        <v>0.43000000000000005</v>
      </c>
      <c r="G109" s="147">
        <v>0</v>
      </c>
      <c r="H109" s="157">
        <v>33676082</v>
      </c>
      <c r="I109" s="42">
        <f t="shared" si="8"/>
        <v>101132012.90478793</v>
      </c>
      <c r="J109" s="25">
        <f t="shared" si="9"/>
        <v>-2441322.3952120841</v>
      </c>
      <c r="K109" s="34">
        <f t="shared" si="10"/>
        <v>-2.3570954707027608E-2</v>
      </c>
      <c r="L109" s="8">
        <f t="shared" si="11"/>
        <v>2.3570954707027608E-2</v>
      </c>
      <c r="M109" s="121">
        <f t="shared" si="12"/>
        <v>5960055037364.0674</v>
      </c>
      <c r="N109" s="121">
        <f t="shared" si="13"/>
        <v>-677518.47057297826</v>
      </c>
      <c r="O109" s="121">
        <f t="shared" si="14"/>
        <v>459031277967.54761</v>
      </c>
      <c r="P109"/>
    </row>
    <row r="110" spans="1:16" x14ac:dyDescent="0.2">
      <c r="A110" s="41">
        <v>45291</v>
      </c>
      <c r="B110" s="42">
        <f>Inputs!D131</f>
        <v>103900094.45</v>
      </c>
      <c r="C110" s="123">
        <v>31</v>
      </c>
      <c r="D110" s="123">
        <f t="shared" si="15"/>
        <v>0</v>
      </c>
      <c r="E110" s="120">
        <f t="shared" si="15"/>
        <v>538.66000000000008</v>
      </c>
      <c r="F110" s="120">
        <f t="shared" si="15"/>
        <v>0</v>
      </c>
      <c r="G110" s="147">
        <v>0</v>
      </c>
      <c r="H110" s="157">
        <v>28525472</v>
      </c>
      <c r="I110" s="42">
        <f t="shared" si="8"/>
        <v>107757344.37845004</v>
      </c>
      <c r="J110" s="25">
        <f t="shared" si="9"/>
        <v>3857249.9284500331</v>
      </c>
      <c r="K110" s="34">
        <f t="shared" si="10"/>
        <v>3.71246046393756E-2</v>
      </c>
      <c r="L110" s="8">
        <f t="shared" si="11"/>
        <v>3.71246046393756E-2</v>
      </c>
      <c r="M110" s="121">
        <f t="shared" si="12"/>
        <v>14878377010527.785</v>
      </c>
      <c r="N110" s="121">
        <f t="shared" si="13"/>
        <v>6298572.3236621171</v>
      </c>
      <c r="O110" s="121">
        <f t="shared" si="14"/>
        <v>39672013316402.398</v>
      </c>
      <c r="P110"/>
    </row>
    <row r="111" spans="1:16" x14ac:dyDescent="0.2">
      <c r="A111" s="41">
        <v>45322</v>
      </c>
      <c r="B111" s="42">
        <f>Inputs!D132</f>
        <v>114889567.74999997</v>
      </c>
      <c r="C111" s="123">
        <v>31</v>
      </c>
      <c r="D111" s="123">
        <f t="shared" si="15"/>
        <v>0</v>
      </c>
      <c r="E111" s="120">
        <f t="shared" si="15"/>
        <v>672.9727272727273</v>
      </c>
      <c r="F111" s="120">
        <f t="shared" si="15"/>
        <v>0</v>
      </c>
      <c r="G111" s="147">
        <v>0</v>
      </c>
      <c r="H111" s="157">
        <v>30250424</v>
      </c>
      <c r="I111" s="42">
        <f t="shared" si="8"/>
        <v>112597404.04308592</v>
      </c>
      <c r="J111" s="25">
        <f t="shared" si="9"/>
        <v>-2292163.7069140524</v>
      </c>
      <c r="K111" s="34">
        <f t="shared" si="10"/>
        <v>-1.9951016892167332E-2</v>
      </c>
      <c r="L111" s="8">
        <f t="shared" si="11"/>
        <v>1.9951016892167332E-2</v>
      </c>
      <c r="M111" s="121">
        <f t="shared" si="12"/>
        <v>5254014459293.9697</v>
      </c>
      <c r="N111" s="121">
        <f t="shared" si="13"/>
        <v>-6149413.6353640854</v>
      </c>
      <c r="O111" s="121">
        <f t="shared" si="14"/>
        <v>37815288058801.734</v>
      </c>
      <c r="P111"/>
    </row>
    <row r="112" spans="1:16" x14ac:dyDescent="0.2">
      <c r="A112" s="41">
        <v>45351</v>
      </c>
      <c r="B112" s="42">
        <f>Inputs!D133</f>
        <v>103465923.86999999</v>
      </c>
      <c r="C112" s="123">
        <v>29</v>
      </c>
      <c r="D112" s="123">
        <f t="shared" si="15"/>
        <v>0</v>
      </c>
      <c r="E112" s="120">
        <f t="shared" si="15"/>
        <v>593.89090909090919</v>
      </c>
      <c r="F112" s="120">
        <f t="shared" si="15"/>
        <v>0</v>
      </c>
      <c r="G112" s="147">
        <v>0</v>
      </c>
      <c r="H112" s="157">
        <v>30129780</v>
      </c>
      <c r="I112" s="42">
        <f t="shared" si="8"/>
        <v>105111615.46643612</v>
      </c>
      <c r="J112" s="25">
        <f t="shared" si="9"/>
        <v>1645691.596436128</v>
      </c>
      <c r="K112" s="34">
        <f t="shared" si="10"/>
        <v>1.5905638638126513E-2</v>
      </c>
      <c r="L112" s="8">
        <f t="shared" si="11"/>
        <v>1.5905638638126513E-2</v>
      </c>
      <c r="M112" s="121">
        <f t="shared" si="12"/>
        <v>2708300830580.4917</v>
      </c>
      <c r="N112" s="121">
        <f t="shared" si="13"/>
        <v>3937855.3033501804</v>
      </c>
      <c r="O112" s="121">
        <f t="shared" si="14"/>
        <v>15506704390123.141</v>
      </c>
      <c r="P112"/>
    </row>
    <row r="113" spans="1:16" x14ac:dyDescent="0.2">
      <c r="A113" s="41">
        <v>45382</v>
      </c>
      <c r="B113" s="42">
        <f>Inputs!D134</f>
        <v>104383760.00000003</v>
      </c>
      <c r="C113" s="123">
        <v>31</v>
      </c>
      <c r="D113" s="123">
        <f t="shared" si="15"/>
        <v>1</v>
      </c>
      <c r="E113" s="120">
        <f t="shared" si="15"/>
        <v>493.74999999999994</v>
      </c>
      <c r="F113" s="120">
        <f t="shared" si="15"/>
        <v>0</v>
      </c>
      <c r="G113" s="147">
        <v>0</v>
      </c>
      <c r="H113" s="157">
        <v>31413629</v>
      </c>
      <c r="I113" s="42">
        <f t="shared" si="8"/>
        <v>103723919.11744526</v>
      </c>
      <c r="J113" s="25">
        <f t="shared" si="9"/>
        <v>-659840.88255476952</v>
      </c>
      <c r="K113" s="34">
        <f t="shared" si="10"/>
        <v>-6.3212982800654946E-3</v>
      </c>
      <c r="L113" s="8">
        <f t="shared" si="11"/>
        <v>6.3212982800654946E-3</v>
      </c>
      <c r="M113" s="121">
        <f t="shared" si="12"/>
        <v>435389990290.65717</v>
      </c>
      <c r="N113" s="121">
        <f t="shared" si="13"/>
        <v>-2305532.4789908975</v>
      </c>
      <c r="O113" s="121">
        <f t="shared" si="14"/>
        <v>5315480011681.9131</v>
      </c>
      <c r="P113"/>
    </row>
    <row r="114" spans="1:16" x14ac:dyDescent="0.2">
      <c r="A114" s="41">
        <v>45412</v>
      </c>
      <c r="B114" s="42">
        <f>Inputs!D135</f>
        <v>96290702.249999985</v>
      </c>
      <c r="C114" s="123">
        <v>30</v>
      </c>
      <c r="D114" s="123">
        <f t="shared" si="15"/>
        <v>1</v>
      </c>
      <c r="E114" s="120">
        <f t="shared" si="15"/>
        <v>320.75454545454545</v>
      </c>
      <c r="F114" s="120">
        <f t="shared" si="15"/>
        <v>0.4</v>
      </c>
      <c r="G114" s="147">
        <v>0</v>
      </c>
      <c r="H114" s="157">
        <v>31886888</v>
      </c>
      <c r="I114" s="42">
        <f t="shared" si="8"/>
        <v>97602929.923764437</v>
      </c>
      <c r="J114" s="25">
        <f t="shared" si="9"/>
        <v>1312227.6737644523</v>
      </c>
      <c r="K114" s="34">
        <f t="shared" si="10"/>
        <v>1.3627771353847951E-2</v>
      </c>
      <c r="L114" s="8">
        <f t="shared" si="11"/>
        <v>1.3627771353847951E-2</v>
      </c>
      <c r="M114" s="121">
        <f t="shared" si="12"/>
        <v>1721941467793.2659</v>
      </c>
      <c r="N114" s="121">
        <f t="shared" si="13"/>
        <v>1972068.5563192219</v>
      </c>
      <c r="O114" s="121">
        <f t="shared" si="14"/>
        <v>3889054390822.98</v>
      </c>
      <c r="P114"/>
    </row>
    <row r="115" spans="1:16" x14ac:dyDescent="0.2">
      <c r="A115" s="41">
        <v>45443</v>
      </c>
      <c r="B115" s="42">
        <f>Inputs!D136</f>
        <v>103034309.11999999</v>
      </c>
      <c r="C115" s="123">
        <v>31</v>
      </c>
      <c r="D115" s="123">
        <f t="shared" si="15"/>
        <v>1</v>
      </c>
      <c r="E115" s="120">
        <f t="shared" si="15"/>
        <v>142.09090909090909</v>
      </c>
      <c r="F115" s="120">
        <f t="shared" si="15"/>
        <v>22.209090909090907</v>
      </c>
      <c r="G115" s="147">
        <v>0</v>
      </c>
      <c r="H115" s="157">
        <v>33307837</v>
      </c>
      <c r="I115" s="42">
        <f t="shared" si="8"/>
        <v>103485012.94008493</v>
      </c>
      <c r="J115" s="25">
        <f t="shared" si="9"/>
        <v>450703.82008494437</v>
      </c>
      <c r="K115" s="34">
        <f t="shared" si="10"/>
        <v>4.3743081691364327E-3</v>
      </c>
      <c r="L115" s="8">
        <f t="shared" si="11"/>
        <v>4.3743081691364327E-3</v>
      </c>
      <c r="M115" s="121">
        <f t="shared" si="12"/>
        <v>203133933439.1619</v>
      </c>
      <c r="N115" s="121">
        <f t="shared" si="13"/>
        <v>-861523.85367950797</v>
      </c>
      <c r="O115" s="121">
        <f t="shared" si="14"/>
        <v>742223350458.79028</v>
      </c>
      <c r="P115"/>
    </row>
    <row r="116" spans="1:16" x14ac:dyDescent="0.2">
      <c r="A116" s="41">
        <v>45473</v>
      </c>
      <c r="B116" s="42">
        <f>Inputs!D137</f>
        <v>115554806.21000001</v>
      </c>
      <c r="C116" s="123">
        <v>30</v>
      </c>
      <c r="D116" s="123">
        <f t="shared" si="15"/>
        <v>0</v>
      </c>
      <c r="E116" s="120">
        <f t="shared" si="15"/>
        <v>26.663636363636364</v>
      </c>
      <c r="F116" s="120">
        <f t="shared" si="15"/>
        <v>65.77272727272728</v>
      </c>
      <c r="G116" s="147">
        <v>0</v>
      </c>
      <c r="H116" s="157">
        <v>31143333</v>
      </c>
      <c r="I116" s="42">
        <f t="shared" si="8"/>
        <v>113211512.98308447</v>
      </c>
      <c r="J116" s="25">
        <f t="shared" si="9"/>
        <v>-2343293.2269155383</v>
      </c>
      <c r="K116" s="34">
        <f t="shared" si="10"/>
        <v>-2.0278630580341468E-2</v>
      </c>
      <c r="L116" s="8">
        <f t="shared" si="11"/>
        <v>2.0278630580341468E-2</v>
      </c>
      <c r="M116" s="121">
        <f t="shared" si="12"/>
        <v>5491023147308.2363</v>
      </c>
      <c r="N116" s="121">
        <f t="shared" si="13"/>
        <v>-2793997.0470004827</v>
      </c>
      <c r="O116" s="121">
        <f t="shared" si="14"/>
        <v>7806419498647.417</v>
      </c>
      <c r="P116"/>
    </row>
    <row r="117" spans="1:16" x14ac:dyDescent="0.2">
      <c r="A117" s="41">
        <v>45504</v>
      </c>
      <c r="B117" s="42">
        <f>Inputs!D138</f>
        <v>127431775.88</v>
      </c>
      <c r="C117" s="123">
        <v>31</v>
      </c>
      <c r="D117" s="123">
        <f t="shared" si="15"/>
        <v>0</v>
      </c>
      <c r="E117" s="120">
        <f t="shared" si="15"/>
        <v>3.9272727272727277</v>
      </c>
      <c r="F117" s="120">
        <f t="shared" si="15"/>
        <v>114.20454545454545</v>
      </c>
      <c r="G117" s="147">
        <v>0</v>
      </c>
      <c r="H117" s="157">
        <v>29943389</v>
      </c>
      <c r="I117" s="42">
        <f t="shared" si="8"/>
        <v>126875689.83307339</v>
      </c>
      <c r="J117" s="25">
        <f t="shared" si="9"/>
        <v>-556086.04692660272</v>
      </c>
      <c r="K117" s="34">
        <f t="shared" si="10"/>
        <v>-4.3637942191926925E-3</v>
      </c>
      <c r="L117" s="8">
        <f t="shared" si="11"/>
        <v>4.3637942191926925E-3</v>
      </c>
      <c r="M117" s="121">
        <f t="shared" si="12"/>
        <v>309231691586.45581</v>
      </c>
      <c r="N117" s="121">
        <f t="shared" si="13"/>
        <v>1787207.1799889356</v>
      </c>
      <c r="O117" s="121">
        <f t="shared" si="14"/>
        <v>3194109504204.0034</v>
      </c>
      <c r="P117"/>
    </row>
    <row r="118" spans="1:16" x14ac:dyDescent="0.2">
      <c r="A118" s="41">
        <v>45535</v>
      </c>
      <c r="B118" s="42">
        <f>Inputs!D139</f>
        <v>124968723.37</v>
      </c>
      <c r="C118" s="123">
        <v>31</v>
      </c>
      <c r="D118" s="123">
        <f t="shared" si="15"/>
        <v>0</v>
      </c>
      <c r="E118" s="120">
        <f t="shared" si="15"/>
        <v>11.709090909090911</v>
      </c>
      <c r="F118" s="120">
        <f t="shared" si="15"/>
        <v>87.795454545454533</v>
      </c>
      <c r="G118" s="147">
        <v>0</v>
      </c>
      <c r="H118" s="157">
        <v>31000142</v>
      </c>
      <c r="I118" s="42">
        <f t="shared" si="8"/>
        <v>121253046.26618233</v>
      </c>
      <c r="J118" s="25">
        <f t="shared" si="9"/>
        <v>-3715677.1038176715</v>
      </c>
      <c r="K118" s="34">
        <f t="shared" si="10"/>
        <v>-2.9732856378923825E-2</v>
      </c>
      <c r="L118" s="8">
        <f t="shared" si="11"/>
        <v>2.9732856378923825E-2</v>
      </c>
      <c r="M118" s="121">
        <f t="shared" si="12"/>
        <v>13806256339834.879</v>
      </c>
      <c r="N118" s="121">
        <f t="shared" si="13"/>
        <v>-3159591.0568910688</v>
      </c>
      <c r="O118" s="121">
        <f t="shared" si="14"/>
        <v>9983015646786.0215</v>
      </c>
      <c r="P118"/>
    </row>
    <row r="119" spans="1:16" x14ac:dyDescent="0.2">
      <c r="A119" s="41">
        <v>45565</v>
      </c>
      <c r="B119" s="42">
        <f>Inputs!D140</f>
        <v>110181971.18999998</v>
      </c>
      <c r="C119" s="123">
        <v>30</v>
      </c>
      <c r="D119" s="123">
        <f t="shared" si="15"/>
        <v>0</v>
      </c>
      <c r="E119" s="120">
        <f t="shared" si="15"/>
        <v>45.56363636363637</v>
      </c>
      <c r="F119" s="120">
        <f t="shared" si="15"/>
        <v>41.22727272727272</v>
      </c>
      <c r="G119" s="147">
        <v>0</v>
      </c>
      <c r="H119" s="157">
        <v>30980059</v>
      </c>
      <c r="I119" s="42">
        <f t="shared" si="8"/>
        <v>107065197.20350675</v>
      </c>
      <c r="J119" s="25">
        <f t="shared" si="9"/>
        <v>-3116773.9864932299</v>
      </c>
      <c r="K119" s="34">
        <f t="shared" si="10"/>
        <v>-2.8287513400160565E-2</v>
      </c>
      <c r="L119" s="8">
        <f t="shared" si="11"/>
        <v>2.8287513400160565E-2</v>
      </c>
      <c r="M119" s="121">
        <f t="shared" si="12"/>
        <v>9714280082880.9004</v>
      </c>
      <c r="N119" s="121">
        <f t="shared" si="13"/>
        <v>598903.11732444167</v>
      </c>
      <c r="O119" s="121">
        <f t="shared" si="14"/>
        <v>358684943940.93396</v>
      </c>
      <c r="P119"/>
    </row>
    <row r="120" spans="1:16" x14ac:dyDescent="0.2">
      <c r="A120" s="41">
        <v>45596</v>
      </c>
      <c r="B120" s="42">
        <f>Inputs!D141</f>
        <v>99255142.859999985</v>
      </c>
      <c r="C120" s="123">
        <v>31</v>
      </c>
      <c r="D120" s="123">
        <f t="shared" si="15"/>
        <v>1</v>
      </c>
      <c r="E120" s="120">
        <f t="shared" si="15"/>
        <v>202.59500000000003</v>
      </c>
      <c r="F120" s="120">
        <f t="shared" si="15"/>
        <v>7.6800000000000015</v>
      </c>
      <c r="G120" s="147">
        <v>0</v>
      </c>
      <c r="H120" s="157">
        <v>31977835</v>
      </c>
      <c r="I120" s="42">
        <f t="shared" si="8"/>
        <v>99691581.093289584</v>
      </c>
      <c r="J120" s="25">
        <f t="shared" si="9"/>
        <v>436438.23328959942</v>
      </c>
      <c r="K120" s="34">
        <f t="shared" si="10"/>
        <v>4.3971347046993662E-3</v>
      </c>
      <c r="L120" s="8">
        <f t="shared" si="11"/>
        <v>4.3971347046993662E-3</v>
      </c>
      <c r="M120" s="121">
        <f t="shared" si="12"/>
        <v>190478331476.94681</v>
      </c>
      <c r="N120" s="121">
        <f t="shared" si="13"/>
        <v>3553212.2197828293</v>
      </c>
      <c r="O120" s="121">
        <f t="shared" si="14"/>
        <v>12625317078814.021</v>
      </c>
      <c r="P120"/>
    </row>
    <row r="121" spans="1:16" x14ac:dyDescent="0.2">
      <c r="A121" s="41">
        <v>45626</v>
      </c>
      <c r="B121" s="42">
        <f>Inputs!D142</f>
        <v>100050319.93000001</v>
      </c>
      <c r="C121" s="123">
        <v>30</v>
      </c>
      <c r="D121" s="123">
        <f t="shared" si="15"/>
        <v>1</v>
      </c>
      <c r="E121" s="120">
        <f t="shared" si="15"/>
        <v>394.15</v>
      </c>
      <c r="F121" s="120">
        <f t="shared" si="15"/>
        <v>0.43000000000000005</v>
      </c>
      <c r="G121" s="147">
        <v>0</v>
      </c>
      <c r="H121" s="157">
        <v>31486058</v>
      </c>
      <c r="I121" s="42">
        <f t="shared" si="8"/>
        <v>98864896.506182283</v>
      </c>
      <c r="J121" s="25">
        <f t="shared" si="9"/>
        <v>-1185423.423817724</v>
      </c>
      <c r="K121" s="34">
        <f t="shared" si="10"/>
        <v>-1.1848272195902051E-2</v>
      </c>
      <c r="L121" s="8">
        <f t="shared" si="11"/>
        <v>1.1848272195902051E-2</v>
      </c>
      <c r="M121" s="121">
        <f t="shared" si="12"/>
        <v>1405228693735.7354</v>
      </c>
      <c r="N121" s="121">
        <f t="shared" si="13"/>
        <v>-1621861.6571073234</v>
      </c>
      <c r="O121" s="121">
        <f t="shared" si="14"/>
        <v>2630435234794.9131</v>
      </c>
      <c r="P121"/>
    </row>
    <row r="122" spans="1:16" x14ac:dyDescent="0.2">
      <c r="A122" s="41">
        <v>45657</v>
      </c>
      <c r="B122" s="42">
        <f>Inputs!D143</f>
        <v>109118061.53199999</v>
      </c>
      <c r="C122" s="123">
        <v>31</v>
      </c>
      <c r="D122" s="123">
        <f t="shared" si="15"/>
        <v>0</v>
      </c>
      <c r="E122" s="120">
        <f t="shared" si="15"/>
        <v>538.66000000000008</v>
      </c>
      <c r="F122" s="120">
        <f t="shared" si="15"/>
        <v>0</v>
      </c>
      <c r="G122" s="147">
        <v>0</v>
      </c>
      <c r="H122" s="157">
        <v>28118731</v>
      </c>
      <c r="I122" s="42">
        <f t="shared" si="8"/>
        <v>107336285.43522143</v>
      </c>
      <c r="J122" s="25">
        <f t="shared" si="9"/>
        <v>-1781776.0967785567</v>
      </c>
      <c r="K122" s="34">
        <f t="shared" si="10"/>
        <v>-1.632888333757682E-2</v>
      </c>
      <c r="L122" s="8">
        <f>ABS(K122)</f>
        <v>1.632888333757682E-2</v>
      </c>
      <c r="M122" s="121">
        <f t="shared" si="12"/>
        <v>3174726059051.4287</v>
      </c>
      <c r="N122" s="121">
        <f t="shared" si="13"/>
        <v>-596352.67296083272</v>
      </c>
      <c r="O122" s="121">
        <f t="shared" si="14"/>
        <v>355636510547.52991</v>
      </c>
      <c r="P122"/>
    </row>
    <row r="123" spans="1:16" x14ac:dyDescent="0.2">
      <c r="A123" s="41">
        <v>45688</v>
      </c>
      <c r="B123" s="42">
        <f>Inputs!D144</f>
        <v>118581601.45</v>
      </c>
      <c r="C123" s="123">
        <v>31</v>
      </c>
      <c r="D123" s="123">
        <f t="shared" si="15"/>
        <v>0</v>
      </c>
      <c r="E123" s="120">
        <f t="shared" si="15"/>
        <v>672.9727272727273</v>
      </c>
      <c r="F123" s="120">
        <f t="shared" si="15"/>
        <v>0</v>
      </c>
      <c r="G123" s="147">
        <v>0</v>
      </c>
      <c r="H123" s="157">
        <v>30154959</v>
      </c>
      <c r="I123" s="42">
        <f t="shared" si="8"/>
        <v>112498578.52017252</v>
      </c>
      <c r="J123" s="25"/>
      <c r="K123" t="s">
        <v>47</v>
      </c>
      <c r="L123" s="3">
        <f>AVERAGE(L3:L122)</f>
        <v>3.4765889534226671E-2</v>
      </c>
      <c r="M123" s="4">
        <f>SUM(M3:M122)</f>
        <v>2632156855811705.5</v>
      </c>
      <c r="N123" s="3"/>
      <c r="O123" s="4">
        <f>SUM(O3:O122)</f>
        <v>2928115517151924.5</v>
      </c>
      <c r="P123" s="20"/>
    </row>
    <row r="124" spans="1:16" x14ac:dyDescent="0.2">
      <c r="A124" s="41">
        <v>45716</v>
      </c>
      <c r="B124" s="42">
        <f>Inputs!D145</f>
        <v>105233374.78999999</v>
      </c>
      <c r="C124" s="123">
        <v>28</v>
      </c>
      <c r="D124" s="123">
        <f t="shared" si="15"/>
        <v>0</v>
      </c>
      <c r="E124" s="120">
        <f t="shared" si="15"/>
        <v>593.89090909090919</v>
      </c>
      <c r="F124" s="120">
        <f t="shared" si="15"/>
        <v>0</v>
      </c>
      <c r="G124" s="147">
        <v>0</v>
      </c>
      <c r="H124" s="157">
        <v>29284619</v>
      </c>
      <c r="I124" s="42">
        <f t="shared" si="8"/>
        <v>101455448.7401242</v>
      </c>
      <c r="J124" s="25"/>
      <c r="P124"/>
    </row>
    <row r="125" spans="1:16" x14ac:dyDescent="0.2">
      <c r="A125" s="41">
        <v>45747</v>
      </c>
      <c r="B125" s="42">
        <f>Inputs!D146</f>
        <v>106623428.59</v>
      </c>
      <c r="C125" s="123">
        <v>31</v>
      </c>
      <c r="D125" s="123">
        <f t="shared" si="15"/>
        <v>1</v>
      </c>
      <c r="E125" s="120">
        <f t="shared" si="15"/>
        <v>493.74999999999994</v>
      </c>
      <c r="F125" s="120">
        <f t="shared" si="15"/>
        <v>0</v>
      </c>
      <c r="G125" s="147">
        <v>0</v>
      </c>
      <c r="H125" s="157">
        <v>33139513</v>
      </c>
      <c r="I125" s="42">
        <f t="shared" si="8"/>
        <v>105510557.03487957</v>
      </c>
      <c r="J125" s="25"/>
      <c r="P125"/>
    </row>
    <row r="126" spans="1:16" x14ac:dyDescent="0.2">
      <c r="A126" s="41">
        <v>45777</v>
      </c>
      <c r="B126" s="42">
        <f>Inputs!D147</f>
        <v>96067244.75</v>
      </c>
      <c r="C126" s="123">
        <v>30</v>
      </c>
      <c r="D126" s="123">
        <f t="shared" si="15"/>
        <v>1</v>
      </c>
      <c r="E126" s="120">
        <f t="shared" si="15"/>
        <v>320.75454545454545</v>
      </c>
      <c r="F126" s="120">
        <f t="shared" si="15"/>
        <v>0.4</v>
      </c>
      <c r="G126" s="147">
        <v>0</v>
      </c>
      <c r="H126" s="157">
        <v>30664124</v>
      </c>
      <c r="I126" s="42">
        <f t="shared" si="8"/>
        <v>96337122.646755308</v>
      </c>
      <c r="J126" s="25"/>
      <c r="P126"/>
    </row>
    <row r="127" spans="1:16" x14ac:dyDescent="0.2">
      <c r="A127" s="41">
        <v>45808</v>
      </c>
      <c r="B127" s="42">
        <f>Inputs!D148</f>
        <v>96698395.920000002</v>
      </c>
      <c r="C127" s="123">
        <v>31</v>
      </c>
      <c r="D127" s="123">
        <f t="shared" si="15"/>
        <v>1</v>
      </c>
      <c r="E127" s="120">
        <f t="shared" si="15"/>
        <v>142.09090909090909</v>
      </c>
      <c r="F127" s="120">
        <f t="shared" si="15"/>
        <v>22.209090909090907</v>
      </c>
      <c r="G127" s="147">
        <v>0</v>
      </c>
      <c r="H127" s="157">
        <v>31855041</v>
      </c>
      <c r="I127" s="42">
        <f t="shared" si="8"/>
        <v>101981076.16339724</v>
      </c>
      <c r="J127" s="25"/>
      <c r="P127"/>
    </row>
    <row r="128" spans="1:16" x14ac:dyDescent="0.2">
      <c r="A128" s="41">
        <v>45838</v>
      </c>
      <c r="B128" s="42">
        <f>Inputs!D149</f>
        <v>116051472.24000001</v>
      </c>
      <c r="C128" s="123">
        <v>30</v>
      </c>
      <c r="D128" s="123">
        <f t="shared" si="15"/>
        <v>0</v>
      </c>
      <c r="E128" s="120">
        <f t="shared" si="15"/>
        <v>26.663636363636364</v>
      </c>
      <c r="F128" s="120">
        <f t="shared" si="15"/>
        <v>65.77272727272728</v>
      </c>
      <c r="G128" s="147">
        <v>0</v>
      </c>
      <c r="H128" s="157">
        <v>30589499</v>
      </c>
      <c r="I128" s="42">
        <f t="shared" si="8"/>
        <v>112638183.12756446</v>
      </c>
      <c r="J128" s="25"/>
      <c r="P128"/>
    </row>
    <row r="129" spans="1:16" x14ac:dyDescent="0.2">
      <c r="A129" s="41">
        <v>45869</v>
      </c>
      <c r="B129" s="42">
        <f>Inputs!D150</f>
        <v>136150521.76000002</v>
      </c>
      <c r="C129" s="123">
        <v>31</v>
      </c>
      <c r="D129" s="123">
        <f t="shared" si="15"/>
        <v>0</v>
      </c>
      <c r="E129" s="120">
        <f t="shared" si="15"/>
        <v>3.9272727272727277</v>
      </c>
      <c r="F129" s="120">
        <f t="shared" si="15"/>
        <v>114.20454545454545</v>
      </c>
      <c r="G129" s="147">
        <v>0</v>
      </c>
      <c r="H129" s="157">
        <v>30119758</v>
      </c>
      <c r="I129" s="42">
        <f t="shared" si="8"/>
        <v>127058267.3080717</v>
      </c>
      <c r="J129" s="25"/>
      <c r="K129"/>
      <c r="L129"/>
      <c r="M129"/>
      <c r="N129"/>
      <c r="O129"/>
      <c r="P129"/>
    </row>
    <row r="130" spans="1:16" x14ac:dyDescent="0.2">
      <c r="A130" s="41">
        <v>45900</v>
      </c>
      <c r="B130" s="42">
        <f>Inputs!D151</f>
        <v>125410722.38000001</v>
      </c>
      <c r="C130" s="123">
        <v>31</v>
      </c>
      <c r="D130" s="123">
        <f t="shared" si="15"/>
        <v>0</v>
      </c>
      <c r="E130" s="120">
        <f t="shared" si="15"/>
        <v>11.709090909090911</v>
      </c>
      <c r="F130" s="120">
        <f t="shared" si="15"/>
        <v>87.795454545454533</v>
      </c>
      <c r="G130" s="147">
        <v>0</v>
      </c>
      <c r="H130" s="157">
        <v>29767377</v>
      </c>
      <c r="I130" s="42">
        <f t="shared" si="8"/>
        <v>119976885.93774432</v>
      </c>
      <c r="J130" s="25"/>
      <c r="K130" s="39"/>
      <c r="L130"/>
      <c r="M130"/>
      <c r="N130"/>
      <c r="O130"/>
      <c r="P130"/>
    </row>
    <row r="131" spans="1:16" x14ac:dyDescent="0.2">
      <c r="A131" s="41">
        <v>45930</v>
      </c>
      <c r="B131" s="42"/>
      <c r="C131" s="123">
        <v>30</v>
      </c>
      <c r="D131" s="123">
        <f t="shared" si="15"/>
        <v>0</v>
      </c>
      <c r="E131" s="120">
        <f t="shared" si="15"/>
        <v>45.56363636363637</v>
      </c>
      <c r="F131" s="120">
        <f t="shared" si="15"/>
        <v>41.22727272727272</v>
      </c>
      <c r="G131" s="147">
        <v>0</v>
      </c>
      <c r="H131" s="166">
        <f>H119*(1+H$148)</f>
        <v>30360457.82</v>
      </c>
      <c r="I131" s="42">
        <f t="shared" ref="I131:I146" si="16">$R$18+$R$19*C131+$R$20*D131+$R$21*E131+$R$22*F131+$R$23*G131+$R$24*H131</f>
        <v>106423785.05652872</v>
      </c>
      <c r="J131" s="25"/>
      <c r="K131" s="39"/>
      <c r="L131"/>
      <c r="M131"/>
      <c r="N131"/>
      <c r="O131"/>
      <c r="P131"/>
    </row>
    <row r="132" spans="1:16" x14ac:dyDescent="0.2">
      <c r="A132" s="41">
        <v>45961</v>
      </c>
      <c r="B132" s="42"/>
      <c r="C132" s="123">
        <v>31</v>
      </c>
      <c r="D132" s="123">
        <f t="shared" si="15"/>
        <v>1</v>
      </c>
      <c r="E132" s="120">
        <f t="shared" si="15"/>
        <v>202.59500000000003</v>
      </c>
      <c r="F132" s="120">
        <f t="shared" si="15"/>
        <v>7.6800000000000015</v>
      </c>
      <c r="G132" s="147">
        <v>0</v>
      </c>
      <c r="H132" s="166">
        <f t="shared" ref="H132:H134" si="17">H120*(1+H$148)</f>
        <v>31338278.300000001</v>
      </c>
      <c r="I132" s="42">
        <f t="shared" si="16"/>
        <v>99029510.959625244</v>
      </c>
      <c r="J132" s="25"/>
      <c r="K132" s="143"/>
      <c r="L132"/>
      <c r="M132"/>
      <c r="N132"/>
      <c r="O132"/>
      <c r="P132"/>
    </row>
    <row r="133" spans="1:16" x14ac:dyDescent="0.2">
      <c r="A133" s="41">
        <v>45991</v>
      </c>
      <c r="B133" s="42"/>
      <c r="C133" s="123">
        <v>30</v>
      </c>
      <c r="D133" s="123">
        <f t="shared" si="15"/>
        <v>1</v>
      </c>
      <c r="E133" s="120">
        <f t="shared" si="15"/>
        <v>394.15</v>
      </c>
      <c r="F133" s="120">
        <f t="shared" si="15"/>
        <v>0.43000000000000005</v>
      </c>
      <c r="G133" s="147">
        <v>0</v>
      </c>
      <c r="H133" s="166">
        <f t="shared" si="17"/>
        <v>30856336.84</v>
      </c>
      <c r="I133" s="42">
        <f t="shared" si="16"/>
        <v>98213008.139486313</v>
      </c>
      <c r="J133" s="25"/>
      <c r="K133"/>
      <c r="L133"/>
      <c r="M133"/>
      <c r="N133"/>
      <c r="O133"/>
      <c r="P133"/>
    </row>
    <row r="134" spans="1:16" x14ac:dyDescent="0.2">
      <c r="A134" s="41">
        <v>46022</v>
      </c>
      <c r="B134" s="42"/>
      <c r="C134" s="123">
        <v>31</v>
      </c>
      <c r="D134" s="123">
        <f t="shared" si="15"/>
        <v>0</v>
      </c>
      <c r="E134" s="120">
        <f t="shared" si="15"/>
        <v>538.66000000000008</v>
      </c>
      <c r="F134" s="120">
        <f t="shared" si="15"/>
        <v>0</v>
      </c>
      <c r="G134" s="147">
        <v>0</v>
      </c>
      <c r="H134" s="166">
        <f t="shared" si="17"/>
        <v>27556356.379999999</v>
      </c>
      <c r="I134" s="42">
        <f t="shared" si="16"/>
        <v>106754114.31601834</v>
      </c>
      <c r="J134" s="25"/>
      <c r="K134"/>
      <c r="L134"/>
      <c r="M134"/>
      <c r="N134"/>
      <c r="O134"/>
      <c r="P134"/>
    </row>
    <row r="135" spans="1:16" x14ac:dyDescent="0.2">
      <c r="A135" s="41">
        <v>46053</v>
      </c>
      <c r="B135" s="42"/>
      <c r="C135" s="123">
        <v>31</v>
      </c>
      <c r="D135" s="123">
        <f t="shared" si="15"/>
        <v>0</v>
      </c>
      <c r="E135" s="120">
        <f t="shared" si="15"/>
        <v>672.9727272727273</v>
      </c>
      <c r="F135" s="120">
        <f t="shared" si="15"/>
        <v>0</v>
      </c>
      <c r="G135" s="147">
        <v>0</v>
      </c>
      <c r="H135" s="166">
        <f>H123*(1+H$149)</f>
        <v>29551859.82</v>
      </c>
      <c r="I135" s="42">
        <f t="shared" si="16"/>
        <v>111874249.27037269</v>
      </c>
      <c r="J135" s="25"/>
      <c r="K135"/>
      <c r="L135"/>
      <c r="M135"/>
      <c r="N135"/>
      <c r="O135"/>
      <c r="P135"/>
    </row>
    <row r="136" spans="1:16" x14ac:dyDescent="0.2">
      <c r="A136" s="41">
        <v>46081</v>
      </c>
      <c r="B136" s="42"/>
      <c r="C136" s="123">
        <v>28</v>
      </c>
      <c r="D136" s="123">
        <f t="shared" si="15"/>
        <v>0</v>
      </c>
      <c r="E136" s="120">
        <f t="shared" si="15"/>
        <v>593.89090909090919</v>
      </c>
      <c r="F136" s="120">
        <f t="shared" si="15"/>
        <v>0</v>
      </c>
      <c r="G136" s="147">
        <v>0</v>
      </c>
      <c r="H136" s="166">
        <f t="shared" ref="H136:H146" si="18">H124*(1+H$149)</f>
        <v>28698926.620000001</v>
      </c>
      <c r="I136" s="42">
        <f t="shared" si="16"/>
        <v>100849139.03793082</v>
      </c>
      <c r="J136" s="25"/>
      <c r="K136"/>
      <c r="L136"/>
      <c r="M136"/>
      <c r="N136"/>
      <c r="O136"/>
      <c r="P136"/>
    </row>
    <row r="137" spans="1:16" x14ac:dyDescent="0.2">
      <c r="A137" s="41">
        <v>46112</v>
      </c>
      <c r="B137" s="42"/>
      <c r="C137" s="123">
        <v>31</v>
      </c>
      <c r="D137" s="123">
        <f t="shared" si="15"/>
        <v>1</v>
      </c>
      <c r="E137" s="120">
        <f t="shared" si="15"/>
        <v>493.74999999999994</v>
      </c>
      <c r="F137" s="120">
        <f t="shared" si="15"/>
        <v>0</v>
      </c>
      <c r="G137" s="147">
        <v>0</v>
      </c>
      <c r="H137" s="166">
        <f t="shared" si="18"/>
        <v>32476722.739999998</v>
      </c>
      <c r="I137" s="42">
        <f t="shared" si="16"/>
        <v>104824435.48220155</v>
      </c>
      <c r="J137" s="25"/>
      <c r="K137"/>
      <c r="L137"/>
      <c r="M137"/>
      <c r="N137"/>
      <c r="O137"/>
      <c r="P137"/>
    </row>
    <row r="138" spans="1:16" x14ac:dyDescent="0.2">
      <c r="A138" s="41">
        <v>46142</v>
      </c>
      <c r="B138" s="42"/>
      <c r="C138" s="123">
        <v>30</v>
      </c>
      <c r="D138" s="123">
        <f t="shared" si="15"/>
        <v>1</v>
      </c>
      <c r="E138" s="120">
        <f t="shared" si="15"/>
        <v>320.75454545454545</v>
      </c>
      <c r="F138" s="120">
        <f t="shared" si="15"/>
        <v>0.4</v>
      </c>
      <c r="G138" s="147">
        <v>0</v>
      </c>
      <c r="H138" s="166">
        <f>H126*(1+H$149)</f>
        <v>30050841.52</v>
      </c>
      <c r="I138" s="42">
        <f t="shared" si="16"/>
        <v>95702251.62827079</v>
      </c>
      <c r="J138" s="25"/>
      <c r="K138"/>
      <c r="L138"/>
      <c r="M138"/>
      <c r="N138"/>
      <c r="O138"/>
      <c r="P138"/>
    </row>
    <row r="139" spans="1:16" x14ac:dyDescent="0.2">
      <c r="A139" s="41">
        <v>46173</v>
      </c>
      <c r="B139" s="42"/>
      <c r="C139" s="123">
        <v>31</v>
      </c>
      <c r="D139" s="123">
        <f t="shared" si="15"/>
        <v>1</v>
      </c>
      <c r="E139" s="120">
        <f t="shared" si="15"/>
        <v>142.09090909090909</v>
      </c>
      <c r="F139" s="120">
        <f t="shared" si="15"/>
        <v>22.209090909090907</v>
      </c>
      <c r="G139" s="147">
        <v>0</v>
      </c>
      <c r="H139" s="166">
        <f t="shared" si="18"/>
        <v>31217940.18</v>
      </c>
      <c r="I139" s="42">
        <f t="shared" si="16"/>
        <v>101321548.36069411</v>
      </c>
      <c r="J139" s="25"/>
      <c r="K139"/>
      <c r="L139"/>
      <c r="M139"/>
      <c r="N139"/>
      <c r="O139"/>
      <c r="P139"/>
    </row>
    <row r="140" spans="1:16" x14ac:dyDescent="0.2">
      <c r="A140" s="41">
        <v>46203</v>
      </c>
      <c r="B140" s="42"/>
      <c r="C140" s="123">
        <v>30</v>
      </c>
      <c r="D140" s="123">
        <f t="shared" si="15"/>
        <v>0</v>
      </c>
      <c r="E140" s="120">
        <f t="shared" si="15"/>
        <v>26.663636363636364</v>
      </c>
      <c r="F140" s="120">
        <f t="shared" si="15"/>
        <v>65.77272727272728</v>
      </c>
      <c r="G140" s="147">
        <v>0</v>
      </c>
      <c r="H140" s="166">
        <f t="shared" si="18"/>
        <v>29977709.02</v>
      </c>
      <c r="I140" s="42">
        <f t="shared" si="16"/>
        <v>112004857.14750186</v>
      </c>
      <c r="J140" s="25"/>
      <c r="K140"/>
      <c r="L140"/>
      <c r="M140"/>
      <c r="N140"/>
      <c r="O140"/>
      <c r="P140"/>
    </row>
    <row r="141" spans="1:16" x14ac:dyDescent="0.2">
      <c r="A141" s="41">
        <v>46234</v>
      </c>
      <c r="B141" s="42"/>
      <c r="C141" s="123">
        <v>31</v>
      </c>
      <c r="D141" s="123">
        <f t="shared" si="15"/>
        <v>0</v>
      </c>
      <c r="E141" s="120">
        <f t="shared" si="15"/>
        <v>3.9272727272727277</v>
      </c>
      <c r="F141" s="120">
        <f t="shared" si="15"/>
        <v>114.20454545454545</v>
      </c>
      <c r="G141" s="147">
        <v>0</v>
      </c>
      <c r="H141" s="166">
        <f t="shared" si="18"/>
        <v>29517362.84</v>
      </c>
      <c r="I141" s="42">
        <f t="shared" si="16"/>
        <v>126434666.8609183</v>
      </c>
      <c r="J141" s="25"/>
      <c r="K141"/>
      <c r="L141"/>
      <c r="M141"/>
      <c r="N141"/>
      <c r="O141"/>
      <c r="P141"/>
    </row>
    <row r="142" spans="1:16" x14ac:dyDescent="0.2">
      <c r="A142" s="41">
        <v>46265</v>
      </c>
      <c r="B142" s="42"/>
      <c r="C142" s="123">
        <v>31</v>
      </c>
      <c r="D142" s="123">
        <f t="shared" si="15"/>
        <v>0</v>
      </c>
      <c r="E142" s="120">
        <f t="shared" si="15"/>
        <v>11.709090909090911</v>
      </c>
      <c r="F142" s="120">
        <f t="shared" si="15"/>
        <v>87.795454545454533</v>
      </c>
      <c r="G142" s="147">
        <v>0</v>
      </c>
      <c r="H142" s="166">
        <f t="shared" si="18"/>
        <v>29172029.460000001</v>
      </c>
      <c r="I142" s="42">
        <f t="shared" si="16"/>
        <v>119360581.19825128</v>
      </c>
      <c r="J142" s="25"/>
      <c r="K142"/>
      <c r="L142"/>
      <c r="M142"/>
      <c r="N142"/>
      <c r="O142"/>
      <c r="P142"/>
    </row>
    <row r="143" spans="1:16" x14ac:dyDescent="0.2">
      <c r="A143" s="41">
        <v>46295</v>
      </c>
      <c r="B143" s="42"/>
      <c r="C143" s="123">
        <v>30</v>
      </c>
      <c r="D143" s="123">
        <f t="shared" si="15"/>
        <v>0</v>
      </c>
      <c r="E143" s="120">
        <f t="shared" si="15"/>
        <v>45.56363636363637</v>
      </c>
      <c r="F143" s="120">
        <f t="shared" si="15"/>
        <v>41.22727272727272</v>
      </c>
      <c r="G143" s="147">
        <v>0</v>
      </c>
      <c r="H143" s="166">
        <f t="shared" si="18"/>
        <v>29753248.663600001</v>
      </c>
      <c r="I143" s="42">
        <f t="shared" si="16"/>
        <v>105795201.15249026</v>
      </c>
      <c r="J143" s="25"/>
      <c r="K143"/>
      <c r="L143"/>
      <c r="M143"/>
      <c r="N143"/>
      <c r="O143"/>
      <c r="P143"/>
    </row>
    <row r="144" spans="1:16" x14ac:dyDescent="0.2">
      <c r="A144" s="41">
        <v>46326</v>
      </c>
      <c r="B144" s="42"/>
      <c r="C144" s="123">
        <v>31</v>
      </c>
      <c r="D144" s="123">
        <f t="shared" ref="D144:F146" si="19">D132</f>
        <v>1</v>
      </c>
      <c r="E144" s="120">
        <f t="shared" si="19"/>
        <v>202.59500000000003</v>
      </c>
      <c r="F144" s="120">
        <f t="shared" si="19"/>
        <v>7.6800000000000015</v>
      </c>
      <c r="G144" s="147">
        <v>0</v>
      </c>
      <c r="H144" s="166">
        <f t="shared" si="18"/>
        <v>30711512.734000001</v>
      </c>
      <c r="I144" s="42">
        <f t="shared" si="16"/>
        <v>98380682.228634194</v>
      </c>
      <c r="J144" s="25"/>
      <c r="K144"/>
      <c r="L144"/>
      <c r="M144"/>
      <c r="N144"/>
      <c r="O144"/>
      <c r="P144"/>
    </row>
    <row r="145" spans="1:16" x14ac:dyDescent="0.2">
      <c r="A145" s="41">
        <v>46356</v>
      </c>
      <c r="B145" s="42"/>
      <c r="C145" s="123">
        <v>30</v>
      </c>
      <c r="D145" s="123">
        <f t="shared" si="19"/>
        <v>1</v>
      </c>
      <c r="E145" s="120">
        <f t="shared" si="19"/>
        <v>394.15</v>
      </c>
      <c r="F145" s="120">
        <f t="shared" si="19"/>
        <v>0.43000000000000005</v>
      </c>
      <c r="G145" s="147">
        <v>0</v>
      </c>
      <c r="H145" s="166">
        <f t="shared" si="18"/>
        <v>30239210.1032</v>
      </c>
      <c r="I145" s="42">
        <f t="shared" si="16"/>
        <v>97574157.540124267</v>
      </c>
      <c r="J145" s="25"/>
      <c r="P145"/>
    </row>
    <row r="146" spans="1:16" x14ac:dyDescent="0.2">
      <c r="A146" s="41">
        <v>46387</v>
      </c>
      <c r="B146" s="42"/>
      <c r="C146" s="123">
        <v>31</v>
      </c>
      <c r="D146" s="123">
        <f t="shared" si="19"/>
        <v>0</v>
      </c>
      <c r="E146" s="120">
        <f t="shared" si="19"/>
        <v>538.66000000000008</v>
      </c>
      <c r="F146" s="120">
        <f t="shared" si="19"/>
        <v>0</v>
      </c>
      <c r="G146" s="147">
        <v>0</v>
      </c>
      <c r="H146" s="166">
        <f t="shared" si="18"/>
        <v>27005229.2524</v>
      </c>
      <c r="I146" s="42">
        <f t="shared" si="16"/>
        <v>106183586.61919932</v>
      </c>
      <c r="J146" s="25"/>
      <c r="P146"/>
    </row>
    <row r="147" spans="1:16" x14ac:dyDescent="0.2">
      <c r="A147" s="26"/>
      <c r="P147"/>
    </row>
    <row r="148" spans="1:16" x14ac:dyDescent="0.2">
      <c r="A148" s="26"/>
      <c r="G148" s="161" t="s">
        <v>121</v>
      </c>
      <c r="H148" s="159">
        <v>-0.02</v>
      </c>
      <c r="P148"/>
    </row>
    <row r="149" spans="1:16" x14ac:dyDescent="0.2">
      <c r="A149" s="26"/>
      <c r="C149" s="92" t="s">
        <v>78</v>
      </c>
      <c r="D149" s="92"/>
      <c r="G149" s="161" t="s">
        <v>122</v>
      </c>
      <c r="H149" s="159">
        <v>-0.02</v>
      </c>
      <c r="P149"/>
    </row>
    <row r="150" spans="1:16" x14ac:dyDescent="0.2">
      <c r="A150" s="26"/>
      <c r="C150"/>
      <c r="D150"/>
      <c r="I150" s="25">
        <f>SUM(I2:I146)</f>
        <v>15015490459.88172</v>
      </c>
      <c r="P150"/>
    </row>
    <row r="151" spans="1:16" ht="38.25" x14ac:dyDescent="0.2">
      <c r="A151" s="26"/>
      <c r="J151" s="139"/>
      <c r="K151" s="139"/>
      <c r="M151" s="139" t="s">
        <v>118</v>
      </c>
      <c r="N151" s="139" t="s">
        <v>93</v>
      </c>
      <c r="P151"/>
    </row>
    <row r="152" spans="1:16" x14ac:dyDescent="0.2">
      <c r="A152" s="20">
        <v>2015</v>
      </c>
      <c r="B152" s="4">
        <f>SUM(B3:B14)</f>
        <v>1231015857.4130769</v>
      </c>
      <c r="I152" s="4">
        <f>SUM(I3:I14)</f>
        <v>1206675554.197051</v>
      </c>
      <c r="J152" s="4"/>
      <c r="K152" s="29"/>
      <c r="L152" s="3"/>
      <c r="M152" s="29">
        <f>'Power Purchased Model'!I152</f>
        <v>1190903112.5063496</v>
      </c>
      <c r="N152" s="3">
        <f t="shared" ref="N152:N163" si="20">I152/M152</f>
        <v>1.0132441014932836</v>
      </c>
      <c r="O152" s="3"/>
      <c r="P152"/>
    </row>
    <row r="153" spans="1:16" x14ac:dyDescent="0.2">
      <c r="A153" s="20">
        <v>2016</v>
      </c>
      <c r="B153" s="4">
        <f>SUM(B15:B26)</f>
        <v>1210096646.9295385</v>
      </c>
      <c r="C153" s="127">
        <f>(B153-B152)/B152</f>
        <v>-1.6993453299211876E-2</v>
      </c>
      <c r="D153" s="127"/>
      <c r="F153" s="34"/>
      <c r="G153" s="34"/>
      <c r="H153" s="34"/>
      <c r="I153" s="4">
        <f>SUM(I15:I26)</f>
        <v>1219079925.9646547</v>
      </c>
      <c r="J153" s="4"/>
      <c r="K153" s="29"/>
      <c r="L153" s="3"/>
      <c r="M153" s="29">
        <f>'Power Purchased Model'!I153</f>
        <v>1219045349.6955669</v>
      </c>
      <c r="N153" s="3">
        <f t="shared" si="20"/>
        <v>1.0000283633985367</v>
      </c>
      <c r="O153" s="158"/>
      <c r="P153"/>
    </row>
    <row r="154" spans="1:16" x14ac:dyDescent="0.2">
      <c r="A154" s="20">
        <v>2017</v>
      </c>
      <c r="B154" s="4">
        <f>SUM(B27:B38)</f>
        <v>1188982964.0009999</v>
      </c>
      <c r="C154" s="127">
        <f t="shared" ref="C154:C161" si="21">(B154-B153)/B153</f>
        <v>-1.744793110708286E-2</v>
      </c>
      <c r="D154" s="127"/>
      <c r="F154" s="34"/>
      <c r="G154" s="34"/>
      <c r="H154" s="34"/>
      <c r="I154" s="4">
        <f>SUM(I27:I38)</f>
        <v>1223308821.9024372</v>
      </c>
      <c r="J154" s="4"/>
      <c r="K154" s="29"/>
      <c r="L154" s="3"/>
      <c r="M154" s="29">
        <f>'Power Purchased Model'!I154</f>
        <v>1206141857.1005039</v>
      </c>
      <c r="N154" s="3">
        <f t="shared" si="20"/>
        <v>1.0142329566799064</v>
      </c>
      <c r="O154" s="3"/>
      <c r="P154"/>
    </row>
    <row r="155" spans="1:16" x14ac:dyDescent="0.2">
      <c r="A155" s="20">
        <v>2018</v>
      </c>
      <c r="B155" s="4">
        <f>SUM(B39:B50)</f>
        <v>1250101306.4174209</v>
      </c>
      <c r="C155" s="127">
        <f t="shared" si="21"/>
        <v>5.1403884047887448E-2</v>
      </c>
      <c r="D155" s="127"/>
      <c r="F155" s="34"/>
      <c r="G155" s="34"/>
      <c r="H155" s="34"/>
      <c r="I155" s="4">
        <f>SUM(I39:I50)</f>
        <v>1239516425.0525749</v>
      </c>
      <c r="J155" s="4"/>
      <c r="K155" s="29"/>
      <c r="L155" s="3"/>
      <c r="M155" s="29">
        <f>'Power Purchased Model'!I155</f>
        <v>1258553863.9155185</v>
      </c>
      <c r="N155" s="3">
        <f t="shared" si="20"/>
        <v>0.98487356051355979</v>
      </c>
      <c r="O155" s="3"/>
      <c r="P155"/>
    </row>
    <row r="156" spans="1:16" x14ac:dyDescent="0.2">
      <c r="A156" s="20">
        <v>2019</v>
      </c>
      <c r="B156" s="4">
        <f>SUM(B51:B62)</f>
        <v>1224321309.6899998</v>
      </c>
      <c r="C156" s="127">
        <f t="shared" si="21"/>
        <v>-2.0622326042760614E-2</v>
      </c>
      <c r="D156" s="127"/>
      <c r="F156" s="34"/>
      <c r="G156" s="34"/>
      <c r="H156" s="34"/>
      <c r="I156" s="4">
        <f>SUM(I51:I62)</f>
        <v>1239357330.0911865</v>
      </c>
      <c r="J156" s="4"/>
      <c r="K156" s="29"/>
      <c r="L156" s="3"/>
      <c r="M156" s="29">
        <f>'Power Purchased Model'!I156</f>
        <v>1242585761.5241613</v>
      </c>
      <c r="N156" s="3">
        <f t="shared" si="20"/>
        <v>0.99740184417611966</v>
      </c>
      <c r="O156" s="3"/>
      <c r="P156"/>
    </row>
    <row r="157" spans="1:16" x14ac:dyDescent="0.2">
      <c r="A157" s="20">
        <v>2020</v>
      </c>
      <c r="B157" s="4">
        <f>SUM(B63:B74)</f>
        <v>1208016677.0331349</v>
      </c>
      <c r="C157" s="127">
        <f t="shared" si="21"/>
        <v>-1.3317282422367738E-2</v>
      </c>
      <c r="D157" s="127"/>
      <c r="F157" s="34"/>
      <c r="G157" s="34"/>
      <c r="H157" s="34"/>
      <c r="I157" s="4">
        <f>SUM(I63:I74)</f>
        <v>1184975566.4835408</v>
      </c>
      <c r="J157" s="4"/>
      <c r="K157" s="29"/>
      <c r="L157" s="3"/>
      <c r="M157" s="29">
        <f>'Power Purchased Model'!I157</f>
        <v>1200203146.4462194</v>
      </c>
      <c r="N157" s="3">
        <f t="shared" si="20"/>
        <v>0.98731249788190667</v>
      </c>
      <c r="O157" s="3"/>
      <c r="P157"/>
    </row>
    <row r="158" spans="1:16" x14ac:dyDescent="0.2">
      <c r="A158" s="20">
        <v>2021</v>
      </c>
      <c r="B158" s="4">
        <f>SUM(B75:B86)</f>
        <v>1247990626.4064798</v>
      </c>
      <c r="C158" s="127">
        <f t="shared" si="21"/>
        <v>3.3090560861725953E-2</v>
      </c>
      <c r="D158" s="127"/>
      <c r="F158" s="34"/>
      <c r="G158" s="34"/>
      <c r="H158" s="34"/>
      <c r="I158" s="4">
        <f>SUM(I75:I86)</f>
        <v>1232537725.1147528</v>
      </c>
      <c r="J158" s="4"/>
      <c r="K158" s="29"/>
      <c r="L158" s="3"/>
      <c r="M158" s="29">
        <f>'Power Purchased Model'!I158</f>
        <v>1264040541.7193544</v>
      </c>
      <c r="N158" s="3">
        <f t="shared" si="20"/>
        <v>0.97507768495957314</v>
      </c>
      <c r="O158" s="3"/>
      <c r="P158"/>
    </row>
    <row r="159" spans="1:16" x14ac:dyDescent="0.2">
      <c r="A159" s="20">
        <v>2022</v>
      </c>
      <c r="B159" s="4">
        <f>SUM(B87:B98)</f>
        <v>1291380740</v>
      </c>
      <c r="C159" s="127">
        <f t="shared" si="21"/>
        <v>3.4767980364131104E-2</v>
      </c>
      <c r="D159" s="127"/>
      <c r="F159" s="34"/>
      <c r="G159" s="34"/>
      <c r="H159" s="34"/>
      <c r="I159" s="4">
        <f>SUM(I87:I98)</f>
        <v>1292310264.7404637</v>
      </c>
      <c r="J159" s="4"/>
      <c r="K159" s="29"/>
      <c r="L159" s="3"/>
      <c r="M159" s="29">
        <f>'Power Purchased Model'!I159</f>
        <v>1288515054.7636354</v>
      </c>
      <c r="N159" s="3">
        <f t="shared" si="20"/>
        <v>1.0029454137635392</v>
      </c>
      <c r="O159" s="3"/>
      <c r="P159"/>
    </row>
    <row r="160" spans="1:16" x14ac:dyDescent="0.2">
      <c r="A160" s="20">
        <v>2023</v>
      </c>
      <c r="B160" s="4">
        <f>SUM(B99:B110)</f>
        <v>1271943858.9100001</v>
      </c>
      <c r="C160" s="127">
        <f t="shared" si="21"/>
        <v>-1.5051239721911846E-2</v>
      </c>
      <c r="D160" s="127"/>
      <c r="F160" s="34"/>
      <c r="G160" s="34"/>
      <c r="H160" s="34"/>
      <c r="I160" s="4">
        <f>SUM(I99:I110)</f>
        <v>1312727861.0467529</v>
      </c>
      <c r="J160" s="4"/>
      <c r="K160" s="29"/>
      <c r="L160" s="3"/>
      <c r="M160" s="29">
        <f>'Power Purchased Model'!I160</f>
        <v>1272846483.1152611</v>
      </c>
      <c r="N160" s="3">
        <f t="shared" si="20"/>
        <v>1.0313324336127976</v>
      </c>
      <c r="O160" s="3"/>
      <c r="P160"/>
    </row>
    <row r="161" spans="1:18" x14ac:dyDescent="0.2">
      <c r="A161" s="20">
        <v>2024</v>
      </c>
      <c r="B161" s="4">
        <f>SUM(B111:B122)</f>
        <v>1308625063.9620001</v>
      </c>
      <c r="C161" s="127">
        <f t="shared" si="21"/>
        <v>2.8838698182350773E-2</v>
      </c>
      <c r="D161" s="127"/>
      <c r="F161" s="34"/>
      <c r="G161" s="34"/>
      <c r="H161" s="34"/>
      <c r="I161" s="4">
        <f>SUM(I111:I122)</f>
        <v>1296819090.8113568</v>
      </c>
      <c r="J161" s="4"/>
      <c r="K161" s="29"/>
      <c r="L161" s="3"/>
      <c r="M161" s="29">
        <f>'Power Purchased Model'!I161</f>
        <v>1301315474.6885662</v>
      </c>
      <c r="N161" s="3">
        <f t="shared" si="20"/>
        <v>0.99654473956187639</v>
      </c>
      <c r="O161" s="3"/>
      <c r="P161"/>
    </row>
    <row r="162" spans="1:18" x14ac:dyDescent="0.2">
      <c r="A162" s="20">
        <v>2025</v>
      </c>
      <c r="B162" s="4">
        <f>SUM(B123:B130)</f>
        <v>900816761.88</v>
      </c>
      <c r="F162" s="34"/>
      <c r="G162" s="34"/>
      <c r="H162" s="34"/>
      <c r="I162" s="11">
        <f>SUM(I123:I134)</f>
        <v>1287876537.9503682</v>
      </c>
      <c r="J162" s="4"/>
      <c r="K162" s="127"/>
      <c r="L162" s="3"/>
      <c r="M162" s="29">
        <f>'Power Purchased Model'!I162</f>
        <v>1299597914.2039313</v>
      </c>
      <c r="N162" s="3">
        <f t="shared" si="20"/>
        <v>0.99098076710846128</v>
      </c>
      <c r="O162" s="3"/>
      <c r="P162"/>
    </row>
    <row r="163" spans="1:18" x14ac:dyDescent="0.2">
      <c r="A163" s="20">
        <v>2026</v>
      </c>
      <c r="F163" s="34"/>
      <c r="G163" s="34"/>
      <c r="H163" s="34"/>
      <c r="I163" s="11">
        <f>SUM(I135:I146)</f>
        <v>1280305356.5265892</v>
      </c>
      <c r="J163" s="4"/>
      <c r="K163" s="4"/>
      <c r="L163" s="3"/>
      <c r="M163" s="29">
        <f>'Power Purchased Model'!I163</f>
        <v>1291291102.7767923</v>
      </c>
      <c r="N163" s="3">
        <f t="shared" si="20"/>
        <v>0.9914924324758535</v>
      </c>
      <c r="O163" s="3"/>
      <c r="P163"/>
      <c r="Q163" s="4"/>
      <c r="R163" s="29"/>
    </row>
    <row r="164" spans="1:18" x14ac:dyDescent="0.2">
      <c r="I164" s="4"/>
      <c r="P164"/>
      <c r="Q164" s="4"/>
      <c r="R164" s="29"/>
    </row>
    <row r="165" spans="1:18" x14ac:dyDescent="0.2">
      <c r="A165" s="35" t="s">
        <v>5</v>
      </c>
      <c r="B165" s="4">
        <f>SUM(B152:B162)</f>
        <v>13333291812.642651</v>
      </c>
      <c r="I165" s="4">
        <f>SUM(I152:I161)+SUM(I123:I130)</f>
        <v>13324764684.883482</v>
      </c>
      <c r="J165" s="25">
        <f>I165-B165</f>
        <v>-8527127.7591686249</v>
      </c>
      <c r="K165" s="1" t="s">
        <v>53</v>
      </c>
      <c r="P165" s="3"/>
      <c r="Q165" s="4"/>
      <c r="R165" s="29"/>
    </row>
    <row r="166" spans="1:18" x14ac:dyDescent="0.2">
      <c r="P166" s="3"/>
      <c r="Q166" s="4"/>
      <c r="R166" s="29"/>
    </row>
    <row r="167" spans="1:18" x14ac:dyDescent="0.2">
      <c r="I167" s="4">
        <f>SUM(I152:I163)</f>
        <v>15015490459.881729</v>
      </c>
      <c r="J167" s="25">
        <f>I150-I167</f>
        <v>0</v>
      </c>
      <c r="P167" s="3"/>
      <c r="Q167" s="4"/>
      <c r="R167" s="29"/>
    </row>
    <row r="168" spans="1:18" x14ac:dyDescent="0.2">
      <c r="I168" s="195"/>
      <c r="J168" s="195"/>
      <c r="K168"/>
      <c r="L168"/>
      <c r="M168"/>
      <c r="N168"/>
      <c r="O168"/>
      <c r="P168" s="3"/>
      <c r="Q168" s="4"/>
      <c r="R168" s="29"/>
    </row>
    <row r="169" spans="1:18" x14ac:dyDescent="0.2">
      <c r="P169" s="4"/>
      <c r="Q169" s="4"/>
      <c r="R169" s="29"/>
    </row>
    <row r="170" spans="1:18" x14ac:dyDescent="0.2">
      <c r="J170" s="25"/>
      <c r="P170" s="4"/>
      <c r="Q170" s="4"/>
      <c r="R170" s="29"/>
    </row>
    <row r="171" spans="1:18" x14ac:dyDescent="0.2">
      <c r="A171"/>
      <c r="B171"/>
      <c r="C171"/>
      <c r="D171"/>
      <c r="E171"/>
      <c r="F171"/>
      <c r="G171"/>
      <c r="H171"/>
      <c r="I171"/>
      <c r="J171"/>
    </row>
    <row r="172" spans="1:18" x14ac:dyDescent="0.2">
      <c r="A172"/>
      <c r="B172"/>
      <c r="C172"/>
      <c r="D172"/>
      <c r="E172"/>
      <c r="F172"/>
      <c r="G172"/>
      <c r="H172"/>
      <c r="I172"/>
      <c r="J172"/>
    </row>
    <row r="173" spans="1:18" x14ac:dyDescent="0.2">
      <c r="A173"/>
      <c r="B173"/>
      <c r="C173"/>
      <c r="D173"/>
      <c r="E173"/>
      <c r="F173"/>
      <c r="G173"/>
      <c r="H173"/>
      <c r="I173"/>
      <c r="J173"/>
    </row>
    <row r="174" spans="1:18" x14ac:dyDescent="0.2">
      <c r="A174"/>
      <c r="B174"/>
      <c r="C174"/>
      <c r="D174"/>
      <c r="E174"/>
      <c r="F174"/>
      <c r="G174"/>
      <c r="H174"/>
      <c r="I174"/>
      <c r="J174"/>
    </row>
    <row r="175" spans="1:18" x14ac:dyDescent="0.2">
      <c r="A175"/>
      <c r="B175"/>
      <c r="C175"/>
      <c r="D175"/>
      <c r="E175"/>
      <c r="F175"/>
      <c r="G175"/>
      <c r="H175"/>
      <c r="I175"/>
      <c r="J175"/>
    </row>
    <row r="176" spans="1:18" x14ac:dyDescent="0.2">
      <c r="A176"/>
      <c r="B176"/>
      <c r="C176"/>
      <c r="D176"/>
      <c r="E176"/>
      <c r="F176"/>
      <c r="G176"/>
      <c r="H176"/>
      <c r="I176"/>
      <c r="J176"/>
    </row>
    <row r="177" spans="1:16" x14ac:dyDescent="0.2">
      <c r="A177"/>
      <c r="B177"/>
      <c r="C177"/>
      <c r="D177"/>
      <c r="E177"/>
      <c r="F177"/>
      <c r="G177"/>
      <c r="H177"/>
      <c r="I177"/>
      <c r="J177"/>
    </row>
    <row r="178" spans="1:16" x14ac:dyDescent="0.2">
      <c r="A178"/>
      <c r="B178"/>
      <c r="C178"/>
      <c r="D178"/>
      <c r="E178"/>
      <c r="F178"/>
      <c r="G178"/>
      <c r="H178"/>
      <c r="I178"/>
      <c r="J178"/>
    </row>
    <row r="179" spans="1:1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/>
    <row r="196" spans="1:16" customFormat="1" x14ac:dyDescent="0.2"/>
  </sheetData>
  <mergeCells count="1">
    <mergeCell ref="I168:J168"/>
  </mergeCells>
  <printOptions gridLines="1"/>
  <pageMargins left="0.38" right="0.75" top="0.73" bottom="0.74" header="0.5" footer="0.5"/>
  <pageSetup scale="23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3"/>
  <sheetViews>
    <sheetView zoomScale="90" zoomScaleNormal="9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O18" sqref="O18"/>
    </sheetView>
  </sheetViews>
  <sheetFormatPr defaultRowHeight="12.75" x14ac:dyDescent="0.2"/>
  <cols>
    <col min="1" max="1" width="27.28515625" customWidth="1"/>
    <col min="2" max="5" width="18" style="1" customWidth="1"/>
    <col min="6" max="6" width="15.5703125" style="1" customWidth="1"/>
    <col min="7" max="7" width="15.5703125" style="4" customWidth="1"/>
    <col min="8" max="8" width="15" style="4" customWidth="1"/>
    <col min="9" max="10" width="14.140625" style="4" bestFit="1" customWidth="1"/>
    <col min="11" max="11" width="14.140625" style="4" customWidth="1"/>
    <col min="12" max="12" width="11.42578125" style="4" customWidth="1"/>
    <col min="13" max="13" width="12.42578125" style="4" customWidth="1"/>
    <col min="14" max="14" width="16.85546875" style="4" bestFit="1" customWidth="1"/>
    <col min="15" max="16" width="16.85546875" customWidth="1"/>
    <col min="17" max="17" width="14.42578125" customWidth="1"/>
    <col min="18" max="18" width="12.5703125" bestFit="1" customWidth="1"/>
    <col min="19" max="19" width="11.5703125" bestFit="1" customWidth="1"/>
    <col min="20" max="20" width="14" customWidth="1"/>
    <col min="21" max="21" width="10.140625" bestFit="1" customWidth="1"/>
    <col min="22" max="22" width="12.5703125" style="4" bestFit="1" customWidth="1"/>
  </cols>
  <sheetData>
    <row r="2" spans="1:22" s="114" customFormat="1" ht="38.25" x14ac:dyDescent="0.2">
      <c r="B2" s="115" t="s">
        <v>2</v>
      </c>
      <c r="C2" s="115" t="s">
        <v>3</v>
      </c>
      <c r="D2" s="115" t="s">
        <v>27</v>
      </c>
      <c r="E2" s="115" t="s">
        <v>4</v>
      </c>
      <c r="F2" s="115" t="s">
        <v>0</v>
      </c>
      <c r="G2" s="116" t="s">
        <v>1</v>
      </c>
      <c r="H2" s="117" t="str">
        <f>Inputs!B4</f>
        <v>Residential</v>
      </c>
      <c r="I2" s="117" t="str">
        <f>Inputs!C4</f>
        <v>General Service &lt; 50 kW</v>
      </c>
      <c r="J2" s="117" t="str">
        <f>Inputs!D4</f>
        <v>General Service &gt; 50 to 4999 kW</v>
      </c>
      <c r="K2" s="117" t="s">
        <v>109</v>
      </c>
      <c r="L2" s="117" t="str">
        <f>Inputs!F4</f>
        <v>USL</v>
      </c>
      <c r="M2" s="117" t="str">
        <f>Inputs!G4</f>
        <v>Sentinel Lighting</v>
      </c>
      <c r="N2" s="117" t="str">
        <f>Inputs!H4</f>
        <v>Street Lighting</v>
      </c>
      <c r="V2" s="118"/>
    </row>
    <row r="3" spans="1:22" x14ac:dyDescent="0.2">
      <c r="A3">
        <v>2015</v>
      </c>
      <c r="B3" s="50">
        <f>+'Power Purchased Model'!B152</f>
        <v>1231015857.4130769</v>
      </c>
      <c r="C3" s="50">
        <f>+'Power Purchased Model'!I152</f>
        <v>1190903112.5063496</v>
      </c>
      <c r="D3" s="19">
        <f>C3-B3</f>
        <v>-40112744.906727314</v>
      </c>
      <c r="E3" s="3">
        <f>D3/B3</f>
        <v>-3.258507570407939E-2</v>
      </c>
      <c r="F3" s="13">
        <f>1 +(B3-G3)/G3</f>
        <v>1.0715344436293734</v>
      </c>
      <c r="G3" s="4">
        <f t="shared" ref="G3:G11" si="0">SUM(H3:N3)</f>
        <v>1148834612.5799999</v>
      </c>
      <c r="H3" s="31">
        <f>SUMIF(Inputs!A$24:A$143,'Rate Class Energy Model'!A3,Inputs!F$24:F$143)</f>
        <v>396832649.18000001</v>
      </c>
      <c r="I3" s="31">
        <f>SUMIF(Inputs!A$24:A$143,'Rate Class Energy Model'!A3,Inputs!H$24:H$143)</f>
        <v>152529020.18000001</v>
      </c>
      <c r="J3" s="31">
        <f>SUMIF(Inputs!A$24:A$143,'Rate Class Energy Model'!A3,Inputs!J$24:J$143)</f>
        <v>526568935.87000006</v>
      </c>
      <c r="K3" s="31">
        <f>SUMIF(Inputs!A$24:A$143,'Rate Class Energy Model'!A3,Inputs!M$24:M$143)</f>
        <v>60621606.239999995</v>
      </c>
      <c r="L3" s="31">
        <f>SUMIF(Inputs!A$24:A$143,'Rate Class Energy Model'!A3,Inputs!P$24:P$143)</f>
        <v>1247803</v>
      </c>
      <c r="M3" s="31">
        <f>SUMIF(Inputs!A$24:A$143,'Rate Class Energy Model'!A3,Inputs!R$24:R$143)</f>
        <v>452830</v>
      </c>
      <c r="N3" s="31">
        <f>SUMIF(Inputs!A$24:A$143,'Rate Class Energy Model'!A3,Inputs!U$24:U$143)</f>
        <v>10581768.109999999</v>
      </c>
    </row>
    <row r="4" spans="1:22" x14ac:dyDescent="0.2">
      <c r="A4">
        <v>2016</v>
      </c>
      <c r="B4" s="50">
        <f>+'Power Purchased Model'!B153</f>
        <v>1210096646.9295385</v>
      </c>
      <c r="C4" s="50">
        <f>+'Power Purchased Model'!I153</f>
        <v>1219045349.6955669</v>
      </c>
      <c r="D4" s="19">
        <f t="shared" ref="D4:D11" si="1">C4-B4</f>
        <v>8948702.7660284042</v>
      </c>
      <c r="E4" s="3">
        <f t="shared" ref="E4:E11" si="2">D4/B4</f>
        <v>7.3950314536731952E-3</v>
      </c>
      <c r="F4" s="13">
        <f>1 +(B4-G4)/G4</f>
        <v>1.03943939872206</v>
      </c>
      <c r="G4" s="4">
        <f t="shared" si="0"/>
        <v>1164182008.5108311</v>
      </c>
      <c r="H4" s="31">
        <f>SUMIF(Inputs!A$24:A$143,'Rate Class Energy Model'!A4,Inputs!F$24:F$143)</f>
        <v>405183154.93929309</v>
      </c>
      <c r="I4" s="31">
        <f>SUMIF(Inputs!A$24:A$143,'Rate Class Energy Model'!A4,Inputs!H$24:H$143)</f>
        <v>152498210.56566197</v>
      </c>
      <c r="J4" s="31">
        <f>SUMIF(Inputs!A$24:A$143,'Rate Class Energy Model'!A4,Inputs!J$24:J$143)</f>
        <v>527388658.34421581</v>
      </c>
      <c r="K4" s="31">
        <f>SUMIF(Inputs!A$24:A$143,'Rate Class Energy Model'!A4,Inputs!M$24:M$143)</f>
        <v>68820300.615814403</v>
      </c>
      <c r="L4" s="31">
        <f>SUMIF(Inputs!A$24:A$143,'Rate Class Energy Model'!A4,Inputs!P$24:P$143)</f>
        <v>1254320.98</v>
      </c>
      <c r="M4" s="31">
        <f>SUMIF(Inputs!A$24:A$143,'Rate Class Energy Model'!A4,Inputs!R$24:R$143)</f>
        <v>434815.05158768682</v>
      </c>
      <c r="N4" s="31">
        <f>SUMIF(Inputs!A$24:A$143,'Rate Class Energy Model'!A4,Inputs!U$24:U$143)</f>
        <v>8602548.0142581649</v>
      </c>
    </row>
    <row r="5" spans="1:22" x14ac:dyDescent="0.2">
      <c r="A5">
        <v>2017</v>
      </c>
      <c r="B5" s="50">
        <f>+'Power Purchased Model'!B154</f>
        <v>1188982964.0009999</v>
      </c>
      <c r="C5" s="50">
        <f>+'Power Purchased Model'!I154</f>
        <v>1206141857.1005039</v>
      </c>
      <c r="D5" s="19">
        <f t="shared" si="1"/>
        <v>17158893.099503994</v>
      </c>
      <c r="E5" s="3">
        <f t="shared" si="2"/>
        <v>1.4431571871949515E-2</v>
      </c>
      <c r="F5" s="13">
        <f>1 +(B5-G5)/G5</f>
        <v>1.0330537252584473</v>
      </c>
      <c r="G5" s="4">
        <f t="shared" si="0"/>
        <v>1150940105.9500003</v>
      </c>
      <c r="H5" s="31">
        <f>SUMIF(Inputs!A$24:A$143,'Rate Class Energy Model'!A5,Inputs!F$24:F$143)</f>
        <v>387000724.86000001</v>
      </c>
      <c r="I5" s="31">
        <f>SUMIF(Inputs!A$24:A$143,'Rate Class Energy Model'!A5,Inputs!H$24:H$143)</f>
        <v>152138066.16999999</v>
      </c>
      <c r="J5" s="31">
        <f>SUMIF(Inputs!A$24:A$143,'Rate Class Energy Model'!A5,Inputs!J$24:J$143)</f>
        <v>535305319.84000009</v>
      </c>
      <c r="K5" s="31">
        <f>SUMIF(Inputs!A$24:A$143,'Rate Class Energy Model'!A5,Inputs!M$24:M$143)</f>
        <v>68876378.480000004</v>
      </c>
      <c r="L5" s="31">
        <f>SUMIF(Inputs!A$24:A$143,'Rate Class Energy Model'!A5,Inputs!P$24:P$143)</f>
        <v>1348220.9</v>
      </c>
      <c r="M5" s="31">
        <f>SUMIF(Inputs!A$24:A$143,'Rate Class Energy Model'!A5,Inputs!R$24:R$143)</f>
        <v>423108.89999999997</v>
      </c>
      <c r="N5" s="31">
        <f>SUMIF(Inputs!A$24:A$143,'Rate Class Energy Model'!A5,Inputs!U$24:U$143)</f>
        <v>5848286.7999999998</v>
      </c>
    </row>
    <row r="6" spans="1:22" x14ac:dyDescent="0.2">
      <c r="A6">
        <v>2018</v>
      </c>
      <c r="B6" s="50">
        <f>+'Power Purchased Model'!B155</f>
        <v>1250101306.4174209</v>
      </c>
      <c r="C6" s="50">
        <f>+'Power Purchased Model'!I155</f>
        <v>1258553863.9155185</v>
      </c>
      <c r="D6" s="19">
        <f t="shared" si="1"/>
        <v>8452557.4980976582</v>
      </c>
      <c r="E6" s="3">
        <f t="shared" si="2"/>
        <v>6.7614980119661341E-3</v>
      </c>
      <c r="F6" s="13">
        <f t="shared" ref="F6:F11" si="3">1 +(B6-G6)/G6</f>
        <v>1.0373855975952133</v>
      </c>
      <c r="G6" s="4">
        <f t="shared" si="0"/>
        <v>1205049799.5299997</v>
      </c>
      <c r="H6" s="31">
        <f>SUMIF(Inputs!A$24:A$143,'Rate Class Energy Model'!A6,Inputs!F$24:F$143)</f>
        <v>425242692</v>
      </c>
      <c r="I6" s="31">
        <f>SUMIF(Inputs!A$24:A$143,'Rate Class Energy Model'!A6,Inputs!H$24:H$143)</f>
        <v>158043644</v>
      </c>
      <c r="J6" s="31">
        <f>SUMIF(Inputs!A$24:A$143,'Rate Class Energy Model'!A6,Inputs!J$24:J$143)</f>
        <v>535709795.42999995</v>
      </c>
      <c r="K6" s="31">
        <f>SUMIF(Inputs!A$24:A$143,'Rate Class Energy Model'!A6,Inputs!M$24:M$143)</f>
        <v>78736784.100000009</v>
      </c>
      <c r="L6" s="31">
        <f>SUMIF(Inputs!A$24:A$143,'Rate Class Energy Model'!A6,Inputs!P$24:P$143)</f>
        <v>1344468</v>
      </c>
      <c r="M6" s="31">
        <f>SUMIF(Inputs!A$24:A$143,'Rate Class Energy Model'!A6,Inputs!R$24:R$143)</f>
        <v>420751</v>
      </c>
      <c r="N6" s="31">
        <f>SUMIF(Inputs!A$24:A$143,'Rate Class Energy Model'!A6,Inputs!U$24:U$143)</f>
        <v>5551665</v>
      </c>
    </row>
    <row r="7" spans="1:22" x14ac:dyDescent="0.2">
      <c r="A7">
        <v>2019</v>
      </c>
      <c r="B7" s="50">
        <f>+'Power Purchased Model'!B156</f>
        <v>1224321309.6899998</v>
      </c>
      <c r="C7" s="50">
        <f>+'Power Purchased Model'!I156</f>
        <v>1242585761.5241613</v>
      </c>
      <c r="D7" s="19">
        <f t="shared" si="1"/>
        <v>18264451.83416152</v>
      </c>
      <c r="E7" s="3">
        <f t="shared" si="2"/>
        <v>1.4918021674217293E-2</v>
      </c>
      <c r="F7" s="13">
        <f t="shared" si="3"/>
        <v>1.0438451860391167</v>
      </c>
      <c r="G7" s="4">
        <f t="shared" si="0"/>
        <v>1172895488.78</v>
      </c>
      <c r="H7" s="31">
        <f>SUMIF(Inputs!A$24:A$143,'Rate Class Energy Model'!A7,Inputs!F$24:F$143)</f>
        <v>411936659</v>
      </c>
      <c r="I7" s="31">
        <f>SUMIF(Inputs!A$24:A$143,'Rate Class Energy Model'!A7,Inputs!H$24:H$143)</f>
        <v>153655138</v>
      </c>
      <c r="J7" s="31">
        <f>SUMIF(Inputs!A$24:A$143,'Rate Class Energy Model'!A7,Inputs!J$24:J$143)</f>
        <v>517080386.50000006</v>
      </c>
      <c r="K7" s="31">
        <f>SUMIF(Inputs!A$24:A$143,'Rate Class Energy Model'!A7,Inputs!M$24:M$143)</f>
        <v>83222289.280000001</v>
      </c>
      <c r="L7" s="31">
        <f>SUMIF(Inputs!A$24:A$143,'Rate Class Energy Model'!A7,Inputs!P$24:P$143)</f>
        <v>1276935</v>
      </c>
      <c r="M7" s="31">
        <f>SUMIF(Inputs!A$24:A$143,'Rate Class Energy Model'!A7,Inputs!R$24:R$143)</f>
        <v>423572</v>
      </c>
      <c r="N7" s="31">
        <f>SUMIF(Inputs!A$24:A$143,'Rate Class Energy Model'!A7,Inputs!U$24:U$143)</f>
        <v>5300509</v>
      </c>
    </row>
    <row r="8" spans="1:22" x14ac:dyDescent="0.2">
      <c r="A8">
        <v>2020</v>
      </c>
      <c r="B8" s="50">
        <f>+'Power Purchased Model'!B157</f>
        <v>1208016677.0331349</v>
      </c>
      <c r="C8" s="50">
        <f>+'Power Purchased Model'!I157</f>
        <v>1200203146.4462194</v>
      </c>
      <c r="D8" s="19">
        <f>C8-B8</f>
        <v>-7813530.586915493</v>
      </c>
      <c r="E8" s="3">
        <f t="shared" si="2"/>
        <v>-6.4680651645516764E-3</v>
      </c>
      <c r="F8" s="13">
        <f t="shared" si="3"/>
        <v>1.04190992332999</v>
      </c>
      <c r="G8" s="4">
        <f t="shared" si="0"/>
        <v>1159425253.5500002</v>
      </c>
      <c r="H8" s="31">
        <f>SUMIF(Inputs!A$24:A$143,'Rate Class Energy Model'!A8,Inputs!F$24:F$143)</f>
        <v>439168361</v>
      </c>
      <c r="I8" s="31">
        <f>SUMIF(Inputs!A$24:A$143,'Rate Class Energy Model'!A8,Inputs!H$24:H$143)</f>
        <v>143543988</v>
      </c>
      <c r="J8" s="31">
        <f>SUMIF(Inputs!A$24:A$143,'Rate Class Energy Model'!A8,Inputs!J$24:J$143)</f>
        <v>492213122.17000002</v>
      </c>
      <c r="K8" s="31">
        <f>SUMIF(Inputs!A$24:A$143,'Rate Class Energy Model'!A8,Inputs!M$24:M$143)</f>
        <v>77427944.38000001</v>
      </c>
      <c r="L8" s="31">
        <f>SUMIF(Inputs!A$24:A$143,'Rate Class Energy Model'!A8,Inputs!P$24:P$143)</f>
        <v>1272419</v>
      </c>
      <c r="M8" s="31">
        <f>SUMIF(Inputs!A$24:A$143,'Rate Class Energy Model'!A8,Inputs!R$24:R$143)</f>
        <v>461598</v>
      </c>
      <c r="N8" s="31">
        <f>SUMIF(Inputs!A$24:A$143,'Rate Class Energy Model'!A8,Inputs!U$24:U$143)</f>
        <v>5337821</v>
      </c>
    </row>
    <row r="9" spans="1:22" x14ac:dyDescent="0.2">
      <c r="A9">
        <v>2021</v>
      </c>
      <c r="B9" s="50">
        <f>+'Power Purchased Model'!B158</f>
        <v>1247990626.4064798</v>
      </c>
      <c r="C9" s="50">
        <f>+'Power Purchased Model'!I158</f>
        <v>1264040541.7193544</v>
      </c>
      <c r="D9" s="19">
        <f t="shared" si="1"/>
        <v>16049915.312874556</v>
      </c>
      <c r="E9" s="3">
        <f t="shared" si="2"/>
        <v>1.2860605659426627E-2</v>
      </c>
      <c r="F9" s="13">
        <f t="shared" si="3"/>
        <v>1.0400265297067277</v>
      </c>
      <c r="G9" s="4">
        <f t="shared" si="0"/>
        <v>1199960376.74</v>
      </c>
      <c r="H9" s="31">
        <f>SUMIF(Inputs!A$24:A$143,'Rate Class Energy Model'!A9,Inputs!F$24:F$143)</f>
        <v>447806289</v>
      </c>
      <c r="I9" s="31">
        <f>SUMIF(Inputs!A$24:A$143,'Rate Class Energy Model'!A9,Inputs!H$24:H$143)</f>
        <v>153599300</v>
      </c>
      <c r="J9" s="31">
        <f>SUMIF(Inputs!A$24:A$143,'Rate Class Energy Model'!A9,Inputs!J$24:J$143)</f>
        <v>509952255.57999998</v>
      </c>
      <c r="K9" s="31">
        <f>SUMIF(Inputs!A$24:A$143,'Rate Class Energy Model'!A9,Inputs!M$24:M$143)</f>
        <v>81637911.159999996</v>
      </c>
      <c r="L9" s="31">
        <f>SUMIF(Inputs!A$24:A$143,'Rate Class Energy Model'!A9,Inputs!P$24:P$143)</f>
        <v>1247052</v>
      </c>
      <c r="M9" s="31">
        <f>SUMIF(Inputs!A$24:A$143,'Rate Class Energy Model'!A9,Inputs!R$24:R$143)</f>
        <v>357348</v>
      </c>
      <c r="N9" s="31">
        <f>SUMIF(Inputs!A$24:A$143,'Rate Class Energy Model'!A9,Inputs!U$24:U$143)</f>
        <v>5360221</v>
      </c>
    </row>
    <row r="10" spans="1:22" x14ac:dyDescent="0.2">
      <c r="A10">
        <v>2022</v>
      </c>
      <c r="B10" s="50">
        <f>+'Power Purchased Model'!B159</f>
        <v>1291380740</v>
      </c>
      <c r="C10" s="50">
        <f>+'Power Purchased Model'!I159</f>
        <v>1288515054.7636354</v>
      </c>
      <c r="D10" s="19">
        <f t="shared" si="1"/>
        <v>-2865685.236364603</v>
      </c>
      <c r="E10" s="3">
        <f t="shared" si="2"/>
        <v>-2.2190862443593538E-3</v>
      </c>
      <c r="F10" s="13">
        <f t="shared" si="3"/>
        <v>1.0386777839629397</v>
      </c>
      <c r="G10" s="4">
        <f t="shared" si="0"/>
        <v>1243292924.8500001</v>
      </c>
      <c r="H10" s="31">
        <f>SUMIF(Inputs!A$24:A$143,'Rate Class Energy Model'!A10,Inputs!F$24:F$143)</f>
        <v>447775679</v>
      </c>
      <c r="I10" s="31">
        <f>SUMIF(Inputs!A$24:A$143,'Rate Class Energy Model'!A10,Inputs!H$24:H$143)</f>
        <v>158958811</v>
      </c>
      <c r="J10" s="31">
        <f>SUMIF(Inputs!A$24:A$143,'Rate Class Energy Model'!A10,Inputs!J$24:J$143)</f>
        <v>527626633.36000001</v>
      </c>
      <c r="K10" s="31">
        <f>SUMIF(Inputs!A$24:A$143,'Rate Class Energy Model'!A10,Inputs!M$24:M$143)</f>
        <v>101920233.49000001</v>
      </c>
      <c r="L10" s="31">
        <f>SUMIF(Inputs!A$24:A$143,'Rate Class Energy Model'!A10,Inputs!P$24:P$143)</f>
        <v>1247677</v>
      </c>
      <c r="M10" s="31">
        <f>SUMIF(Inputs!A$24:A$143,'Rate Class Energy Model'!A10,Inputs!R$24:R$143)</f>
        <v>378834</v>
      </c>
      <c r="N10" s="31">
        <f>SUMIF(Inputs!A$24:A$143,'Rate Class Energy Model'!A10,Inputs!U$24:U$143)</f>
        <v>5385057</v>
      </c>
    </row>
    <row r="11" spans="1:22" x14ac:dyDescent="0.2">
      <c r="A11">
        <v>2023</v>
      </c>
      <c r="B11" s="50">
        <f>+'Power Purchased Model'!B160</f>
        <v>1271943858.9100001</v>
      </c>
      <c r="C11" s="50">
        <f>+'Power Purchased Model'!I160</f>
        <v>1272846483.1152611</v>
      </c>
      <c r="D11" s="19">
        <f t="shared" si="1"/>
        <v>902624.20526099205</v>
      </c>
      <c r="E11" s="3">
        <f t="shared" si="2"/>
        <v>7.0964154505569242E-4</v>
      </c>
      <c r="F11" s="13">
        <f t="shared" si="3"/>
        <v>1.0400070832929702</v>
      </c>
      <c r="G11" s="4">
        <f t="shared" si="0"/>
        <v>1223014611.48</v>
      </c>
      <c r="H11" s="31">
        <f>SUMIF(Inputs!A$24:A$143,'Rate Class Energy Model'!A11,Inputs!F$24:F$143)</f>
        <v>429855844</v>
      </c>
      <c r="I11" s="31">
        <f>SUMIF(Inputs!A$24:A$143,'Rate Class Energy Model'!A11,Inputs!H$24:H$143)</f>
        <v>159307883</v>
      </c>
      <c r="J11" s="31">
        <f>SUMIF(Inputs!A$24:A$143,'Rate Class Energy Model'!A11,Inputs!J$24:J$143)</f>
        <v>523144015.48000002</v>
      </c>
      <c r="K11" s="31">
        <f>SUMIF(Inputs!A$24:A$143,'Rate Class Energy Model'!A11,Inputs!M$24:M$143)</f>
        <v>103677541</v>
      </c>
      <c r="L11" s="31">
        <f>SUMIF(Inputs!A$24:A$143,'Rate Class Energy Model'!A11,Inputs!P$24:P$143)</f>
        <v>1250514</v>
      </c>
      <c r="M11" s="31">
        <f>SUMIF(Inputs!A$24:A$143,'Rate Class Energy Model'!A11,Inputs!R$24:R$143)</f>
        <v>365715</v>
      </c>
      <c r="N11" s="31">
        <f>SUMIF(Inputs!A$24:A$143,'Rate Class Energy Model'!A11,Inputs!U$24:U$143)</f>
        <v>5413099</v>
      </c>
    </row>
    <row r="12" spans="1:22" x14ac:dyDescent="0.2">
      <c r="A12">
        <v>2024</v>
      </c>
      <c r="B12" s="50">
        <f>+'Power Purchased Model'!B161</f>
        <v>1308625063.9620001</v>
      </c>
      <c r="C12" s="50">
        <f>+'Power Purchased Model'!I161</f>
        <v>1301315474.6885662</v>
      </c>
      <c r="D12" s="19">
        <f>C12-B12</f>
        <v>-7309589.2734339237</v>
      </c>
      <c r="E12" s="3">
        <f>D12/B12</f>
        <v>-5.5857017221597246E-3</v>
      </c>
      <c r="F12" s="13">
        <f>1 +(B12-G12)/G12</f>
        <v>1.0397330339967323</v>
      </c>
      <c r="G12" s="4">
        <f>SUM(H12:N12)</f>
        <v>1258616415.1499999</v>
      </c>
      <c r="H12" s="31">
        <f>SUMIF(Inputs!A$24:A$143,'Rate Class Energy Model'!A12,Inputs!F$24:F$143)</f>
        <v>452835509.43999988</v>
      </c>
      <c r="I12" s="31">
        <f>SUMIF(Inputs!A$24:A$143,'Rate Class Energy Model'!A12,Inputs!H$24:H$143)</f>
        <v>165653053.61000001</v>
      </c>
      <c r="J12" s="31">
        <f>SUMIF(Inputs!A$24:A$143,'Rate Class Energy Model'!A12,Inputs!J$24:J$143)</f>
        <v>525118764.23000008</v>
      </c>
      <c r="K12" s="31">
        <f>SUMIF(Inputs!A$24:A$143,'Rate Class Energy Model'!A12,Inputs!M$24:M$143)</f>
        <v>108051126.57999998</v>
      </c>
      <c r="L12" s="31">
        <f>SUMIF(Inputs!A$24:A$143,'Rate Class Energy Model'!A12,Inputs!P$24:P$143)</f>
        <v>1238523</v>
      </c>
      <c r="M12" s="31">
        <f>SUMIF(Inputs!A$24:A$143,'Rate Class Energy Model'!A12,Inputs!R$24:R$143)</f>
        <v>358166</v>
      </c>
      <c r="N12" s="31">
        <f>SUMIF(Inputs!A$24:A$143,'Rate Class Energy Model'!A12,Inputs!U$24:U$143)</f>
        <v>5361272.29</v>
      </c>
    </row>
    <row r="13" spans="1:22" x14ac:dyDescent="0.2">
      <c r="A13">
        <v>2025</v>
      </c>
      <c r="B13" s="4"/>
      <c r="C13" s="112">
        <f>+'Power Purchased Model'!I162</f>
        <v>1299597914.2039313</v>
      </c>
      <c r="G13" s="11">
        <f>C13/$F$16</f>
        <v>1246543441.5323596</v>
      </c>
      <c r="H13"/>
      <c r="I13"/>
      <c r="J13"/>
      <c r="K13"/>
      <c r="L13"/>
      <c r="M13"/>
      <c r="N13"/>
    </row>
    <row r="14" spans="1:22" x14ac:dyDescent="0.2">
      <c r="A14">
        <v>2026</v>
      </c>
      <c r="B14" s="4"/>
      <c r="C14" s="11">
        <f>+'Power Purchased Model'!I163</f>
        <v>1291291102.7767923</v>
      </c>
      <c r="G14" s="11">
        <f>C14/$F$16</f>
        <v>1238575745.3769767</v>
      </c>
      <c r="H14"/>
      <c r="I14"/>
      <c r="J14"/>
      <c r="K14"/>
      <c r="L14"/>
      <c r="M14"/>
      <c r="N14"/>
    </row>
    <row r="15" spans="1:22" x14ac:dyDescent="0.2">
      <c r="H15" s="27"/>
      <c r="I15" s="27"/>
      <c r="J15" s="27"/>
      <c r="K15" s="27"/>
      <c r="L15" s="27"/>
      <c r="M15" s="27"/>
      <c r="N15" s="27"/>
    </row>
    <row r="16" spans="1:22" x14ac:dyDescent="0.2">
      <c r="A16" s="10" t="s">
        <v>7</v>
      </c>
      <c r="C16" s="28"/>
      <c r="D16" s="30"/>
      <c r="E16" s="45" t="s">
        <v>54</v>
      </c>
      <c r="F16" s="13">
        <f>AVERAGE(F3:F12)</f>
        <v>1.0425612705533571</v>
      </c>
      <c r="H16" s="49"/>
      <c r="I16" s="49"/>
      <c r="J16" s="49"/>
      <c r="K16" s="49"/>
      <c r="L16" s="49"/>
      <c r="M16" s="49"/>
      <c r="N16" s="49"/>
    </row>
    <row r="17" spans="1:17" x14ac:dyDescent="0.2">
      <c r="C17" s="28"/>
      <c r="D17" s="30"/>
      <c r="E17" s="45"/>
      <c r="F17" s="13"/>
    </row>
    <row r="18" spans="1:17" x14ac:dyDescent="0.2">
      <c r="C18" s="110">
        <f>C13/1000000</f>
        <v>1299.5979142039314</v>
      </c>
      <c r="D18" s="30"/>
      <c r="G18" s="110">
        <f>G13/1000000</f>
        <v>1246.5434415323596</v>
      </c>
    </row>
    <row r="19" spans="1:17" x14ac:dyDescent="0.2">
      <c r="A19" s="12" t="s">
        <v>9</v>
      </c>
      <c r="B19" s="7"/>
      <c r="C19" s="110">
        <f>C14/1000000</f>
        <v>1291.2911027767923</v>
      </c>
      <c r="G19" s="110">
        <f>G14/1000000</f>
        <v>1238.5757453769768</v>
      </c>
    </row>
    <row r="21" spans="1:17" x14ac:dyDescent="0.2">
      <c r="A21">
        <v>2024</v>
      </c>
      <c r="H21" s="4">
        <f>H12/'Rate Class Customer Model'!B12</f>
        <v>7972.877254784582</v>
      </c>
      <c r="I21" s="4">
        <f>I12/'Rate Class Customer Model'!C12</f>
        <v>28129.233080319242</v>
      </c>
      <c r="J21" s="4">
        <f>J12/'Rate Class Customer Model'!D12</f>
        <v>1032681.9355555557</v>
      </c>
      <c r="K21" s="4">
        <f>K12/'Rate Class Customer Model'!E12</f>
        <v>27012781.644999996</v>
      </c>
      <c r="L21" s="4">
        <f>L12/'Rate Class Customer Model'!F12</f>
        <v>5504.5466666666671</v>
      </c>
      <c r="M21" s="4">
        <f>M12/'Rate Class Customer Model'!G12</f>
        <v>1178.1776315789473</v>
      </c>
      <c r="N21" s="4">
        <f>N12/'Rate Class Customer Model'!H12</f>
        <v>283.89802695332151</v>
      </c>
    </row>
    <row r="22" spans="1:17" x14ac:dyDescent="0.2">
      <c r="A22">
        <v>2025</v>
      </c>
      <c r="H22" s="11">
        <f t="shared" ref="H22:N22" si="4">H21</f>
        <v>7972.877254784582</v>
      </c>
      <c r="I22" s="11">
        <f t="shared" si="4"/>
        <v>28129.233080319242</v>
      </c>
      <c r="J22" s="11">
        <f t="shared" si="4"/>
        <v>1032681.9355555557</v>
      </c>
      <c r="K22" s="11">
        <f t="shared" ref="K22" si="5">K21</f>
        <v>27012781.644999996</v>
      </c>
      <c r="L22" s="11">
        <f t="shared" si="4"/>
        <v>5504.5466666666671</v>
      </c>
      <c r="M22" s="11">
        <f t="shared" si="4"/>
        <v>1178.1776315789473</v>
      </c>
      <c r="N22" s="11">
        <f t="shared" si="4"/>
        <v>283.89802695332151</v>
      </c>
    </row>
    <row r="23" spans="1:17" x14ac:dyDescent="0.2">
      <c r="A23">
        <v>2026</v>
      </c>
      <c r="H23" s="11">
        <f t="shared" ref="H23:N23" si="6">H22</f>
        <v>7972.877254784582</v>
      </c>
      <c r="I23" s="11">
        <f t="shared" si="6"/>
        <v>28129.233080319242</v>
      </c>
      <c r="J23" s="11">
        <f t="shared" si="6"/>
        <v>1032681.9355555557</v>
      </c>
      <c r="K23" s="11">
        <f t="shared" ref="K23" si="7">K22</f>
        <v>27012781.644999996</v>
      </c>
      <c r="L23" s="11">
        <f t="shared" si="6"/>
        <v>5504.5466666666671</v>
      </c>
      <c r="M23" s="11">
        <f t="shared" si="6"/>
        <v>1178.1776315789473</v>
      </c>
      <c r="N23" s="11">
        <f t="shared" si="6"/>
        <v>283.89802695332151</v>
      </c>
    </row>
    <row r="24" spans="1:17" x14ac:dyDescent="0.2">
      <c r="H24"/>
      <c r="I24"/>
      <c r="J24"/>
      <c r="K24"/>
      <c r="L24"/>
      <c r="M24"/>
      <c r="N24"/>
    </row>
    <row r="25" spans="1:17" x14ac:dyDescent="0.2">
      <c r="D25" s="4"/>
      <c r="H25" s="14"/>
      <c r="I25" s="14"/>
      <c r="J25" s="14"/>
      <c r="K25" s="14"/>
      <c r="L25" s="14"/>
      <c r="M25" s="14"/>
      <c r="N25" s="14"/>
    </row>
    <row r="26" spans="1:17" x14ac:dyDescent="0.2">
      <c r="A26" s="10" t="s">
        <v>29</v>
      </c>
    </row>
    <row r="27" spans="1:17" x14ac:dyDescent="0.2">
      <c r="A27" s="36">
        <f>A22</f>
        <v>2025</v>
      </c>
      <c r="G27" s="4">
        <f>SUM(H27:N27)</f>
        <v>1269493300.9049528</v>
      </c>
      <c r="H27" s="4">
        <f>H22*'Rate Class Customer Model'!B13</f>
        <v>456517938.18586791</v>
      </c>
      <c r="I27" s="4">
        <f>I22*'Rate Class Customer Model'!C13</f>
        <v>166746299.42017734</v>
      </c>
      <c r="J27" s="4">
        <f>J22*'Rate Class Customer Model'!D13</f>
        <v>531207190.14148426</v>
      </c>
      <c r="K27" s="4">
        <f>K21*'Rate Class Customer Model'!E13</f>
        <v>108051126.57999998</v>
      </c>
      <c r="L27" s="4">
        <f>L22*'Rate Class Customer Model'!F13</f>
        <v>1237759.3325282661</v>
      </c>
      <c r="M27" s="4">
        <f>M22*'Rate Class Customer Model'!G13</f>
        <v>354631.46710526315</v>
      </c>
      <c r="N27" s="4">
        <f>N22*'Rate Class Customer Model'!H13</f>
        <v>5378355.7777897669</v>
      </c>
    </row>
    <row r="28" spans="1:17" x14ac:dyDescent="0.2">
      <c r="A28" s="36">
        <f>A23</f>
        <v>2026</v>
      </c>
      <c r="G28" s="4">
        <f>SUM(H28:N28)</f>
        <v>1268527555.8990633</v>
      </c>
      <c r="H28" s="4">
        <f>H23*'Rate Class Customer Model'!B14</f>
        <v>462277863.57065886</v>
      </c>
      <c r="I28" s="4">
        <f>I23*'Rate Class Customer Model'!C14</f>
        <v>167917936.73156971</v>
      </c>
      <c r="J28" s="4">
        <f>J23*'Rate Class Customer Model'!D14</f>
        <v>523311032.029962</v>
      </c>
      <c r="K28" s="4">
        <f>K23*'Rate Class Customer Model'!E14</f>
        <v>108051126.57999998</v>
      </c>
      <c r="L28" s="4">
        <f>L23*'Rate Class Customer Model'!F14</f>
        <v>1224466.4826542051</v>
      </c>
      <c r="M28" s="4">
        <f>M23*'Rate Class Customer Model'!G14</f>
        <v>335666.87625863613</v>
      </c>
      <c r="N28" s="4">
        <f>N23*'Rate Class Customer Model'!H14</f>
        <v>5409463.6279601688</v>
      </c>
    </row>
    <row r="30" spans="1:17" x14ac:dyDescent="0.2">
      <c r="A30" s="10" t="s">
        <v>119</v>
      </c>
      <c r="P30" s="4"/>
    </row>
    <row r="31" spans="1:17" x14ac:dyDescent="0.2">
      <c r="A31" s="36">
        <f>A27</f>
        <v>2025</v>
      </c>
      <c r="F31" s="4"/>
      <c r="G31" s="11">
        <f>SUM(H31:N31)</f>
        <v>1246543441.5323596</v>
      </c>
      <c r="H31" s="4">
        <f>H27+H39</f>
        <v>444775707.67091572</v>
      </c>
      <c r="I31" s="4">
        <f t="shared" ref="I31:N31" si="8">I27+I39</f>
        <v>162457369.40991828</v>
      </c>
      <c r="J31" s="4">
        <f t="shared" si="8"/>
        <v>524288491.29410231</v>
      </c>
      <c r="K31" s="4">
        <f t="shared" si="8"/>
        <v>108051126.57999998</v>
      </c>
      <c r="L31" s="4">
        <f t="shared" si="8"/>
        <v>1237759.3325282661</v>
      </c>
      <c r="M31" s="4">
        <f t="shared" si="8"/>
        <v>354631.46710526315</v>
      </c>
      <c r="N31" s="4">
        <f t="shared" si="8"/>
        <v>5378355.7777897669</v>
      </c>
      <c r="O31" s="4">
        <f>SUM(H31:N31)</f>
        <v>1246543441.5323596</v>
      </c>
      <c r="P31" s="4"/>
      <c r="Q31" s="4"/>
    </row>
    <row r="32" spans="1:17" x14ac:dyDescent="0.2">
      <c r="A32" s="36">
        <f>A28</f>
        <v>2026</v>
      </c>
      <c r="F32" s="4"/>
      <c r="G32" s="11">
        <f>SUM(H32:N32)</f>
        <v>1238575745.3769767</v>
      </c>
      <c r="H32" s="4">
        <f>H28+H40</f>
        <v>446810597.89929187</v>
      </c>
      <c r="I32" s="4">
        <f t="shared" ref="I32:N32" si="9">I28+I40</f>
        <v>162299602.94774145</v>
      </c>
      <c r="J32" s="4">
        <f t="shared" si="9"/>
        <v>514444820.96307063</v>
      </c>
      <c r="K32" s="4">
        <f t="shared" si="9"/>
        <v>108051126.57999998</v>
      </c>
      <c r="L32" s="4">
        <f t="shared" si="9"/>
        <v>1224466.4826542051</v>
      </c>
      <c r="M32" s="4">
        <f t="shared" si="9"/>
        <v>335666.87625863613</v>
      </c>
      <c r="N32" s="4">
        <f t="shared" si="9"/>
        <v>5409463.6279601688</v>
      </c>
      <c r="O32" s="4">
        <f>SUM(H32:N32)</f>
        <v>1238575745.3769767</v>
      </c>
      <c r="P32" s="4">
        <f>O32-G32</f>
        <v>0</v>
      </c>
      <c r="Q32" s="4"/>
    </row>
    <row r="33" spans="1:16" x14ac:dyDescent="0.2">
      <c r="P33" s="4"/>
    </row>
    <row r="34" spans="1:16" x14ac:dyDescent="0.2">
      <c r="A34" t="s">
        <v>30</v>
      </c>
      <c r="H34" s="51">
        <f>(100%+J34)/2</f>
        <v>0.66950972636319506</v>
      </c>
      <c r="I34" s="51">
        <f>H34</f>
        <v>0.66950972636319506</v>
      </c>
      <c r="J34" s="51">
        <v>0.33901945272639</v>
      </c>
      <c r="K34" s="141">
        <v>0</v>
      </c>
      <c r="L34" s="44">
        <v>0</v>
      </c>
      <c r="M34" s="44">
        <v>0</v>
      </c>
      <c r="N34" s="44">
        <v>0</v>
      </c>
    </row>
    <row r="35" spans="1:16" x14ac:dyDescent="0.2">
      <c r="A35" s="36">
        <f>+A31</f>
        <v>2025</v>
      </c>
      <c r="G35" s="4">
        <f>G13-G27</f>
        <v>-22949859.372593164</v>
      </c>
      <c r="H35" s="4">
        <f>H27*H$34</f>
        <v>305643199.87471044</v>
      </c>
      <c r="I35" s="4">
        <f t="shared" ref="H35:N36" si="10">I27*I$34</f>
        <v>111638269.29687832</v>
      </c>
      <c r="J35" s="4">
        <f t="shared" si="10"/>
        <v>180089570.88608938</v>
      </c>
      <c r="K35" s="4">
        <f t="shared" ref="K35" si="11">K27*K$34</f>
        <v>0</v>
      </c>
      <c r="L35" s="4">
        <f t="shared" si="10"/>
        <v>0</v>
      </c>
      <c r="M35" s="4">
        <f t="shared" si="10"/>
        <v>0</v>
      </c>
      <c r="N35" s="4">
        <f t="shared" si="10"/>
        <v>0</v>
      </c>
      <c r="O35" s="4">
        <f>SUM(H35:N35)</f>
        <v>597371040.05767822</v>
      </c>
    </row>
    <row r="36" spans="1:16" x14ac:dyDescent="0.2">
      <c r="A36" s="36">
        <f>+A32</f>
        <v>2026</v>
      </c>
      <c r="G36" s="4">
        <f>G14-G28</f>
        <v>-29951810.52208662</v>
      </c>
      <c r="H36" s="4">
        <f t="shared" si="10"/>
        <v>309499525.94295424</v>
      </c>
      <c r="I36" s="4">
        <f t="shared" si="10"/>
        <v>112422691.87262553</v>
      </c>
      <c r="J36" s="4">
        <f t="shared" si="10"/>
        <v>177412619.68448007</v>
      </c>
      <c r="K36" s="4">
        <f t="shared" ref="K36" si="12">K28*K$34</f>
        <v>0</v>
      </c>
      <c r="L36" s="4">
        <f t="shared" si="10"/>
        <v>0</v>
      </c>
      <c r="M36" s="4">
        <f t="shared" si="10"/>
        <v>0</v>
      </c>
      <c r="N36" s="4">
        <f t="shared" si="10"/>
        <v>0</v>
      </c>
      <c r="O36" s="4">
        <f>SUM(H36:N36)</f>
        <v>599334837.50005984</v>
      </c>
    </row>
    <row r="37" spans="1:16" ht="12" customHeight="1" x14ac:dyDescent="0.2"/>
    <row r="38" spans="1:16" x14ac:dyDescent="0.2">
      <c r="A38" t="s">
        <v>31</v>
      </c>
    </row>
    <row r="39" spans="1:16" x14ac:dyDescent="0.2">
      <c r="A39" s="36">
        <f>+A35</f>
        <v>2025</v>
      </c>
      <c r="G39" s="4">
        <f>SUM(H39:N39)</f>
        <v>-22949859.372593161</v>
      </c>
      <c r="H39" s="4">
        <f>H35/$O35*$G35</f>
        <v>-11742230.514952177</v>
      </c>
      <c r="I39" s="4">
        <f t="shared" ref="H39:N40" si="13">I35/$O35*$G35</f>
        <v>-4288930.0102590593</v>
      </c>
      <c r="J39" s="4">
        <f t="shared" si="13"/>
        <v>-6918698.8473819233</v>
      </c>
      <c r="K39" s="4">
        <f t="shared" ref="K39" si="14">K35/$O35*$G35</f>
        <v>0</v>
      </c>
      <c r="L39" s="4">
        <f t="shared" si="13"/>
        <v>0</v>
      </c>
      <c r="M39" s="4">
        <f t="shared" si="13"/>
        <v>0</v>
      </c>
      <c r="N39" s="4">
        <f t="shared" si="13"/>
        <v>0</v>
      </c>
    </row>
    <row r="40" spans="1:16" x14ac:dyDescent="0.2">
      <c r="A40" s="36">
        <f>+A36</f>
        <v>2026</v>
      </c>
      <c r="G40" s="4">
        <f>SUM(H40:N40)</f>
        <v>-29951810.52208662</v>
      </c>
      <c r="H40" s="4">
        <f t="shared" si="13"/>
        <v>-15467265.671367006</v>
      </c>
      <c r="I40" s="4">
        <f t="shared" si="13"/>
        <v>-5618333.7838282613</v>
      </c>
      <c r="J40" s="4">
        <f t="shared" si="13"/>
        <v>-8866211.0668913536</v>
      </c>
      <c r="K40" s="4">
        <f t="shared" ref="K40" si="15">K36/$O36*$G36</f>
        <v>0</v>
      </c>
      <c r="L40" s="4">
        <f t="shared" si="13"/>
        <v>0</v>
      </c>
      <c r="M40" s="4">
        <f t="shared" si="13"/>
        <v>0</v>
      </c>
      <c r="N40" s="4">
        <f t="shared" si="13"/>
        <v>0</v>
      </c>
    </row>
    <row r="41" spans="1:16" x14ac:dyDescent="0.2">
      <c r="A41" s="36"/>
      <c r="G41" s="15"/>
    </row>
    <row r="42" spans="1:16" x14ac:dyDescent="0.2">
      <c r="A42" s="36"/>
    </row>
    <row r="43" spans="1:16" x14ac:dyDescent="0.2">
      <c r="A43" s="36"/>
      <c r="M43" s="50"/>
    </row>
    <row r="44" spans="1:16" x14ac:dyDescent="0.2">
      <c r="A44" s="36"/>
    </row>
    <row r="46" spans="1:16" x14ac:dyDescent="0.2">
      <c r="A46" s="36"/>
    </row>
    <row r="47" spans="1:16" x14ac:dyDescent="0.2">
      <c r="A47" s="36"/>
      <c r="M47" s="50"/>
    </row>
    <row r="48" spans="1:16" x14ac:dyDescent="0.2">
      <c r="A48" s="36"/>
    </row>
    <row r="49" spans="6:6" customFormat="1" x14ac:dyDescent="0.2"/>
    <row r="50" spans="6:6" x14ac:dyDescent="0.2">
      <c r="F50" s="45"/>
    </row>
    <row r="52" spans="6:6" customFormat="1" x14ac:dyDescent="0.2"/>
    <row r="53" spans="6:6" customFormat="1" x14ac:dyDescent="0.2"/>
    <row r="54" spans="6:6" customFormat="1" x14ac:dyDescent="0.2"/>
    <row r="55" spans="6:6" customFormat="1" x14ac:dyDescent="0.2"/>
    <row r="56" spans="6:6" customFormat="1" x14ac:dyDescent="0.2"/>
    <row r="57" spans="6:6" customFormat="1" x14ac:dyDescent="0.2"/>
    <row r="58" spans="6:6" customFormat="1" x14ac:dyDescent="0.2"/>
    <row r="59" spans="6:6" customFormat="1" x14ac:dyDescent="0.2"/>
    <row r="60" spans="6:6" customFormat="1" x14ac:dyDescent="0.2"/>
    <row r="61" spans="6:6" customFormat="1" x14ac:dyDescent="0.2"/>
    <row r="62" spans="6:6" customFormat="1" x14ac:dyDescent="0.2"/>
    <row r="63" spans="6:6" customFormat="1" x14ac:dyDescent="0.2"/>
  </sheetData>
  <phoneticPr fontId="0" type="noConversion"/>
  <pageMargins left="0.38" right="0.75" top="0.73" bottom="0.74" header="0.5" footer="0.5"/>
  <pageSetup scale="41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82"/>
  <sheetViews>
    <sheetView workbookViewId="0">
      <selection activeCell="L18" sqref="L18"/>
    </sheetView>
  </sheetViews>
  <sheetFormatPr defaultRowHeight="12.75" x14ac:dyDescent="0.2"/>
  <cols>
    <col min="1" max="1" width="14.28515625" customWidth="1"/>
    <col min="2" max="2" width="15" style="4" customWidth="1"/>
    <col min="3" max="3" width="14.140625" style="4" bestFit="1" customWidth="1"/>
    <col min="4" max="4" width="17.85546875" style="4" bestFit="1" customWidth="1"/>
    <col min="5" max="6" width="12.5703125" style="4" customWidth="1"/>
    <col min="7" max="8" width="11.42578125" style="4" customWidth="1"/>
    <col min="9" max="9" width="11.5703125" customWidth="1"/>
    <col min="10" max="10" width="5" customWidth="1"/>
    <col min="11" max="11" width="12.5703125" bestFit="1" customWidth="1"/>
    <col min="12" max="12" width="9.140625" customWidth="1"/>
  </cols>
  <sheetData>
    <row r="1" spans="1:11" x14ac:dyDescent="0.2">
      <c r="B1" s="196" t="s">
        <v>48</v>
      </c>
      <c r="C1" s="197"/>
      <c r="D1" s="197"/>
      <c r="E1" s="198"/>
      <c r="F1" s="197"/>
      <c r="G1" s="197"/>
      <c r="H1" s="197"/>
    </row>
    <row r="2" spans="1:11" ht="25.5" x14ac:dyDescent="0.2">
      <c r="B2" s="6" t="str">
        <f>Inputs!B4</f>
        <v>Residential</v>
      </c>
      <c r="C2" s="6" t="str">
        <f>Inputs!C4</f>
        <v>General Service &lt; 50 kW</v>
      </c>
      <c r="D2" s="6" t="str">
        <f>Inputs!D4</f>
        <v>General Service &gt; 50 to 4999 kW</v>
      </c>
      <c r="E2" s="6" t="s">
        <v>109</v>
      </c>
      <c r="F2" s="6" t="str">
        <f>Inputs!F4</f>
        <v>USL</v>
      </c>
      <c r="G2" s="6" t="str">
        <f>Inputs!G4</f>
        <v>Sentinel Lighting</v>
      </c>
      <c r="H2" s="6" t="str">
        <f>Inputs!H4</f>
        <v>Street Lighting</v>
      </c>
      <c r="I2" s="1" t="s">
        <v>5</v>
      </c>
      <c r="J2" s="1"/>
    </row>
    <row r="3" spans="1:11" x14ac:dyDescent="0.2">
      <c r="A3" s="2">
        <v>2015</v>
      </c>
      <c r="B3" s="32">
        <f>Inputs!B5</f>
        <v>50511.5</v>
      </c>
      <c r="C3" s="32">
        <f>Inputs!C5</f>
        <v>5527</v>
      </c>
      <c r="D3" s="32">
        <f>Inputs!D5</f>
        <v>597.5</v>
      </c>
      <c r="E3" s="32">
        <f>ROUND(Inputs!E5,0)</f>
        <v>2</v>
      </c>
      <c r="F3" s="32">
        <f>Inputs!F5</f>
        <v>250.5</v>
      </c>
      <c r="G3" s="32">
        <f>Inputs!G5</f>
        <v>521.5</v>
      </c>
      <c r="H3" s="32">
        <f>Inputs!H5</f>
        <v>17883</v>
      </c>
      <c r="I3" s="43">
        <f>SUM(B3:H3)</f>
        <v>75293</v>
      </c>
      <c r="J3" s="4"/>
    </row>
    <row r="4" spans="1:11" x14ac:dyDescent="0.2">
      <c r="A4" s="2">
        <v>2016</v>
      </c>
      <c r="B4" s="32">
        <f>Inputs!B6</f>
        <v>51680.5</v>
      </c>
      <c r="C4" s="32">
        <f>Inputs!C6</f>
        <v>5637.5</v>
      </c>
      <c r="D4" s="32">
        <f>Inputs!D6</f>
        <v>583.5</v>
      </c>
      <c r="E4" s="32">
        <f>ROUND(Inputs!E6,0)</f>
        <v>2</v>
      </c>
      <c r="F4" s="32">
        <f>Inputs!F6</f>
        <v>257.5</v>
      </c>
      <c r="G4" s="32">
        <f>Inputs!G6</f>
        <v>519.5</v>
      </c>
      <c r="H4" s="32">
        <f>Inputs!H6</f>
        <v>17923</v>
      </c>
      <c r="I4" s="43">
        <f t="shared" ref="I4:I14" si="0">SUM(B4:H4)</f>
        <v>76603.5</v>
      </c>
      <c r="J4" s="4"/>
    </row>
    <row r="5" spans="1:11" x14ac:dyDescent="0.2">
      <c r="A5" s="2">
        <v>2017</v>
      </c>
      <c r="B5" s="32">
        <f>Inputs!B7</f>
        <v>52149</v>
      </c>
      <c r="C5" s="32">
        <f>Inputs!C7</f>
        <v>5654.5</v>
      </c>
      <c r="D5" s="32">
        <f>Inputs!D7</f>
        <v>562.5</v>
      </c>
      <c r="E5" s="32">
        <f>ROUND(Inputs!E7,0)</f>
        <v>2</v>
      </c>
      <c r="F5" s="32">
        <f>Inputs!F7</f>
        <v>246</v>
      </c>
      <c r="G5" s="32">
        <f>Inputs!G7</f>
        <v>451</v>
      </c>
      <c r="H5" s="32">
        <f>Inputs!H7</f>
        <v>17946.5</v>
      </c>
      <c r="I5" s="43">
        <f t="shared" si="0"/>
        <v>77011.5</v>
      </c>
      <c r="J5" s="4"/>
    </row>
    <row r="6" spans="1:11" x14ac:dyDescent="0.2">
      <c r="A6" s="2">
        <v>2018</v>
      </c>
      <c r="B6" s="32">
        <f>Inputs!B8</f>
        <v>52685.5</v>
      </c>
      <c r="C6" s="32">
        <f>Inputs!C8</f>
        <v>5686</v>
      </c>
      <c r="D6" s="32">
        <f>Inputs!D8</f>
        <v>549</v>
      </c>
      <c r="E6" s="32">
        <f>ROUND(Inputs!E8,0)</f>
        <v>2</v>
      </c>
      <c r="F6" s="32">
        <f>Inputs!F8</f>
        <v>228</v>
      </c>
      <c r="G6" s="32">
        <f>Inputs!G8</f>
        <v>381.5</v>
      </c>
      <c r="H6" s="32">
        <f>Inputs!H8</f>
        <v>18034</v>
      </c>
      <c r="I6" s="43">
        <f t="shared" si="0"/>
        <v>77566</v>
      </c>
      <c r="J6" s="4"/>
    </row>
    <row r="7" spans="1:11" x14ac:dyDescent="0.2">
      <c r="A7" s="2">
        <v>2019</v>
      </c>
      <c r="B7" s="32">
        <f>Inputs!B9</f>
        <v>53245</v>
      </c>
      <c r="C7" s="32">
        <f>Inputs!C9</f>
        <v>5693.5</v>
      </c>
      <c r="D7" s="32">
        <f>Inputs!D9</f>
        <v>556.5</v>
      </c>
      <c r="E7" s="32">
        <f>ROUND(Inputs!E9,0)</f>
        <v>2</v>
      </c>
      <c r="F7" s="32">
        <f>Inputs!F9</f>
        <v>228</v>
      </c>
      <c r="G7" s="32">
        <f>Inputs!G9</f>
        <v>393</v>
      </c>
      <c r="H7" s="32">
        <f>Inputs!H9</f>
        <v>18074.5</v>
      </c>
      <c r="I7" s="43">
        <f t="shared" si="0"/>
        <v>78192.5</v>
      </c>
      <c r="J7" s="4"/>
    </row>
    <row r="8" spans="1:11" x14ac:dyDescent="0.2">
      <c r="A8" s="2">
        <v>2020</v>
      </c>
      <c r="B8" s="32">
        <f>Inputs!B10</f>
        <v>53932.5</v>
      </c>
      <c r="C8" s="32">
        <f>Inputs!C10</f>
        <v>5703.5</v>
      </c>
      <c r="D8" s="32">
        <f>Inputs!D10</f>
        <v>559.5</v>
      </c>
      <c r="E8" s="32">
        <f>ROUND(Inputs!E10,0)</f>
        <v>2</v>
      </c>
      <c r="F8" s="32">
        <f>Inputs!F10</f>
        <v>226</v>
      </c>
      <c r="G8" s="32">
        <f>Inputs!G10</f>
        <v>376</v>
      </c>
      <c r="H8" s="32">
        <f>Inputs!H10</f>
        <v>18138</v>
      </c>
      <c r="I8" s="43">
        <f t="shared" si="0"/>
        <v>78937.5</v>
      </c>
      <c r="J8" s="4"/>
    </row>
    <row r="9" spans="1:11" x14ac:dyDescent="0.2">
      <c r="A9" s="2">
        <v>2021</v>
      </c>
      <c r="B9" s="32">
        <f>Inputs!B11</f>
        <v>54770.5</v>
      </c>
      <c r="C9" s="32">
        <f>Inputs!C11</f>
        <v>5732</v>
      </c>
      <c r="D9" s="32">
        <f>Inputs!D11</f>
        <v>541.5</v>
      </c>
      <c r="E9" s="32">
        <f>ROUND(Inputs!E11,0)</f>
        <v>2</v>
      </c>
      <c r="F9" s="32">
        <f>Inputs!F11</f>
        <v>224</v>
      </c>
      <c r="G9" s="32">
        <f>Inputs!G11</f>
        <v>341.5</v>
      </c>
      <c r="H9" s="32">
        <f>Inputs!H11</f>
        <v>18334.5</v>
      </c>
      <c r="I9" s="43">
        <f t="shared" si="0"/>
        <v>79946</v>
      </c>
      <c r="J9" s="4"/>
    </row>
    <row r="10" spans="1:11" x14ac:dyDescent="0.2">
      <c r="A10" s="2">
        <v>2022</v>
      </c>
      <c r="B10" s="32">
        <f>Inputs!B12</f>
        <v>55652</v>
      </c>
      <c r="C10" s="32">
        <f>Inputs!C12</f>
        <v>5798.5</v>
      </c>
      <c r="D10" s="32">
        <f>Inputs!D12</f>
        <v>521</v>
      </c>
      <c r="E10" s="32">
        <f>ROUND(Inputs!E12,0)</f>
        <v>3</v>
      </c>
      <c r="F10" s="32">
        <f>Inputs!F12</f>
        <v>224</v>
      </c>
      <c r="G10" s="32">
        <f>Inputs!G12</f>
        <v>323</v>
      </c>
      <c r="H10" s="32">
        <f>Inputs!H12</f>
        <v>18584.5</v>
      </c>
      <c r="I10" s="43">
        <f t="shared" si="0"/>
        <v>81106</v>
      </c>
      <c r="J10" s="4"/>
    </row>
    <row r="11" spans="1:11" x14ac:dyDescent="0.2">
      <c r="A11" s="2">
        <v>2023</v>
      </c>
      <c r="B11" s="32">
        <f>Inputs!B13</f>
        <v>56302</v>
      </c>
      <c r="C11" s="32">
        <f>Inputs!C13</f>
        <v>5860</v>
      </c>
      <c r="D11" s="32">
        <f>Inputs!D13</f>
        <v>512</v>
      </c>
      <c r="E11" s="32">
        <f>ROUND(Inputs!E13,0)</f>
        <v>4</v>
      </c>
      <c r="F11" s="32">
        <f>Inputs!F13</f>
        <v>224</v>
      </c>
      <c r="G11" s="32">
        <f>Inputs!G13</f>
        <v>308</v>
      </c>
      <c r="H11" s="32">
        <f>Inputs!H13</f>
        <v>18793</v>
      </c>
      <c r="I11" s="43">
        <f t="shared" si="0"/>
        <v>82003</v>
      </c>
      <c r="J11" s="4"/>
    </row>
    <row r="12" spans="1:11" x14ac:dyDescent="0.2">
      <c r="A12" s="2">
        <v>2024</v>
      </c>
      <c r="B12" s="32">
        <f>Inputs!B14</f>
        <v>56797</v>
      </c>
      <c r="C12" s="32">
        <f>Inputs!C14</f>
        <v>5889</v>
      </c>
      <c r="D12" s="32">
        <f>Inputs!D14</f>
        <v>508.5</v>
      </c>
      <c r="E12" s="32">
        <f>ROUND(Inputs!E14,0)</f>
        <v>4</v>
      </c>
      <c r="F12" s="32">
        <f>Inputs!F14</f>
        <v>225</v>
      </c>
      <c r="G12" s="32">
        <f>Inputs!G14</f>
        <v>304</v>
      </c>
      <c r="H12" s="32">
        <f>Inputs!H14</f>
        <v>18884.5</v>
      </c>
      <c r="I12" s="43">
        <f t="shared" si="0"/>
        <v>82612</v>
      </c>
      <c r="J12" s="4"/>
    </row>
    <row r="13" spans="1:11" x14ac:dyDescent="0.2">
      <c r="A13" s="2">
        <v>2025</v>
      </c>
      <c r="B13" s="47">
        <f>B71</f>
        <v>57258.869489293611</v>
      </c>
      <c r="C13" s="47">
        <f t="shared" ref="C13:H13" si="1">C71</f>
        <v>5927.8651125701044</v>
      </c>
      <c r="D13" s="47">
        <f t="shared" si="1"/>
        <v>514.39574166242073</v>
      </c>
      <c r="E13" s="125">
        <v>4</v>
      </c>
      <c r="F13" s="47">
        <f t="shared" si="1"/>
        <v>224.86126605550308</v>
      </c>
      <c r="G13" s="47">
        <f t="shared" si="1"/>
        <v>301</v>
      </c>
      <c r="H13" s="47">
        <f t="shared" si="1"/>
        <v>18944.674732361123</v>
      </c>
      <c r="I13" s="43">
        <f t="shared" si="0"/>
        <v>83175.666341942764</v>
      </c>
      <c r="J13" s="4"/>
      <c r="K13" s="29"/>
    </row>
    <row r="14" spans="1:11" x14ac:dyDescent="0.2">
      <c r="A14" s="2">
        <v>2026</v>
      </c>
      <c r="B14" s="47">
        <f>B13*B31</f>
        <v>57981.309481874006</v>
      </c>
      <c r="C14" s="47">
        <f>C13*C31</f>
        <v>5969.5170590717007</v>
      </c>
      <c r="D14" s="47">
        <f>D13*D31</f>
        <v>506.74947823933263</v>
      </c>
      <c r="E14" s="125">
        <v>4</v>
      </c>
      <c r="F14" s="47">
        <f>F13*F31</f>
        <v>222.4463805655576</v>
      </c>
      <c r="G14" s="47">
        <f>G13*G31</f>
        <v>284.90345365731361</v>
      </c>
      <c r="H14" s="47">
        <f>H13*H31</f>
        <v>19054.248759712558</v>
      </c>
      <c r="I14" s="43">
        <f t="shared" si="0"/>
        <v>84023.174613120471</v>
      </c>
      <c r="J14" s="4"/>
      <c r="K14" s="29"/>
    </row>
    <row r="15" spans="1:11" x14ac:dyDescent="0.2">
      <c r="A15" s="10"/>
    </row>
    <row r="16" spans="1:11" x14ac:dyDescent="0.2">
      <c r="A16" s="10" t="s">
        <v>28</v>
      </c>
      <c r="B16" s="3"/>
      <c r="C16" s="3"/>
      <c r="D16" s="3"/>
      <c r="E16" s="3"/>
      <c r="F16" s="3"/>
      <c r="G16" s="13"/>
      <c r="H16" s="13"/>
    </row>
    <row r="17" spans="1:10" x14ac:dyDescent="0.2">
      <c r="A17" s="2"/>
      <c r="B17" s="13"/>
      <c r="C17" s="13"/>
      <c r="D17" s="13"/>
      <c r="E17" s="13"/>
      <c r="F17" s="13"/>
      <c r="G17" s="13"/>
      <c r="H17" s="13"/>
    </row>
    <row r="18" spans="1:10" x14ac:dyDescent="0.2">
      <c r="A18" s="2">
        <f t="shared" ref="A18:A26" si="2">+A4</f>
        <v>2016</v>
      </c>
      <c r="B18" s="13">
        <f t="shared" ref="B18:H27" si="3">B4/B3</f>
        <v>1.0231432446076636</v>
      </c>
      <c r="C18" s="13">
        <f t="shared" si="3"/>
        <v>1.0199927628007961</v>
      </c>
      <c r="D18" s="13">
        <f t="shared" si="3"/>
        <v>0.97656903765690373</v>
      </c>
      <c r="E18" s="13">
        <f t="shared" si="3"/>
        <v>1</v>
      </c>
      <c r="F18" s="13">
        <f t="shared" si="3"/>
        <v>1.0279441117764472</v>
      </c>
      <c r="G18" s="13">
        <f t="shared" si="3"/>
        <v>0.99616490891658682</v>
      </c>
      <c r="H18" s="13">
        <f t="shared" si="3"/>
        <v>1.0022367611698262</v>
      </c>
    </row>
    <row r="19" spans="1:10" x14ac:dyDescent="0.2">
      <c r="A19" s="2">
        <f t="shared" si="2"/>
        <v>2017</v>
      </c>
      <c r="B19" s="13">
        <f t="shared" si="3"/>
        <v>1.0090653147705615</v>
      </c>
      <c r="C19" s="13">
        <f t="shared" si="3"/>
        <v>1.0030155210643015</v>
      </c>
      <c r="D19" s="13">
        <f t="shared" si="3"/>
        <v>0.96401028277634959</v>
      </c>
      <c r="E19" s="13">
        <f t="shared" si="3"/>
        <v>1</v>
      </c>
      <c r="F19" s="13">
        <f t="shared" si="3"/>
        <v>0.95533980582524269</v>
      </c>
      <c r="G19" s="13">
        <f t="shared" si="3"/>
        <v>0.86814244465832535</v>
      </c>
      <c r="H19" s="13">
        <f t="shared" si="3"/>
        <v>1.0013111644255983</v>
      </c>
    </row>
    <row r="20" spans="1:10" x14ac:dyDescent="0.2">
      <c r="A20" s="2">
        <f t="shared" si="2"/>
        <v>2018</v>
      </c>
      <c r="B20" s="13">
        <f t="shared" si="3"/>
        <v>1.0102878291050643</v>
      </c>
      <c r="C20" s="13">
        <f t="shared" si="3"/>
        <v>1.0055707843310637</v>
      </c>
      <c r="D20" s="13">
        <f t="shared" si="3"/>
        <v>0.97599999999999998</v>
      </c>
      <c r="E20" s="13">
        <f t="shared" si="3"/>
        <v>1</v>
      </c>
      <c r="F20" s="13">
        <f t="shared" si="3"/>
        <v>0.92682926829268297</v>
      </c>
      <c r="G20" s="13">
        <f t="shared" si="3"/>
        <v>0.84589800443458985</v>
      </c>
      <c r="H20" s="13">
        <f t="shared" si="3"/>
        <v>1.0048756024851642</v>
      </c>
    </row>
    <row r="21" spans="1:10" x14ac:dyDescent="0.2">
      <c r="A21" s="2">
        <f t="shared" si="2"/>
        <v>2019</v>
      </c>
      <c r="B21" s="13">
        <f t="shared" si="3"/>
        <v>1.010619620199106</v>
      </c>
      <c r="C21" s="13">
        <f t="shared" si="3"/>
        <v>1.0013190291945129</v>
      </c>
      <c r="D21" s="13">
        <f t="shared" si="3"/>
        <v>1.0136612021857923</v>
      </c>
      <c r="E21" s="13">
        <f t="shared" si="3"/>
        <v>1</v>
      </c>
      <c r="F21" s="13">
        <f t="shared" si="3"/>
        <v>1</v>
      </c>
      <c r="G21" s="13">
        <f t="shared" si="3"/>
        <v>1.0301441677588468</v>
      </c>
      <c r="H21" s="13">
        <f t="shared" si="3"/>
        <v>1.0022457580126427</v>
      </c>
    </row>
    <row r="22" spans="1:10" x14ac:dyDescent="0.2">
      <c r="A22" s="2">
        <f t="shared" si="2"/>
        <v>2020</v>
      </c>
      <c r="B22" s="13">
        <f t="shared" si="3"/>
        <v>1.0129120105174194</v>
      </c>
      <c r="C22" s="13">
        <f t="shared" si="3"/>
        <v>1.0017563888644947</v>
      </c>
      <c r="D22" s="13">
        <f t="shared" si="3"/>
        <v>1.0053908355795149</v>
      </c>
      <c r="E22" s="13">
        <f t="shared" si="3"/>
        <v>1</v>
      </c>
      <c r="F22" s="13">
        <f t="shared" si="3"/>
        <v>0.99122807017543857</v>
      </c>
      <c r="G22" s="13">
        <f t="shared" si="3"/>
        <v>0.95674300254452926</v>
      </c>
      <c r="H22" s="13">
        <f t="shared" si="3"/>
        <v>1.0035132368806883</v>
      </c>
    </row>
    <row r="23" spans="1:10" x14ac:dyDescent="0.2">
      <c r="A23" s="2">
        <f t="shared" si="2"/>
        <v>2021</v>
      </c>
      <c r="B23" s="13">
        <f t="shared" si="3"/>
        <v>1.0155379409446994</v>
      </c>
      <c r="C23" s="13">
        <f t="shared" si="3"/>
        <v>1.0049969317086</v>
      </c>
      <c r="D23" s="13">
        <f t="shared" si="3"/>
        <v>0.96782841823056298</v>
      </c>
      <c r="E23" s="13">
        <f t="shared" si="3"/>
        <v>1</v>
      </c>
      <c r="F23" s="13">
        <f t="shared" si="3"/>
        <v>0.99115044247787609</v>
      </c>
      <c r="G23" s="13">
        <f t="shared" si="3"/>
        <v>0.9082446808510638</v>
      </c>
      <c r="H23" s="13">
        <f t="shared" si="3"/>
        <v>1.0108336089976844</v>
      </c>
    </row>
    <row r="24" spans="1:10" x14ac:dyDescent="0.2">
      <c r="A24" s="2">
        <f t="shared" si="2"/>
        <v>2022</v>
      </c>
      <c r="B24" s="13">
        <f t="shared" si="3"/>
        <v>1.0160944303959247</v>
      </c>
      <c r="C24" s="13">
        <f t="shared" si="3"/>
        <v>1.0116015352407537</v>
      </c>
      <c r="D24" s="13">
        <f t="shared" si="3"/>
        <v>0.96214219759926134</v>
      </c>
      <c r="E24" s="13">
        <f t="shared" si="3"/>
        <v>1.5</v>
      </c>
      <c r="F24" s="13">
        <f t="shared" si="3"/>
        <v>1</v>
      </c>
      <c r="G24" s="13">
        <f t="shared" si="3"/>
        <v>0.94582723279648606</v>
      </c>
      <c r="H24" s="13">
        <f t="shared" si="3"/>
        <v>1.0136354959229867</v>
      </c>
    </row>
    <row r="25" spans="1:10" x14ac:dyDescent="0.2">
      <c r="A25" s="2">
        <f t="shared" si="2"/>
        <v>2023</v>
      </c>
      <c r="B25" s="13">
        <f t="shared" si="3"/>
        <v>1.0116797239991375</v>
      </c>
      <c r="C25" s="13">
        <f t="shared" si="3"/>
        <v>1.0106061912563593</v>
      </c>
      <c r="D25" s="13">
        <f t="shared" si="3"/>
        <v>0.98272552783109401</v>
      </c>
      <c r="E25" s="13">
        <f t="shared" si="3"/>
        <v>1.3333333333333333</v>
      </c>
      <c r="F25" s="13">
        <f t="shared" si="3"/>
        <v>1</v>
      </c>
      <c r="G25" s="13">
        <f t="shared" si="3"/>
        <v>0.95356037151702788</v>
      </c>
      <c r="H25" s="13">
        <f t="shared" si="3"/>
        <v>1.0112190266081951</v>
      </c>
    </row>
    <row r="26" spans="1:10" x14ac:dyDescent="0.2">
      <c r="A26" s="2">
        <f t="shared" si="2"/>
        <v>2024</v>
      </c>
      <c r="B26" s="13">
        <f t="shared" si="3"/>
        <v>1.0087918724024014</v>
      </c>
      <c r="C26" s="13">
        <f t="shared" si="3"/>
        <v>1.0049488054607509</v>
      </c>
      <c r="D26" s="13">
        <f t="shared" si="3"/>
        <v>0.9931640625</v>
      </c>
      <c r="E26" s="13">
        <f>E12/E11</f>
        <v>1</v>
      </c>
      <c r="F26" s="13">
        <f t="shared" si="3"/>
        <v>1.0044642857142858</v>
      </c>
      <c r="G26" s="13">
        <f t="shared" si="3"/>
        <v>0.98701298701298701</v>
      </c>
      <c r="H26" s="13">
        <f t="shared" si="3"/>
        <v>1.0048688341403713</v>
      </c>
    </row>
    <row r="27" spans="1:10" x14ac:dyDescent="0.2">
      <c r="A27" s="2">
        <v>2025</v>
      </c>
      <c r="B27" s="13">
        <f>B13/B12</f>
        <v>1.0081319345967852</v>
      </c>
      <c r="C27" s="13">
        <f t="shared" si="3"/>
        <v>1.0065996115758371</v>
      </c>
      <c r="D27" s="13">
        <f t="shared" si="3"/>
        <v>1.0115943788838166</v>
      </c>
      <c r="E27" s="13">
        <f>E13/E12</f>
        <v>1</v>
      </c>
      <c r="F27" s="13">
        <f t="shared" si="3"/>
        <v>0.99938340469112485</v>
      </c>
      <c r="G27" s="13">
        <f t="shared" si="3"/>
        <v>0.99013157894736847</v>
      </c>
      <c r="H27" s="13">
        <f t="shared" si="3"/>
        <v>1.0031864615087041</v>
      </c>
    </row>
    <row r="28" spans="1:10" x14ac:dyDescent="0.2">
      <c r="A28" s="2"/>
      <c r="B28" s="13"/>
      <c r="C28" s="13"/>
      <c r="D28" s="13"/>
      <c r="E28" s="13"/>
      <c r="F28" s="13"/>
      <c r="G28" s="13"/>
      <c r="H28" s="13"/>
    </row>
    <row r="29" spans="1:10" x14ac:dyDescent="0.2">
      <c r="A29" s="2"/>
      <c r="B29" s="13"/>
      <c r="C29" s="13"/>
      <c r="D29" s="13"/>
      <c r="E29" s="13"/>
      <c r="F29" s="13"/>
      <c r="G29" s="13"/>
      <c r="H29" s="13"/>
    </row>
    <row r="31" spans="1:10" x14ac:dyDescent="0.2">
      <c r="A31" t="s">
        <v>41</v>
      </c>
      <c r="B31" s="48">
        <f>B33</f>
        <v>1.0126170844626172</v>
      </c>
      <c r="C31" s="48">
        <f>C33</f>
        <v>1.007026466647035</v>
      </c>
      <c r="D31" s="48">
        <f>D33</f>
        <v>0.98513544572049339</v>
      </c>
      <c r="E31" s="164">
        <v>1</v>
      </c>
      <c r="F31" s="48">
        <f>F33</f>
        <v>0.98926055370803878</v>
      </c>
      <c r="G31" s="48">
        <f>+G33</f>
        <v>0.94652310185154021</v>
      </c>
      <c r="H31" s="48">
        <f>+H33</f>
        <v>1.0057838959443448</v>
      </c>
      <c r="I31" s="36" t="s">
        <v>50</v>
      </c>
      <c r="J31" s="36"/>
    </row>
    <row r="32" spans="1:10" x14ac:dyDescent="0.2">
      <c r="B32" s="14"/>
      <c r="C32" s="14"/>
      <c r="D32" s="14"/>
      <c r="E32" s="14"/>
      <c r="F32" s="14"/>
      <c r="G32" s="14"/>
      <c r="H32" s="14"/>
    </row>
    <row r="33" spans="1:8" x14ac:dyDescent="0.2">
      <c r="A33" t="s">
        <v>8</v>
      </c>
      <c r="B33" s="14">
        <f>IF(B11="",0,GEOMEAN(B18:B27))</f>
        <v>1.0126170844626172</v>
      </c>
      <c r="C33" s="14">
        <f t="shared" ref="C33:H33" si="4">IF(C11="",0,GEOMEAN(C18:C27))</f>
        <v>1.007026466647035</v>
      </c>
      <c r="D33" s="14">
        <f t="shared" si="4"/>
        <v>0.98513544572049339</v>
      </c>
      <c r="E33" s="14">
        <f t="shared" si="4"/>
        <v>1.0717734625362931</v>
      </c>
      <c r="F33" s="14">
        <f t="shared" si="4"/>
        <v>0.98926055370803878</v>
      </c>
      <c r="G33" s="14">
        <f t="shared" si="4"/>
        <v>0.94652310185154021</v>
      </c>
      <c r="H33" s="14">
        <f t="shared" si="4"/>
        <v>1.0057838959443448</v>
      </c>
    </row>
    <row r="34" spans="1:8" x14ac:dyDescent="0.2">
      <c r="A34" s="2"/>
      <c r="B34" s="14"/>
      <c r="C34" s="14"/>
      <c r="D34" s="14"/>
      <c r="E34" s="14"/>
      <c r="F34" s="14"/>
      <c r="G34" s="14"/>
      <c r="H34" s="14"/>
    </row>
    <row r="35" spans="1:8" x14ac:dyDescent="0.2">
      <c r="A35" s="176">
        <v>45627</v>
      </c>
      <c r="B35" s="178">
        <v>57068</v>
      </c>
      <c r="C35" s="39">
        <v>5903</v>
      </c>
      <c r="D35" s="39">
        <v>508</v>
      </c>
      <c r="E35" s="39">
        <v>4</v>
      </c>
      <c r="F35" s="39">
        <v>226</v>
      </c>
      <c r="G35" s="39">
        <v>301</v>
      </c>
      <c r="H35" s="39">
        <v>18875</v>
      </c>
    </row>
    <row r="36" spans="1:8" x14ac:dyDescent="0.2">
      <c r="A36" s="176">
        <v>45658</v>
      </c>
      <c r="B36" s="178">
        <f>Inputs!G144</f>
        <v>57114</v>
      </c>
      <c r="C36" s="39">
        <f>Inputs!I144</f>
        <v>5905</v>
      </c>
      <c r="D36" s="39">
        <f>Inputs!L144</f>
        <v>508</v>
      </c>
      <c r="E36" s="39">
        <f>Inputs!O144</f>
        <v>4</v>
      </c>
      <c r="F36" s="39">
        <f>Inputs!Q144</f>
        <v>224</v>
      </c>
      <c r="G36" s="39">
        <f>Inputs!T144</f>
        <v>301</v>
      </c>
      <c r="H36" s="39">
        <f>Inputs!W144</f>
        <v>18941</v>
      </c>
    </row>
    <row r="37" spans="1:8" x14ac:dyDescent="0.2">
      <c r="A37" s="176">
        <v>45689</v>
      </c>
      <c r="B37" s="178">
        <f>Inputs!G145</f>
        <v>57167</v>
      </c>
      <c r="C37" s="39">
        <f>Inputs!I145</f>
        <v>5918</v>
      </c>
      <c r="D37" s="39">
        <f>Inputs!L145</f>
        <v>508</v>
      </c>
      <c r="E37" s="39">
        <f>Inputs!O145</f>
        <v>4</v>
      </c>
      <c r="F37" s="39">
        <f>Inputs!Q145</f>
        <v>225</v>
      </c>
      <c r="G37" s="39">
        <f>Inputs!T145</f>
        <v>301</v>
      </c>
      <c r="H37" s="39">
        <f>Inputs!W145</f>
        <v>18941</v>
      </c>
    </row>
    <row r="38" spans="1:8" x14ac:dyDescent="0.2">
      <c r="A38" s="176">
        <v>45717</v>
      </c>
      <c r="B38" s="178">
        <f>Inputs!G146</f>
        <v>57204</v>
      </c>
      <c r="C38" s="39">
        <f>Inputs!I146</f>
        <v>5921</v>
      </c>
      <c r="D38" s="39">
        <f>Inputs!L146</f>
        <v>509</v>
      </c>
      <c r="E38" s="39">
        <f>Inputs!O146</f>
        <v>4</v>
      </c>
      <c r="F38" s="39">
        <f>Inputs!Q146</f>
        <v>225</v>
      </c>
      <c r="G38" s="39">
        <f>Inputs!T146</f>
        <v>301</v>
      </c>
      <c r="H38" s="39">
        <f>Inputs!W146</f>
        <v>18941</v>
      </c>
    </row>
    <row r="39" spans="1:8" x14ac:dyDescent="0.2">
      <c r="A39" s="176">
        <v>45748</v>
      </c>
      <c r="B39" s="178">
        <f>Inputs!G147</f>
        <v>57237</v>
      </c>
      <c r="C39" s="39">
        <f>Inputs!I147</f>
        <v>5930</v>
      </c>
      <c r="D39" s="39">
        <f>Inputs!L147</f>
        <v>507</v>
      </c>
      <c r="E39" s="39">
        <f>Inputs!O147</f>
        <v>4</v>
      </c>
      <c r="F39" s="39">
        <f>Inputs!Q147</f>
        <v>225</v>
      </c>
      <c r="G39" s="39">
        <f>Inputs!T147</f>
        <v>301</v>
      </c>
      <c r="H39" s="39">
        <f>Inputs!W147</f>
        <v>18941</v>
      </c>
    </row>
    <row r="40" spans="1:8" x14ac:dyDescent="0.2">
      <c r="A40" s="176">
        <v>45778</v>
      </c>
      <c r="B40" s="178">
        <f>Inputs!G148</f>
        <v>57187</v>
      </c>
      <c r="C40" s="39">
        <f>Inputs!I148</f>
        <v>5928</v>
      </c>
      <c r="D40" s="39">
        <f>Inputs!L148</f>
        <v>516</v>
      </c>
      <c r="E40" s="39">
        <f>Inputs!O148</f>
        <v>4</v>
      </c>
      <c r="F40" s="39">
        <f>Inputs!Q148</f>
        <v>225</v>
      </c>
      <c r="G40" s="39">
        <f>Inputs!T148</f>
        <v>301</v>
      </c>
      <c r="H40" s="39">
        <f>Inputs!W148</f>
        <v>18941</v>
      </c>
    </row>
    <row r="41" spans="1:8" x14ac:dyDescent="0.2">
      <c r="A41" s="176">
        <v>45809</v>
      </c>
      <c r="B41" s="178">
        <f>Inputs!G149</f>
        <v>57232</v>
      </c>
      <c r="C41" s="39">
        <f>Inputs!I149</f>
        <v>5928</v>
      </c>
      <c r="D41" s="39">
        <f>Inputs!L149</f>
        <v>516</v>
      </c>
      <c r="E41" s="39">
        <f>Inputs!O149</f>
        <v>4</v>
      </c>
      <c r="F41" s="39">
        <f>Inputs!Q149</f>
        <v>225</v>
      </c>
      <c r="G41" s="39">
        <f>Inputs!T149</f>
        <v>301</v>
      </c>
      <c r="H41" s="39">
        <f>Inputs!W149</f>
        <v>18941</v>
      </c>
    </row>
    <row r="42" spans="1:8" x14ac:dyDescent="0.2">
      <c r="A42" s="176">
        <v>45839</v>
      </c>
      <c r="B42" s="178">
        <f>Inputs!G150</f>
        <v>57274</v>
      </c>
      <c r="C42" s="39">
        <f>Inputs!I150</f>
        <v>5937</v>
      </c>
      <c r="D42" s="39">
        <f>Inputs!L150</f>
        <v>515</v>
      </c>
      <c r="E42" s="39">
        <f>Inputs!O150</f>
        <v>4</v>
      </c>
      <c r="F42" s="39">
        <f>Inputs!Q150</f>
        <v>225</v>
      </c>
      <c r="G42" s="39">
        <f>Inputs!T150</f>
        <v>301</v>
      </c>
      <c r="H42" s="39">
        <f>Inputs!W150</f>
        <v>18941</v>
      </c>
    </row>
    <row r="43" spans="1:8" x14ac:dyDescent="0.2">
      <c r="A43" s="176">
        <v>45870</v>
      </c>
      <c r="B43" s="178">
        <f>Inputs!G151</f>
        <v>57285</v>
      </c>
      <c r="C43" s="39">
        <f>Inputs!I151</f>
        <v>5934</v>
      </c>
      <c r="D43" s="39">
        <f>Inputs!L151</f>
        <v>515</v>
      </c>
      <c r="E43" s="39">
        <f>Inputs!O151</f>
        <v>4</v>
      </c>
      <c r="F43" s="39">
        <f>Inputs!Q151</f>
        <v>225</v>
      </c>
      <c r="G43" s="39">
        <f>Inputs!T151</f>
        <v>301</v>
      </c>
      <c r="H43" s="39">
        <f>Inputs!W151</f>
        <v>18941</v>
      </c>
    </row>
    <row r="44" spans="1:8" x14ac:dyDescent="0.2">
      <c r="A44" s="176">
        <v>45901</v>
      </c>
      <c r="B44" s="178">
        <f>Inputs!G152</f>
        <v>57311</v>
      </c>
      <c r="C44" s="39">
        <f>Inputs!I152</f>
        <v>5929</v>
      </c>
      <c r="D44" s="39">
        <f>Inputs!L152</f>
        <v>518</v>
      </c>
      <c r="E44" s="39">
        <f>Inputs!O152</f>
        <v>4</v>
      </c>
      <c r="F44" s="39">
        <f>Inputs!Q152</f>
        <v>225</v>
      </c>
      <c r="G44" s="39">
        <f>Inputs!T152</f>
        <v>301</v>
      </c>
      <c r="H44" s="39">
        <f>Inputs!W152</f>
        <v>18941</v>
      </c>
    </row>
    <row r="45" spans="1:8" x14ac:dyDescent="0.2">
      <c r="A45" s="176"/>
      <c r="B45" s="175"/>
      <c r="C45"/>
      <c r="D45"/>
      <c r="E45"/>
      <c r="F45"/>
      <c r="G45"/>
      <c r="H45"/>
    </row>
    <row r="46" spans="1:8" x14ac:dyDescent="0.2">
      <c r="A46" s="176">
        <f>A36</f>
        <v>45658</v>
      </c>
      <c r="B46" s="179">
        <f>B36/B35</f>
        <v>1.0008060559332725</v>
      </c>
      <c r="C46" s="179">
        <f t="shared" ref="C46:H46" si="5">C36/C35</f>
        <v>1.0003388107741826</v>
      </c>
      <c r="D46" s="179">
        <f t="shared" si="5"/>
        <v>1</v>
      </c>
      <c r="E46" s="179">
        <f t="shared" si="5"/>
        <v>1</v>
      </c>
      <c r="F46" s="179">
        <f t="shared" si="5"/>
        <v>0.99115044247787609</v>
      </c>
      <c r="G46" s="179">
        <f t="shared" si="5"/>
        <v>1</v>
      </c>
      <c r="H46" s="179">
        <f t="shared" si="5"/>
        <v>1.0034966887417218</v>
      </c>
    </row>
    <row r="47" spans="1:8" x14ac:dyDescent="0.2">
      <c r="A47" s="176">
        <f t="shared" ref="A47:A54" si="6">A37</f>
        <v>45689</v>
      </c>
      <c r="B47" s="179">
        <f t="shared" ref="B47:H53" si="7">B37/B36</f>
        <v>1.0009279686241552</v>
      </c>
      <c r="C47" s="179">
        <f t="shared" si="7"/>
        <v>1.0022015241320914</v>
      </c>
      <c r="D47" s="179">
        <f t="shared" si="7"/>
        <v>1</v>
      </c>
      <c r="E47" s="179">
        <f t="shared" si="7"/>
        <v>1</v>
      </c>
      <c r="F47" s="179">
        <f t="shared" si="7"/>
        <v>1.0044642857142858</v>
      </c>
      <c r="G47" s="179">
        <f t="shared" si="7"/>
        <v>1</v>
      </c>
      <c r="H47" s="179">
        <f t="shared" si="7"/>
        <v>1</v>
      </c>
    </row>
    <row r="48" spans="1:8" x14ac:dyDescent="0.2">
      <c r="A48" s="176">
        <f t="shared" si="6"/>
        <v>45717</v>
      </c>
      <c r="B48" s="179">
        <f t="shared" si="7"/>
        <v>1.0006472265467841</v>
      </c>
      <c r="C48" s="179">
        <f t="shared" si="7"/>
        <v>1.0005069280162218</v>
      </c>
      <c r="D48" s="179">
        <f t="shared" si="7"/>
        <v>1.0019685039370079</v>
      </c>
      <c r="E48" s="179">
        <f t="shared" si="7"/>
        <v>1</v>
      </c>
      <c r="F48" s="179">
        <f t="shared" si="7"/>
        <v>1</v>
      </c>
      <c r="G48" s="179">
        <f t="shared" si="7"/>
        <v>1</v>
      </c>
      <c r="H48" s="179">
        <f t="shared" si="7"/>
        <v>1</v>
      </c>
    </row>
    <row r="49" spans="1:8" x14ac:dyDescent="0.2">
      <c r="A49" s="176">
        <f t="shared" si="6"/>
        <v>45748</v>
      </c>
      <c r="B49" s="179">
        <f t="shared" si="7"/>
        <v>1.0005768827354731</v>
      </c>
      <c r="C49" s="179">
        <f t="shared" si="7"/>
        <v>1.0015200135112312</v>
      </c>
      <c r="D49" s="179">
        <f t="shared" si="7"/>
        <v>0.99607072691552068</v>
      </c>
      <c r="E49" s="179">
        <f t="shared" si="7"/>
        <v>1</v>
      </c>
      <c r="F49" s="179">
        <f t="shared" si="7"/>
        <v>1</v>
      </c>
      <c r="G49" s="179">
        <f t="shared" si="7"/>
        <v>1</v>
      </c>
      <c r="H49" s="179">
        <f t="shared" si="7"/>
        <v>1</v>
      </c>
    </row>
    <row r="50" spans="1:8" x14ac:dyDescent="0.2">
      <c r="A50" s="176">
        <f t="shared" si="6"/>
        <v>45778</v>
      </c>
      <c r="B50" s="179">
        <f t="shared" si="7"/>
        <v>0.99912643919143207</v>
      </c>
      <c r="C50" s="179">
        <f t="shared" si="7"/>
        <v>0.99966273187183807</v>
      </c>
      <c r="D50" s="179">
        <f t="shared" si="7"/>
        <v>1.0177514792899409</v>
      </c>
      <c r="E50" s="179">
        <f t="shared" si="7"/>
        <v>1</v>
      </c>
      <c r="F50" s="179">
        <f t="shared" si="7"/>
        <v>1</v>
      </c>
      <c r="G50" s="179">
        <f t="shared" si="7"/>
        <v>1</v>
      </c>
      <c r="H50" s="179">
        <f t="shared" si="7"/>
        <v>1</v>
      </c>
    </row>
    <row r="51" spans="1:8" x14ac:dyDescent="0.2">
      <c r="A51" s="176">
        <f t="shared" si="6"/>
        <v>45809</v>
      </c>
      <c r="B51" s="179">
        <f t="shared" si="7"/>
        <v>1.0007868921258327</v>
      </c>
      <c r="C51" s="179">
        <f t="shared" si="7"/>
        <v>1</v>
      </c>
      <c r="D51" s="179">
        <f t="shared" si="7"/>
        <v>1</v>
      </c>
      <c r="E51" s="179">
        <f t="shared" si="7"/>
        <v>1</v>
      </c>
      <c r="F51" s="179">
        <f t="shared" si="7"/>
        <v>1</v>
      </c>
      <c r="G51" s="179">
        <f t="shared" si="7"/>
        <v>1</v>
      </c>
      <c r="H51" s="179">
        <f t="shared" si="7"/>
        <v>1</v>
      </c>
    </row>
    <row r="52" spans="1:8" x14ac:dyDescent="0.2">
      <c r="A52" s="176">
        <f t="shared" si="6"/>
        <v>45839</v>
      </c>
      <c r="B52" s="179">
        <f t="shared" si="7"/>
        <v>1.00073385518591</v>
      </c>
      <c r="C52" s="179">
        <f t="shared" si="7"/>
        <v>1.0015182186234817</v>
      </c>
      <c r="D52" s="179">
        <f t="shared" si="7"/>
        <v>0.99806201550387597</v>
      </c>
      <c r="E52" s="179">
        <f t="shared" si="7"/>
        <v>1</v>
      </c>
      <c r="F52" s="179">
        <f t="shared" si="7"/>
        <v>1</v>
      </c>
      <c r="G52" s="179">
        <f t="shared" si="7"/>
        <v>1</v>
      </c>
      <c r="H52" s="179">
        <f t="shared" si="7"/>
        <v>1</v>
      </c>
    </row>
    <row r="53" spans="1:8" x14ac:dyDescent="0.2">
      <c r="A53" s="176">
        <f t="shared" si="6"/>
        <v>45870</v>
      </c>
      <c r="B53" s="179">
        <f t="shared" si="7"/>
        <v>1.0001920592240807</v>
      </c>
      <c r="C53" s="179">
        <f t="shared" si="7"/>
        <v>0.99949469429004545</v>
      </c>
      <c r="D53" s="179">
        <f t="shared" si="7"/>
        <v>1</v>
      </c>
      <c r="E53" s="179">
        <f t="shared" si="7"/>
        <v>1</v>
      </c>
      <c r="F53" s="179">
        <f t="shared" si="7"/>
        <v>1</v>
      </c>
      <c r="G53" s="179">
        <f t="shared" si="7"/>
        <v>1</v>
      </c>
      <c r="H53" s="179">
        <f t="shared" si="7"/>
        <v>1</v>
      </c>
    </row>
    <row r="54" spans="1:8" x14ac:dyDescent="0.2">
      <c r="A54" s="176">
        <f t="shared" si="6"/>
        <v>45901</v>
      </c>
      <c r="B54" s="179">
        <f>B44/B43</f>
        <v>1.0004538709958977</v>
      </c>
      <c r="C54" s="179">
        <f t="shared" ref="C54:H54" si="8">C44/C43</f>
        <v>0.99915739804516346</v>
      </c>
      <c r="D54" s="179">
        <f t="shared" si="8"/>
        <v>1.0058252427184466</v>
      </c>
      <c r="E54" s="179">
        <f t="shared" si="8"/>
        <v>1</v>
      </c>
      <c r="F54" s="179">
        <f t="shared" si="8"/>
        <v>1</v>
      </c>
      <c r="G54" s="179">
        <f t="shared" si="8"/>
        <v>1</v>
      </c>
      <c r="H54" s="179">
        <f t="shared" si="8"/>
        <v>1</v>
      </c>
    </row>
    <row r="55" spans="1:8" x14ac:dyDescent="0.2">
      <c r="A55" s="176"/>
      <c r="B55" s="175"/>
      <c r="C55" s="175"/>
      <c r="D55" s="175"/>
      <c r="E55" s="175"/>
      <c r="F55" s="175"/>
      <c r="G55" s="175"/>
      <c r="H55" s="175"/>
    </row>
    <row r="56" spans="1:8" x14ac:dyDescent="0.2">
      <c r="A56" s="176" t="s">
        <v>126</v>
      </c>
      <c r="B56" s="179">
        <f>GEOMEAN(B46:B54)</f>
        <v>1.000472226810728</v>
      </c>
      <c r="C56" s="179">
        <f t="shared" ref="C56:H56" si="9">GEOMEAN(C46:C54)</f>
        <v>1.0004884379655146</v>
      </c>
      <c r="D56" s="179">
        <f t="shared" si="9"/>
        <v>1.0021683246098805</v>
      </c>
      <c r="E56" s="179">
        <f t="shared" si="9"/>
        <v>1</v>
      </c>
      <c r="F56" s="179">
        <f t="shared" si="9"/>
        <v>0.99950738836543207</v>
      </c>
      <c r="G56" s="179">
        <f t="shared" si="9"/>
        <v>1</v>
      </c>
      <c r="H56" s="179">
        <f t="shared" si="9"/>
        <v>1.0003879185030986</v>
      </c>
    </row>
    <row r="57" spans="1:8" x14ac:dyDescent="0.2">
      <c r="A57" s="176"/>
      <c r="B57" s="175"/>
      <c r="C57" s="175"/>
      <c r="D57" s="175"/>
      <c r="E57" s="175"/>
      <c r="F57" s="175"/>
      <c r="G57" s="175"/>
      <c r="H57" s="175"/>
    </row>
    <row r="58" spans="1:8" x14ac:dyDescent="0.2">
      <c r="A58" s="176">
        <f>A46</f>
        <v>45658</v>
      </c>
      <c r="B58" s="178">
        <f>B36</f>
        <v>57114</v>
      </c>
      <c r="C58" s="178">
        <f t="shared" ref="C58:H58" si="10">C36</f>
        <v>5905</v>
      </c>
      <c r="D58" s="178">
        <f t="shared" si="10"/>
        <v>508</v>
      </c>
      <c r="E58" s="178">
        <f t="shared" si="10"/>
        <v>4</v>
      </c>
      <c r="F58" s="178">
        <f t="shared" si="10"/>
        <v>224</v>
      </c>
      <c r="G58" s="178">
        <f t="shared" si="10"/>
        <v>301</v>
      </c>
      <c r="H58" s="178">
        <f t="shared" si="10"/>
        <v>18941</v>
      </c>
    </row>
    <row r="59" spans="1:8" x14ac:dyDescent="0.2">
      <c r="A59" s="176">
        <f t="shared" ref="A59:A66" si="11">A47</f>
        <v>45689</v>
      </c>
      <c r="B59" s="178">
        <f t="shared" ref="B59:H66" si="12">B37</f>
        <v>57167</v>
      </c>
      <c r="C59" s="178">
        <f t="shared" si="12"/>
        <v>5918</v>
      </c>
      <c r="D59" s="178">
        <f t="shared" si="12"/>
        <v>508</v>
      </c>
      <c r="E59" s="178">
        <f t="shared" si="12"/>
        <v>4</v>
      </c>
      <c r="F59" s="178">
        <f t="shared" si="12"/>
        <v>225</v>
      </c>
      <c r="G59" s="178">
        <f t="shared" si="12"/>
        <v>301</v>
      </c>
      <c r="H59" s="178">
        <f t="shared" si="12"/>
        <v>18941</v>
      </c>
    </row>
    <row r="60" spans="1:8" x14ac:dyDescent="0.2">
      <c r="A60" s="176">
        <f t="shared" si="11"/>
        <v>45717</v>
      </c>
      <c r="B60" s="178">
        <f t="shared" si="12"/>
        <v>57204</v>
      </c>
      <c r="C60" s="178">
        <f t="shared" si="12"/>
        <v>5921</v>
      </c>
      <c r="D60" s="178">
        <f t="shared" si="12"/>
        <v>509</v>
      </c>
      <c r="E60" s="178">
        <f t="shared" si="12"/>
        <v>4</v>
      </c>
      <c r="F60" s="178">
        <f t="shared" si="12"/>
        <v>225</v>
      </c>
      <c r="G60" s="178">
        <f t="shared" si="12"/>
        <v>301</v>
      </c>
      <c r="H60" s="178">
        <f t="shared" si="12"/>
        <v>18941</v>
      </c>
    </row>
    <row r="61" spans="1:8" x14ac:dyDescent="0.2">
      <c r="A61" s="176">
        <f t="shared" si="11"/>
        <v>45748</v>
      </c>
      <c r="B61" s="178">
        <f t="shared" si="12"/>
        <v>57237</v>
      </c>
      <c r="C61" s="178">
        <f t="shared" si="12"/>
        <v>5930</v>
      </c>
      <c r="D61" s="178">
        <f t="shared" si="12"/>
        <v>507</v>
      </c>
      <c r="E61" s="178">
        <f t="shared" si="12"/>
        <v>4</v>
      </c>
      <c r="F61" s="178">
        <f t="shared" si="12"/>
        <v>225</v>
      </c>
      <c r="G61" s="178">
        <f t="shared" si="12"/>
        <v>301</v>
      </c>
      <c r="H61" s="178">
        <f t="shared" si="12"/>
        <v>18941</v>
      </c>
    </row>
    <row r="62" spans="1:8" x14ac:dyDescent="0.2">
      <c r="A62" s="176">
        <f t="shared" si="11"/>
        <v>45778</v>
      </c>
      <c r="B62" s="178">
        <f t="shared" si="12"/>
        <v>57187</v>
      </c>
      <c r="C62" s="178">
        <f t="shared" si="12"/>
        <v>5928</v>
      </c>
      <c r="D62" s="178">
        <f t="shared" si="12"/>
        <v>516</v>
      </c>
      <c r="E62" s="178">
        <f t="shared" si="12"/>
        <v>4</v>
      </c>
      <c r="F62" s="178">
        <f t="shared" si="12"/>
        <v>225</v>
      </c>
      <c r="G62" s="178">
        <f t="shared" si="12"/>
        <v>301</v>
      </c>
      <c r="H62" s="178">
        <f t="shared" si="12"/>
        <v>18941</v>
      </c>
    </row>
    <row r="63" spans="1:8" x14ac:dyDescent="0.2">
      <c r="A63" s="176">
        <f t="shared" si="11"/>
        <v>45809</v>
      </c>
      <c r="B63" s="178">
        <f t="shared" si="12"/>
        <v>57232</v>
      </c>
      <c r="C63" s="178">
        <f t="shared" si="12"/>
        <v>5928</v>
      </c>
      <c r="D63" s="178">
        <f t="shared" si="12"/>
        <v>516</v>
      </c>
      <c r="E63" s="178">
        <f t="shared" si="12"/>
        <v>4</v>
      </c>
      <c r="F63" s="178">
        <f t="shared" si="12"/>
        <v>225</v>
      </c>
      <c r="G63" s="178">
        <f t="shared" si="12"/>
        <v>301</v>
      </c>
      <c r="H63" s="178">
        <f t="shared" si="12"/>
        <v>18941</v>
      </c>
    </row>
    <row r="64" spans="1:8" x14ac:dyDescent="0.2">
      <c r="A64" s="176">
        <f t="shared" si="11"/>
        <v>45839</v>
      </c>
      <c r="B64" s="178">
        <f t="shared" si="12"/>
        <v>57274</v>
      </c>
      <c r="C64" s="178">
        <f t="shared" si="12"/>
        <v>5937</v>
      </c>
      <c r="D64" s="178">
        <f t="shared" si="12"/>
        <v>515</v>
      </c>
      <c r="E64" s="178">
        <f t="shared" si="12"/>
        <v>4</v>
      </c>
      <c r="F64" s="178">
        <f t="shared" si="12"/>
        <v>225</v>
      </c>
      <c r="G64" s="178">
        <f t="shared" si="12"/>
        <v>301</v>
      </c>
      <c r="H64" s="178">
        <f t="shared" si="12"/>
        <v>18941</v>
      </c>
    </row>
    <row r="65" spans="1:8" x14ac:dyDescent="0.2">
      <c r="A65" s="176">
        <f t="shared" si="11"/>
        <v>45870</v>
      </c>
      <c r="B65" s="178">
        <f t="shared" si="12"/>
        <v>57285</v>
      </c>
      <c r="C65" s="178">
        <f t="shared" si="12"/>
        <v>5934</v>
      </c>
      <c r="D65" s="178">
        <f t="shared" si="12"/>
        <v>515</v>
      </c>
      <c r="E65" s="178">
        <f t="shared" si="12"/>
        <v>4</v>
      </c>
      <c r="F65" s="178">
        <f t="shared" si="12"/>
        <v>225</v>
      </c>
      <c r="G65" s="178">
        <f t="shared" si="12"/>
        <v>301</v>
      </c>
      <c r="H65" s="178">
        <f t="shared" si="12"/>
        <v>18941</v>
      </c>
    </row>
    <row r="66" spans="1:8" x14ac:dyDescent="0.2">
      <c r="A66" s="176">
        <f t="shared" si="11"/>
        <v>45901</v>
      </c>
      <c r="B66" s="178">
        <f t="shared" si="12"/>
        <v>57311</v>
      </c>
      <c r="C66" s="178">
        <f t="shared" si="12"/>
        <v>5929</v>
      </c>
      <c r="D66" s="178">
        <f t="shared" si="12"/>
        <v>518</v>
      </c>
      <c r="E66" s="178">
        <f t="shared" si="12"/>
        <v>4</v>
      </c>
      <c r="F66" s="178">
        <f t="shared" si="12"/>
        <v>225</v>
      </c>
      <c r="G66" s="178">
        <f t="shared" si="12"/>
        <v>301</v>
      </c>
      <c r="H66" s="178">
        <f t="shared" si="12"/>
        <v>18941</v>
      </c>
    </row>
    <row r="67" spans="1:8" x14ac:dyDescent="0.2">
      <c r="A67" s="176">
        <f>A66+31</f>
        <v>45932</v>
      </c>
      <c r="B67" s="178">
        <f>B66*B$56</f>
        <v>57338.063790749635</v>
      </c>
      <c r="C67" s="178">
        <f t="shared" ref="C67:H69" si="13">C66*C$56</f>
        <v>5931.8959486975355</v>
      </c>
      <c r="D67" s="178">
        <f t="shared" si="13"/>
        <v>519.12319214791808</v>
      </c>
      <c r="E67" s="178">
        <f t="shared" si="13"/>
        <v>4</v>
      </c>
      <c r="F67" s="178">
        <f t="shared" si="13"/>
        <v>224.88916238222222</v>
      </c>
      <c r="G67" s="178">
        <f t="shared" si="13"/>
        <v>301</v>
      </c>
      <c r="H67" s="178">
        <f t="shared" si="13"/>
        <v>18948.347564367192</v>
      </c>
    </row>
    <row r="68" spans="1:8" x14ac:dyDescent="0.2">
      <c r="A68" s="176">
        <f t="shared" ref="A68:A69" si="14">A67+31</f>
        <v>45963</v>
      </c>
      <c r="B68" s="178">
        <f t="shared" ref="B68:B69" si="15">B67*B$56</f>
        <v>57365.14036174686</v>
      </c>
      <c r="C68" s="178">
        <f t="shared" si="13"/>
        <v>5934.7933118863612</v>
      </c>
      <c r="D68" s="178">
        <f t="shared" si="13"/>
        <v>520.24881974101208</v>
      </c>
      <c r="E68" s="178">
        <f t="shared" si="13"/>
        <v>4</v>
      </c>
      <c r="F68" s="178">
        <f t="shared" si="13"/>
        <v>224.77837936434452</v>
      </c>
      <c r="G68" s="178">
        <f t="shared" si="13"/>
        <v>301</v>
      </c>
      <c r="H68" s="178">
        <f t="shared" si="13"/>
        <v>18955.697978990553</v>
      </c>
    </row>
    <row r="69" spans="1:8" x14ac:dyDescent="0.2">
      <c r="A69" s="176">
        <f t="shared" si="14"/>
        <v>45994</v>
      </c>
      <c r="B69" s="178">
        <f t="shared" si="15"/>
        <v>57392.229719026851</v>
      </c>
      <c r="C69" s="178">
        <f t="shared" si="13"/>
        <v>5937.6920902573684</v>
      </c>
      <c r="D69" s="178">
        <f t="shared" si="13"/>
        <v>521.37688806011784</v>
      </c>
      <c r="E69" s="178">
        <f t="shared" si="13"/>
        <v>4</v>
      </c>
      <c r="F69" s="178">
        <f t="shared" si="13"/>
        <v>224.6676509194703</v>
      </c>
      <c r="G69" s="178">
        <f t="shared" si="13"/>
        <v>301</v>
      </c>
      <c r="H69" s="178">
        <f t="shared" si="13"/>
        <v>18963.051244975752</v>
      </c>
    </row>
    <row r="70" spans="1:8" x14ac:dyDescent="0.2">
      <c r="A70" s="175"/>
      <c r="B70" s="175"/>
      <c r="C70" s="175"/>
      <c r="D70" s="175"/>
      <c r="E70" s="175"/>
      <c r="F70" s="175"/>
      <c r="G70" s="175"/>
      <c r="H70" s="175"/>
    </row>
    <row r="71" spans="1:8" x14ac:dyDescent="0.2">
      <c r="A71" s="177" t="s">
        <v>127</v>
      </c>
      <c r="B71" s="174">
        <f>AVERAGE(B58:B69)</f>
        <v>57258.869489293611</v>
      </c>
      <c r="C71" s="174">
        <f t="shared" ref="C71:H71" si="16">AVERAGE(C58:C69)</f>
        <v>5927.8651125701044</v>
      </c>
      <c r="D71" s="174">
        <f t="shared" si="16"/>
        <v>514.39574166242073</v>
      </c>
      <c r="E71" s="174">
        <f t="shared" si="16"/>
        <v>4</v>
      </c>
      <c r="F71" s="174">
        <f t="shared" si="16"/>
        <v>224.86126605550308</v>
      </c>
      <c r="G71" s="174">
        <f t="shared" si="16"/>
        <v>301</v>
      </c>
      <c r="H71" s="174">
        <f t="shared" si="16"/>
        <v>18944.674732361123</v>
      </c>
    </row>
    <row r="72" spans="1:8" x14ac:dyDescent="0.2">
      <c r="B72"/>
      <c r="C72"/>
      <c r="D72"/>
      <c r="E72"/>
      <c r="F72"/>
      <c r="G72"/>
      <c r="H72"/>
    </row>
    <row r="73" spans="1:8" x14ac:dyDescent="0.2">
      <c r="B73" s="39"/>
      <c r="C73" s="39"/>
      <c r="D73" s="39"/>
      <c r="E73" s="39"/>
      <c r="F73" s="39"/>
      <c r="G73" s="39"/>
      <c r="H73" s="39"/>
    </row>
    <row r="74" spans="1:8" x14ac:dyDescent="0.2">
      <c r="B74"/>
      <c r="C74"/>
      <c r="D74"/>
      <c r="E74"/>
      <c r="F74"/>
      <c r="G74"/>
      <c r="H74"/>
    </row>
    <row r="75" spans="1:8" x14ac:dyDescent="0.2">
      <c r="B75"/>
      <c r="C75"/>
      <c r="D75"/>
      <c r="E75"/>
      <c r="F75"/>
      <c r="G75"/>
      <c r="H75"/>
    </row>
    <row r="76" spans="1:8" x14ac:dyDescent="0.2">
      <c r="B76"/>
      <c r="C76"/>
      <c r="D76"/>
      <c r="E76"/>
      <c r="F76"/>
      <c r="G76"/>
      <c r="H76"/>
    </row>
    <row r="77" spans="1:8" x14ac:dyDescent="0.2">
      <c r="B77"/>
      <c r="C77"/>
      <c r="D77"/>
      <c r="E77"/>
      <c r="F77"/>
      <c r="G77"/>
      <c r="H77"/>
    </row>
    <row r="78" spans="1:8" x14ac:dyDescent="0.2">
      <c r="B78"/>
      <c r="C78"/>
      <c r="D78"/>
      <c r="E78"/>
      <c r="F78"/>
      <c r="G78"/>
      <c r="H78"/>
    </row>
    <row r="79" spans="1:8" x14ac:dyDescent="0.2">
      <c r="B79"/>
      <c r="C79"/>
      <c r="D79"/>
      <c r="E79"/>
      <c r="F79"/>
      <c r="G79"/>
      <c r="H79"/>
    </row>
    <row r="80" spans="1:8" x14ac:dyDescent="0.2">
      <c r="B80"/>
      <c r="C80"/>
      <c r="D80"/>
      <c r="E80"/>
      <c r="F80"/>
      <c r="G80"/>
      <c r="H80"/>
    </row>
    <row r="81" customFormat="1" x14ac:dyDescent="0.2"/>
    <row r="82" customFormat="1" x14ac:dyDescent="0.2"/>
  </sheetData>
  <mergeCells count="1">
    <mergeCell ref="B1:H1"/>
  </mergeCells>
  <phoneticPr fontId="0" type="noConversion"/>
  <pageMargins left="0.38" right="0.75" top="0.73" bottom="0.74" header="0.5" footer="0.5"/>
  <pageSetup scale="95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6"/>
  <sheetViews>
    <sheetView workbookViewId="0">
      <selection activeCell="J33" sqref="J33"/>
    </sheetView>
  </sheetViews>
  <sheetFormatPr defaultRowHeight="12.75" x14ac:dyDescent="0.2"/>
  <cols>
    <col min="1" max="1" width="16" customWidth="1"/>
    <col min="2" max="2" width="14.140625" style="4" bestFit="1" customWidth="1"/>
    <col min="3" max="3" width="14.140625" style="4" customWidth="1"/>
    <col min="4" max="5" width="12.5703125" style="4" customWidth="1"/>
    <col min="6" max="6" width="13.42578125" customWidth="1"/>
    <col min="7" max="7" width="13" customWidth="1"/>
    <col min="8" max="8" width="13.42578125" customWidth="1"/>
    <col min="9" max="9" width="12.5703125" bestFit="1" customWidth="1"/>
    <col min="11" max="11" width="12.42578125" style="4" bestFit="1" customWidth="1"/>
    <col min="12" max="12" width="13.42578125" bestFit="1" customWidth="1"/>
    <col min="13" max="14" width="9.140625" style="4" customWidth="1"/>
  </cols>
  <sheetData>
    <row r="1" spans="1:11" ht="38.25" x14ac:dyDescent="0.2">
      <c r="B1" s="5" t="str">
        <f>'Rate Class Customer Model'!D2</f>
        <v>General Service &gt; 50 to 4999 kW</v>
      </c>
      <c r="C1" s="91" t="s">
        <v>109</v>
      </c>
      <c r="D1" s="5" t="str">
        <f>'Rate Class Customer Model'!G2</f>
        <v>Sentinel Lighting</v>
      </c>
      <c r="E1" s="91" t="str">
        <f>'Rate Class Energy Model'!N2</f>
        <v>Street Lighting</v>
      </c>
      <c r="F1" s="45" t="s">
        <v>5</v>
      </c>
      <c r="K1" s="5"/>
    </row>
    <row r="2" spans="1:11" x14ac:dyDescent="0.2">
      <c r="A2" s="18">
        <f>+'Rate Class Customer Model'!A3</f>
        <v>2015</v>
      </c>
      <c r="B2" s="32">
        <f>SUMIF(Inputs!$A$24:$A$143,'Rate Class Load Model'!$A2,Inputs!$K$24:$K$143)</f>
        <v>1406752.2499999998</v>
      </c>
      <c r="C2" s="32">
        <f>SUMIF(Inputs!$A$24:$A$143,'Rate Class Load Model'!$A2,Inputs!$N$24:$N$143)</f>
        <v>147250.81</v>
      </c>
      <c r="D2" s="32">
        <f>SUMIF(Inputs!$A$24:$A$143,'Rate Class Load Model'!$A2,Inputs!$S$24:$S$143)</f>
        <v>1257.4000000000001</v>
      </c>
      <c r="E2" s="32">
        <f>SUMIF(Inputs!$A$24:$A$143,'Rate Class Load Model'!$A2,Inputs!$V$24:$V$143)</f>
        <v>30671.940000000002</v>
      </c>
      <c r="F2" s="43">
        <f t="shared" ref="F2:F13" si="0">SUM(B2:E2)</f>
        <v>1585932.3999999997</v>
      </c>
      <c r="G2" s="36"/>
    </row>
    <row r="3" spans="1:11" x14ac:dyDescent="0.2">
      <c r="A3" s="18">
        <f>+'Rate Class Customer Model'!A4</f>
        <v>2016</v>
      </c>
      <c r="B3" s="32">
        <f>SUMIF(Inputs!$A$24:$A$143,'Rate Class Load Model'!$A3,Inputs!$K$24:$K$143)</f>
        <v>1384770.92</v>
      </c>
      <c r="C3" s="32">
        <f>SUMIF(Inputs!$A$24:$A$143,'Rate Class Load Model'!$A3,Inputs!$N$24:$N$143)</f>
        <v>227700.89</v>
      </c>
      <c r="D3" s="32">
        <f>SUMIF(Inputs!$A$24:$A$143,'Rate Class Load Model'!$A3,Inputs!$S$24:$S$143)</f>
        <v>1210.9222222222222</v>
      </c>
      <c r="E3" s="32">
        <f>SUMIF(Inputs!$A$24:$A$143,'Rate Class Load Model'!$A3,Inputs!$V$24:$V$143)</f>
        <v>25105.760000000002</v>
      </c>
      <c r="F3" s="43">
        <f t="shared" si="0"/>
        <v>1638788.4922222223</v>
      </c>
      <c r="H3" s="143"/>
    </row>
    <row r="4" spans="1:11" x14ac:dyDescent="0.2">
      <c r="A4" s="18">
        <f>+'Rate Class Customer Model'!A5</f>
        <v>2017</v>
      </c>
      <c r="B4" s="32">
        <f>SUMIF(Inputs!$A$24:$A$143,'Rate Class Load Model'!$A4,Inputs!$K$24:$K$143)</f>
        <v>1472726.2</v>
      </c>
      <c r="C4" s="32">
        <f>SUMIF(Inputs!$A$24:$A$143,'Rate Class Load Model'!$A4,Inputs!$N$24:$N$143)</f>
        <v>235754.21</v>
      </c>
      <c r="D4" s="32">
        <f>SUMIF(Inputs!$A$24:$A$143,'Rate Class Load Model'!$A4,Inputs!$S$24:$S$143)</f>
        <v>1177.0800000000002</v>
      </c>
      <c r="E4" s="32">
        <f>SUMIF(Inputs!$A$24:$A$143,'Rate Class Load Model'!$A4,Inputs!$V$24:$V$143)</f>
        <v>16202.59</v>
      </c>
      <c r="F4" s="43">
        <f t="shared" si="0"/>
        <v>1725860.08</v>
      </c>
      <c r="H4" s="143"/>
      <c r="K4" s="33"/>
    </row>
    <row r="5" spans="1:11" x14ac:dyDescent="0.2">
      <c r="A5" s="18">
        <f>+'Rate Class Customer Model'!A6</f>
        <v>2018</v>
      </c>
      <c r="B5" s="32">
        <f>SUMIF(Inputs!$A$24:$A$143,'Rate Class Load Model'!$A5,Inputs!$K$24:$K$143)</f>
        <v>1449719.46</v>
      </c>
      <c r="C5" s="32">
        <f>SUMIF(Inputs!$A$24:$A$143,'Rate Class Load Model'!$A5,Inputs!$N$24:$N$143)</f>
        <v>248845.94</v>
      </c>
      <c r="D5" s="32">
        <f>SUMIF(Inputs!$A$24:$A$143,'Rate Class Load Model'!$A5,Inputs!$S$24:$S$143)</f>
        <v>1039</v>
      </c>
      <c r="E5" s="32">
        <f>SUMIF(Inputs!$A$24:$A$143,'Rate Class Load Model'!$A5,Inputs!$V$24:$V$143)</f>
        <v>15561</v>
      </c>
      <c r="F5" s="43">
        <f t="shared" si="0"/>
        <v>1715165.4</v>
      </c>
      <c r="H5" s="143"/>
      <c r="K5" s="33"/>
    </row>
    <row r="6" spans="1:11" x14ac:dyDescent="0.2">
      <c r="A6" s="18">
        <f>+'Rate Class Customer Model'!A7</f>
        <v>2019</v>
      </c>
      <c r="B6" s="32">
        <f>SUMIF(Inputs!$A$24:$A$143,'Rate Class Load Model'!$A6,Inputs!$K$24:$K$143)</f>
        <v>1406359.4300000002</v>
      </c>
      <c r="C6" s="32">
        <f>SUMIF(Inputs!$A$24:$A$143,'Rate Class Load Model'!$A6,Inputs!$N$24:$N$143)</f>
        <v>192285.66</v>
      </c>
      <c r="D6" s="32">
        <f>SUMIF(Inputs!$A$24:$A$143,'Rate Class Load Model'!$A6,Inputs!$S$24:$S$143)</f>
        <v>1060</v>
      </c>
      <c r="E6" s="32">
        <f>SUMIF(Inputs!$A$24:$A$143,'Rate Class Load Model'!$A6,Inputs!$V$24:$V$143)</f>
        <v>15393</v>
      </c>
      <c r="F6" s="43">
        <f t="shared" si="0"/>
        <v>1615098.09</v>
      </c>
      <c r="H6" s="143"/>
      <c r="K6" s="33"/>
    </row>
    <row r="7" spans="1:11" x14ac:dyDescent="0.2">
      <c r="A7" s="18">
        <f>+'Rate Class Customer Model'!A8</f>
        <v>2020</v>
      </c>
      <c r="B7" s="32">
        <f>SUMIF(Inputs!$A$24:$A$143,'Rate Class Load Model'!$A7,Inputs!$K$24:$K$143)</f>
        <v>1388268.83</v>
      </c>
      <c r="C7" s="32">
        <f>SUMIF(Inputs!$A$24:$A$143,'Rate Class Load Model'!$A7,Inputs!$N$24:$N$143)</f>
        <v>180185.72000000003</v>
      </c>
      <c r="D7" s="32">
        <f>SUMIF(Inputs!$A$24:$A$143,'Rate Class Load Model'!$A7,Inputs!$S$24:$S$143)</f>
        <v>1023</v>
      </c>
      <c r="E7" s="32">
        <f>SUMIF(Inputs!$A$24:$A$143,'Rate Class Load Model'!$A7,Inputs!$V$24:$V$143)</f>
        <v>15438</v>
      </c>
      <c r="F7" s="43">
        <f t="shared" si="0"/>
        <v>1584915.55</v>
      </c>
      <c r="H7" s="143"/>
      <c r="K7" s="33"/>
    </row>
    <row r="8" spans="1:11" x14ac:dyDescent="0.2">
      <c r="A8" s="18">
        <f>+'Rate Class Customer Model'!A9</f>
        <v>2021</v>
      </c>
      <c r="B8" s="32">
        <f>SUMIF(Inputs!$A$24:$A$143,'Rate Class Load Model'!$A8,Inputs!$K$24:$K$143)</f>
        <v>1369361.6800000002</v>
      </c>
      <c r="C8" s="32">
        <f>SUMIF(Inputs!$A$24:$A$143,'Rate Class Load Model'!$A8,Inputs!$N$24:$N$143)</f>
        <v>189298.78</v>
      </c>
      <c r="D8" s="32">
        <f>SUMIF(Inputs!$A$24:$A$143,'Rate Class Load Model'!$A8,Inputs!$S$24:$S$143)</f>
        <v>860</v>
      </c>
      <c r="E8" s="32">
        <f>SUMIF(Inputs!$A$24:$A$143,'Rate Class Load Model'!$A8,Inputs!$V$24:$V$143)</f>
        <v>15533</v>
      </c>
      <c r="F8" s="43">
        <f t="shared" si="0"/>
        <v>1575053.4600000002</v>
      </c>
      <c r="H8" s="143"/>
      <c r="K8" s="33"/>
    </row>
    <row r="9" spans="1:11" x14ac:dyDescent="0.2">
      <c r="A9" s="18">
        <f>+'Rate Class Customer Model'!A10</f>
        <v>2022</v>
      </c>
      <c r="B9" s="32">
        <f>SUMIF(Inputs!$A$24:$A$143,'Rate Class Load Model'!$A9,Inputs!$K$24:$K$143)</f>
        <v>1416160.24</v>
      </c>
      <c r="C9" s="32">
        <f>SUMIF(Inputs!$A$24:$A$143,'Rate Class Load Model'!$A9,Inputs!$N$24:$N$143)</f>
        <v>228226.57</v>
      </c>
      <c r="D9" s="32">
        <f>SUMIF(Inputs!$A$24:$A$143,'Rate Class Load Model'!$A9,Inputs!$S$24:$S$143)</f>
        <v>913</v>
      </c>
      <c r="E9" s="32">
        <f>SUMIF(Inputs!$A$24:$A$143,'Rate Class Load Model'!$A9,Inputs!$V$24:$V$143)</f>
        <v>15621</v>
      </c>
      <c r="F9" s="43">
        <f t="shared" si="0"/>
        <v>1660920.81</v>
      </c>
      <c r="H9" s="143"/>
    </row>
    <row r="10" spans="1:11" x14ac:dyDescent="0.2">
      <c r="A10" s="18">
        <f>+'Rate Class Customer Model'!A11</f>
        <v>2023</v>
      </c>
      <c r="B10" s="32">
        <f>SUMIF(Inputs!$A$24:$A$143,'Rate Class Load Model'!$A10,Inputs!$K$24:$K$143)</f>
        <v>1409639.32</v>
      </c>
      <c r="C10" s="32">
        <f>SUMIF(Inputs!$A$24:$A$143,'Rate Class Load Model'!$A10,Inputs!$N$24:$N$143)</f>
        <v>239895</v>
      </c>
      <c r="D10" s="32">
        <f>SUMIF(Inputs!$A$24:$A$143,'Rate Class Load Model'!$A10,Inputs!$S$24:$S$143)</f>
        <v>876</v>
      </c>
      <c r="E10" s="32">
        <f>SUMIF(Inputs!$A$24:$A$143,'Rate Class Load Model'!$A10,Inputs!$V$24:$V$143)</f>
        <v>15696</v>
      </c>
      <c r="F10" s="43">
        <f t="shared" si="0"/>
        <v>1666106.32</v>
      </c>
      <c r="H10" s="143"/>
    </row>
    <row r="11" spans="1:11" x14ac:dyDescent="0.2">
      <c r="A11" s="18">
        <f>+'Rate Class Customer Model'!A12</f>
        <v>2024</v>
      </c>
      <c r="B11" s="32">
        <f>SUMIF(Inputs!$A$24:$A$143,'Rate Class Load Model'!$A11,Inputs!$K$24:$K$143)</f>
        <v>1416608.47</v>
      </c>
      <c r="C11" s="32">
        <f>SUMIF(Inputs!$A$24:$A$143,'Rate Class Load Model'!$A11,Inputs!$N$24:$N$143)</f>
        <v>256331.52999999997</v>
      </c>
      <c r="D11" s="32">
        <f>SUMIF(Inputs!$A$24:$A$143,'Rate Class Load Model'!$A11,Inputs!$S$24:$S$143)</f>
        <v>855.48759471555218</v>
      </c>
      <c r="E11" s="32">
        <f>SUMIF(Inputs!$A$24:$A$143,'Rate Class Load Model'!$A11,Inputs!$V$24:$V$143)</f>
        <v>15532.919999999998</v>
      </c>
      <c r="F11" s="43">
        <f t="shared" si="0"/>
        <v>1689328.4075947155</v>
      </c>
      <c r="H11" s="143"/>
    </row>
    <row r="12" spans="1:11" x14ac:dyDescent="0.2">
      <c r="A12" s="18">
        <f>+'Rate Class Customer Model'!A13</f>
        <v>2025</v>
      </c>
      <c r="B12" s="113">
        <f>B$28*'Rate Class Energy Model'!J31</f>
        <v>1419035.3388955675</v>
      </c>
      <c r="C12" s="113">
        <f>C$28*'Rate Class Energy Model'!K31</f>
        <v>249433.8850940101</v>
      </c>
      <c r="D12" s="113">
        <f>D$28*'Rate Class Energy Model'!M31</f>
        <v>886.47653315153673</v>
      </c>
      <c r="E12" s="113">
        <f>E$28*'Rate Class Energy Model'!N31</f>
        <v>15590.800961480774</v>
      </c>
      <c r="F12" s="43">
        <f t="shared" si="0"/>
        <v>1684946.5014842097</v>
      </c>
      <c r="H12" s="143"/>
    </row>
    <row r="13" spans="1:11" x14ac:dyDescent="0.2">
      <c r="A13" s="18">
        <f>+'Rate Class Customer Model'!A14</f>
        <v>2026</v>
      </c>
      <c r="B13" s="113">
        <f>B$28*'Rate Class Energy Model'!J32</f>
        <v>1392392.5338443003</v>
      </c>
      <c r="C13" s="113">
        <f>C$28*'Rate Class Energy Model'!K32</f>
        <v>249433.8850940101</v>
      </c>
      <c r="D13" s="113">
        <f>D$28*'Rate Class Energy Model'!M32</f>
        <v>839.07051787719229</v>
      </c>
      <c r="E13" s="113">
        <f>E$28*'Rate Class Energy Model'!N32</f>
        <v>15680.97653193097</v>
      </c>
      <c r="F13" s="43">
        <f t="shared" si="0"/>
        <v>1658346.4659881184</v>
      </c>
      <c r="H13" s="143"/>
    </row>
    <row r="14" spans="1:11" x14ac:dyDescent="0.2">
      <c r="A14" s="10"/>
      <c r="F14" s="29"/>
    </row>
    <row r="15" spans="1:11" x14ac:dyDescent="0.2">
      <c r="A15" s="10" t="s">
        <v>42</v>
      </c>
      <c r="B15" s="3"/>
      <c r="C15" s="3"/>
      <c r="D15" s="3"/>
      <c r="E15" s="3"/>
    </row>
    <row r="16" spans="1:11" x14ac:dyDescent="0.2">
      <c r="A16" s="18">
        <f>+A2</f>
        <v>2015</v>
      </c>
      <c r="B16" s="46">
        <f>B2/'Rate Class Energy Model'!J3</f>
        <v>2.6715443205470447E-3</v>
      </c>
      <c r="C16" s="145">
        <f>C2/('Rate Class Energy Model'!K3+SUMIF(Inputs!$A$24:$A$143,'Rate Class Load Model'!A16,Inputs!$AA$24:$AA$143))</f>
        <v>2.4290153153817195E-3</v>
      </c>
      <c r="D16" s="46">
        <f>D2/'Rate Class Energy Model'!M3</f>
        <v>2.7767594903164547E-3</v>
      </c>
      <c r="E16" s="46">
        <f>E2/'Rate Class Energy Model'!N3</f>
        <v>2.8985647465676703E-3</v>
      </c>
      <c r="K16" s="16"/>
    </row>
    <row r="17" spans="1:11" x14ac:dyDescent="0.2">
      <c r="A17" s="18">
        <f t="shared" ref="A17:A25" si="1">+A3</f>
        <v>2016</v>
      </c>
      <c r="B17" s="46">
        <f>B3/'Rate Class Energy Model'!J4</f>
        <v>2.6257123623924963E-3</v>
      </c>
      <c r="C17" s="145">
        <f>C3/('Rate Class Energy Model'!K4+SUMIF(Inputs!$A$24:$A$143,'Rate Class Load Model'!A17,Inputs!$AA$24:$AA$143))</f>
        <v>3.3086296915662704E-3</v>
      </c>
      <c r="D17" s="46">
        <f>D3/'Rate Class Energy Model'!M4</f>
        <v>2.7849133046352744E-3</v>
      </c>
      <c r="E17" s="46">
        <f>E3/'Rate Class Energy Model'!N4</f>
        <v>2.9184097500402012E-3</v>
      </c>
      <c r="K17" s="16"/>
    </row>
    <row r="18" spans="1:11" x14ac:dyDescent="0.2">
      <c r="A18" s="18">
        <f t="shared" si="1"/>
        <v>2017</v>
      </c>
      <c r="B18" s="46">
        <f>B4/'Rate Class Energy Model'!J5</f>
        <v>2.7511891726392517E-3</v>
      </c>
      <c r="C18" s="145">
        <f>C4/('Rate Class Energy Model'!K5+SUMIF(Inputs!$A$24:$A$143,'Rate Class Load Model'!A18,Inputs!$AA$24:$AA$143))</f>
        <v>3.4228601329330515E-3</v>
      </c>
      <c r="D18" s="46">
        <f>D4/'Rate Class Energy Model'!M5</f>
        <v>2.7819788238914386E-3</v>
      </c>
      <c r="E18" s="46">
        <f>E4/'Rate Class Energy Model'!N5</f>
        <v>2.7704848537865824E-3</v>
      </c>
      <c r="K18" s="16"/>
    </row>
    <row r="19" spans="1:11" x14ac:dyDescent="0.2">
      <c r="A19" s="18">
        <f t="shared" si="1"/>
        <v>2018</v>
      </c>
      <c r="B19" s="46">
        <f>B5/'Rate Class Energy Model'!J6</f>
        <v>2.7061656747126473E-3</v>
      </c>
      <c r="C19" s="145">
        <f>C5/('Rate Class Energy Model'!K6+SUMIF(Inputs!$A$24:$A$143,'Rate Class Load Model'!A19,Inputs!$AA$24:$AA$143))</f>
        <v>3.160478839013187E-3</v>
      </c>
      <c r="D19" s="46">
        <f>D5/'Rate Class Energy Model'!M6</f>
        <v>2.4693940121354434E-3</v>
      </c>
      <c r="E19" s="46">
        <f>E5/'Rate Class Energy Model'!N6</f>
        <v>2.8029429009135097E-3</v>
      </c>
      <c r="K19" s="16"/>
    </row>
    <row r="20" spans="1:11" x14ac:dyDescent="0.2">
      <c r="A20" s="18">
        <f t="shared" si="1"/>
        <v>2019</v>
      </c>
      <c r="B20" s="46">
        <f>B6/'Rate Class Energy Model'!J7</f>
        <v>2.7198081124664743E-3</v>
      </c>
      <c r="C20" s="145">
        <f>C6/('Rate Class Energy Model'!K7+SUMIF(Inputs!$A$24:$A$143,'Rate Class Load Model'!A20,Inputs!$AA$24:$AA$143))</f>
        <v>2.3105067363991647E-3</v>
      </c>
      <c r="D20" s="46">
        <f>D6/'Rate Class Energy Model'!M7</f>
        <v>2.5025261348719935E-3</v>
      </c>
      <c r="E20" s="46">
        <f>E6/'Rate Class Energy Model'!N7</f>
        <v>2.9040607232248827E-3</v>
      </c>
      <c r="K20" s="16"/>
    </row>
    <row r="21" spans="1:11" x14ac:dyDescent="0.2">
      <c r="A21" s="18">
        <f t="shared" si="1"/>
        <v>2020</v>
      </c>
      <c r="B21" s="46">
        <f>B7/'Rate Class Energy Model'!J8</f>
        <v>2.8204628594207235E-3</v>
      </c>
      <c r="C21" s="145">
        <f>C7/('Rate Class Energy Model'!K8+SUMIF(Inputs!$A$24:$A$143,'Rate Class Load Model'!A21,Inputs!$AA$24:$AA$143))</f>
        <v>2.3271406911655377E-3</v>
      </c>
      <c r="D21" s="46">
        <f>D7/'Rate Class Energy Model'!M8</f>
        <v>2.2162141083800191E-3</v>
      </c>
      <c r="E21" s="46">
        <f>E7/'Rate Class Energy Model'!N8</f>
        <v>2.8921914016974341E-3</v>
      </c>
      <c r="K21" s="16"/>
    </row>
    <row r="22" spans="1:11" x14ac:dyDescent="0.2">
      <c r="A22" s="18">
        <f t="shared" si="1"/>
        <v>2021</v>
      </c>
      <c r="B22" s="46">
        <f>B8/'Rate Class Energy Model'!J9</f>
        <v>2.6852742879674906E-3</v>
      </c>
      <c r="C22" s="145">
        <f>C8/('Rate Class Energy Model'!K9+SUMIF(Inputs!$A$24:$A$143,'Rate Class Load Model'!A22,Inputs!$AA$24:$AA$143))</f>
        <v>2.3187606996582545E-3</v>
      </c>
      <c r="D22" s="46">
        <f>D8/'Rate Class Energy Model'!M9</f>
        <v>2.406617638828257E-3</v>
      </c>
      <c r="E22" s="46">
        <f>E8/'Rate Class Energy Model'!N9</f>
        <v>2.8978282798414468E-3</v>
      </c>
      <c r="K22" s="16"/>
    </row>
    <row r="23" spans="1:11" x14ac:dyDescent="0.2">
      <c r="A23" s="18">
        <f t="shared" si="1"/>
        <v>2022</v>
      </c>
      <c r="B23" s="46">
        <f>B9/'Rate Class Energy Model'!J10</f>
        <v>2.6840196276326955E-3</v>
      </c>
      <c r="C23" s="144">
        <f>C9/('Rate Class Energy Model'!K10+SUMIF(Inputs!$A$24:$A$143,'Rate Class Load Model'!A23,Inputs!$AA$24:$AA$143))</f>
        <v>2.2392665537053803E-3</v>
      </c>
      <c r="D23" s="46">
        <f>D9/'Rate Class Energy Model'!M10</f>
        <v>2.4100265551666427E-3</v>
      </c>
      <c r="E23" s="46">
        <f>E9/'Rate Class Energy Model'!N10</f>
        <v>2.9008049496969113E-3</v>
      </c>
      <c r="K23" s="16"/>
    </row>
    <row r="24" spans="1:11" x14ac:dyDescent="0.2">
      <c r="A24" s="18">
        <f t="shared" si="1"/>
        <v>2023</v>
      </c>
      <c r="B24" s="46">
        <f>B10/'Rate Class Energy Model'!J11</f>
        <v>2.6945530834499073E-3</v>
      </c>
      <c r="C24" s="144">
        <f>C10/('Rate Class Energy Model'!K11+SUMIF(Inputs!$A$24:$A$143,'Rate Class Load Model'!A24,Inputs!$AA$24:$AA$143))</f>
        <v>2.3138569615573732E-3</v>
      </c>
      <c r="D24" s="46">
        <f>D10/'Rate Class Energy Model'!M11</f>
        <v>2.3953078216644107E-3</v>
      </c>
      <c r="E24" s="46">
        <f>E10/'Rate Class Energy Model'!N11</f>
        <v>2.8996329089861464E-3</v>
      </c>
      <c r="K24" s="16"/>
    </row>
    <row r="25" spans="1:11" x14ac:dyDescent="0.2">
      <c r="A25" s="18">
        <f t="shared" si="1"/>
        <v>2024</v>
      </c>
      <c r="B25" s="46">
        <f>B11/'Rate Class Energy Model'!J12</f>
        <v>2.697691582355131E-3</v>
      </c>
      <c r="C25" s="144">
        <f>C11/('Rate Class Energy Model'!K12+SUMIF(Inputs!$A$24:$A$143,'Rate Class Load Model'!A25,Inputs!$AA$24:$AA$143))</f>
        <v>2.3723170513193551E-3</v>
      </c>
      <c r="D25" s="46">
        <f>D11/'Rate Class Energy Model'!M12</f>
        <v>2.3885226255857678E-3</v>
      </c>
      <c r="E25" s="46">
        <f>E11/'Rate Class Energy Model'!N12</f>
        <v>2.8972451238808462E-3</v>
      </c>
      <c r="K25" s="16"/>
    </row>
    <row r="26" spans="1:11" x14ac:dyDescent="0.2">
      <c r="A26" s="173" t="s">
        <v>128</v>
      </c>
      <c r="B26" s="46">
        <f>Inputs!K156</f>
        <v>2.7160972666140557E-3</v>
      </c>
      <c r="C26" s="144">
        <f>Inputs!N156</f>
        <v>2.2410016488494952E-3</v>
      </c>
      <c r="D26" s="46">
        <f>Inputs!S156</f>
        <v>2.3645714612887912E-3</v>
      </c>
      <c r="E26" s="46">
        <f>Inputs!V156</f>
        <v>3.1046818779423592E-3</v>
      </c>
      <c r="K26" s="16"/>
    </row>
    <row r="28" spans="1:11" x14ac:dyDescent="0.2">
      <c r="A28" s="36" t="s">
        <v>41</v>
      </c>
      <c r="B28" s="16">
        <f>B30</f>
        <v>2.7065925772907199E-3</v>
      </c>
      <c r="C28" s="16">
        <f>AVERAGE(C23:C25)</f>
        <v>2.308480188860703E-3</v>
      </c>
      <c r="D28" s="16">
        <f>D30</f>
        <v>2.4997119978876809E-3</v>
      </c>
      <c r="E28" s="16">
        <f>E30</f>
        <v>2.8988043196889082E-3</v>
      </c>
    </row>
    <row r="30" spans="1:11" x14ac:dyDescent="0.2">
      <c r="A30" t="s">
        <v>7</v>
      </c>
      <c r="B30" s="16">
        <f>AVERAGE(B16:B26)</f>
        <v>2.7065925772907199E-3</v>
      </c>
      <c r="C30" s="16">
        <f t="shared" ref="C30:D30" si="2">AVERAGE(C16:C26)</f>
        <v>2.5858031201407986E-3</v>
      </c>
      <c r="D30" s="16">
        <f t="shared" si="2"/>
        <v>2.4997119978876809E-3</v>
      </c>
      <c r="E30" s="16">
        <f>AVERAGE(E16:E26)</f>
        <v>2.8988043196889082E-3</v>
      </c>
      <c r="J30" s="16"/>
      <c r="K30" s="16"/>
    </row>
    <row r="35" spans="2:5" x14ac:dyDescent="0.2">
      <c r="B35" s="15"/>
      <c r="C35" s="15"/>
      <c r="D35" s="15"/>
      <c r="E35" s="15"/>
    </row>
    <row r="36" spans="2:5" x14ac:dyDescent="0.2">
      <c r="B36" s="15"/>
      <c r="C36" s="15"/>
      <c r="D36" s="15"/>
      <c r="E36" s="15"/>
    </row>
    <row r="55" spans="2:5" x14ac:dyDescent="0.2">
      <c r="B55" s="9"/>
      <c r="C55" s="9"/>
      <c r="D55" s="9"/>
      <c r="E55" s="9"/>
    </row>
    <row r="56" spans="2:5" x14ac:dyDescent="0.2">
      <c r="B56" s="9"/>
      <c r="C56" s="9"/>
      <c r="D56" s="9"/>
      <c r="E56" s="9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C667-D102-4C20-A35A-814E5E30A325}">
  <dimension ref="A1:F9"/>
  <sheetViews>
    <sheetView workbookViewId="0">
      <selection activeCell="R22" sqref="R22"/>
    </sheetView>
  </sheetViews>
  <sheetFormatPr defaultColWidth="8.85546875" defaultRowHeight="15" x14ac:dyDescent="0.25"/>
  <cols>
    <col min="1" max="1" width="8.85546875" style="138"/>
    <col min="2" max="3" width="12.7109375" style="129" customWidth="1"/>
    <col min="4" max="4" width="8.85546875" style="129"/>
    <col min="5" max="5" width="13.28515625" style="129" bestFit="1" customWidth="1"/>
    <col min="6" max="6" width="15.5703125" style="129" customWidth="1"/>
    <col min="7" max="16384" width="8.85546875" style="129"/>
  </cols>
  <sheetData>
    <row r="1" spans="1:6" ht="18.75" x14ac:dyDescent="0.3">
      <c r="A1" s="130" t="s">
        <v>116</v>
      </c>
    </row>
    <row r="2" spans="1:6" x14ac:dyDescent="0.25">
      <c r="A2" s="131" t="s">
        <v>52</v>
      </c>
      <c r="B2" s="132" t="s">
        <v>117</v>
      </c>
      <c r="C2" s="132" t="s">
        <v>109</v>
      </c>
      <c r="E2" s="163" t="s">
        <v>125</v>
      </c>
    </row>
    <row r="3" spans="1:6" x14ac:dyDescent="0.25">
      <c r="A3" s="133">
        <v>2022</v>
      </c>
      <c r="B3" s="134">
        <v>17289.5</v>
      </c>
      <c r="C3" s="134">
        <v>67874.740000000005</v>
      </c>
      <c r="E3" s="160">
        <f>B3/'Rate Class Load Model'!$B$30</f>
        <v>6387921.1614873596</v>
      </c>
      <c r="F3" s="160">
        <f>C3/'Rate Class Load Model'!$C$28</f>
        <v>29402348.925289243</v>
      </c>
    </row>
    <row r="4" spans="1:6" x14ac:dyDescent="0.25">
      <c r="A4" s="133">
        <v>2023</v>
      </c>
      <c r="B4" s="135">
        <v>16716.340000000004</v>
      </c>
      <c r="C4" s="135">
        <v>65548.42</v>
      </c>
      <c r="E4" s="160">
        <f>B4/'Rate Class Load Model'!$B$30</f>
        <v>6176156.7441867972</v>
      </c>
      <c r="F4" s="160">
        <f>C4/'Rate Class Load Model'!$C$28</f>
        <v>28394620.978900366</v>
      </c>
    </row>
    <row r="5" spans="1:6" x14ac:dyDescent="0.25">
      <c r="A5" s="133">
        <v>2024</v>
      </c>
      <c r="B5" s="135">
        <v>14688.290000000003</v>
      </c>
      <c r="C5" s="135">
        <v>63343.850000000006</v>
      </c>
      <c r="E5" s="160">
        <f>B5/'Rate Class Load Model'!$B$30</f>
        <v>5426856.6770041455</v>
      </c>
      <c r="F5" s="160">
        <f>C5/'Rate Class Load Model'!$C$28</f>
        <v>27439633.359496966</v>
      </c>
    </row>
    <row r="6" spans="1:6" x14ac:dyDescent="0.25">
      <c r="A6" s="136" t="s">
        <v>115</v>
      </c>
      <c r="B6" s="137">
        <f>AVERAGE(B3:B5)</f>
        <v>16231.376666666669</v>
      </c>
      <c r="C6" s="137">
        <f>AVERAGE(C3:C5)</f>
        <v>65589.003333333341</v>
      </c>
      <c r="E6" s="160">
        <f>AVERAGE(E3:E5)</f>
        <v>5996978.194226101</v>
      </c>
      <c r="F6" s="160">
        <f>AVERAGE(F3:F5)</f>
        <v>28412201.087895524</v>
      </c>
    </row>
    <row r="7" spans="1:6" x14ac:dyDescent="0.25">
      <c r="F7" s="160"/>
    </row>
    <row r="8" spans="1:6" x14ac:dyDescent="0.25">
      <c r="C8" s="162"/>
    </row>
    <row r="9" spans="1:6" x14ac:dyDescent="0.25">
      <c r="C9" s="16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Standby Forecast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2025-12-03T13:29:28Z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