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RegulatoryAffairsRateApplicationsandAccounting/Shared Documents/2026 Rates/Decision/"/>
    </mc:Choice>
  </mc:AlternateContent>
  <xr:revisionPtr revIDLastSave="2865" documentId="8_{4D2CC88D-3F94-4AF1-A12E-4EC8DE11AE8A}" xr6:coauthVersionLast="47" xr6:coauthVersionMax="47" xr10:uidLastSave="{899908CA-1000-404C-98E7-04C9F091C440}"/>
  <bookViews>
    <workbookView xWindow="-110" yWindow="-110" windowWidth="22780" windowHeight="14540" activeTab="4" xr2:uid="{98B77748-E7AA-409E-BE75-DEDECE2711A5}"/>
  </bookViews>
  <sheets>
    <sheet name="2024 Billing Determinents" sheetId="2" r:id="rId1"/>
    <sheet name="VRZ_Base Dx Rates" sheetId="1" r:id="rId2"/>
    <sheet name="WRZ_Base Dx Rates" sheetId="3" r:id="rId3"/>
    <sheet name="VRZ_ICM(2026)" sheetId="8" r:id="rId4"/>
    <sheet name="LRAM re-calc RR" sheetId="5" r:id="rId5"/>
  </sheets>
  <definedNames>
    <definedName name="AS2DocOpenMode" hidden="1">"AS2DocumentEdit"</definedName>
    <definedName name="AS2HasNoAutoHeaderFooter" hidden="1">" "</definedName>
    <definedName name="CDMQR5FACost_1">#REF!</definedName>
    <definedName name="CDMQR5FARemovalandCIACWIP_1">#REF!</definedName>
    <definedName name="CK_DISYR">#REF!</definedName>
    <definedName name="DUT_NRPP">#REF!</definedName>
    <definedName name="DUT_RPP">#REF!</definedName>
    <definedName name="EBNUMBER">#REF!</definedName>
    <definedName name="NEW_DISYR">#REF!</definedName>
    <definedName name="NEW_NRPP">#REF!</definedName>
    <definedName name="NEW_RPP">#REF!</definedName>
    <definedName name="RebaseYear">#REF!</definedName>
    <definedName name="SMP_DISYR">#REF!</definedName>
    <definedName name="SMP_NRPP">#REF!</definedName>
    <definedName name="SMP_RPP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" l="1"/>
  <c r="E12" i="8"/>
  <c r="H12" i="8" s="1"/>
  <c r="K12" i="8" s="1"/>
  <c r="E13" i="8"/>
  <c r="H13" i="8" s="1"/>
  <c r="K13" i="8" s="1"/>
  <c r="F13" i="8"/>
  <c r="I13" i="8" s="1"/>
  <c r="L13" i="8" s="1"/>
  <c r="F14" i="8"/>
  <c r="I14" i="8" s="1"/>
  <c r="L14" i="8" s="1"/>
  <c r="E14" i="8"/>
  <c r="H14" i="8" s="1"/>
  <c r="K14" i="8" s="1"/>
  <c r="E15" i="8"/>
  <c r="H15" i="8" s="1"/>
  <c r="K15" i="8" s="1"/>
  <c r="F15" i="8"/>
  <c r="I15" i="8" s="1"/>
  <c r="L15" i="8" s="1"/>
  <c r="F16" i="8"/>
  <c r="I16" i="8" s="1"/>
  <c r="L16" i="8" s="1"/>
  <c r="E16" i="8"/>
  <c r="H16" i="8" s="1"/>
  <c r="K16" i="8" s="1"/>
  <c r="E17" i="8"/>
  <c r="H17" i="8" s="1"/>
  <c r="K17" i="8" s="1"/>
  <c r="F17" i="8"/>
  <c r="I17" i="8" s="1"/>
  <c r="L17" i="8" s="1"/>
  <c r="F18" i="8"/>
  <c r="I18" i="8" s="1"/>
  <c r="L18" i="8" s="1"/>
  <c r="E18" i="8"/>
  <c r="H18" i="8" s="1"/>
  <c r="K18" i="8" s="1"/>
  <c r="E19" i="8"/>
  <c r="H19" i="8" s="1"/>
  <c r="K19" i="8" s="1"/>
  <c r="F19" i="8"/>
  <c r="I19" i="8" s="1"/>
  <c r="L19" i="8" s="1"/>
  <c r="F20" i="8" l="1"/>
  <c r="H11" i="8"/>
  <c r="K11" i="8" s="1"/>
  <c r="P24" i="5" l="1"/>
  <c r="P22" i="5"/>
  <c r="P23" i="5"/>
  <c r="P8" i="5"/>
  <c r="P9" i="5"/>
  <c r="P10" i="5"/>
  <c r="P11" i="5"/>
  <c r="P12" i="5"/>
  <c r="P7" i="5"/>
  <c r="E22" i="5"/>
  <c r="G22" i="5" s="1"/>
  <c r="E23" i="5"/>
  <c r="G23" i="5" s="1"/>
  <c r="I23" i="5" s="1"/>
  <c r="K23" i="5" s="1"/>
  <c r="M23" i="5" s="1"/>
  <c r="E24" i="5"/>
  <c r="G24" i="5"/>
  <c r="I24" i="5" s="1"/>
  <c r="K24" i="5" s="1"/>
  <c r="M24" i="5" s="1"/>
  <c r="C25" i="5"/>
  <c r="E7" i="5"/>
  <c r="G7" i="5"/>
  <c r="E8" i="5"/>
  <c r="G8" i="5" s="1"/>
  <c r="I8" i="5" s="1"/>
  <c r="K8" i="5" s="1"/>
  <c r="M8" i="5" s="1"/>
  <c r="E9" i="5"/>
  <c r="G9" i="5"/>
  <c r="I9" i="5" s="1"/>
  <c r="K9" i="5" s="1"/>
  <c r="M9" i="5" s="1"/>
  <c r="E10" i="5"/>
  <c r="G10" i="5"/>
  <c r="I10" i="5" s="1"/>
  <c r="K10" i="5" s="1"/>
  <c r="M10" i="5" s="1"/>
  <c r="E11" i="5"/>
  <c r="G11" i="5" s="1"/>
  <c r="I11" i="5" s="1"/>
  <c r="K11" i="5" s="1"/>
  <c r="M11" i="5" s="1"/>
  <c r="E12" i="5"/>
  <c r="G12" i="5"/>
  <c r="I12" i="5" s="1"/>
  <c r="K12" i="5" s="1"/>
  <c r="M12" i="5" s="1"/>
  <c r="C13" i="5"/>
  <c r="P12" i="3"/>
  <c r="P13" i="3"/>
  <c r="P14" i="3"/>
  <c r="P15" i="3"/>
  <c r="P16" i="3"/>
  <c r="O12" i="3"/>
  <c r="O13" i="3"/>
  <c r="O14" i="3"/>
  <c r="O15" i="3"/>
  <c r="O16" i="3"/>
  <c r="O11" i="3"/>
  <c r="M16" i="3"/>
  <c r="M15" i="3"/>
  <c r="M14" i="3"/>
  <c r="M13" i="3"/>
  <c r="M12" i="3"/>
  <c r="L12" i="3"/>
  <c r="L13" i="3"/>
  <c r="L14" i="3"/>
  <c r="L15" i="3"/>
  <c r="L16" i="3"/>
  <c r="L11" i="3"/>
  <c r="G13" i="5" l="1"/>
  <c r="I7" i="5"/>
  <c r="K7" i="5" s="1"/>
  <c r="M7" i="5" s="1"/>
  <c r="E13" i="5"/>
  <c r="E25" i="5"/>
  <c r="C29" i="5"/>
  <c r="E29" i="5"/>
  <c r="G25" i="5"/>
  <c r="I22" i="5"/>
  <c r="K13" i="5"/>
  <c r="I13" i="5" l="1"/>
  <c r="I25" i="5"/>
  <c r="K22" i="5"/>
  <c r="G29" i="5"/>
  <c r="K25" i="5" l="1"/>
  <c r="M22" i="5"/>
  <c r="G11" i="1" l="1"/>
  <c r="S29" i="2" l="1"/>
  <c r="H16" i="3" l="1"/>
  <c r="J16" i="3" s="1"/>
  <c r="G16" i="3"/>
  <c r="I16" i="3" s="1"/>
  <c r="H15" i="3"/>
  <c r="J15" i="3" s="1"/>
  <c r="G15" i="3"/>
  <c r="I15" i="3" s="1"/>
  <c r="H14" i="3"/>
  <c r="J14" i="3" s="1"/>
  <c r="G14" i="3"/>
  <c r="I14" i="3" s="1"/>
  <c r="H13" i="3"/>
  <c r="J13" i="3" s="1"/>
  <c r="G13" i="3"/>
  <c r="I13" i="3" s="1"/>
  <c r="H12" i="3"/>
  <c r="J12" i="3" s="1"/>
  <c r="G12" i="3"/>
  <c r="I12" i="3" s="1"/>
  <c r="H11" i="3"/>
  <c r="G11" i="3"/>
  <c r="I11" i="3" s="1"/>
  <c r="J17" i="3" l="1"/>
  <c r="H19" i="1"/>
  <c r="J19" i="1" s="1"/>
  <c r="M19" i="1" s="1"/>
  <c r="P19" i="1" s="1"/>
  <c r="G19" i="1"/>
  <c r="I19" i="1" s="1"/>
  <c r="L19" i="1" s="1"/>
  <c r="O19" i="1" s="1"/>
  <c r="H18" i="1"/>
  <c r="J18" i="1" s="1"/>
  <c r="M18" i="1" s="1"/>
  <c r="P18" i="1" s="1"/>
  <c r="G18" i="1"/>
  <c r="I18" i="1" s="1"/>
  <c r="L18" i="1" s="1"/>
  <c r="O18" i="1" s="1"/>
  <c r="H17" i="1"/>
  <c r="J17" i="1" s="1"/>
  <c r="M17" i="1" s="1"/>
  <c r="P17" i="1" s="1"/>
  <c r="G17" i="1"/>
  <c r="I17" i="1" s="1"/>
  <c r="L17" i="1" s="1"/>
  <c r="O17" i="1" s="1"/>
  <c r="H16" i="1"/>
  <c r="J16" i="1" s="1"/>
  <c r="M16" i="1" s="1"/>
  <c r="P16" i="1" s="1"/>
  <c r="G16" i="1"/>
  <c r="I16" i="1" s="1"/>
  <c r="L16" i="1" s="1"/>
  <c r="O16" i="1" s="1"/>
  <c r="H15" i="1"/>
  <c r="J15" i="1" s="1"/>
  <c r="M15" i="1" s="1"/>
  <c r="P15" i="1" s="1"/>
  <c r="G15" i="1"/>
  <c r="I15" i="1" s="1"/>
  <c r="L15" i="1" s="1"/>
  <c r="O15" i="1" s="1"/>
  <c r="H14" i="1"/>
  <c r="J14" i="1" s="1"/>
  <c r="M14" i="1" s="1"/>
  <c r="P14" i="1" s="1"/>
  <c r="G14" i="1"/>
  <c r="I14" i="1" s="1"/>
  <c r="L14" i="1" s="1"/>
  <c r="O14" i="1" s="1"/>
  <c r="H13" i="1"/>
  <c r="J13" i="1" s="1"/>
  <c r="M13" i="1" s="1"/>
  <c r="P13" i="1" s="1"/>
  <c r="G13" i="1"/>
  <c r="I13" i="1" s="1"/>
  <c r="L13" i="1" s="1"/>
  <c r="O13" i="1" s="1"/>
  <c r="H12" i="1"/>
  <c r="G12" i="1"/>
  <c r="I12" i="1" s="1"/>
  <c r="L12" i="1" s="1"/>
  <c r="O12" i="1" s="1"/>
  <c r="H11" i="1"/>
  <c r="I11" i="1"/>
  <c r="L11" i="1" s="1"/>
  <c r="O11" i="1" s="1"/>
  <c r="J20" i="1" l="1"/>
  <c r="P29" i="2"/>
  <c r="N29" i="2"/>
  <c r="L29" i="2"/>
  <c r="K29" i="2"/>
  <c r="J29" i="2"/>
  <c r="I29" i="2"/>
  <c r="H29" i="2"/>
  <c r="G29" i="2"/>
  <c r="F29" i="2"/>
  <c r="E29" i="2"/>
  <c r="B24" i="2" s="1"/>
  <c r="Q28" i="2"/>
  <c r="B28" i="2"/>
  <c r="Q27" i="2"/>
  <c r="B27" i="2"/>
  <c r="Q26" i="2"/>
  <c r="O25" i="2"/>
  <c r="B25" i="2"/>
  <c r="Q24" i="2"/>
  <c r="O24" i="2"/>
  <c r="Q23" i="2"/>
  <c r="O23" i="2"/>
  <c r="O22" i="2"/>
  <c r="O21" i="2"/>
  <c r="O20" i="2"/>
  <c r="O29" i="2" s="1"/>
  <c r="B20" i="2"/>
  <c r="P13" i="2"/>
  <c r="O13" i="2"/>
  <c r="N13" i="2"/>
  <c r="L13" i="2"/>
  <c r="K13" i="2"/>
  <c r="J13" i="2"/>
  <c r="I13" i="2"/>
  <c r="H13" i="2"/>
  <c r="G13" i="2"/>
  <c r="F13" i="2"/>
  <c r="E13" i="2"/>
  <c r="B12" i="2" s="1"/>
  <c r="O9" i="2"/>
  <c r="O8" i="2"/>
  <c r="O7" i="2"/>
  <c r="Q25" i="2" l="1"/>
  <c r="B26" i="2"/>
  <c r="B10" i="2"/>
  <c r="Q22" i="2"/>
  <c r="Q20" i="2"/>
  <c r="B22" i="2"/>
  <c r="B11" i="2"/>
  <c r="B23" i="2"/>
  <c r="B7" i="2"/>
  <c r="B21" i="2"/>
  <c r="B8" i="2"/>
  <c r="Q21" i="2"/>
  <c r="B9" i="2"/>
  <c r="Q29" i="2" l="1"/>
</calcChain>
</file>

<file path=xl/sharedStrings.xml><?xml version="1.0" encoding="utf-8"?>
<sst xmlns="http://schemas.openxmlformats.org/spreadsheetml/2006/main" count="282" uniqueCount="90">
  <si>
    <t>Rate Effective Date</t>
  </si>
  <si>
    <t>Postponed Implementation Date</t>
  </si>
  <si>
    <t>Forgone Period (number of months)</t>
  </si>
  <si>
    <t>Proposed Recovery Period (number of months)</t>
  </si>
  <si>
    <t>Sunset Date of the Forgone Revenue Rate Rider</t>
  </si>
  <si>
    <t>Base Distribution Rates</t>
  </si>
  <si>
    <t>Rate Class</t>
  </si>
  <si>
    <t>Unit</t>
  </si>
  <si>
    <t>Difference in MFC</t>
  </si>
  <si>
    <t>Difference in DVR</t>
  </si>
  <si>
    <t>Forgone Revenue (MFC)</t>
  </si>
  <si>
    <t>Forgone Revenue (DVR)</t>
  </si>
  <si>
    <t>Total Forgone Revenue for Base Ditribution Rates</t>
  </si>
  <si>
    <t>Whitby</t>
  </si>
  <si>
    <r>
      <t xml:space="preserve">Total Metered </t>
    </r>
    <r>
      <rPr>
        <b/>
        <sz val="10"/>
        <color rgb="FFFF0000"/>
        <rFont val="Arial"/>
        <family val="2"/>
      </rPr>
      <t>kWh</t>
    </r>
  </si>
  <si>
    <r>
      <t xml:space="preserve">Total Metered </t>
    </r>
    <r>
      <rPr>
        <b/>
        <sz val="10"/>
        <color rgb="FFFF0000"/>
        <rFont val="Arial"/>
        <family val="2"/>
      </rPr>
      <t>kW</t>
    </r>
  </si>
  <si>
    <r>
      <t xml:space="preserve">Metered </t>
    </r>
    <r>
      <rPr>
        <b/>
        <sz val="10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Non-RPP Customers (excluding WMP)</t>
    </r>
  </si>
  <si>
    <r>
      <t xml:space="preserve">Metered </t>
    </r>
    <r>
      <rPr>
        <b/>
        <sz val="10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Non-RPP Customers (excluding WMP)</t>
    </r>
  </si>
  <si>
    <r>
      <t xml:space="preserve">Metered </t>
    </r>
    <r>
      <rPr>
        <b/>
        <sz val="11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Wholesale Market Participants (WMP)</t>
    </r>
  </si>
  <si>
    <r>
      <t xml:space="preserve">Metered </t>
    </r>
    <r>
      <rPr>
        <b/>
        <sz val="11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Wholesale Market Participants (WMP)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</si>
  <si>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
</t>
    </r>
    <r>
      <rPr>
        <b/>
        <i/>
        <sz val="10"/>
        <rFont val="Arial"/>
        <family val="2"/>
      </rPr>
      <t>(if applicable)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</si>
  <si>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
</t>
    </r>
    <r>
      <rPr>
        <b/>
        <i/>
        <sz val="10"/>
        <rFont val="Arial"/>
        <family val="2"/>
      </rPr>
      <t>(if applicable)</t>
    </r>
  </si>
  <si>
    <t>Number of Connections</t>
  </si>
  <si>
    <t>Number of Customers</t>
  </si>
  <si>
    <t>Distribution Revenue</t>
  </si>
  <si>
    <t>Allocation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</si>
  <si>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</si>
  <si>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</si>
  <si>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</si>
  <si>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</si>
  <si>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</si>
  <si>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</si>
  <si>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</si>
  <si>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</si>
  <si>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Total</t>
  </si>
  <si>
    <t>Veridian</t>
  </si>
  <si>
    <t>SEASONAL RESIDENTIAL SERVICE CLASSIFICATION</t>
  </si>
  <si>
    <t>GENERAL SERVICE 50 TO 2,999 KW SERVICE CLASSIFICATION</t>
  </si>
  <si>
    <t>GENERAL SERVICE 3,000 TO 4,999 KW SERVICE CLASSIFICATION</t>
  </si>
  <si>
    <t>LARGE USE SERVICE CLASSIFICATION</t>
  </si>
  <si>
    <t xml:space="preserve"> </t>
  </si>
  <si>
    <t>Approved 2026 Monthly Fixed Charge (MFC)</t>
  </si>
  <si>
    <t>Approved 2026 Distribution Volumetric Rate (DVR)</t>
  </si>
  <si>
    <t>January 1 2026</t>
  </si>
  <si>
    <t>February 1 2026</t>
  </si>
  <si>
    <t>December 31 2026</t>
  </si>
  <si>
    <t>Forgone DR Revenue (DVR)</t>
  </si>
  <si>
    <t>Forgone DR Revenue (MFC)</t>
  </si>
  <si>
    <t>Non RPP Class B</t>
  </si>
  <si>
    <t>Rate Rider</t>
  </si>
  <si>
    <t>Interim 2026 MFC</t>
  </si>
  <si>
    <t>Interim 2026 DVR</t>
  </si>
  <si>
    <t>Rate Rider Forgone Revenue (MFC)</t>
  </si>
  <si>
    <t>Rate Rider Forgone Revenue (DVR)</t>
  </si>
  <si>
    <t>Calculated</t>
  </si>
  <si>
    <t>Recovery</t>
  </si>
  <si>
    <t>LRAMVA Rate Riders VRZ</t>
  </si>
  <si>
    <t>2022 $</t>
  </si>
  <si>
    <t>2023 $</t>
  </si>
  <si>
    <t>2024 $</t>
  </si>
  <si>
    <t>2025 $</t>
  </si>
  <si>
    <t>2026 $</t>
  </si>
  <si>
    <t>1 year</t>
  </si>
  <si>
    <t>Customer Class</t>
  </si>
  <si>
    <t>2026 LRAM-Eligible approved amount</t>
  </si>
  <si>
    <t>Approved inflation minus X factor</t>
  </si>
  <si>
    <t>Annual Recovery</t>
  </si>
  <si>
    <t>Volume</t>
  </si>
  <si>
    <t>per</t>
  </si>
  <si>
    <t>GS&lt;50 kW</t>
  </si>
  <si>
    <t>GS 50-2,999 kW</t>
  </si>
  <si>
    <t>GS 3,000-4,999 kW</t>
  </si>
  <si>
    <t>Large User</t>
  </si>
  <si>
    <t>USL</t>
  </si>
  <si>
    <t>Streetlighting</t>
  </si>
  <si>
    <t>LRAMVA Rate Riders WRZ</t>
  </si>
  <si>
    <t>GS&gt;50 kW</t>
  </si>
  <si>
    <t>Rate Rider 11 months</t>
  </si>
  <si>
    <t>12 Month Recovery Period</t>
  </si>
  <si>
    <t>11 Month Recovery Period</t>
  </si>
  <si>
    <t>Approved 2026 Rate Rider for Recovery of Incremental Capital (2026) Fixed</t>
  </si>
  <si>
    <t>Approved 2026 Rate Rider for Recovery of Incremental Capital (2026) Volumetric</t>
  </si>
  <si>
    <t>Forgone Revenue (Fixed)</t>
  </si>
  <si>
    <t>Forgone Revenue (Volumetric)</t>
  </si>
  <si>
    <t>Rate Rider for Forgone Revenue of Rate Rider for Recovery of Incremental Captial (2026) Volumetric</t>
  </si>
  <si>
    <t>Rate Rider for Forgone Revenue of Rate Rider for Recovery of Incremental Captial (2026) Fixed</t>
  </si>
  <si>
    <t>Forgone Revenue Rate Rider Calculation - VRZ Rate Rider for Recovery of Incemental Capital (2026)</t>
  </si>
  <si>
    <t>Forgone Revenue Rate Rider Calculation - WRZ Base Distribution Rates</t>
  </si>
  <si>
    <t>Forgone Revenue Rate Rider Calculation - VRZ Base Distribution Rates</t>
  </si>
  <si>
    <t>Total Forgone Revenue for Base Distribution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</si>
</sst>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mmmm\ d\,\ yyyy;@"/>
    <numFmt numFmtId="165" formatCode="&quot;$&quot;#,##0.00;[Red]\(&quot;$&quot;#,##0.00\);\-"/>
    <numFmt numFmtId="166" formatCode="&quot;$&quot;#,##0.0000;[Red]\(&quot;$&quot;#,##0.0000\);\-"/>
    <numFmt numFmtId="167" formatCode="0.0000"/>
    <numFmt numFmtId="169" formatCode="&quot;$&quot;#,##0.00;[Red]&quot;$&quot;#,##0.00"/>
    <numFmt numFmtId="170" formatCode="#,##0;[Red]\(#,##0\)"/>
    <numFmt numFmtId="171" formatCode="_(* #,##0_);_(* \(#,##0\);_(* &quot;-&quot;??_);_(@_)"/>
    <numFmt numFmtId="172" formatCode="0.0%"/>
    <numFmt numFmtId="173" formatCode="_-* #,##0_-;\-* #,##0_-;_-* &quot;-&quot;??_-;_-@_-"/>
    <numFmt numFmtId="175" formatCode="&quot;$&quot;#,##0.0000;[Red]&quot;$&quot;#,##0.0000"/>
    <numFmt numFmtId="176" formatCode="_-* #,##0.0000_-;\-* #,##0.0000_-;_-* &quot;-&quot;??_-;_-@_-"/>
    <numFmt numFmtId="177" formatCode="_(&quot;$&quot;* #,##0.0000_);_(&quot;$&quot;* \(#,##0.0000\);_(&quot;$&quot;* &quot;-&quot;????_);_(@_)"/>
    <numFmt numFmtId="178" formatCode="_ #,##0;[Red]\(#,##0\)"/>
    <numFmt numFmtId="179" formatCode="_-* #,##0.0000_-;\-* #,##0.0000_-;_-* &quot;-&quot;????_-;_-@_-"/>
    <numFmt numFmtId="180" formatCode="_-&quot;$&quot;* #,##0.0000_-;\-&quot;$&quot;* #,##0.0000_-;_-&quot;$&quot;* &quot;-&quot;??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FF0000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2" fillId="2" borderId="1" xfId="2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2" fillId="2" borderId="1" xfId="2" applyAlignment="1" applyProtection="1"/>
    <xf numFmtId="0" fontId="0" fillId="0" borderId="2" xfId="0" applyBorder="1"/>
    <xf numFmtId="165" fontId="0" fillId="0" borderId="2" xfId="0" applyNumberFormat="1" applyBorder="1"/>
    <xf numFmtId="166" fontId="0" fillId="0" borderId="2" xfId="0" applyNumberFormat="1" applyBorder="1"/>
    <xf numFmtId="2" fontId="0" fillId="0" borderId="0" xfId="0" applyNumberFormat="1"/>
    <xf numFmtId="167" fontId="0" fillId="0" borderId="0" xfId="0" applyNumberFormat="1"/>
    <xf numFmtId="169" fontId="4" fillId="0" borderId="0" xfId="1" applyNumberFormat="1" applyFont="1" applyBorder="1"/>
    <xf numFmtId="0" fontId="6" fillId="3" borderId="0" xfId="0" applyFont="1" applyFill="1"/>
    <xf numFmtId="0" fontId="6" fillId="3" borderId="4" xfId="0" applyFont="1" applyFill="1" applyBorder="1"/>
    <xf numFmtId="170" fontId="8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3" borderId="0" xfId="4" applyFont="1" applyFill="1" applyAlignment="1">
      <alignment horizontal="left" vertical="center"/>
    </xf>
    <xf numFmtId="0" fontId="8" fillId="3" borderId="6" xfId="4" applyFont="1" applyFill="1" applyBorder="1" applyAlignment="1">
      <alignment horizontal="center" vertical="center"/>
    </xf>
    <xf numFmtId="9" fontId="0" fillId="0" borderId="0" xfId="3" applyFont="1"/>
    <xf numFmtId="0" fontId="0" fillId="4" borderId="4" xfId="0" applyFill="1" applyBorder="1" applyAlignment="1" applyProtection="1">
      <alignment horizontal="center" vertical="center"/>
      <protection locked="0"/>
    </xf>
    <xf numFmtId="170" fontId="0" fillId="5" borderId="8" xfId="0" applyNumberFormat="1" applyFill="1" applyBorder="1"/>
    <xf numFmtId="170" fontId="0" fillId="5" borderId="7" xfId="0" applyNumberFormat="1" applyFill="1" applyBorder="1"/>
    <xf numFmtId="170" fontId="0" fillId="6" borderId="7" xfId="0" applyNumberFormat="1" applyFill="1" applyBorder="1"/>
    <xf numFmtId="170" fontId="0" fillId="6" borderId="7" xfId="0" applyNumberFormat="1" applyFill="1" applyBorder="1" applyProtection="1">
      <protection locked="0"/>
    </xf>
    <xf numFmtId="170" fontId="0" fillId="7" borderId="7" xfId="0" applyNumberFormat="1" applyFill="1" applyBorder="1"/>
    <xf numFmtId="170" fontId="0" fillId="7" borderId="9" xfId="0" applyNumberFormat="1" applyFill="1" applyBorder="1"/>
    <xf numFmtId="3" fontId="0" fillId="8" borderId="9" xfId="0" applyNumberFormat="1" applyFill="1" applyBorder="1"/>
    <xf numFmtId="3" fontId="0" fillId="0" borderId="0" xfId="0" applyNumberFormat="1"/>
    <xf numFmtId="0" fontId="0" fillId="4" borderId="10" xfId="0" applyFill="1" applyBorder="1" applyAlignment="1" applyProtection="1">
      <alignment horizontal="center" vertical="center"/>
      <protection locked="0"/>
    </xf>
    <xf numFmtId="170" fontId="0" fillId="5" borderId="11" xfId="0" applyNumberFormat="1" applyFill="1" applyBorder="1"/>
    <xf numFmtId="170" fontId="0" fillId="5" borderId="5" xfId="0" applyNumberFormat="1" applyFill="1" applyBorder="1"/>
    <xf numFmtId="170" fontId="0" fillId="6" borderId="5" xfId="0" applyNumberFormat="1" applyFill="1" applyBorder="1"/>
    <xf numFmtId="170" fontId="0" fillId="6" borderId="5" xfId="0" applyNumberFormat="1" applyFill="1" applyBorder="1" applyProtection="1">
      <protection locked="0"/>
    </xf>
    <xf numFmtId="170" fontId="0" fillId="7" borderId="5" xfId="0" applyNumberFormat="1" applyFill="1" applyBorder="1"/>
    <xf numFmtId="0" fontId="0" fillId="0" borderId="12" xfId="0" applyBorder="1"/>
    <xf numFmtId="0" fontId="0" fillId="4" borderId="12" xfId="0" applyFill="1" applyBorder="1" applyAlignment="1" applyProtection="1">
      <alignment horizontal="center" vertical="center"/>
      <protection locked="0"/>
    </xf>
    <xf numFmtId="170" fontId="0" fillId="6" borderId="13" xfId="0" applyNumberFormat="1" applyFill="1" applyBorder="1"/>
    <xf numFmtId="170" fontId="0" fillId="6" borderId="14" xfId="0" applyNumberFormat="1" applyFill="1" applyBorder="1"/>
    <xf numFmtId="170" fontId="0" fillId="6" borderId="14" xfId="0" applyNumberFormat="1" applyFill="1" applyBorder="1" applyProtection="1">
      <protection locked="0"/>
    </xf>
    <xf numFmtId="170" fontId="0" fillId="7" borderId="14" xfId="0" applyNumberFormat="1" applyFill="1" applyBorder="1"/>
    <xf numFmtId="3" fontId="0" fillId="8" borderId="14" xfId="0" applyNumberFormat="1" applyFill="1" applyBorder="1"/>
    <xf numFmtId="0" fontId="13" fillId="0" borderId="0" xfId="0" applyFont="1" applyAlignment="1">
      <alignment vertical="center"/>
    </xf>
    <xf numFmtId="3" fontId="0" fillId="0" borderId="3" xfId="0" applyNumberFormat="1" applyBorder="1"/>
    <xf numFmtId="171" fontId="0" fillId="0" borderId="0" xfId="0" applyNumberFormat="1"/>
    <xf numFmtId="9" fontId="0" fillId="0" borderId="0" xfId="0" applyNumberFormat="1"/>
    <xf numFmtId="0" fontId="0" fillId="0" borderId="0" xfId="0" applyAlignment="1">
      <alignment horizontal="left"/>
    </xf>
    <xf numFmtId="171" fontId="0" fillId="0" borderId="3" xfId="0" applyNumberFormat="1" applyBorder="1"/>
    <xf numFmtId="0" fontId="2" fillId="2" borderId="15" xfId="2" applyBorder="1" applyAlignment="1" applyProtection="1"/>
    <xf numFmtId="0" fontId="2" fillId="2" borderId="15" xfId="2" applyBorder="1" applyAlignment="1" applyProtection="1">
      <alignment horizontal="center" wrapText="1"/>
    </xf>
    <xf numFmtId="0" fontId="0" fillId="0" borderId="2" xfId="0" applyBorder="1" applyAlignment="1">
      <alignment horizontal="left"/>
    </xf>
    <xf numFmtId="0" fontId="14" fillId="0" borderId="0" xfId="0" applyFont="1"/>
    <xf numFmtId="0" fontId="2" fillId="2" borderId="15" xfId="2" applyBorder="1" applyAlignment="1">
      <alignment horizontal="center" wrapText="1"/>
    </xf>
    <xf numFmtId="169" fontId="4" fillId="0" borderId="0" xfId="1" applyNumberFormat="1" applyFont="1" applyFill="1" applyBorder="1"/>
    <xf numFmtId="175" fontId="0" fillId="0" borderId="0" xfId="0" applyNumberFormat="1"/>
    <xf numFmtId="44" fontId="0" fillId="0" borderId="0" xfId="1" applyFont="1"/>
    <xf numFmtId="43" fontId="0" fillId="0" borderId="0" xfId="5" applyFont="1"/>
    <xf numFmtId="43" fontId="0" fillId="0" borderId="0" xfId="0" applyNumberFormat="1"/>
    <xf numFmtId="173" fontId="0" fillId="0" borderId="0" xfId="5" applyNumberFormat="1" applyFont="1"/>
    <xf numFmtId="173" fontId="0" fillId="0" borderId="3" xfId="5" applyNumberFormat="1" applyFont="1" applyBorder="1"/>
    <xf numFmtId="44" fontId="0" fillId="0" borderId="0" xfId="0" applyNumberFormat="1"/>
    <xf numFmtId="0" fontId="2" fillId="2" borderId="1" xfId="2"/>
    <xf numFmtId="0" fontId="2" fillId="2" borderId="17" xfId="2" applyBorder="1" applyAlignment="1">
      <alignment horizontal="center" wrapText="1"/>
    </xf>
    <xf numFmtId="0" fontId="2" fillId="2" borderId="2" xfId="2" applyBorder="1" applyAlignment="1">
      <alignment horizontal="center" wrapText="1"/>
    </xf>
    <xf numFmtId="43" fontId="0" fillId="0" borderId="2" xfId="5" applyFont="1" applyBorder="1"/>
    <xf numFmtId="176" fontId="0" fillId="0" borderId="2" xfId="5" applyNumberFormat="1" applyFont="1" applyBorder="1"/>
    <xf numFmtId="169" fontId="0" fillId="0" borderId="0" xfId="0" applyNumberFormat="1"/>
    <xf numFmtId="169" fontId="4" fillId="0" borderId="0" xfId="1" applyNumberFormat="1" applyFont="1"/>
    <xf numFmtId="0" fontId="2" fillId="0" borderId="19" xfId="2" applyFill="1" applyBorder="1" applyAlignment="1">
      <alignment horizontal="center" wrapText="1"/>
    </xf>
    <xf numFmtId="165" fontId="0" fillId="0" borderId="16" xfId="0" applyNumberFormat="1" applyBorder="1"/>
    <xf numFmtId="43" fontId="0" fillId="0" borderId="0" xfId="5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9" borderId="2" xfId="0" applyFont="1" applyFill="1" applyBorder="1" applyAlignment="1">
      <alignment horizontal="left" wrapText="1"/>
    </xf>
    <xf numFmtId="0" fontId="15" fillId="9" borderId="2" xfId="0" applyFont="1" applyFill="1" applyBorder="1" applyAlignment="1">
      <alignment horizontal="center" wrapText="1"/>
    </xf>
    <xf numFmtId="0" fontId="6" fillId="7" borderId="2" xfId="0" applyFont="1" applyFill="1" applyBorder="1"/>
    <xf numFmtId="173" fontId="6" fillId="7" borderId="2" xfId="5" applyNumberFormat="1" applyFont="1" applyFill="1" applyBorder="1"/>
    <xf numFmtId="172" fontId="6" fillId="0" borderId="2" xfId="3" applyNumberFormat="1" applyFont="1" applyBorder="1"/>
    <xf numFmtId="38" fontId="6" fillId="7" borderId="2" xfId="0" applyNumberFormat="1" applyFont="1" applyFill="1" applyBorder="1"/>
    <xf numFmtId="37" fontId="6" fillId="0" borderId="2" xfId="0" applyNumberFormat="1" applyFont="1" applyBorder="1"/>
    <xf numFmtId="177" fontId="6" fillId="7" borderId="2" xfId="0" applyNumberFormat="1" applyFont="1" applyFill="1" applyBorder="1"/>
    <xf numFmtId="40" fontId="6" fillId="7" borderId="2" xfId="0" applyNumberFormat="1" applyFont="1" applyFill="1" applyBorder="1"/>
    <xf numFmtId="178" fontId="6" fillId="0" borderId="2" xfId="0" applyNumberFormat="1" applyFont="1" applyBorder="1" applyAlignment="1">
      <alignment horizontal="right" vertical="top"/>
    </xf>
    <xf numFmtId="0" fontId="15" fillId="7" borderId="2" xfId="0" applyFont="1" applyFill="1" applyBorder="1"/>
    <xf numFmtId="173" fontId="15" fillId="7" borderId="2" xfId="5" applyNumberFormat="1" applyFont="1" applyFill="1" applyBorder="1"/>
    <xf numFmtId="38" fontId="15" fillId="7" borderId="2" xfId="0" applyNumberFormat="1" applyFont="1" applyFill="1" applyBorder="1"/>
    <xf numFmtId="37" fontId="15" fillId="7" borderId="2" xfId="0" applyNumberFormat="1" applyFont="1" applyFill="1" applyBorder="1"/>
    <xf numFmtId="177" fontId="15" fillId="7" borderId="2" xfId="0" applyNumberFormat="1" applyFont="1" applyFill="1" applyBorder="1"/>
    <xf numFmtId="40" fontId="15" fillId="7" borderId="2" xfId="0" applyNumberFormat="1" applyFont="1" applyFill="1" applyBorder="1"/>
    <xf numFmtId="173" fontId="6" fillId="0" borderId="0" xfId="5" applyNumberFormat="1" applyFont="1"/>
    <xf numFmtId="38" fontId="6" fillId="7" borderId="0" xfId="0" applyNumberFormat="1" applyFont="1" applyFill="1"/>
    <xf numFmtId="0" fontId="16" fillId="0" borderId="0" xfId="0" applyFont="1"/>
    <xf numFmtId="38" fontId="0" fillId="7" borderId="0" xfId="0" applyNumberFormat="1" applyFill="1"/>
    <xf numFmtId="173" fontId="0" fillId="0" borderId="0" xfId="0" applyNumberFormat="1"/>
    <xf numFmtId="38" fontId="0" fillId="0" borderId="0" xfId="0" applyNumberFormat="1"/>
    <xf numFmtId="179" fontId="0" fillId="0" borderId="0" xfId="0" applyNumberFormat="1"/>
    <xf numFmtId="180" fontId="0" fillId="0" borderId="0" xfId="0" applyNumberFormat="1"/>
    <xf numFmtId="0" fontId="2" fillId="2" borderId="15" xfId="2" applyBorder="1"/>
    <xf numFmtId="170" fontId="8" fillId="3" borderId="5" xfId="4" applyNumberFormat="1" applyFont="1" applyFill="1" applyBorder="1" applyAlignment="1">
      <alignment horizontal="center" vertical="center" wrapText="1"/>
    </xf>
    <xf numFmtId="170" fontId="8" fillId="3" borderId="7" xfId="4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vertical="center" wrapText="1"/>
    </xf>
    <xf numFmtId="10" fontId="8" fillId="3" borderId="5" xfId="4" applyNumberFormat="1" applyFont="1" applyFill="1" applyBorder="1" applyAlignment="1">
      <alignment horizontal="center" vertical="center" wrapText="1"/>
    </xf>
    <xf numFmtId="10" fontId="8" fillId="3" borderId="7" xfId="4" applyNumberFormat="1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right"/>
    </xf>
    <xf numFmtId="0" fontId="0" fillId="0" borderId="18" xfId="0" applyBorder="1" applyAlignment="1">
      <alignment horizontal="center"/>
    </xf>
    <xf numFmtId="44" fontId="0" fillId="0" borderId="0" xfId="1" applyFont="1" applyAlignment="1">
      <alignment horizontal="right"/>
    </xf>
  </cellXfs>
  <cellStyles count="10">
    <cellStyle name="Comma" xfId="5" builtinId="3"/>
    <cellStyle name="Currency" xfId="1" builtinId="4"/>
    <cellStyle name="Currency 10" xfId="6" xr:uid="{048E76E2-6206-40B9-878A-D60B9BA50189}"/>
    <cellStyle name="Currency 2" xfId="8" xr:uid="{52A923B1-8B04-4694-8F34-F0DF3E232DB8}"/>
    <cellStyle name="Normal" xfId="0" builtinId="0"/>
    <cellStyle name="Normal 2" xfId="7" xr:uid="{C35B4128-06FE-4F73-904B-68428A7A828E}"/>
    <cellStyle name="Normal_6. Cost Allocation for Def-Var" xfId="4" xr:uid="{12A01248-904A-4C70-A5B6-28F82F413C74}"/>
    <cellStyle name="Output" xfId="2" builtinId="21"/>
    <cellStyle name="Percent" xfId="3" builtinId="5"/>
    <cellStyle name="Percent 2" xfId="9" xr:uid="{A048E13A-BEC9-4C2E-A1A9-3D92B3E79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CAC7-569F-4434-9EA8-6273DB54C40A}">
  <dimension ref="B4:S32"/>
  <sheetViews>
    <sheetView topLeftCell="A12" workbookViewId="0">
      <selection activeCell="I36" sqref="I36"/>
    </sheetView>
  </sheetViews>
  <sheetFormatPr defaultRowHeight="15" x14ac:dyDescent="0.25"/>
  <cols>
    <col min="2" max="2" width="10.7109375" customWidth="1"/>
    <col min="3" max="3" width="40.28515625" customWidth="1"/>
    <col min="5" max="12" width="13.7109375" customWidth="1"/>
    <col min="13" max="13" width="2" customWidth="1"/>
    <col min="14" max="14" width="15.7109375" customWidth="1"/>
    <col min="15" max="15" width="14.28515625" customWidth="1"/>
    <col min="16" max="16" width="11.5703125" customWidth="1"/>
    <col min="19" max="19" width="14.7109375" bestFit="1" customWidth="1"/>
  </cols>
  <sheetData>
    <row r="4" spans="2:16" ht="15.75" thickBot="1" x14ac:dyDescent="0.3">
      <c r="C4" t="s">
        <v>13</v>
      </c>
    </row>
    <row r="5" spans="2:16" ht="29.1" customHeight="1" thickBot="1" x14ac:dyDescent="0.3">
      <c r="C5" s="15"/>
      <c r="D5" s="16"/>
      <c r="E5" s="102" t="s">
        <v>14</v>
      </c>
      <c r="F5" s="102" t="s">
        <v>15</v>
      </c>
      <c r="G5" s="102" t="s">
        <v>16</v>
      </c>
      <c r="H5" s="102" t="s">
        <v>17</v>
      </c>
      <c r="I5" s="107" t="s">
        <v>18</v>
      </c>
      <c r="J5" s="107" t="s">
        <v>19</v>
      </c>
      <c r="K5" s="102" t="s">
        <v>20</v>
      </c>
      <c r="L5" s="102" t="s">
        <v>21</v>
      </c>
      <c r="M5" s="17"/>
      <c r="N5" s="104" t="s">
        <v>22</v>
      </c>
      <c r="O5" s="106" t="s">
        <v>23</v>
      </c>
      <c r="P5" s="18" t="s">
        <v>24</v>
      </c>
    </row>
    <row r="6" spans="2:16" ht="48" customHeight="1" thickBot="1" x14ac:dyDescent="0.3">
      <c r="B6" t="s">
        <v>25</v>
      </c>
      <c r="C6" s="19" t="s">
        <v>6</v>
      </c>
      <c r="D6" s="20" t="s">
        <v>7</v>
      </c>
      <c r="E6" s="103"/>
      <c r="F6" s="103"/>
      <c r="G6" s="103"/>
      <c r="H6" s="103"/>
      <c r="I6" s="108"/>
      <c r="J6" s="108"/>
      <c r="K6" s="103"/>
      <c r="L6" s="103"/>
      <c r="M6" s="17"/>
      <c r="N6" s="105"/>
      <c r="O6" s="105"/>
    </row>
    <row r="7" spans="2:16" ht="15" customHeight="1" thickBot="1" x14ac:dyDescent="0.3">
      <c r="B7" s="21">
        <f>+E7/$E$13</f>
        <v>0.44981646608418147</v>
      </c>
      <c r="C7" t="s">
        <v>26</v>
      </c>
      <c r="D7" s="22" t="s">
        <v>27</v>
      </c>
      <c r="E7" s="23">
        <v>410478117</v>
      </c>
      <c r="F7" s="24">
        <v>0</v>
      </c>
      <c r="G7" s="25">
        <v>2744552</v>
      </c>
      <c r="H7" s="25">
        <v>0</v>
      </c>
      <c r="I7" s="26"/>
      <c r="J7" s="26"/>
      <c r="K7" s="27">
        <v>410478117</v>
      </c>
      <c r="L7" s="27">
        <v>0</v>
      </c>
      <c r="M7" s="28"/>
      <c r="N7" s="29">
        <v>45687</v>
      </c>
      <c r="O7" s="29">
        <f>+N7</f>
        <v>45687</v>
      </c>
      <c r="P7" s="30">
        <v>19606388</v>
      </c>
    </row>
    <row r="8" spans="2:16" ht="15" customHeight="1" thickBot="1" x14ac:dyDescent="0.3">
      <c r="B8" s="21">
        <f t="shared" ref="B8:B12" si="0">+E8/$E$13</f>
        <v>0.10075193509908496</v>
      </c>
      <c r="C8" t="s">
        <v>28</v>
      </c>
      <c r="D8" s="22" t="s">
        <v>27</v>
      </c>
      <c r="E8" s="23">
        <v>91940753</v>
      </c>
      <c r="F8" s="24">
        <v>0</v>
      </c>
      <c r="G8" s="25">
        <v>11659732</v>
      </c>
      <c r="H8" s="25">
        <v>0</v>
      </c>
      <c r="I8" s="26"/>
      <c r="J8" s="26"/>
      <c r="K8" s="27">
        <v>91940753</v>
      </c>
      <c r="L8" s="27">
        <v>0</v>
      </c>
      <c r="M8" s="28"/>
      <c r="N8" s="29">
        <v>2473</v>
      </c>
      <c r="O8" s="29">
        <f>+N8</f>
        <v>2473</v>
      </c>
      <c r="P8" s="30">
        <v>3001837</v>
      </c>
    </row>
    <row r="9" spans="2:16" ht="15" customHeight="1" thickBot="1" x14ac:dyDescent="0.3">
      <c r="B9" s="21">
        <f t="shared" si="0"/>
        <v>0.44353372702799354</v>
      </c>
      <c r="C9" t="s">
        <v>29</v>
      </c>
      <c r="D9" s="22" t="s">
        <v>30</v>
      </c>
      <c r="E9" s="23">
        <v>404744830</v>
      </c>
      <c r="F9" s="24">
        <v>933711</v>
      </c>
      <c r="G9" s="25">
        <v>359291238</v>
      </c>
      <c r="H9" s="25">
        <v>825756</v>
      </c>
      <c r="I9" s="26">
        <v>3621558</v>
      </c>
      <c r="J9" s="26">
        <v>6633</v>
      </c>
      <c r="K9" s="27">
        <v>401123272</v>
      </c>
      <c r="L9" s="27">
        <v>927078</v>
      </c>
      <c r="M9" s="28"/>
      <c r="N9" s="29">
        <v>393</v>
      </c>
      <c r="O9" s="29">
        <f>+N9</f>
        <v>393</v>
      </c>
      <c r="P9" s="30">
        <v>5296764</v>
      </c>
    </row>
    <row r="10" spans="2:16" ht="15" customHeight="1" thickBot="1" x14ac:dyDescent="0.3">
      <c r="B10" s="21">
        <f t="shared" si="0"/>
        <v>2.0521381448986332E-3</v>
      </c>
      <c r="C10" t="s">
        <v>31</v>
      </c>
      <c r="D10" s="22" t="s">
        <v>27</v>
      </c>
      <c r="E10" s="23">
        <v>1872670</v>
      </c>
      <c r="F10" s="24">
        <v>0</v>
      </c>
      <c r="G10" s="25">
        <v>0</v>
      </c>
      <c r="H10" s="25">
        <v>0</v>
      </c>
      <c r="I10" s="26"/>
      <c r="J10" s="26"/>
      <c r="K10" s="27">
        <v>1872670</v>
      </c>
      <c r="L10" s="27">
        <v>0</v>
      </c>
      <c r="M10" s="28"/>
      <c r="N10" s="29">
        <v>388</v>
      </c>
      <c r="O10" s="29">
        <v>121</v>
      </c>
      <c r="P10" s="30">
        <v>118727</v>
      </c>
    </row>
    <row r="11" spans="2:16" ht="15" customHeight="1" thickBot="1" x14ac:dyDescent="0.3">
      <c r="B11" s="21">
        <f t="shared" si="0"/>
        <v>3.6099010914496826E-5</v>
      </c>
      <c r="C11" t="s">
        <v>32</v>
      </c>
      <c r="D11" s="31" t="s">
        <v>30</v>
      </c>
      <c r="E11" s="32">
        <v>32942</v>
      </c>
      <c r="F11" s="33">
        <v>83</v>
      </c>
      <c r="G11" s="34">
        <v>32942</v>
      </c>
      <c r="H11" s="34">
        <v>83</v>
      </c>
      <c r="I11" s="35"/>
      <c r="J11" s="35"/>
      <c r="K11" s="36">
        <v>32942</v>
      </c>
      <c r="L11" s="36">
        <v>83</v>
      </c>
      <c r="M11" s="28"/>
      <c r="N11" s="29">
        <v>45</v>
      </c>
      <c r="O11" s="29">
        <v>1</v>
      </c>
      <c r="P11" s="30">
        <v>4197</v>
      </c>
    </row>
    <row r="12" spans="2:16" ht="15" customHeight="1" thickBot="1" x14ac:dyDescent="0.3">
      <c r="B12" s="21">
        <f t="shared" si="0"/>
        <v>3.8096346329268755E-3</v>
      </c>
      <c r="C12" s="37" t="s">
        <v>33</v>
      </c>
      <c r="D12" s="38" t="s">
        <v>30</v>
      </c>
      <c r="E12" s="39">
        <v>3476466</v>
      </c>
      <c r="F12" s="40">
        <v>9823</v>
      </c>
      <c r="G12" s="40">
        <v>3476466</v>
      </c>
      <c r="H12" s="40">
        <v>9823</v>
      </c>
      <c r="I12" s="41"/>
      <c r="J12" s="41"/>
      <c r="K12" s="42">
        <v>3476466</v>
      </c>
      <c r="L12" s="42">
        <v>9823</v>
      </c>
      <c r="M12" s="28"/>
      <c r="N12" s="43">
        <v>13763</v>
      </c>
      <c r="O12" s="43">
        <v>1</v>
      </c>
      <c r="P12" s="30">
        <v>489242</v>
      </c>
    </row>
    <row r="13" spans="2:16" ht="15" customHeight="1" x14ac:dyDescent="0.25">
      <c r="D13" s="44" t="s">
        <v>34</v>
      </c>
      <c r="E13" s="30">
        <f>SUM(E7:E12)</f>
        <v>912545778</v>
      </c>
      <c r="F13" s="30">
        <f t="shared" ref="F13:O13" si="1">SUM(F7:F12)</f>
        <v>943617</v>
      </c>
      <c r="G13" s="30">
        <f t="shared" si="1"/>
        <v>377204930</v>
      </c>
      <c r="H13" s="30">
        <f t="shared" si="1"/>
        <v>835662</v>
      </c>
      <c r="I13" s="30">
        <f t="shared" si="1"/>
        <v>3621558</v>
      </c>
      <c r="J13" s="30">
        <f t="shared" si="1"/>
        <v>6633</v>
      </c>
      <c r="K13" s="30">
        <f t="shared" si="1"/>
        <v>908924220</v>
      </c>
      <c r="L13" s="30">
        <f t="shared" si="1"/>
        <v>936984</v>
      </c>
      <c r="M13" s="30"/>
      <c r="N13" s="30">
        <f t="shared" si="1"/>
        <v>62749</v>
      </c>
      <c r="O13" s="30">
        <f t="shared" si="1"/>
        <v>48676</v>
      </c>
      <c r="P13" s="45">
        <f>SUM(P7:P12)</f>
        <v>28517155</v>
      </c>
    </row>
    <row r="17" spans="2:19" ht="15.75" thickBot="1" x14ac:dyDescent="0.3">
      <c r="C17" t="s">
        <v>35</v>
      </c>
    </row>
    <row r="18" spans="2:19" ht="45" customHeight="1" thickBot="1" x14ac:dyDescent="0.3">
      <c r="C18" s="15"/>
      <c r="D18" s="16"/>
      <c r="E18" s="102" t="s">
        <v>14</v>
      </c>
      <c r="F18" s="102" t="s">
        <v>15</v>
      </c>
      <c r="G18" s="102" t="s">
        <v>16</v>
      </c>
      <c r="H18" s="102" t="s">
        <v>17</v>
      </c>
      <c r="I18" s="107" t="s">
        <v>18</v>
      </c>
      <c r="J18" s="107" t="s">
        <v>19</v>
      </c>
      <c r="K18" s="102" t="s">
        <v>20</v>
      </c>
      <c r="L18" s="102" t="s">
        <v>21</v>
      </c>
      <c r="M18" s="17"/>
      <c r="N18" s="104" t="s">
        <v>22</v>
      </c>
      <c r="O18" s="106" t="s">
        <v>23</v>
      </c>
      <c r="P18" s="18" t="s">
        <v>24</v>
      </c>
      <c r="S18" t="s">
        <v>48</v>
      </c>
    </row>
    <row r="19" spans="2:19" ht="25.5" customHeight="1" thickBot="1" x14ac:dyDescent="0.3">
      <c r="B19" t="s">
        <v>25</v>
      </c>
      <c r="C19" s="19" t="s">
        <v>6</v>
      </c>
      <c r="D19" s="20" t="s">
        <v>7</v>
      </c>
      <c r="E19" s="103"/>
      <c r="F19" s="103"/>
      <c r="G19" s="103"/>
      <c r="H19" s="103"/>
      <c r="I19" s="108"/>
      <c r="J19" s="108"/>
      <c r="K19" s="103"/>
      <c r="L19" s="103"/>
      <c r="M19" s="17"/>
      <c r="N19" s="105"/>
      <c r="O19" s="105"/>
    </row>
    <row r="20" spans="2:19" ht="15" customHeight="1" thickBot="1" x14ac:dyDescent="0.3">
      <c r="B20" s="21">
        <f>+E20/$E$29</f>
        <v>0.38147286135098296</v>
      </c>
      <c r="C20" t="s">
        <v>26</v>
      </c>
      <c r="D20" s="22" t="s">
        <v>27</v>
      </c>
      <c r="E20" s="23">
        <v>1031246130</v>
      </c>
      <c r="F20" s="24">
        <v>0</v>
      </c>
      <c r="G20" s="25">
        <v>13556791</v>
      </c>
      <c r="H20" s="25">
        <v>0</v>
      </c>
      <c r="I20" s="26"/>
      <c r="J20" s="26"/>
      <c r="K20" s="27">
        <v>1031246130</v>
      </c>
      <c r="L20" s="27">
        <v>0</v>
      </c>
      <c r="M20" s="28"/>
      <c r="N20" s="29">
        <v>118313</v>
      </c>
      <c r="O20" s="29">
        <f t="shared" ref="O20:O25" si="2">+N20</f>
        <v>118313</v>
      </c>
      <c r="P20" s="46">
        <v>43325708.869684406</v>
      </c>
      <c r="Q20" s="47">
        <f>+E20/$E$29</f>
        <v>0.38147286135098296</v>
      </c>
      <c r="S20" s="60">
        <v>13556791</v>
      </c>
    </row>
    <row r="21" spans="2:19" ht="15" customHeight="1" thickBot="1" x14ac:dyDescent="0.3">
      <c r="B21" s="21">
        <f t="shared" ref="B21:B28" si="3">+E21/$E$29</f>
        <v>4.5329866120112621E-3</v>
      </c>
      <c r="C21" s="48" t="s">
        <v>36</v>
      </c>
      <c r="D21" s="22" t="s">
        <v>27</v>
      </c>
      <c r="E21" s="23">
        <v>12254148</v>
      </c>
      <c r="F21" s="24">
        <v>0</v>
      </c>
      <c r="G21" s="25">
        <v>23434</v>
      </c>
      <c r="H21" s="25">
        <v>0</v>
      </c>
      <c r="I21" s="26"/>
      <c r="J21" s="26"/>
      <c r="K21" s="27">
        <v>12254148</v>
      </c>
      <c r="L21" s="27">
        <v>0</v>
      </c>
      <c r="M21" s="28"/>
      <c r="N21" s="29">
        <v>1560</v>
      </c>
      <c r="O21" s="29">
        <f t="shared" si="2"/>
        <v>1560</v>
      </c>
      <c r="P21" s="46">
        <v>1047301</v>
      </c>
      <c r="Q21" s="47">
        <f t="shared" ref="Q21:Q28" si="4">+E21/$E$29</f>
        <v>4.5329866120112621E-3</v>
      </c>
      <c r="S21" s="60">
        <v>23434</v>
      </c>
    </row>
    <row r="22" spans="2:19" ht="15" customHeight="1" thickBot="1" x14ac:dyDescent="0.3">
      <c r="B22" s="21">
        <f t="shared" si="3"/>
        <v>0.10883036101387991</v>
      </c>
      <c r="C22" s="48" t="s">
        <v>28</v>
      </c>
      <c r="D22" s="22" t="s">
        <v>27</v>
      </c>
      <c r="E22" s="23">
        <v>294204123</v>
      </c>
      <c r="F22" s="24">
        <v>0</v>
      </c>
      <c r="G22" s="25">
        <v>46820151</v>
      </c>
      <c r="H22" s="25">
        <v>0</v>
      </c>
      <c r="I22" s="26"/>
      <c r="J22" s="26"/>
      <c r="K22" s="27">
        <v>294204123</v>
      </c>
      <c r="L22" s="27">
        <v>0</v>
      </c>
      <c r="M22" s="28"/>
      <c r="N22" s="29">
        <v>9506</v>
      </c>
      <c r="O22" s="29">
        <f t="shared" si="2"/>
        <v>9506</v>
      </c>
      <c r="P22" s="46">
        <v>8298798.3245650008</v>
      </c>
      <c r="Q22" s="47">
        <f t="shared" si="4"/>
        <v>0.10883036101387991</v>
      </c>
      <c r="S22" s="60">
        <v>46820151</v>
      </c>
    </row>
    <row r="23" spans="2:19" ht="15" customHeight="1" thickBot="1" x14ac:dyDescent="0.3">
      <c r="B23" s="21">
        <f t="shared" si="3"/>
        <v>0.35060879450039584</v>
      </c>
      <c r="C23" s="48" t="s">
        <v>37</v>
      </c>
      <c r="D23" s="22" t="s">
        <v>30</v>
      </c>
      <c r="E23" s="23">
        <v>947810445</v>
      </c>
      <c r="F23" s="24">
        <v>2196478</v>
      </c>
      <c r="G23" s="25">
        <v>822425549</v>
      </c>
      <c r="H23" s="25">
        <v>1903615</v>
      </c>
      <c r="I23" s="26">
        <v>32284456</v>
      </c>
      <c r="J23" s="26">
        <v>64299</v>
      </c>
      <c r="K23" s="27">
        <v>915525989</v>
      </c>
      <c r="L23" s="27">
        <v>2132179</v>
      </c>
      <c r="M23" s="28"/>
      <c r="N23" s="29">
        <v>1075</v>
      </c>
      <c r="O23" s="29">
        <f t="shared" si="2"/>
        <v>1075</v>
      </c>
      <c r="P23" s="46">
        <v>10092674.907336278</v>
      </c>
      <c r="Q23" s="47">
        <f t="shared" si="4"/>
        <v>0.35060879450039584</v>
      </c>
      <c r="S23" s="60">
        <v>577333616</v>
      </c>
    </row>
    <row r="24" spans="2:19" ht="15" customHeight="1" thickBot="1" x14ac:dyDescent="0.3">
      <c r="B24" s="21">
        <f t="shared" si="3"/>
        <v>3.3845814190691291E-2</v>
      </c>
      <c r="C24" t="s">
        <v>38</v>
      </c>
      <c r="D24" s="22" t="s">
        <v>30</v>
      </c>
      <c r="E24" s="23">
        <v>91496325</v>
      </c>
      <c r="F24" s="24">
        <v>210721</v>
      </c>
      <c r="G24" s="25">
        <v>91496325</v>
      </c>
      <c r="H24" s="25">
        <v>210721</v>
      </c>
      <c r="I24" s="26"/>
      <c r="J24" s="26"/>
      <c r="K24" s="27">
        <v>91496325</v>
      </c>
      <c r="L24" s="27">
        <v>210721</v>
      </c>
      <c r="M24" s="28"/>
      <c r="N24" s="29">
        <v>5</v>
      </c>
      <c r="O24" s="29">
        <f t="shared" si="2"/>
        <v>5</v>
      </c>
      <c r="P24" s="46">
        <v>811524.69547600427</v>
      </c>
      <c r="Q24" s="47">
        <f t="shared" si="4"/>
        <v>3.3845814190691291E-2</v>
      </c>
      <c r="S24" s="60">
        <v>6423987</v>
      </c>
    </row>
    <row r="25" spans="2:19" ht="15" customHeight="1" thickBot="1" x14ac:dyDescent="0.3">
      <c r="B25" s="21">
        <f t="shared" si="3"/>
        <v>0.11466427613635467</v>
      </c>
      <c r="C25" t="s">
        <v>39</v>
      </c>
      <c r="D25" s="22" t="s">
        <v>30</v>
      </c>
      <c r="E25" s="23">
        <v>309975107</v>
      </c>
      <c r="F25" s="24">
        <v>530618</v>
      </c>
      <c r="G25" s="25">
        <v>178943959</v>
      </c>
      <c r="H25" s="25">
        <v>313135</v>
      </c>
      <c r="I25" s="26">
        <v>131031148</v>
      </c>
      <c r="J25" s="26">
        <v>217483</v>
      </c>
      <c r="K25" s="27">
        <v>178943959</v>
      </c>
      <c r="L25" s="27">
        <v>313135</v>
      </c>
      <c r="M25" s="28"/>
      <c r="N25" s="29">
        <v>5</v>
      </c>
      <c r="O25" s="29">
        <f t="shared" si="2"/>
        <v>5</v>
      </c>
      <c r="P25" s="46">
        <v>2250538.7308901227</v>
      </c>
      <c r="Q25" s="47">
        <f t="shared" si="4"/>
        <v>0.11466427613635467</v>
      </c>
      <c r="S25" s="60">
        <v>0</v>
      </c>
    </row>
    <row r="26" spans="2:19" ht="15" customHeight="1" thickBot="1" x14ac:dyDescent="0.3">
      <c r="B26" s="21">
        <f t="shared" si="3"/>
        <v>1.6801844263316895E-3</v>
      </c>
      <c r="C26" t="s">
        <v>31</v>
      </c>
      <c r="D26" s="22" t="s">
        <v>27</v>
      </c>
      <c r="E26" s="23">
        <v>4542089</v>
      </c>
      <c r="F26" s="24">
        <v>0</v>
      </c>
      <c r="G26" s="25">
        <v>226032</v>
      </c>
      <c r="H26" s="25">
        <v>0</v>
      </c>
      <c r="I26" s="26"/>
      <c r="J26" s="26"/>
      <c r="K26" s="27">
        <v>4542089</v>
      </c>
      <c r="L26" s="27">
        <v>0</v>
      </c>
      <c r="M26" s="28"/>
      <c r="N26" s="29">
        <v>798</v>
      </c>
      <c r="O26" s="29">
        <v>798</v>
      </c>
      <c r="P26" s="46">
        <v>168978.72601973492</v>
      </c>
      <c r="Q26" s="47">
        <f t="shared" si="4"/>
        <v>1.6801844263316895E-3</v>
      </c>
      <c r="S26" s="60">
        <v>226032</v>
      </c>
    </row>
    <row r="27" spans="2:19" ht="15" customHeight="1" thickBot="1" x14ac:dyDescent="0.3">
      <c r="B27" s="21">
        <f t="shared" si="3"/>
        <v>8.0169712613895367E-5</v>
      </c>
      <c r="C27" t="s">
        <v>32</v>
      </c>
      <c r="D27" s="31" t="s">
        <v>30</v>
      </c>
      <c r="E27" s="32">
        <v>216725</v>
      </c>
      <c r="F27" s="33">
        <v>602</v>
      </c>
      <c r="G27" s="34">
        <v>66254</v>
      </c>
      <c r="H27" s="34">
        <v>0</v>
      </c>
      <c r="I27" s="35"/>
      <c r="J27" s="35"/>
      <c r="K27" s="36">
        <v>216725</v>
      </c>
      <c r="L27" s="36">
        <v>602</v>
      </c>
      <c r="M27" s="28"/>
      <c r="N27" s="29">
        <v>236</v>
      </c>
      <c r="O27" s="29">
        <v>25</v>
      </c>
      <c r="P27" s="46">
        <v>22230.033915218482</v>
      </c>
      <c r="Q27" s="47">
        <f t="shared" si="4"/>
        <v>8.0169712613895367E-5</v>
      </c>
      <c r="S27" s="60">
        <v>66254</v>
      </c>
    </row>
    <row r="28" spans="2:19" ht="15" customHeight="1" thickBot="1" x14ac:dyDescent="0.3">
      <c r="B28" s="21">
        <f t="shared" si="3"/>
        <v>4.2845520567384868E-3</v>
      </c>
      <c r="C28" s="37" t="s">
        <v>33</v>
      </c>
      <c r="D28" s="38" t="s">
        <v>30</v>
      </c>
      <c r="E28" s="39">
        <v>11582548</v>
      </c>
      <c r="F28" s="40">
        <v>32169</v>
      </c>
      <c r="G28" s="40">
        <v>11582548</v>
      </c>
      <c r="H28" s="40">
        <v>32169</v>
      </c>
      <c r="I28" s="41"/>
      <c r="J28" s="41"/>
      <c r="K28" s="42">
        <v>11582548</v>
      </c>
      <c r="L28" s="42">
        <v>32169</v>
      </c>
      <c r="M28" s="28"/>
      <c r="N28" s="43">
        <v>33008</v>
      </c>
      <c r="O28" s="43">
        <v>9</v>
      </c>
      <c r="P28" s="46">
        <v>550373.71211323002</v>
      </c>
      <c r="Q28" s="47">
        <f t="shared" si="4"/>
        <v>4.2845520567384868E-3</v>
      </c>
      <c r="S28" s="60">
        <v>11582548</v>
      </c>
    </row>
    <row r="29" spans="2:19" x14ac:dyDescent="0.25">
      <c r="D29" s="44" t="s">
        <v>34</v>
      </c>
      <c r="E29" s="30">
        <f>SUM(E20:E28)</f>
        <v>2703327640</v>
      </c>
      <c r="F29" s="30">
        <f t="shared" ref="F29:O29" si="5">SUM(F20:F28)</f>
        <v>2970588</v>
      </c>
      <c r="G29" s="30">
        <f t="shared" si="5"/>
        <v>1165141043</v>
      </c>
      <c r="H29" s="30">
        <f t="shared" si="5"/>
        <v>2459640</v>
      </c>
      <c r="I29" s="30">
        <f t="shared" si="5"/>
        <v>163315604</v>
      </c>
      <c r="J29" s="30">
        <f t="shared" si="5"/>
        <v>281782</v>
      </c>
      <c r="K29" s="30">
        <f t="shared" si="5"/>
        <v>2540012036</v>
      </c>
      <c r="L29" s="30">
        <f t="shared" si="5"/>
        <v>2688806</v>
      </c>
      <c r="M29" s="30" t="s">
        <v>40</v>
      </c>
      <c r="N29" s="30">
        <f t="shared" si="5"/>
        <v>164506</v>
      </c>
      <c r="O29" s="30">
        <f t="shared" si="5"/>
        <v>131296</v>
      </c>
      <c r="P29" s="49">
        <f>SUM(P20:P28)</f>
        <v>66568129</v>
      </c>
      <c r="Q29" s="47">
        <f>SUM(Q20:Q28)</f>
        <v>1</v>
      </c>
      <c r="S29" s="61">
        <f>SUM(S20:S28)</f>
        <v>656032813</v>
      </c>
    </row>
    <row r="30" spans="2:19" x14ac:dyDescent="0.25">
      <c r="S30" s="57" t="s">
        <v>40</v>
      </c>
    </row>
    <row r="31" spans="2:19" x14ac:dyDescent="0.25">
      <c r="G31" s="30" t="s">
        <v>40</v>
      </c>
      <c r="K31" s="30" t="s">
        <v>40</v>
      </c>
      <c r="L31" s="30" t="s">
        <v>40</v>
      </c>
      <c r="N31" s="30"/>
      <c r="P31" s="30" t="s">
        <v>40</v>
      </c>
    </row>
    <row r="32" spans="2:19" x14ac:dyDescent="0.25">
      <c r="N32" s="30"/>
    </row>
  </sheetData>
  <mergeCells count="20">
    <mergeCell ref="J18:J19"/>
    <mergeCell ref="E5:E6"/>
    <mergeCell ref="F5:F6"/>
    <mergeCell ref="G5:G6"/>
    <mergeCell ref="H5:H6"/>
    <mergeCell ref="I5:I6"/>
    <mergeCell ref="J5:J6"/>
    <mergeCell ref="E18:E19"/>
    <mergeCell ref="F18:F19"/>
    <mergeCell ref="G18:G19"/>
    <mergeCell ref="H18:H19"/>
    <mergeCell ref="I18:I19"/>
    <mergeCell ref="K18:K19"/>
    <mergeCell ref="L18:L19"/>
    <mergeCell ref="N18:N19"/>
    <mergeCell ref="O18:O19"/>
    <mergeCell ref="K5:K6"/>
    <mergeCell ref="L5:L6"/>
    <mergeCell ref="N5:N6"/>
    <mergeCell ref="O5:O6"/>
  </mergeCells>
  <dataValidations disablePrompts="1" count="1">
    <dataValidation type="list" allowBlank="1" showInputMessage="1" showErrorMessage="1" sqref="D7:D12 D20:D28" xr:uid="{AB6D6833-8D58-438E-A9A9-BFA35675DD82}">
      <formula1>"kWh, kW, kVA"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D75D-097C-4BCF-8C7D-0A79FF8F14C1}">
  <dimension ref="A1:Q2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K25" sqref="K25"/>
    </sheetView>
  </sheetViews>
  <sheetFormatPr defaultRowHeight="15" x14ac:dyDescent="0.25"/>
  <cols>
    <col min="1" max="1" width="53.28515625" bestFit="1" customWidth="1"/>
    <col min="2" max="2" width="16.140625" customWidth="1"/>
    <col min="3" max="10" width="13.7109375" customWidth="1"/>
    <col min="11" max="11" width="1.7109375" customWidth="1"/>
    <col min="12" max="13" width="11.7109375" customWidth="1"/>
    <col min="14" max="14" width="3" customWidth="1"/>
    <col min="15" max="16" width="11.7109375" customWidth="1"/>
    <col min="16342" max="16344" width="8.7109375" bestFit="1" customWidth="1"/>
    <col min="16345" max="16384" width="8.7109375" customWidth="1"/>
  </cols>
  <sheetData>
    <row r="1" spans="1:17" x14ac:dyDescent="0.25">
      <c r="A1" t="s">
        <v>88</v>
      </c>
    </row>
    <row r="3" spans="1:17" x14ac:dyDescent="0.25">
      <c r="A3" s="1" t="s">
        <v>0</v>
      </c>
      <c r="B3" s="2" t="s">
        <v>43</v>
      </c>
    </row>
    <row r="4" spans="1:17" x14ac:dyDescent="0.25">
      <c r="A4" s="1" t="s">
        <v>1</v>
      </c>
      <c r="B4" s="2" t="s">
        <v>44</v>
      </c>
    </row>
    <row r="5" spans="1:17" x14ac:dyDescent="0.25">
      <c r="A5" s="1" t="s">
        <v>2</v>
      </c>
      <c r="B5" s="3">
        <v>1</v>
      </c>
      <c r="O5" t="s">
        <v>54</v>
      </c>
      <c r="P5">
        <v>12</v>
      </c>
    </row>
    <row r="6" spans="1:17" x14ac:dyDescent="0.25">
      <c r="A6" s="1" t="s">
        <v>3</v>
      </c>
      <c r="B6" s="4">
        <v>11</v>
      </c>
      <c r="O6" t="s">
        <v>55</v>
      </c>
      <c r="P6">
        <v>11</v>
      </c>
    </row>
    <row r="7" spans="1:17" x14ac:dyDescent="0.25">
      <c r="A7" s="1" t="s">
        <v>4</v>
      </c>
      <c r="B7" s="2" t="s">
        <v>45</v>
      </c>
    </row>
    <row r="9" spans="1:17" x14ac:dyDescent="0.25">
      <c r="A9" s="5" t="s">
        <v>5</v>
      </c>
      <c r="C9" s="6"/>
      <c r="L9" s="110" t="s">
        <v>78</v>
      </c>
      <c r="M9" s="110"/>
      <c r="O9" s="110" t="s">
        <v>79</v>
      </c>
      <c r="P9" s="110"/>
    </row>
    <row r="10" spans="1:17" ht="75" x14ac:dyDescent="0.25">
      <c r="A10" s="8" t="s">
        <v>6</v>
      </c>
      <c r="B10" s="50" t="s">
        <v>7</v>
      </c>
      <c r="C10" s="51" t="s">
        <v>41</v>
      </c>
      <c r="D10" s="51" t="s">
        <v>42</v>
      </c>
      <c r="E10" s="54" t="s">
        <v>50</v>
      </c>
      <c r="F10" s="54" t="s">
        <v>51</v>
      </c>
      <c r="G10" s="54" t="s">
        <v>8</v>
      </c>
      <c r="H10" s="54" t="s">
        <v>9</v>
      </c>
      <c r="I10" s="54" t="s">
        <v>10</v>
      </c>
      <c r="J10" s="54" t="s">
        <v>11</v>
      </c>
      <c r="K10" s="70"/>
      <c r="L10" s="65" t="s">
        <v>52</v>
      </c>
      <c r="M10" s="65" t="s">
        <v>53</v>
      </c>
      <c r="O10" s="65" t="s">
        <v>52</v>
      </c>
      <c r="P10" s="65" t="s">
        <v>53</v>
      </c>
    </row>
    <row r="11" spans="1:17" x14ac:dyDescent="0.25">
      <c r="A11" t="s">
        <v>26</v>
      </c>
      <c r="B11" s="9" t="s">
        <v>27</v>
      </c>
      <c r="C11" s="10">
        <v>32.79</v>
      </c>
      <c r="D11" s="11">
        <v>0</v>
      </c>
      <c r="E11" s="10">
        <v>31.71</v>
      </c>
      <c r="F11" s="11">
        <v>0</v>
      </c>
      <c r="G11" s="10">
        <f>+C11-E11</f>
        <v>1.0799999999999983</v>
      </c>
      <c r="H11" s="11">
        <f>+D11-F11</f>
        <v>0</v>
      </c>
      <c r="I11" s="10">
        <f>+G11*'2024 Billing Determinents'!N20</f>
        <v>127778.0399999998</v>
      </c>
      <c r="J11" s="10"/>
      <c r="K11" s="71"/>
      <c r="L11" s="66">
        <f>+I11/'2024 Billing Determinents'!N20/12</f>
        <v>8.9999999999999858E-2</v>
      </c>
      <c r="M11" s="67"/>
      <c r="O11" s="66">
        <f t="shared" ref="O11:O19" si="0">+L11*$P$5/$P$6</f>
        <v>9.8181818181818023E-2</v>
      </c>
      <c r="P11" s="67"/>
      <c r="Q11" s="68"/>
    </row>
    <row r="12" spans="1:17" x14ac:dyDescent="0.25">
      <c r="A12" s="48" t="s">
        <v>36</v>
      </c>
      <c r="B12" s="52" t="s">
        <v>27</v>
      </c>
      <c r="C12" s="10">
        <v>59.89</v>
      </c>
      <c r="D12" s="11">
        <v>0</v>
      </c>
      <c r="E12" s="10">
        <v>57.92</v>
      </c>
      <c r="F12" s="11"/>
      <c r="G12" s="10">
        <f t="shared" ref="G12:G19" si="1">+C12-E12</f>
        <v>1.9699999999999989</v>
      </c>
      <c r="H12" s="11">
        <f t="shared" ref="H12:H19" si="2">+D12-F12</f>
        <v>0</v>
      </c>
      <c r="I12" s="10">
        <f>+G12*'2024 Billing Determinents'!N21</f>
        <v>3073.199999999998</v>
      </c>
      <c r="J12" s="10">
        <v>0</v>
      </c>
      <c r="K12" s="71"/>
      <c r="L12" s="66">
        <f>+I12/'2024 Billing Determinents'!N21/12</f>
        <v>0.16416666666666654</v>
      </c>
      <c r="M12" s="67"/>
      <c r="O12" s="66">
        <f t="shared" si="0"/>
        <v>0.17909090909090894</v>
      </c>
      <c r="P12" s="67"/>
    </row>
    <row r="13" spans="1:17" x14ac:dyDescent="0.25">
      <c r="A13" s="48" t="s">
        <v>28</v>
      </c>
      <c r="B13" s="52" t="s">
        <v>27</v>
      </c>
      <c r="C13" s="10">
        <v>21.26</v>
      </c>
      <c r="D13" s="11">
        <v>2.1399999999999999E-2</v>
      </c>
      <c r="E13" s="10">
        <v>20.56</v>
      </c>
      <c r="F13" s="11">
        <v>2.07E-2</v>
      </c>
      <c r="G13" s="10">
        <f t="shared" si="1"/>
        <v>0.70000000000000284</v>
      </c>
      <c r="H13" s="11">
        <f t="shared" si="2"/>
        <v>6.9999999999999923E-4</v>
      </c>
      <c r="I13" s="10">
        <f>+G13*'2024 Billing Determinents'!N22</f>
        <v>6654.2000000000271</v>
      </c>
      <c r="J13" s="10">
        <f>+H13*'2024 Billing Determinents'!E22/12</f>
        <v>17161.907174999982</v>
      </c>
      <c r="K13" s="71"/>
      <c r="L13" s="66">
        <f>+I13/'2024 Billing Determinents'!N22/12</f>
        <v>5.833333333333357E-2</v>
      </c>
      <c r="M13" s="67">
        <f>+J13/'2024 Billing Determinents'!E22</f>
        <v>5.8333333333333272E-5</v>
      </c>
      <c r="O13" s="66">
        <f t="shared" si="0"/>
        <v>6.3636363636363893E-2</v>
      </c>
      <c r="P13" s="67">
        <f t="shared" ref="P13:P19" si="3">+M13*$P$5/$P$6</f>
        <v>6.3636363636363573E-5</v>
      </c>
    </row>
    <row r="14" spans="1:17" x14ac:dyDescent="0.25">
      <c r="A14" s="48" t="s">
        <v>37</v>
      </c>
      <c r="B14" s="52" t="s">
        <v>30</v>
      </c>
      <c r="C14" s="10">
        <v>135.84</v>
      </c>
      <c r="D14" s="11">
        <v>4.1908000000000003</v>
      </c>
      <c r="E14" s="10">
        <v>131.37</v>
      </c>
      <c r="F14" s="11">
        <v>4.0529999999999999</v>
      </c>
      <c r="G14" s="10">
        <f t="shared" si="1"/>
        <v>4.4699999999999989</v>
      </c>
      <c r="H14" s="11">
        <f t="shared" si="2"/>
        <v>0.13780000000000037</v>
      </c>
      <c r="I14" s="10">
        <f>+G14*'2024 Billing Determinents'!N23</f>
        <v>4805.2499999999991</v>
      </c>
      <c r="J14" s="10">
        <f>+H14*'2024 Billing Determinents'!F23/12</f>
        <v>25222.889033333398</v>
      </c>
      <c r="K14" s="71"/>
      <c r="L14" s="66">
        <f>+I14/'2024 Billing Determinents'!N23/12</f>
        <v>0.37249999999999989</v>
      </c>
      <c r="M14" s="67">
        <f>+J14/'2024 Billing Determinents'!F23</f>
        <v>1.1483333333333363E-2</v>
      </c>
      <c r="O14" s="66">
        <f t="shared" si="0"/>
        <v>0.40636363636363626</v>
      </c>
      <c r="P14" s="67">
        <f t="shared" si="3"/>
        <v>1.252727272727276E-2</v>
      </c>
    </row>
    <row r="15" spans="1:17" x14ac:dyDescent="0.25">
      <c r="A15" t="s">
        <v>38</v>
      </c>
      <c r="B15" s="9" t="s">
        <v>30</v>
      </c>
      <c r="C15" s="10">
        <v>7137.67</v>
      </c>
      <c r="D15" s="11">
        <v>2.6549</v>
      </c>
      <c r="E15" s="10">
        <v>6902.97</v>
      </c>
      <c r="F15" s="11">
        <v>2.5676000000000001</v>
      </c>
      <c r="G15" s="10">
        <f t="shared" si="1"/>
        <v>234.69999999999982</v>
      </c>
      <c r="H15" s="11">
        <f t="shared" si="2"/>
        <v>8.7299999999999933E-2</v>
      </c>
      <c r="I15" s="10">
        <f>+G15*'2024 Billing Determinents'!N24</f>
        <v>1173.4999999999991</v>
      </c>
      <c r="J15" s="10">
        <f>+H15*'2024 Billing Determinents'!F24/12</f>
        <v>1532.9952749999986</v>
      </c>
      <c r="K15" s="71"/>
      <c r="L15" s="66">
        <f>+I15/'2024 Billing Determinents'!N24/12</f>
        <v>19.558333333333319</v>
      </c>
      <c r="M15" s="67">
        <f>+J15/'2024 Billing Determinents'!F24</f>
        <v>7.2749999999999933E-3</v>
      </c>
      <c r="O15" s="66">
        <f t="shared" si="0"/>
        <v>21.336363636363618</v>
      </c>
      <c r="P15" s="67">
        <f t="shared" si="3"/>
        <v>7.9363636363636286E-3</v>
      </c>
    </row>
    <row r="16" spans="1:17" x14ac:dyDescent="0.25">
      <c r="A16" t="s">
        <v>39</v>
      </c>
      <c r="B16" s="9" t="s">
        <v>30</v>
      </c>
      <c r="C16" s="10">
        <v>10722.24</v>
      </c>
      <c r="D16" s="11">
        <v>3.7393000000000001</v>
      </c>
      <c r="E16" s="10">
        <v>10369.67</v>
      </c>
      <c r="F16" s="11">
        <v>3.6162999999999998</v>
      </c>
      <c r="G16" s="10">
        <f t="shared" si="1"/>
        <v>352.56999999999971</v>
      </c>
      <c r="H16" s="11">
        <f t="shared" si="2"/>
        <v>0.12300000000000022</v>
      </c>
      <c r="I16" s="10">
        <f>+G16*'2024 Billing Determinents'!N25</f>
        <v>1762.8499999999985</v>
      </c>
      <c r="J16" s="10">
        <f>+H16*'2024 Billing Determinents'!F25/12</f>
        <v>5438.8345000000099</v>
      </c>
      <c r="K16" s="71"/>
      <c r="L16" s="66">
        <f>+I16/'2024 Billing Determinents'!N25/12</f>
        <v>29.38083333333331</v>
      </c>
      <c r="M16" s="67">
        <f>+J16/'2024 Billing Determinents'!F25</f>
        <v>1.025000000000002E-2</v>
      </c>
      <c r="O16" s="66">
        <f t="shared" si="0"/>
        <v>32.051818181818156</v>
      </c>
      <c r="P16" s="67">
        <f t="shared" si="3"/>
        <v>1.1181818181818202E-2</v>
      </c>
    </row>
    <row r="17" spans="1:16" x14ac:dyDescent="0.25">
      <c r="A17" t="s">
        <v>31</v>
      </c>
      <c r="B17" s="9" t="s">
        <v>27</v>
      </c>
      <c r="C17" s="10">
        <v>8.68</v>
      </c>
      <c r="D17" s="11">
        <v>2.1299999999999999E-2</v>
      </c>
      <c r="E17" s="10">
        <v>8.39</v>
      </c>
      <c r="F17" s="11">
        <v>2.06E-2</v>
      </c>
      <c r="G17" s="10">
        <f t="shared" si="1"/>
        <v>0.28999999999999915</v>
      </c>
      <c r="H17" s="11">
        <f t="shared" si="2"/>
        <v>6.9999999999999923E-4</v>
      </c>
      <c r="I17" s="10">
        <f>+G17*'2024 Billing Determinents'!N26</f>
        <v>231.41999999999933</v>
      </c>
      <c r="J17" s="10">
        <f>+H17*'2024 Billing Determinents'!E26/12</f>
        <v>264.95519166666639</v>
      </c>
      <c r="K17" s="71"/>
      <c r="L17" s="66">
        <f>+I17/'2024 Billing Determinents'!N26/12</f>
        <v>2.4166666666666597E-2</v>
      </c>
      <c r="M17" s="67">
        <f>+J17/'2024 Billing Determinents'!E26</f>
        <v>5.8333333333333272E-5</v>
      </c>
      <c r="O17" s="66">
        <f t="shared" si="0"/>
        <v>2.6363636363636287E-2</v>
      </c>
      <c r="P17" s="67">
        <f t="shared" si="3"/>
        <v>6.3636363636363573E-5</v>
      </c>
    </row>
    <row r="18" spans="1:16" ht="15" customHeight="1" x14ac:dyDescent="0.25">
      <c r="A18" t="s">
        <v>32</v>
      </c>
      <c r="B18" s="9" t="s">
        <v>30</v>
      </c>
      <c r="C18" s="10">
        <v>5.71</v>
      </c>
      <c r="D18" s="11">
        <v>17.262599999999999</v>
      </c>
      <c r="E18" s="10">
        <v>5.52</v>
      </c>
      <c r="F18" s="11">
        <v>16.695</v>
      </c>
      <c r="G18" s="10">
        <f t="shared" si="1"/>
        <v>0.19000000000000039</v>
      </c>
      <c r="H18" s="11">
        <f t="shared" si="2"/>
        <v>0.56759999999999877</v>
      </c>
      <c r="I18" s="10">
        <f>+G18*'2024 Billing Determinents'!N27</f>
        <v>44.840000000000089</v>
      </c>
      <c r="J18" s="10">
        <f>+H18*'2024 Billing Determinents'!F27/12</f>
        <v>28.474599999999938</v>
      </c>
      <c r="K18" s="71"/>
      <c r="L18" s="66">
        <f>+I18/'2024 Billing Determinents'!N27/12</f>
        <v>1.5833333333333362E-2</v>
      </c>
      <c r="M18" s="67">
        <f>+J18/'2024 Billing Determinents'!F27</f>
        <v>4.7299999999999898E-2</v>
      </c>
      <c r="O18" s="66">
        <f t="shared" si="0"/>
        <v>1.7272727272727304E-2</v>
      </c>
      <c r="P18" s="67">
        <f t="shared" si="3"/>
        <v>5.1599999999999889E-2</v>
      </c>
    </row>
    <row r="19" spans="1:16" ht="15.75" thickBot="1" x14ac:dyDescent="0.3">
      <c r="A19" s="37" t="s">
        <v>33</v>
      </c>
      <c r="B19" s="9" t="s">
        <v>30</v>
      </c>
      <c r="C19" s="10">
        <v>0.89</v>
      </c>
      <c r="D19" s="11">
        <v>4.7202000000000002</v>
      </c>
      <c r="E19" s="10">
        <v>0.86</v>
      </c>
      <c r="F19" s="11">
        <v>4.5650000000000004</v>
      </c>
      <c r="G19" s="10">
        <f t="shared" si="1"/>
        <v>3.0000000000000027E-2</v>
      </c>
      <c r="H19" s="11">
        <f t="shared" si="2"/>
        <v>0.15519999999999978</v>
      </c>
      <c r="I19" s="10">
        <f>+G19*'2024 Billing Determinents'!N28</f>
        <v>990.24000000000092</v>
      </c>
      <c r="J19" s="10">
        <f>+H19*'2024 Billing Determinents'!F28/12</f>
        <v>416.05239999999941</v>
      </c>
      <c r="K19" s="71"/>
      <c r="L19" s="66">
        <f>+I19/'2024 Billing Determinents'!N28/12</f>
        <v>2.5000000000000022E-3</v>
      </c>
      <c r="M19" s="67">
        <f>+J19/'2024 Billing Determinents'!F28</f>
        <v>1.2933333333333316E-2</v>
      </c>
      <c r="O19" s="66">
        <f t="shared" si="0"/>
        <v>2.7272727272727297E-3</v>
      </c>
      <c r="P19" s="67">
        <f t="shared" si="3"/>
        <v>1.4109090909090889E-2</v>
      </c>
    </row>
    <row r="20" spans="1:16" ht="17.25" x14ac:dyDescent="0.4">
      <c r="C20" s="12"/>
      <c r="D20" s="13"/>
      <c r="E20" s="7"/>
      <c r="F20" s="7"/>
      <c r="G20" s="109" t="s">
        <v>89</v>
      </c>
      <c r="H20" s="109"/>
      <c r="I20" s="109"/>
      <c r="J20" s="14">
        <f>SUM(I11:J19)</f>
        <v>196579.64817499983</v>
      </c>
      <c r="K20" s="55"/>
    </row>
    <row r="22" spans="1:16" x14ac:dyDescent="0.25">
      <c r="J22" s="68"/>
    </row>
  </sheetData>
  <mergeCells count="3">
    <mergeCell ref="G20:I20"/>
    <mergeCell ref="L9:M9"/>
    <mergeCell ref="O9:P9"/>
  </mergeCells>
  <dataValidations disablePrompts="1" count="1">
    <dataValidation type="list" allowBlank="1" showInputMessage="1" showErrorMessage="1" sqref="B11:B19" xr:uid="{7923C019-3289-42D3-B59E-92A5C17DB4AD}">
      <formula1>"kWh, kW, kVA"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CE82-C0B5-4814-A0CF-EA12D97A79E6}">
  <dimension ref="A1:S36"/>
  <sheetViews>
    <sheetView workbookViewId="0">
      <selection activeCell="M25" sqref="M25"/>
    </sheetView>
  </sheetViews>
  <sheetFormatPr defaultRowHeight="15" x14ac:dyDescent="0.25"/>
  <cols>
    <col min="1" max="1" width="53.28515625" bestFit="1" customWidth="1"/>
    <col min="2" max="2" width="16.140625" bestFit="1" customWidth="1"/>
    <col min="3" max="10" width="13.7109375" customWidth="1"/>
    <col min="11" max="11" width="1.7109375" customWidth="1"/>
    <col min="12" max="13" width="11.7109375" customWidth="1"/>
    <col min="14" max="14" width="2" customWidth="1"/>
    <col min="15" max="16" width="11.7109375" customWidth="1"/>
    <col min="18" max="18" width="15" customWidth="1"/>
  </cols>
  <sheetData>
    <row r="1" spans="1:19" x14ac:dyDescent="0.25">
      <c r="A1" t="s">
        <v>87</v>
      </c>
    </row>
    <row r="3" spans="1:19" x14ac:dyDescent="0.25">
      <c r="A3" s="1" t="s">
        <v>0</v>
      </c>
      <c r="B3" s="2" t="s">
        <v>43</v>
      </c>
    </row>
    <row r="4" spans="1:19" x14ac:dyDescent="0.25">
      <c r="A4" s="1" t="s">
        <v>1</v>
      </c>
      <c r="B4" s="2" t="s">
        <v>44</v>
      </c>
    </row>
    <row r="5" spans="1:19" x14ac:dyDescent="0.25">
      <c r="A5" s="1" t="s">
        <v>2</v>
      </c>
      <c r="B5" s="3">
        <v>1</v>
      </c>
      <c r="O5" t="s">
        <v>54</v>
      </c>
      <c r="P5">
        <v>12</v>
      </c>
    </row>
    <row r="6" spans="1:19" x14ac:dyDescent="0.25">
      <c r="A6" s="1" t="s">
        <v>3</v>
      </c>
      <c r="B6" s="4">
        <v>11</v>
      </c>
      <c r="O6" t="s">
        <v>55</v>
      </c>
      <c r="P6">
        <v>11</v>
      </c>
    </row>
    <row r="7" spans="1:19" x14ac:dyDescent="0.25">
      <c r="A7" s="1" t="s">
        <v>4</v>
      </c>
      <c r="B7" s="2" t="s">
        <v>45</v>
      </c>
    </row>
    <row r="9" spans="1:19" x14ac:dyDescent="0.25">
      <c r="A9" s="5" t="s">
        <v>5</v>
      </c>
      <c r="C9" s="6"/>
      <c r="L9" s="110" t="s">
        <v>78</v>
      </c>
      <c r="M9" s="110"/>
      <c r="O9" s="110" t="s">
        <v>79</v>
      </c>
      <c r="P9" s="110"/>
    </row>
    <row r="10" spans="1:19" ht="75" x14ac:dyDescent="0.25">
      <c r="A10" s="8" t="s">
        <v>6</v>
      </c>
      <c r="B10" s="50" t="s">
        <v>7</v>
      </c>
      <c r="C10" s="51" t="s">
        <v>41</v>
      </c>
      <c r="D10" s="51" t="s">
        <v>42</v>
      </c>
      <c r="E10" s="54" t="s">
        <v>50</v>
      </c>
      <c r="F10" s="54" t="s">
        <v>51</v>
      </c>
      <c r="G10" s="54" t="s">
        <v>8</v>
      </c>
      <c r="H10" s="54" t="s">
        <v>9</v>
      </c>
      <c r="I10" s="54" t="s">
        <v>47</v>
      </c>
      <c r="J10" s="54" t="s">
        <v>46</v>
      </c>
      <c r="K10" s="70"/>
      <c r="L10" s="65" t="s">
        <v>52</v>
      </c>
      <c r="M10" s="65" t="s">
        <v>53</v>
      </c>
      <c r="O10" s="64" t="s">
        <v>52</v>
      </c>
      <c r="P10" s="64" t="s">
        <v>53</v>
      </c>
    </row>
    <row r="11" spans="1:19" x14ac:dyDescent="0.25">
      <c r="A11" t="s">
        <v>26</v>
      </c>
      <c r="B11" s="10" t="s">
        <v>27</v>
      </c>
      <c r="C11" s="10">
        <v>38.557859999999998</v>
      </c>
      <c r="D11" s="11">
        <v>0</v>
      </c>
      <c r="E11" s="10">
        <v>37.29</v>
      </c>
      <c r="F11" s="11"/>
      <c r="G11" s="10">
        <f>+C11-E11</f>
        <v>1.2678599999999989</v>
      </c>
      <c r="H11" s="11">
        <f>+D11-F11</f>
        <v>0</v>
      </c>
      <c r="I11" s="10">
        <f>+G11*'2024 Billing Determinents'!N7</f>
        <v>57924.719819999948</v>
      </c>
      <c r="J11" s="10"/>
      <c r="K11" s="71"/>
      <c r="L11" s="66">
        <f>+I11/'2024 Billing Determinents'!N7/12</f>
        <v>0.1056549999999999</v>
      </c>
      <c r="M11" s="67"/>
      <c r="N11" s="58"/>
      <c r="O11" s="66">
        <f t="shared" ref="O11:O16" si="0">+L11*$P$5/$P$6</f>
        <v>0.1152599999999999</v>
      </c>
      <c r="P11" s="66"/>
      <c r="Q11" s="59"/>
      <c r="R11" s="56"/>
      <c r="S11" s="68"/>
    </row>
    <row r="12" spans="1:19" x14ac:dyDescent="0.25">
      <c r="A12" t="s">
        <v>28</v>
      </c>
      <c r="B12" s="10" t="s">
        <v>27</v>
      </c>
      <c r="C12" s="10">
        <v>32.405560000000001</v>
      </c>
      <c r="D12" s="11">
        <v>2.3988799999999998E-2</v>
      </c>
      <c r="E12" s="10">
        <v>31.34</v>
      </c>
      <c r="F12" s="11">
        <v>2.3199999999999998E-2</v>
      </c>
      <c r="G12" s="10">
        <f t="shared" ref="G12:H16" si="1">+C12-E12</f>
        <v>1.0655600000000014</v>
      </c>
      <c r="H12" s="11">
        <f t="shared" si="1"/>
        <v>7.8879999999999922E-4</v>
      </c>
      <c r="I12" s="10">
        <f>+G12*'2024 Billing Determinents'!N8</f>
        <v>2635.1298800000036</v>
      </c>
      <c r="J12" s="10">
        <f>+H12*'2024 Billing Determinents'!E8/12</f>
        <v>6043.572163866661</v>
      </c>
      <c r="K12" s="71"/>
      <c r="L12" s="66">
        <f>+I12/'2024 Billing Determinents'!N8/12</f>
        <v>8.8796666666666788E-2</v>
      </c>
      <c r="M12" s="67">
        <f>+J12/'2024 Billing Determinents'!E8</f>
        <v>6.5733333333333269E-5</v>
      </c>
      <c r="N12" s="58"/>
      <c r="O12" s="66">
        <f t="shared" si="0"/>
        <v>9.686909090909103E-2</v>
      </c>
      <c r="P12" s="67">
        <f>+M12*$P$5/$P$6</f>
        <v>7.1709090909090843E-5</v>
      </c>
      <c r="Q12" s="59"/>
      <c r="R12" s="56"/>
      <c r="S12" s="68"/>
    </row>
    <row r="13" spans="1:19" x14ac:dyDescent="0.25">
      <c r="A13" t="s">
        <v>29</v>
      </c>
      <c r="B13" s="10" t="s">
        <v>30</v>
      </c>
      <c r="C13" s="10">
        <v>246.84682000000001</v>
      </c>
      <c r="D13" s="11">
        <v>4.9301120000000003</v>
      </c>
      <c r="E13" s="10">
        <v>238.73</v>
      </c>
      <c r="F13" s="11">
        <v>4.7679999999999998</v>
      </c>
      <c r="G13" s="10">
        <f t="shared" si="1"/>
        <v>8.1168200000000184</v>
      </c>
      <c r="H13" s="11">
        <f t="shared" si="1"/>
        <v>0.16211200000000048</v>
      </c>
      <c r="I13" s="10">
        <f>+G13*'2024 Billing Determinents'!N9</f>
        <v>3189.9102600000074</v>
      </c>
      <c r="J13" s="10">
        <f>+H13*'2024 Billing Determinents'!F9/12</f>
        <v>12613.813136000039</v>
      </c>
      <c r="K13" s="71"/>
      <c r="L13" s="66">
        <f>+I13/'2024 Billing Determinents'!N9/12</f>
        <v>0.67640166666666823</v>
      </c>
      <c r="M13" s="67">
        <f>+J13/'2024 Billing Determinents'!F9</f>
        <v>1.3509333333333375E-2</v>
      </c>
      <c r="N13" s="58"/>
      <c r="O13" s="66">
        <f t="shared" si="0"/>
        <v>0.73789272727272892</v>
      </c>
      <c r="P13" s="67">
        <f>+M13*$P$5/$P$6</f>
        <v>1.4737454545454592E-2</v>
      </c>
      <c r="Q13" s="59"/>
      <c r="R13" s="56"/>
      <c r="S13" s="68"/>
    </row>
    <row r="14" spans="1:19" x14ac:dyDescent="0.25">
      <c r="A14" t="s">
        <v>31</v>
      </c>
      <c r="B14" s="10" t="s">
        <v>27</v>
      </c>
      <c r="C14" s="10">
        <v>11.994400000000001</v>
      </c>
      <c r="D14" s="11">
        <v>3.8258E-2</v>
      </c>
      <c r="E14" s="10">
        <v>11.6</v>
      </c>
      <c r="F14" s="11">
        <v>3.6999999999999998E-2</v>
      </c>
      <c r="G14" s="10">
        <f t="shared" si="1"/>
        <v>0.39440000000000097</v>
      </c>
      <c r="H14" s="11">
        <f t="shared" si="1"/>
        <v>1.2580000000000022E-3</v>
      </c>
      <c r="I14" s="10">
        <f>+G14*'2024 Billing Determinents'!N10</f>
        <v>153.02720000000039</v>
      </c>
      <c r="J14" s="10">
        <f>+H14*'2024 Billing Determinents'!E10/12</f>
        <v>196.31823833333365</v>
      </c>
      <c r="K14" s="71"/>
      <c r="L14" s="66">
        <f>+I14/'2024 Billing Determinents'!N10/12</f>
        <v>3.2866666666666752E-2</v>
      </c>
      <c r="M14" s="67">
        <f>+J14/'2024 Billing Determinents'!E10</f>
        <v>1.048333333333335E-4</v>
      </c>
      <c r="N14" s="58"/>
      <c r="O14" s="66">
        <f t="shared" si="0"/>
        <v>3.5854545454545549E-2</v>
      </c>
      <c r="P14" s="67">
        <f>+M14*$P$5/$P$6</f>
        <v>1.1436363636363654E-4</v>
      </c>
      <c r="Q14" s="59"/>
      <c r="R14" s="56"/>
      <c r="S14" s="68"/>
    </row>
    <row r="15" spans="1:19" x14ac:dyDescent="0.25">
      <c r="A15" t="s">
        <v>32</v>
      </c>
      <c r="B15" s="10" t="s">
        <v>30</v>
      </c>
      <c r="C15" s="10">
        <v>7.0518800000000006</v>
      </c>
      <c r="D15" s="11">
        <v>18.9807244</v>
      </c>
      <c r="E15" s="10">
        <v>6.82</v>
      </c>
      <c r="F15" s="11">
        <v>18.3566</v>
      </c>
      <c r="G15" s="10">
        <f t="shared" si="1"/>
        <v>0.23188000000000031</v>
      </c>
      <c r="H15" s="11">
        <f t="shared" si="1"/>
        <v>0.62412439999999947</v>
      </c>
      <c r="I15" s="10">
        <f>+G15*'2024 Billing Determinents'!N11</f>
        <v>10.434600000000014</v>
      </c>
      <c r="J15" s="10">
        <f>+H15*'2024 Billing Determinents'!F11/12</f>
        <v>4.3168604333333294</v>
      </c>
      <c r="K15" s="71"/>
      <c r="L15" s="66">
        <f>+I15/'2024 Billing Determinents'!N11/12</f>
        <v>1.9323333333333359E-2</v>
      </c>
      <c r="M15" s="67">
        <f>+J15/'2024 Billing Determinents'!F11</f>
        <v>5.201036666666662E-2</v>
      </c>
      <c r="N15" s="58"/>
      <c r="O15" s="66">
        <f t="shared" si="0"/>
        <v>2.1080000000000029E-2</v>
      </c>
      <c r="P15" s="67">
        <f>+M15*$P$5/$P$6</f>
        <v>5.6738581818181769E-2</v>
      </c>
      <c r="Q15" s="59"/>
      <c r="R15" s="56"/>
      <c r="S15" s="68"/>
    </row>
    <row r="16" spans="1:19" ht="15.75" thickBot="1" x14ac:dyDescent="0.3">
      <c r="A16" s="37" t="s">
        <v>33</v>
      </c>
      <c r="B16" s="10" t="s">
        <v>30</v>
      </c>
      <c r="C16" s="10">
        <v>2.1714000000000002</v>
      </c>
      <c r="D16" s="11">
        <v>8.3047778000000019</v>
      </c>
      <c r="E16" s="10">
        <v>2.1</v>
      </c>
      <c r="F16" s="11">
        <v>8.0317000000000007</v>
      </c>
      <c r="G16" s="10">
        <f t="shared" si="1"/>
        <v>7.140000000000013E-2</v>
      </c>
      <c r="H16" s="11">
        <f t="shared" si="1"/>
        <v>0.27307780000000115</v>
      </c>
      <c r="I16" s="10">
        <f>+G16*'2024 Billing Determinents'!N12</f>
        <v>982.67820000000177</v>
      </c>
      <c r="J16" s="10">
        <f>+H16*'2024 Billing Determinents'!F12/12</f>
        <v>223.53693578333426</v>
      </c>
      <c r="K16" s="71"/>
      <c r="L16" s="66">
        <f>+I16/'2024 Billing Determinents'!N12/12</f>
        <v>5.9500000000000108E-3</v>
      </c>
      <c r="M16" s="67">
        <f>+J16/'2024 Billing Determinents'!F12</f>
        <v>2.2756483333333428E-2</v>
      </c>
      <c r="N16" s="58"/>
      <c r="O16" s="66">
        <f t="shared" si="0"/>
        <v>6.4909090909091027E-3</v>
      </c>
      <c r="P16" s="67">
        <f>+M16*$P$5/$P$6</f>
        <v>2.4825254545454648E-2</v>
      </c>
      <c r="Q16" s="59"/>
      <c r="R16" s="56"/>
      <c r="S16" s="56"/>
    </row>
    <row r="17" spans="3:13" ht="17.25" x14ac:dyDescent="0.4">
      <c r="C17" s="12"/>
      <c r="D17" s="13"/>
      <c r="E17" s="7"/>
      <c r="F17" s="7"/>
      <c r="G17" s="109" t="s">
        <v>12</v>
      </c>
      <c r="H17" s="109"/>
      <c r="I17" s="109"/>
      <c r="J17" s="14">
        <f>SUM(I11:J16)</f>
        <v>83977.457294416643</v>
      </c>
      <c r="K17" s="55"/>
      <c r="L17" s="7" t="s">
        <v>40</v>
      </c>
    </row>
    <row r="18" spans="3:13" x14ac:dyDescent="0.25">
      <c r="L18" s="7"/>
    </row>
    <row r="19" spans="3:13" x14ac:dyDescent="0.25">
      <c r="L19" s="72"/>
      <c r="M19" s="58"/>
    </row>
    <row r="20" spans="3:13" x14ac:dyDescent="0.25">
      <c r="L20" s="72"/>
      <c r="M20" s="58"/>
    </row>
    <row r="21" spans="3:13" x14ac:dyDescent="0.25">
      <c r="L21" s="72"/>
      <c r="M21" s="58"/>
    </row>
    <row r="22" spans="3:13" x14ac:dyDescent="0.25">
      <c r="L22" s="72"/>
      <c r="M22" s="58"/>
    </row>
    <row r="23" spans="3:13" x14ac:dyDescent="0.25">
      <c r="L23" s="72"/>
      <c r="M23" s="58"/>
    </row>
    <row r="24" spans="3:13" x14ac:dyDescent="0.25">
      <c r="L24" s="72"/>
      <c r="M24" s="58"/>
    </row>
    <row r="25" spans="3:13" x14ac:dyDescent="0.25">
      <c r="L25" s="7"/>
    </row>
    <row r="26" spans="3:13" x14ac:dyDescent="0.25">
      <c r="L26" s="7"/>
    </row>
    <row r="27" spans="3:13" x14ac:dyDescent="0.25">
      <c r="L27" s="7"/>
    </row>
    <row r="28" spans="3:13" x14ac:dyDescent="0.25">
      <c r="L28" s="7"/>
    </row>
    <row r="29" spans="3:13" x14ac:dyDescent="0.25">
      <c r="L29" s="7"/>
    </row>
    <row r="30" spans="3:13" x14ac:dyDescent="0.25">
      <c r="L30" s="7"/>
    </row>
    <row r="31" spans="3:13" x14ac:dyDescent="0.25">
      <c r="L31" s="7"/>
    </row>
    <row r="32" spans="3:13" x14ac:dyDescent="0.25">
      <c r="L32" s="7"/>
    </row>
    <row r="33" spans="12:12" x14ac:dyDescent="0.25">
      <c r="L33" s="7"/>
    </row>
    <row r="34" spans="12:12" x14ac:dyDescent="0.25">
      <c r="L34" s="7"/>
    </row>
    <row r="35" spans="12:12" x14ac:dyDescent="0.25">
      <c r="L35" s="7"/>
    </row>
    <row r="36" spans="12:12" x14ac:dyDescent="0.25">
      <c r="L36" s="7"/>
    </row>
  </sheetData>
  <mergeCells count="3">
    <mergeCell ref="G17:I17"/>
    <mergeCell ref="L9:M9"/>
    <mergeCell ref="O9:P9"/>
  </mergeCells>
  <dataValidations disablePrompts="1" count="1">
    <dataValidation type="list" allowBlank="1" showInputMessage="1" showErrorMessage="1" sqref="B11:B16" xr:uid="{5AACBFE7-9199-4B5C-827A-C19E5AD4C51E}">
      <formula1>"kWh, kW, kVA"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5F2E-63A3-4189-A685-54362A52E6D3}">
  <dimension ref="A1:M31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3" sqref="F13"/>
    </sheetView>
  </sheetViews>
  <sheetFormatPr defaultRowHeight="15" x14ac:dyDescent="0.25"/>
  <cols>
    <col min="1" max="1" width="53.28515625" bestFit="1" customWidth="1"/>
    <col min="2" max="2" width="16.140625" customWidth="1"/>
    <col min="3" max="6" width="13.5703125" customWidth="1"/>
    <col min="7" max="7" width="1.7109375" customWidth="1"/>
    <col min="8" max="8" width="13.7109375" customWidth="1"/>
    <col min="9" max="9" width="13.42578125" customWidth="1"/>
    <col min="10" max="10" width="3" customWidth="1"/>
    <col min="11" max="12" width="14.85546875" customWidth="1"/>
    <col min="16338" max="16340" width="8.7109375" bestFit="1" customWidth="1"/>
    <col min="16341" max="16384" width="8.7109375" customWidth="1"/>
  </cols>
  <sheetData>
    <row r="1" spans="1:13" x14ac:dyDescent="0.25">
      <c r="A1" t="s">
        <v>86</v>
      </c>
    </row>
    <row r="3" spans="1:13" x14ac:dyDescent="0.25">
      <c r="A3" s="1" t="s">
        <v>0</v>
      </c>
      <c r="B3" s="2" t="s">
        <v>43</v>
      </c>
    </row>
    <row r="4" spans="1:13" x14ac:dyDescent="0.25">
      <c r="A4" s="1" t="s">
        <v>1</v>
      </c>
      <c r="B4" s="2" t="s">
        <v>44</v>
      </c>
    </row>
    <row r="5" spans="1:13" x14ac:dyDescent="0.25">
      <c r="A5" s="1" t="s">
        <v>2</v>
      </c>
      <c r="B5" s="3">
        <v>1</v>
      </c>
      <c r="K5" t="s">
        <v>54</v>
      </c>
      <c r="L5">
        <v>12</v>
      </c>
    </row>
    <row r="6" spans="1:13" x14ac:dyDescent="0.25">
      <c r="A6" s="1" t="s">
        <v>3</v>
      </c>
      <c r="B6" s="4">
        <v>11</v>
      </c>
      <c r="K6" t="s">
        <v>55</v>
      </c>
      <c r="L6">
        <v>11</v>
      </c>
    </row>
    <row r="7" spans="1:13" x14ac:dyDescent="0.25">
      <c r="A7" s="1" t="s">
        <v>4</v>
      </c>
      <c r="B7" s="2" t="s">
        <v>45</v>
      </c>
    </row>
    <row r="9" spans="1:13" x14ac:dyDescent="0.25">
      <c r="A9" s="5" t="s">
        <v>5</v>
      </c>
      <c r="H9" s="110" t="s">
        <v>78</v>
      </c>
      <c r="I9" s="110"/>
      <c r="K9" s="110" t="s">
        <v>79</v>
      </c>
      <c r="L9" s="110"/>
    </row>
    <row r="10" spans="1:13" ht="135" x14ac:dyDescent="0.25">
      <c r="A10" s="63" t="s">
        <v>6</v>
      </c>
      <c r="B10" s="101" t="s">
        <v>7</v>
      </c>
      <c r="C10" s="54" t="s">
        <v>80</v>
      </c>
      <c r="D10" s="54" t="s">
        <v>81</v>
      </c>
      <c r="E10" s="54" t="s">
        <v>82</v>
      </c>
      <c r="F10" s="54" t="s">
        <v>83</v>
      </c>
      <c r="G10" s="70"/>
      <c r="H10" s="65" t="s">
        <v>85</v>
      </c>
      <c r="I10" s="65" t="s">
        <v>84</v>
      </c>
      <c r="K10" s="65" t="s">
        <v>85</v>
      </c>
      <c r="L10" s="65" t="s">
        <v>84</v>
      </c>
    </row>
    <row r="11" spans="1:13" x14ac:dyDescent="0.25">
      <c r="A11" t="s">
        <v>26</v>
      </c>
      <c r="B11" s="9" t="s">
        <v>27</v>
      </c>
      <c r="C11" s="10">
        <v>0.13</v>
      </c>
      <c r="D11" s="11">
        <v>0</v>
      </c>
      <c r="E11" s="10">
        <f>+C11*'2024 Billing Determinents'!N20</f>
        <v>15380.69</v>
      </c>
      <c r="F11" s="10"/>
      <c r="G11" s="71"/>
      <c r="H11" s="66">
        <f>+E11/'2024 Billing Determinents'!N20/12</f>
        <v>1.0833333333333334E-2</v>
      </c>
      <c r="I11" s="67"/>
      <c r="K11" s="66">
        <f t="shared" ref="K11:K19" si="0">+H11*$L$5/$L$6</f>
        <v>1.1818181818181818E-2</v>
      </c>
      <c r="L11" s="67"/>
      <c r="M11" s="68"/>
    </row>
    <row r="12" spans="1:13" x14ac:dyDescent="0.25">
      <c r="A12" s="48" t="s">
        <v>36</v>
      </c>
      <c r="B12" s="52" t="s">
        <v>27</v>
      </c>
      <c r="C12" s="10">
        <v>0.23</v>
      </c>
      <c r="D12" s="11">
        <v>0</v>
      </c>
      <c r="E12" s="10">
        <f>+C12*'2024 Billing Determinents'!N21</f>
        <v>358.8</v>
      </c>
      <c r="F12" s="10">
        <v>0</v>
      </c>
      <c r="G12" s="71"/>
      <c r="H12" s="66">
        <f>+E12/'2024 Billing Determinents'!N21/12</f>
        <v>1.9166666666666669E-2</v>
      </c>
      <c r="I12" s="67"/>
      <c r="K12" s="66">
        <f t="shared" si="0"/>
        <v>2.0909090909090912E-2</v>
      </c>
      <c r="L12" s="67"/>
    </row>
    <row r="13" spans="1:13" x14ac:dyDescent="0.25">
      <c r="A13" s="48" t="s">
        <v>28</v>
      </c>
      <c r="B13" s="52" t="s">
        <v>27</v>
      </c>
      <c r="C13" s="10">
        <v>0.08</v>
      </c>
      <c r="D13" s="11">
        <v>1E-4</v>
      </c>
      <c r="E13" s="10">
        <f>+C13*'2024 Billing Determinents'!N22</f>
        <v>760.48</v>
      </c>
      <c r="F13" s="10">
        <f>+D13*'2024 Billing Determinents'!E22/12</f>
        <v>2451.7010249999998</v>
      </c>
      <c r="G13" s="71"/>
      <c r="H13" s="66">
        <f>+E13/'2024 Billing Determinents'!N22/12</f>
        <v>6.6666666666666671E-3</v>
      </c>
      <c r="I13" s="67">
        <f>+F13/'2024 Billing Determinents'!E22</f>
        <v>8.333333333333332E-6</v>
      </c>
      <c r="K13" s="66">
        <f t="shared" si="0"/>
        <v>7.2727272727272727E-3</v>
      </c>
      <c r="L13" s="67">
        <f t="shared" ref="L13:L19" si="1">+I13*$L$5/$L$6</f>
        <v>9.0909090909090893E-6</v>
      </c>
    </row>
    <row r="14" spans="1:13" x14ac:dyDescent="0.25">
      <c r="A14" s="48" t="s">
        <v>37</v>
      </c>
      <c r="B14" s="52" t="s">
        <v>30</v>
      </c>
      <c r="C14" s="10">
        <v>0.52</v>
      </c>
      <c r="D14" s="11">
        <v>1.6E-2</v>
      </c>
      <c r="E14" s="10">
        <f>+C14*'2024 Billing Determinents'!N23</f>
        <v>559</v>
      </c>
      <c r="F14" s="10">
        <f>+D14*'2024 Billing Determinents'!F23/12</f>
        <v>2928.6373333333336</v>
      </c>
      <c r="G14" s="71"/>
      <c r="H14" s="66">
        <f>+E14/'2024 Billing Determinents'!N23/12</f>
        <v>4.3333333333333335E-2</v>
      </c>
      <c r="I14" s="67">
        <f>+F14/'2024 Billing Determinents'!F23</f>
        <v>1.3333333333333335E-3</v>
      </c>
      <c r="K14" s="66">
        <f t="shared" si="0"/>
        <v>4.7272727272727272E-2</v>
      </c>
      <c r="L14" s="67">
        <f t="shared" si="1"/>
        <v>1.4545454545454547E-3</v>
      </c>
    </row>
    <row r="15" spans="1:13" x14ac:dyDescent="0.25">
      <c r="A15" t="s">
        <v>38</v>
      </c>
      <c r="B15" s="9" t="s">
        <v>30</v>
      </c>
      <c r="C15" s="10">
        <v>27.27</v>
      </c>
      <c r="D15" s="11">
        <v>1.01E-2</v>
      </c>
      <c r="E15" s="10">
        <f>+C15*'2024 Billing Determinents'!N24</f>
        <v>136.35</v>
      </c>
      <c r="F15" s="10">
        <f>+D15*'2024 Billing Determinents'!F24/12</f>
        <v>177.35684166666667</v>
      </c>
      <c r="G15" s="71"/>
      <c r="H15" s="66">
        <f>+E15/'2024 Billing Determinents'!N24/12</f>
        <v>2.2725</v>
      </c>
      <c r="I15" s="67">
        <f>+F15/'2024 Billing Determinents'!F24</f>
        <v>8.4166666666666667E-4</v>
      </c>
      <c r="K15" s="66">
        <f t="shared" si="0"/>
        <v>2.479090909090909</v>
      </c>
      <c r="L15" s="67">
        <f t="shared" si="1"/>
        <v>9.181818181818181E-4</v>
      </c>
    </row>
    <row r="16" spans="1:13" x14ac:dyDescent="0.25">
      <c r="A16" t="s">
        <v>39</v>
      </c>
      <c r="B16" s="9" t="s">
        <v>30</v>
      </c>
      <c r="C16" s="10">
        <v>40.97</v>
      </c>
      <c r="D16" s="11">
        <v>1.43E-2</v>
      </c>
      <c r="E16" s="10">
        <f>+C16*'2024 Billing Determinents'!N25</f>
        <v>204.85</v>
      </c>
      <c r="F16" s="10">
        <f>+D16*'2024 Billing Determinents'!F25/12</f>
        <v>632.31978333333336</v>
      </c>
      <c r="G16" s="71"/>
      <c r="H16" s="66">
        <f>+E16/'2024 Billing Determinents'!N25/12</f>
        <v>3.4141666666666666</v>
      </c>
      <c r="I16" s="67">
        <f>+F16/'2024 Billing Determinents'!F25</f>
        <v>1.1916666666666668E-3</v>
      </c>
      <c r="K16" s="66">
        <f t="shared" si="0"/>
        <v>3.7245454545454546</v>
      </c>
      <c r="L16" s="67">
        <f t="shared" si="1"/>
        <v>1.3000000000000002E-3</v>
      </c>
    </row>
    <row r="17" spans="1:12" x14ac:dyDescent="0.25">
      <c r="A17" t="s">
        <v>31</v>
      </c>
      <c r="B17" s="9" t="s">
        <v>27</v>
      </c>
      <c r="C17" s="10">
        <v>0.03</v>
      </c>
      <c r="D17" s="11">
        <v>1E-4</v>
      </c>
      <c r="E17" s="10">
        <f>+C17*'2024 Billing Determinents'!N26</f>
        <v>23.939999999999998</v>
      </c>
      <c r="F17" s="10">
        <f>+D17*'2024 Billing Determinents'!E26/12</f>
        <v>37.850741666666671</v>
      </c>
      <c r="G17" s="71"/>
      <c r="H17" s="66">
        <f>+E17/'2024 Billing Determinents'!N26/12</f>
        <v>2.4999999999999996E-3</v>
      </c>
      <c r="I17" s="67">
        <f>+F17/'2024 Billing Determinents'!E26</f>
        <v>8.3333333333333337E-6</v>
      </c>
      <c r="K17" s="66">
        <f t="shared" si="0"/>
        <v>2.7272727272727271E-3</v>
      </c>
      <c r="L17" s="67">
        <f t="shared" si="1"/>
        <v>9.090909090909091E-6</v>
      </c>
    </row>
    <row r="18" spans="1:12" ht="15" customHeight="1" x14ac:dyDescent="0.25">
      <c r="A18" t="s">
        <v>32</v>
      </c>
      <c r="B18" s="9" t="s">
        <v>30</v>
      </c>
      <c r="C18" s="10">
        <v>0.02</v>
      </c>
      <c r="D18" s="11">
        <v>6.6000000000000003E-2</v>
      </c>
      <c r="E18" s="10">
        <f>+C18*'2024 Billing Determinents'!N27</f>
        <v>4.72</v>
      </c>
      <c r="F18" s="10">
        <f>+D18*'2024 Billing Determinents'!F27/12</f>
        <v>3.3109999999999999</v>
      </c>
      <c r="G18" s="71"/>
      <c r="H18" s="66">
        <f>+E18/'2024 Billing Determinents'!N27/12</f>
        <v>1.6666666666666668E-3</v>
      </c>
      <c r="I18" s="67">
        <f>+F18/'2024 Billing Determinents'!F27</f>
        <v>5.4999999999999997E-3</v>
      </c>
      <c r="K18" s="66">
        <f t="shared" si="0"/>
        <v>1.8181818181818182E-3</v>
      </c>
      <c r="L18" s="67">
        <f t="shared" si="1"/>
        <v>6.0000000000000001E-3</v>
      </c>
    </row>
    <row r="19" spans="1:12" ht="15.75" thickBot="1" x14ac:dyDescent="0.3">
      <c r="A19" s="37" t="s">
        <v>33</v>
      </c>
      <c r="B19" s="9" t="s">
        <v>30</v>
      </c>
      <c r="C19" s="10">
        <v>0</v>
      </c>
      <c r="D19" s="11">
        <v>1.7999999999999999E-2</v>
      </c>
      <c r="E19" s="10">
        <f>+C19*'2024 Billing Determinents'!N28</f>
        <v>0</v>
      </c>
      <c r="F19" s="10">
        <f>+D19*'2024 Billing Determinents'!F28/12</f>
        <v>48.253499999999995</v>
      </c>
      <c r="G19" s="71"/>
      <c r="H19" s="66">
        <f>+E19/'2024 Billing Determinents'!N28/12</f>
        <v>0</v>
      </c>
      <c r="I19" s="67">
        <f>+F19/'2024 Billing Determinents'!F28</f>
        <v>1.4999999999999998E-3</v>
      </c>
      <c r="K19" s="66">
        <f t="shared" si="0"/>
        <v>0</v>
      </c>
      <c r="L19" s="67">
        <f t="shared" si="1"/>
        <v>1.6363636363636363E-3</v>
      </c>
    </row>
    <row r="20" spans="1:12" ht="17.25" x14ac:dyDescent="0.4">
      <c r="C20" s="111" t="s">
        <v>12</v>
      </c>
      <c r="D20" s="111"/>
      <c r="E20" s="111"/>
      <c r="F20" s="69">
        <f>SUM(E11:F19)</f>
        <v>23708.260224999995</v>
      </c>
      <c r="G20" s="69"/>
    </row>
    <row r="22" spans="1:12" x14ac:dyDescent="0.25">
      <c r="F22" s="68"/>
    </row>
    <row r="31" spans="1:12" x14ac:dyDescent="0.25">
      <c r="H31" t="s">
        <v>40</v>
      </c>
      <c r="I31" t="s">
        <v>40</v>
      </c>
    </row>
  </sheetData>
  <mergeCells count="3">
    <mergeCell ref="H9:I9"/>
    <mergeCell ref="K9:L9"/>
    <mergeCell ref="C20:E20"/>
  </mergeCells>
  <dataValidations count="1">
    <dataValidation type="list" allowBlank="1" showInputMessage="1" showErrorMessage="1" sqref="B11:B19" xr:uid="{BAB67158-6C9D-40A4-8881-A7F4535E821F}">
      <formula1>"kWh, kW, kVA"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4E46-995E-4A1B-83E7-EA9812A7F509}">
  <dimension ref="B2:AB29"/>
  <sheetViews>
    <sheetView tabSelected="1" workbookViewId="0">
      <selection activeCell="R6" sqref="R6"/>
    </sheetView>
  </sheetViews>
  <sheetFormatPr defaultRowHeight="15" x14ac:dyDescent="0.25"/>
  <cols>
    <col min="2" max="2" width="17" customWidth="1"/>
    <col min="3" max="8" width="0" hidden="1" customWidth="1"/>
    <col min="9" max="11" width="12" customWidth="1"/>
    <col min="12" max="12" width="12.42578125" customWidth="1"/>
    <col min="13" max="13" width="10.28515625" customWidth="1"/>
    <col min="14" max="14" width="5" customWidth="1"/>
    <col min="15" max="15" width="8.7109375" bestFit="1" customWidth="1"/>
    <col min="16" max="16" width="13.7109375" customWidth="1"/>
    <col min="17" max="17" width="8.7109375" bestFit="1" customWidth="1"/>
    <col min="18" max="19" width="15.85546875" customWidth="1"/>
    <col min="20" max="22" width="8.7109375" bestFit="1" customWidth="1"/>
    <col min="23" max="23" width="12" bestFit="1" customWidth="1"/>
    <col min="24" max="27" width="8.7109375" bestFit="1" customWidth="1"/>
    <col min="28" max="28" width="12" bestFit="1" customWidth="1"/>
  </cols>
  <sheetData>
    <row r="2" spans="2:19" x14ac:dyDescent="0.25">
      <c r="B2" t="s">
        <v>40</v>
      </c>
    </row>
    <row r="3" spans="2:19" x14ac:dyDescent="0.25">
      <c r="B3" s="73"/>
      <c r="P3" t="s">
        <v>54</v>
      </c>
      <c r="Q3">
        <v>12</v>
      </c>
    </row>
    <row r="4" spans="2:19" x14ac:dyDescent="0.25">
      <c r="B4" s="53" t="s">
        <v>56</v>
      </c>
      <c r="C4" s="53"/>
      <c r="D4" s="53"/>
      <c r="E4" s="53"/>
      <c r="F4" s="53"/>
      <c r="P4" t="s">
        <v>55</v>
      </c>
      <c r="Q4">
        <v>11</v>
      </c>
    </row>
    <row r="5" spans="2:19" x14ac:dyDescent="0.25">
      <c r="B5" s="74"/>
      <c r="C5" s="75" t="s">
        <v>57</v>
      </c>
      <c r="D5" s="75"/>
      <c r="E5" s="75" t="s">
        <v>58</v>
      </c>
      <c r="F5" s="75"/>
      <c r="G5" s="75" t="s">
        <v>59</v>
      </c>
      <c r="H5" s="75"/>
      <c r="I5" s="75" t="s">
        <v>60</v>
      </c>
      <c r="J5" s="75"/>
      <c r="K5" s="75" t="s">
        <v>61</v>
      </c>
      <c r="L5" s="74" t="s">
        <v>40</v>
      </c>
      <c r="M5" s="76" t="s">
        <v>62</v>
      </c>
      <c r="N5" s="74"/>
      <c r="P5" t="s">
        <v>40</v>
      </c>
    </row>
    <row r="6" spans="2:19" ht="77.25" x14ac:dyDescent="0.25">
      <c r="B6" s="77" t="s">
        <v>63</v>
      </c>
      <c r="C6" s="78" t="s">
        <v>64</v>
      </c>
      <c r="D6" s="78" t="s">
        <v>65</v>
      </c>
      <c r="E6" s="78" t="s">
        <v>66</v>
      </c>
      <c r="F6" s="78" t="s">
        <v>65</v>
      </c>
      <c r="G6" s="78" t="s">
        <v>66</v>
      </c>
      <c r="H6" s="78" t="s">
        <v>65</v>
      </c>
      <c r="I6" s="78" t="s">
        <v>66</v>
      </c>
      <c r="J6" s="78" t="s">
        <v>65</v>
      </c>
      <c r="K6" s="78" t="s">
        <v>66</v>
      </c>
      <c r="L6" s="78" t="s">
        <v>67</v>
      </c>
      <c r="M6" s="78" t="s">
        <v>49</v>
      </c>
      <c r="N6" s="78" t="s">
        <v>68</v>
      </c>
      <c r="P6" s="78" t="s">
        <v>77</v>
      </c>
      <c r="Q6" s="78" t="s">
        <v>68</v>
      </c>
    </row>
    <row r="7" spans="2:19" x14ac:dyDescent="0.25">
      <c r="B7" s="79" t="s">
        <v>69</v>
      </c>
      <c r="C7" s="80">
        <v>78787.429999999993</v>
      </c>
      <c r="D7" s="81">
        <v>1.034</v>
      </c>
      <c r="E7" s="82">
        <f t="shared" ref="E7:E12" si="0">+C7*D7</f>
        <v>81466.202619999996</v>
      </c>
      <c r="F7" s="81">
        <v>1.0449999999999999</v>
      </c>
      <c r="G7" s="82">
        <f t="shared" ref="G7:G12" si="1">+E7*F7</f>
        <v>85132.181737899984</v>
      </c>
      <c r="H7" s="81">
        <v>1.0329999999999999</v>
      </c>
      <c r="I7" s="82">
        <f t="shared" ref="I7:I12" si="2">+G7*H7</f>
        <v>87941.543735250671</v>
      </c>
      <c r="J7" s="81">
        <v>1.034</v>
      </c>
      <c r="K7" s="82">
        <f t="shared" ref="K7:K12" si="3">+I7*J7</f>
        <v>90931.556222249201</v>
      </c>
      <c r="L7" s="83">
        <v>294204123</v>
      </c>
      <c r="M7" s="84">
        <f>ROUND(K7/L7,4)</f>
        <v>2.9999999999999997E-4</v>
      </c>
      <c r="N7" s="85" t="s">
        <v>27</v>
      </c>
      <c r="P7" s="67">
        <f t="shared" ref="P7:P12" si="4">+M7*$Q$3/$Q$4</f>
        <v>3.2727272727272726E-4</v>
      </c>
      <c r="Q7" s="85" t="s">
        <v>27</v>
      </c>
      <c r="R7" s="99"/>
      <c r="S7" s="100"/>
    </row>
    <row r="8" spans="2:19" x14ac:dyDescent="0.25">
      <c r="B8" s="79" t="s">
        <v>70</v>
      </c>
      <c r="C8" s="80">
        <v>283320.23</v>
      </c>
      <c r="D8" s="81">
        <v>1.034</v>
      </c>
      <c r="E8" s="82">
        <f t="shared" si="0"/>
        <v>292953.11781999998</v>
      </c>
      <c r="F8" s="81">
        <v>1.0449999999999999</v>
      </c>
      <c r="G8" s="82">
        <f t="shared" si="1"/>
        <v>306136.00812189997</v>
      </c>
      <c r="H8" s="81">
        <v>1.0329999999999999</v>
      </c>
      <c r="I8" s="82">
        <f t="shared" si="2"/>
        <v>316238.49638992263</v>
      </c>
      <c r="J8" s="81">
        <v>1.034</v>
      </c>
      <c r="K8" s="82">
        <f t="shared" si="3"/>
        <v>326990.60526718001</v>
      </c>
      <c r="L8" s="83">
        <v>2196478</v>
      </c>
      <c r="M8" s="84">
        <f>ROUND(K8/L8,4)</f>
        <v>0.1489</v>
      </c>
      <c r="N8" s="85" t="s">
        <v>30</v>
      </c>
      <c r="P8" s="67">
        <f t="shared" si="4"/>
        <v>0.16243636363636363</v>
      </c>
      <c r="Q8" s="85" t="s">
        <v>30</v>
      </c>
      <c r="R8" s="59"/>
      <c r="S8" s="62"/>
    </row>
    <row r="9" spans="2:19" x14ac:dyDescent="0.25">
      <c r="B9" s="79" t="s">
        <v>71</v>
      </c>
      <c r="C9" s="80">
        <v>17823.07</v>
      </c>
      <c r="D9" s="81">
        <v>1.034</v>
      </c>
      <c r="E9" s="82">
        <f t="shared" si="0"/>
        <v>18429.054380000001</v>
      </c>
      <c r="F9" s="81">
        <v>1.0449999999999999</v>
      </c>
      <c r="G9" s="82">
        <f t="shared" si="1"/>
        <v>19258.361827100001</v>
      </c>
      <c r="H9" s="81">
        <v>1.0329999999999999</v>
      </c>
      <c r="I9" s="82">
        <f t="shared" si="2"/>
        <v>19893.887767394299</v>
      </c>
      <c r="J9" s="81">
        <v>1.034</v>
      </c>
      <c r="K9" s="82">
        <f t="shared" si="3"/>
        <v>20570.279951485707</v>
      </c>
      <c r="L9" s="83">
        <v>210721</v>
      </c>
      <c r="M9" s="84">
        <f>ROUND(K9/L9,4)</f>
        <v>9.7600000000000006E-2</v>
      </c>
      <c r="N9" s="85" t="s">
        <v>30</v>
      </c>
      <c r="P9" s="67">
        <f t="shared" si="4"/>
        <v>0.10647272727272727</v>
      </c>
      <c r="Q9" s="85" t="s">
        <v>30</v>
      </c>
      <c r="R9" s="59"/>
      <c r="S9" s="62"/>
    </row>
    <row r="10" spans="2:19" x14ac:dyDescent="0.25">
      <c r="B10" s="79" t="s">
        <v>72</v>
      </c>
      <c r="C10" s="80">
        <v>102012.49</v>
      </c>
      <c r="D10" s="81">
        <v>1.034</v>
      </c>
      <c r="E10" s="82">
        <f t="shared" si="0"/>
        <v>105480.91466000001</v>
      </c>
      <c r="F10" s="81">
        <v>1.0449999999999999</v>
      </c>
      <c r="G10" s="82">
        <f t="shared" si="1"/>
        <v>110227.55581970001</v>
      </c>
      <c r="H10" s="81">
        <v>1.0329999999999999</v>
      </c>
      <c r="I10" s="82">
        <f t="shared" si="2"/>
        <v>113865.0651617501</v>
      </c>
      <c r="J10" s="81">
        <v>1.034</v>
      </c>
      <c r="K10" s="82">
        <f t="shared" si="3"/>
        <v>117736.47737724961</v>
      </c>
      <c r="L10" s="83">
        <v>530618</v>
      </c>
      <c r="M10" s="84">
        <f>ROUND(K10/L10,4)</f>
        <v>0.22189999999999999</v>
      </c>
      <c r="N10" s="85" t="s">
        <v>30</v>
      </c>
      <c r="P10" s="67">
        <f t="shared" si="4"/>
        <v>0.24207272727272724</v>
      </c>
      <c r="Q10" s="85" t="s">
        <v>30</v>
      </c>
      <c r="R10" s="59"/>
      <c r="S10" s="62"/>
    </row>
    <row r="11" spans="2:19" x14ac:dyDescent="0.25">
      <c r="B11" s="79" t="s">
        <v>73</v>
      </c>
      <c r="C11" s="80">
        <v>58.76</v>
      </c>
      <c r="D11" s="81">
        <v>1.034</v>
      </c>
      <c r="E11" s="82">
        <f t="shared" si="0"/>
        <v>60.757840000000002</v>
      </c>
      <c r="F11" s="81">
        <v>1.0449999999999999</v>
      </c>
      <c r="G11" s="82">
        <f t="shared" si="1"/>
        <v>63.491942799999997</v>
      </c>
      <c r="H11" s="81">
        <v>1.0329999999999999</v>
      </c>
      <c r="I11" s="82">
        <f t="shared" si="2"/>
        <v>65.587176912399997</v>
      </c>
      <c r="J11" s="81">
        <v>1.034</v>
      </c>
      <c r="K11" s="82">
        <f t="shared" si="3"/>
        <v>67.817140927421605</v>
      </c>
      <c r="L11" s="83">
        <v>4542089</v>
      </c>
      <c r="M11" s="84">
        <f>ROUND(K11/L11,4)</f>
        <v>0</v>
      </c>
      <c r="N11" s="85" t="s">
        <v>27</v>
      </c>
      <c r="P11" s="67">
        <f t="shared" si="4"/>
        <v>0</v>
      </c>
      <c r="Q11" s="85" t="s">
        <v>27</v>
      </c>
      <c r="R11" s="59"/>
      <c r="S11" s="62"/>
    </row>
    <row r="12" spans="2:19" x14ac:dyDescent="0.25">
      <c r="B12" s="79" t="s">
        <v>74</v>
      </c>
      <c r="C12" s="80">
        <v>86100.03</v>
      </c>
      <c r="D12" s="81">
        <v>1.034</v>
      </c>
      <c r="E12" s="82">
        <f t="shared" si="0"/>
        <v>89027.431020000004</v>
      </c>
      <c r="F12" s="81">
        <v>1.0449999999999999</v>
      </c>
      <c r="G12" s="82">
        <f t="shared" si="1"/>
        <v>93033.665415900003</v>
      </c>
      <c r="H12" s="81">
        <v>1.0329999999999999</v>
      </c>
      <c r="I12" s="82">
        <f t="shared" si="2"/>
        <v>96103.776374624693</v>
      </c>
      <c r="J12" s="81">
        <v>1.034</v>
      </c>
      <c r="K12" s="82">
        <f t="shared" si="3"/>
        <v>99371.304771361931</v>
      </c>
      <c r="L12" s="86">
        <v>32169</v>
      </c>
      <c r="M12" s="84">
        <f>(K12/L12)</f>
        <v>3.0890392853791515</v>
      </c>
      <c r="N12" s="85" t="s">
        <v>30</v>
      </c>
      <c r="P12" s="67">
        <f t="shared" si="4"/>
        <v>3.3698610385954382</v>
      </c>
      <c r="Q12" s="85" t="s">
        <v>30</v>
      </c>
      <c r="R12" s="59"/>
      <c r="S12" s="62"/>
    </row>
    <row r="13" spans="2:19" x14ac:dyDescent="0.25">
      <c r="B13" s="87"/>
      <c r="C13" s="88">
        <f>SUM(C7:C12)</f>
        <v>568102.01</v>
      </c>
      <c r="D13" s="88"/>
      <c r="E13" s="88">
        <f>SUM(E7:E12)</f>
        <v>587417.47833999991</v>
      </c>
      <c r="F13" s="87"/>
      <c r="G13" s="89">
        <f>SUM(G7:G12)</f>
        <v>613851.26486529992</v>
      </c>
      <c r="H13" s="89"/>
      <c r="I13" s="89">
        <f>SUM(I7:I12)</f>
        <v>634108.3566058547</v>
      </c>
      <c r="J13" s="89"/>
      <c r="K13" s="89">
        <f>SUM(K7:K12)</f>
        <v>655668.04073045379</v>
      </c>
      <c r="L13" s="90"/>
      <c r="M13" s="91"/>
      <c r="N13" s="92"/>
      <c r="R13" s="59"/>
      <c r="S13" s="62"/>
    </row>
    <row r="14" spans="2:19" x14ac:dyDescent="0.25">
      <c r="B14" s="74"/>
      <c r="C14" s="93"/>
      <c r="D14" s="93"/>
      <c r="E14" s="93"/>
      <c r="F14" s="74"/>
      <c r="G14" s="94"/>
      <c r="H14" s="94"/>
      <c r="I14" s="94"/>
      <c r="J14" s="94"/>
      <c r="K14" s="94"/>
      <c r="L14" s="74"/>
      <c r="M14" s="74"/>
      <c r="N14" s="74"/>
      <c r="R14" s="59"/>
      <c r="S14" s="62"/>
    </row>
    <row r="15" spans="2:19" x14ac:dyDescent="0.25">
      <c r="B15" s="74"/>
      <c r="C15" s="93"/>
      <c r="D15" s="93"/>
      <c r="E15" s="93"/>
      <c r="F15" s="74"/>
      <c r="G15" s="94"/>
      <c r="H15" s="94"/>
      <c r="I15" s="94"/>
      <c r="J15" s="94"/>
      <c r="K15" s="94"/>
      <c r="L15" s="74"/>
      <c r="M15" s="74"/>
      <c r="N15" s="74"/>
      <c r="R15" s="59"/>
      <c r="S15" s="62"/>
    </row>
    <row r="16" spans="2:19" x14ac:dyDescent="0.25">
      <c r="B16" s="74"/>
      <c r="C16" s="93"/>
      <c r="D16" s="93"/>
      <c r="E16" s="93"/>
      <c r="F16" s="74"/>
      <c r="G16" s="94"/>
      <c r="H16" s="94"/>
      <c r="I16" s="94"/>
      <c r="J16" s="94"/>
      <c r="K16" s="94"/>
      <c r="L16" s="74"/>
      <c r="M16" s="74"/>
      <c r="N16" s="74"/>
      <c r="R16" s="59"/>
      <c r="S16" s="62"/>
    </row>
    <row r="17" spans="2:28" x14ac:dyDescent="0.25">
      <c r="B17" s="74"/>
      <c r="C17" s="93"/>
      <c r="D17" s="93"/>
      <c r="E17" s="93"/>
      <c r="F17" s="74"/>
      <c r="G17" s="94"/>
      <c r="H17" s="94"/>
      <c r="I17" s="94"/>
      <c r="J17" s="94"/>
      <c r="K17" s="94"/>
      <c r="L17" s="74"/>
      <c r="M17" s="74"/>
      <c r="N17" s="74"/>
      <c r="R17" s="59"/>
      <c r="S17" s="62"/>
    </row>
    <row r="18" spans="2:28" x14ac:dyDescent="0.25"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 t="s">
        <v>40</v>
      </c>
      <c r="N18" s="74"/>
      <c r="R18" s="59"/>
      <c r="S18" s="62"/>
    </row>
    <row r="19" spans="2:28" x14ac:dyDescent="0.25">
      <c r="B19" s="95" t="s">
        <v>75</v>
      </c>
      <c r="C19" s="95"/>
      <c r="D19" s="95"/>
      <c r="E19" s="95"/>
      <c r="F19" s="95"/>
      <c r="G19" s="74"/>
      <c r="H19" s="74"/>
      <c r="I19" s="74"/>
      <c r="J19" s="74"/>
      <c r="K19" s="74"/>
      <c r="L19" s="74"/>
      <c r="M19" s="74"/>
      <c r="N19" s="74"/>
      <c r="R19" s="59"/>
      <c r="S19" s="62"/>
    </row>
    <row r="20" spans="2:28" x14ac:dyDescent="0.25">
      <c r="B20" s="74"/>
      <c r="C20" s="75" t="s">
        <v>57</v>
      </c>
      <c r="D20" s="75"/>
      <c r="E20" s="75" t="s">
        <v>58</v>
      </c>
      <c r="F20" s="75"/>
      <c r="G20" s="75" t="s">
        <v>59</v>
      </c>
      <c r="H20" s="75"/>
      <c r="I20" s="75" t="s">
        <v>60</v>
      </c>
      <c r="J20" s="75"/>
      <c r="K20" s="75" t="s">
        <v>61</v>
      </c>
      <c r="L20" s="74" t="s">
        <v>40</v>
      </c>
      <c r="M20" s="76" t="s">
        <v>62</v>
      </c>
      <c r="N20" s="74"/>
      <c r="R20" s="59"/>
      <c r="S20" s="62"/>
    </row>
    <row r="21" spans="2:28" ht="77.25" x14ac:dyDescent="0.25">
      <c r="B21" s="77" t="s">
        <v>63</v>
      </c>
      <c r="C21" s="78" t="s">
        <v>64</v>
      </c>
      <c r="D21" s="78" t="s">
        <v>65</v>
      </c>
      <c r="E21" s="78" t="s">
        <v>66</v>
      </c>
      <c r="F21" s="78" t="s">
        <v>65</v>
      </c>
      <c r="G21" s="78" t="s">
        <v>66</v>
      </c>
      <c r="H21" s="78" t="s">
        <v>65</v>
      </c>
      <c r="I21" s="78" t="s">
        <v>66</v>
      </c>
      <c r="J21" s="78" t="s">
        <v>65</v>
      </c>
      <c r="K21" s="78" t="s">
        <v>66</v>
      </c>
      <c r="L21" s="78" t="s">
        <v>67</v>
      </c>
      <c r="M21" s="78" t="s">
        <v>49</v>
      </c>
      <c r="N21" s="78" t="s">
        <v>68</v>
      </c>
      <c r="P21" s="78" t="s">
        <v>77</v>
      </c>
      <c r="Q21" s="78" t="s">
        <v>68</v>
      </c>
      <c r="R21" s="59"/>
      <c r="S21" s="62"/>
      <c r="W21" s="60"/>
      <c r="X21" s="60"/>
      <c r="Y21" s="60"/>
      <c r="Z21" s="60"/>
      <c r="AA21" s="60"/>
      <c r="AB21" s="60"/>
    </row>
    <row r="22" spans="2:28" x14ac:dyDescent="0.25">
      <c r="B22" s="79" t="s">
        <v>69</v>
      </c>
      <c r="C22" s="80">
        <v>28829.93</v>
      </c>
      <c r="D22" s="81">
        <v>1.034</v>
      </c>
      <c r="E22" s="82">
        <f>+C22*D22</f>
        <v>29810.14762</v>
      </c>
      <c r="F22" s="81">
        <v>1.0449999999999999</v>
      </c>
      <c r="G22" s="82">
        <f>+E22*F22</f>
        <v>31151.604262899997</v>
      </c>
      <c r="H22" s="81">
        <v>1.0329999999999999</v>
      </c>
      <c r="I22" s="82">
        <f>+G22*H22</f>
        <v>32179.607203575695</v>
      </c>
      <c r="J22" s="81">
        <v>1.034</v>
      </c>
      <c r="K22" s="82">
        <f>+I22*J22</f>
        <v>33273.713848497267</v>
      </c>
      <c r="L22" s="83">
        <v>91940753</v>
      </c>
      <c r="M22" s="84">
        <f>ROUND(K22/L22,4)</f>
        <v>4.0000000000000002E-4</v>
      </c>
      <c r="N22" s="85" t="s">
        <v>27</v>
      </c>
      <c r="P22" s="67">
        <f>+M22*$Q$3/$Q$4</f>
        <v>4.3636363636363642E-4</v>
      </c>
      <c r="Q22" s="85" t="s">
        <v>27</v>
      </c>
      <c r="R22" s="59"/>
      <c r="S22" s="62"/>
      <c r="W22" s="60"/>
      <c r="X22" s="60"/>
      <c r="Y22" s="60"/>
      <c r="Z22" s="60"/>
      <c r="AA22" s="60"/>
      <c r="AB22" s="60"/>
    </row>
    <row r="23" spans="2:28" x14ac:dyDescent="0.25">
      <c r="B23" s="79" t="s">
        <v>76</v>
      </c>
      <c r="C23" s="80">
        <v>196539.51</v>
      </c>
      <c r="D23" s="81">
        <v>1.034</v>
      </c>
      <c r="E23" s="82">
        <f>+C23*D23</f>
        <v>203221.85334</v>
      </c>
      <c r="F23" s="81">
        <v>1.0449999999999999</v>
      </c>
      <c r="G23" s="82">
        <f>+E23*F23</f>
        <v>212366.8367403</v>
      </c>
      <c r="H23" s="81">
        <v>1.0329999999999999</v>
      </c>
      <c r="I23" s="82">
        <f>+G23*H23+1</f>
        <v>219375.94235272988</v>
      </c>
      <c r="J23" s="81">
        <v>1.034</v>
      </c>
      <c r="K23" s="82">
        <f>+I23*J23</f>
        <v>226834.72439272271</v>
      </c>
      <c r="L23" s="83">
        <v>933711</v>
      </c>
      <c r="M23" s="84">
        <f>ROUND(K23/L23,4)</f>
        <v>0.2429</v>
      </c>
      <c r="N23" s="85" t="s">
        <v>30</v>
      </c>
      <c r="P23" s="67">
        <f>+M23*$Q$3/$Q$4</f>
        <v>0.26498181818181821</v>
      </c>
      <c r="Q23" s="85" t="s">
        <v>30</v>
      </c>
      <c r="R23" s="59"/>
      <c r="S23" s="62"/>
      <c r="W23" s="60"/>
      <c r="X23" s="60"/>
      <c r="Y23" s="60"/>
      <c r="Z23" s="60"/>
      <c r="AA23" s="60"/>
      <c r="AB23" s="60"/>
    </row>
    <row r="24" spans="2:28" x14ac:dyDescent="0.25">
      <c r="B24" s="79" t="s">
        <v>74</v>
      </c>
      <c r="C24" s="80">
        <v>82714.27</v>
      </c>
      <c r="D24" s="81">
        <v>1.034</v>
      </c>
      <c r="E24" s="82">
        <f>+C24*D24</f>
        <v>85526.55518000001</v>
      </c>
      <c r="F24" s="81">
        <v>1.0449999999999999</v>
      </c>
      <c r="G24" s="82">
        <f>+E24*F24</f>
        <v>89375.250163100005</v>
      </c>
      <c r="H24" s="81">
        <v>1.0329999999999999</v>
      </c>
      <c r="I24" s="82">
        <f>+G24*H24</f>
        <v>92324.633418482292</v>
      </c>
      <c r="J24" s="81">
        <v>1.034</v>
      </c>
      <c r="K24" s="82">
        <f>+I24*J24</f>
        <v>95463.670954710688</v>
      </c>
      <c r="L24" s="86">
        <v>9823</v>
      </c>
      <c r="M24" s="84">
        <f>(K24/L24)</f>
        <v>9.7183824651033994</v>
      </c>
      <c r="N24" s="85" t="s">
        <v>30</v>
      </c>
      <c r="P24" s="67">
        <f>+M24*$Q$3/$Q$4</f>
        <v>10.6018717801128</v>
      </c>
      <c r="Q24" s="85" t="s">
        <v>30</v>
      </c>
      <c r="R24" s="59"/>
      <c r="S24" s="62"/>
      <c r="W24" s="60"/>
      <c r="X24" s="60"/>
      <c r="Y24" s="60"/>
      <c r="Z24" s="60"/>
      <c r="AA24" s="60"/>
      <c r="AB24" s="60"/>
    </row>
    <row r="25" spans="2:28" x14ac:dyDescent="0.25">
      <c r="B25" s="87"/>
      <c r="C25" s="88">
        <f>SUM(C22:C24)</f>
        <v>308083.71000000002</v>
      </c>
      <c r="D25" s="88"/>
      <c r="E25" s="88">
        <f>SUM(E22:E24)</f>
        <v>318558.55614</v>
      </c>
      <c r="F25" s="87"/>
      <c r="G25" s="89">
        <f>SUM(G22:G24)</f>
        <v>332893.69116629998</v>
      </c>
      <c r="H25" s="89"/>
      <c r="I25" s="89">
        <f>SUM(I22:I24)</f>
        <v>343880.18297478789</v>
      </c>
      <c r="J25" s="89"/>
      <c r="K25" s="89">
        <f>SUM(K22:K24)</f>
        <v>355572.10919593065</v>
      </c>
      <c r="L25" s="90"/>
      <c r="M25" s="91"/>
      <c r="N25" s="92"/>
      <c r="W25" s="60"/>
      <c r="X25" s="60"/>
      <c r="Y25" s="60"/>
      <c r="Z25" s="60"/>
      <c r="AA25" s="60"/>
      <c r="AB25" s="60"/>
    </row>
    <row r="26" spans="2:28" x14ac:dyDescent="0.25">
      <c r="C26" s="60"/>
      <c r="D26" s="60"/>
      <c r="E26" s="60"/>
      <c r="G26" s="96"/>
      <c r="H26" s="96"/>
      <c r="I26" s="96"/>
      <c r="J26" s="96"/>
      <c r="K26" s="96"/>
    </row>
    <row r="27" spans="2:28" x14ac:dyDescent="0.25">
      <c r="C27" s="97" t="s">
        <v>40</v>
      </c>
      <c r="I27" s="94"/>
      <c r="J27" s="94"/>
      <c r="K27" s="94"/>
    </row>
    <row r="29" spans="2:28" x14ac:dyDescent="0.25">
      <c r="C29" s="98">
        <f>+C25+C13</f>
        <v>876185.72</v>
      </c>
      <c r="E29" s="98">
        <f>+E25+E13</f>
        <v>905976.03447999991</v>
      </c>
      <c r="G29" s="98">
        <f>+G25+G13</f>
        <v>946744.9560315999</v>
      </c>
      <c r="I29" s="98"/>
      <c r="J29" s="98"/>
      <c r="K29" s="9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E3A0CC814B0488CFA6C5F995F6DA6" ma:contentTypeVersion="19" ma:contentTypeDescription="Create a new document." ma:contentTypeScope="" ma:versionID="c1d15e932fca677b41ad10b7f74bd542">
  <xsd:schema xmlns:xsd="http://www.w3.org/2001/XMLSchema" xmlns:xs="http://www.w3.org/2001/XMLSchema" xmlns:p="http://schemas.microsoft.com/office/2006/metadata/properties" xmlns:ns2="c2079885-2e7d-4e77-8ef3-7a9de67f47f6" xmlns:ns3="b81f47cb-3217-4b5d-bddd-03724119cb5a" targetNamespace="http://schemas.microsoft.com/office/2006/metadata/properties" ma:root="true" ma:fieldsID="5882f8d0f1ee0d4a79e142a7f0e4c6d2" ns2:_="" ns3:_="">
    <xsd:import namespace="c2079885-2e7d-4e77-8ef3-7a9de67f47f6"/>
    <xsd:import namespace="b81f47cb-3217-4b5d-bddd-03724119c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79885-2e7d-4e77-8ef3-7a9de67f4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1" nillable="true" ma:displayName="Status" ma:format="Dropdown" ma:internalName="Status">
      <xsd:simpleType>
        <xsd:restriction base="dms:Choice">
          <xsd:enumeration value="Preparation"/>
          <xsd:enumeration value="Manager Approved"/>
          <xsd:enumeration value="Awaiting VP Review"/>
          <xsd:enumeration value="VP Signed Off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f47cb-3217-4b5d-bddd-03724119c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ee92af-58ca-4c28-a3d7-91862b47e6b6}" ma:internalName="TaxCatchAll" ma:showField="CatchAllData" ma:web="b81f47cb-3217-4b5d-bddd-03724119c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f47cb-3217-4b5d-bddd-03724119cb5a" xsi:nil="true"/>
    <_Flow_SignoffStatus xmlns="c2079885-2e7d-4e77-8ef3-7a9de67f47f6" xsi:nil="true"/>
    <lcf76f155ced4ddcb4097134ff3c332f xmlns="c2079885-2e7d-4e77-8ef3-7a9de67f47f6">
      <Terms xmlns="http://schemas.microsoft.com/office/infopath/2007/PartnerControls"/>
    </lcf76f155ced4ddcb4097134ff3c332f>
    <Status xmlns="c2079885-2e7d-4e77-8ef3-7a9de67f47f6" xsi:nil="true"/>
  </documentManagement>
</p:properties>
</file>

<file path=customXml/itemProps1.xml><?xml version="1.0" encoding="utf-8"?>
<ds:datastoreItem xmlns:ds="http://schemas.openxmlformats.org/officeDocument/2006/customXml" ds:itemID="{EB1733E9-BCA4-4D1E-A503-ED64F4514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79885-2e7d-4e77-8ef3-7a9de67f47f6"/>
    <ds:schemaRef ds:uri="b81f47cb-3217-4b5d-bddd-03724119c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483800-BF27-456D-A264-45AD243CF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EEE11A-73CD-463A-BD6A-AD810D93E5A4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2079885-2e7d-4e77-8ef3-7a9de67f47f6"/>
    <ds:schemaRef ds:uri="http://schemas.microsoft.com/office/2006/metadata/properties"/>
    <ds:schemaRef ds:uri="http://schemas.microsoft.com/office/infopath/2007/PartnerControls"/>
    <ds:schemaRef ds:uri="b81f47cb-3217-4b5d-bddd-03724119cb5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 Billing Determinents</vt:lpstr>
      <vt:lpstr>VRZ_Base Dx Rates</vt:lpstr>
      <vt:lpstr>WRZ_Base Dx Rates</vt:lpstr>
      <vt:lpstr>VRZ_ICM(2026)</vt:lpstr>
      <vt:lpstr>LRAM re-calc RR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Susan Kim</cp:lastModifiedBy>
  <dcterms:created xsi:type="dcterms:W3CDTF">2026-01-16T23:19:50Z</dcterms:created>
  <dcterms:modified xsi:type="dcterms:W3CDTF">2026-01-22T03:06:17Z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0x010100A0AE3A0CC814B0488CFA6C5F995F6DA6</vt:lpwstr>
  </property>
  <property fmtid="{D5CDD505-2E9C-101B-9397-08002B2CF9AE}" pid="3" name="MediaServiceImageTags">
    <vt:lpwstr/>
  </property>
</Properties>
</file>